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5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5.xml" ContentType="application/vnd.openxmlformats-officedocument.drawingml.chartshapes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6.xml" ContentType="application/vnd.openxmlformats-officedocument.drawing+xml"/>
  <Override PartName="/xl/charts/chart47.xml" ContentType="application/vnd.openxmlformats-officedocument.drawingml.chart+xml"/>
  <Override PartName="/xl/drawings/drawing7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8.xml" ContentType="application/vnd.openxmlformats-officedocument.drawingml.chartshape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9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10.xml" ContentType="application/vnd.openxmlformats-officedocument.drawingml.chartshape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drawings/drawing11.xml" ContentType="application/vnd.openxmlformats-officedocument.drawing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drawings/drawing12.xml" ContentType="application/vnd.openxmlformats-officedocument.drawing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theme/themeOverride1.xml" ContentType="application/vnd.openxmlformats-officedocument.themeOverride+xml"/>
  <Override PartName="/xl/drawings/drawing13.xml" ContentType="application/vnd.openxmlformats-officedocument.drawing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14.xml" ContentType="application/vnd.openxmlformats-officedocument.drawingml.chartshapes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15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drawings/drawing16.xml" ContentType="application/vnd.openxmlformats-officedocument.drawingml.chartshapes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drawings/drawing17.xml" ContentType="application/vnd.openxmlformats-officedocument.drawingml.chartshapes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drawings/drawing18.xml" ContentType="application/vnd.openxmlformats-officedocument.drawingml.chartshapes+xml"/>
  <Override PartName="/xl/charts/chart198.xml" ContentType="application/vnd.openxmlformats-officedocument.drawingml.chart+xml"/>
  <Override PartName="/xl/drawings/drawing1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drawings/drawing20.xml" ContentType="application/vnd.openxmlformats-officedocument.drawing+xml"/>
  <Override PartName="/xl/charts/chart201.xml" ContentType="application/vnd.openxmlformats-officedocument.drawingml.chart+xml"/>
  <Override PartName="/xl/drawings/drawing21.xml" ContentType="application/vnd.openxmlformats-officedocument.drawing+xml"/>
  <Override PartName="/xl/charts/chart202.xml" ContentType="application/vnd.openxmlformats-officedocument.drawingml.chart+xml"/>
  <Override PartName="/xl/drawings/drawing22.xml" ContentType="application/vnd.openxmlformats-officedocument.drawing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23.xml" ContentType="application/vnd.openxmlformats-officedocument.drawing+xml"/>
  <Override PartName="/xl/charts/chart20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4.xml" ContentType="application/vnd.openxmlformats-officedocument.drawing+xml"/>
  <Override PartName="/xl/charts/chart206.xml" ContentType="application/vnd.openxmlformats-officedocument.drawingml.chart+xml"/>
  <Override PartName="/xl/drawings/drawing25.xml" ContentType="application/vnd.openxmlformats-officedocument.drawing+xml"/>
  <Override PartName="/xl/charts/chart207.xml" ContentType="application/vnd.openxmlformats-officedocument.drawingml.chart+xml"/>
  <Override PartName="/xl/drawings/drawing26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drawings/drawing27.xml" ContentType="application/vnd.openxmlformats-officedocument.drawing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8.xml" ContentType="application/vnd.openxmlformats-officedocument.drawing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drawings/drawing29.xml" ContentType="application/vnd.openxmlformats-officedocument.drawing+xml"/>
  <Override PartName="/xl/charts/chart234.xml" ContentType="application/vnd.openxmlformats-officedocument.drawingml.chart+xml"/>
  <Override PartName="/xl/drawings/drawing30.xml" ContentType="application/vnd.openxmlformats-officedocument.drawing+xml"/>
  <Override PartName="/xl/charts/chart235.xml" ContentType="application/vnd.openxmlformats-officedocument.drawingml.chart+xml"/>
  <Override PartName="/xl/drawings/drawing31.xml" ContentType="application/vnd.openxmlformats-officedocument.drawing+xml"/>
  <Override PartName="/xl/charts/chart236.xml" ContentType="application/vnd.openxmlformats-officedocument.drawingml.chart+xml"/>
  <Override PartName="/xl/drawings/drawing32.xml" ContentType="application/vnd.openxmlformats-officedocument.drawing+xml"/>
  <Override PartName="/xl/charts/chart237.xml" ContentType="application/vnd.openxmlformats-officedocument.drawingml.chart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238.xml" ContentType="application/vnd.openxmlformats-officedocument.drawingml.chart+xml"/>
  <Override PartName="/xl/drawings/drawing35.xml" ContentType="application/vnd.openxmlformats-officedocument.drawing+xml"/>
  <Override PartName="/xl/charts/chart239.xml" ContentType="application/vnd.openxmlformats-officedocument.drawingml.chart+xml"/>
  <Override PartName="/xl/drawings/drawing36.xml" ContentType="application/vnd.openxmlformats-officedocument.drawing+xml"/>
  <Override PartName="/xl/charts/chart240.xml" ContentType="application/vnd.openxmlformats-officedocument.drawingml.chart+xml"/>
  <Override PartName="/xl/drawings/drawing37.xml" ContentType="application/vnd.openxmlformats-officedocument.drawing+xml"/>
  <Override PartName="/xl/charts/chart241.xml" ContentType="application/vnd.openxmlformats-officedocument.drawingml.chart+xml"/>
  <Override PartName="/xl/drawings/drawing38.xml" ContentType="application/vnd.openxmlformats-officedocument.drawing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39.xml" ContentType="application/vnd.openxmlformats-officedocument.drawing+xml"/>
  <Override PartName="/xl/charts/chart244.xml" ContentType="application/vnd.openxmlformats-officedocument.drawingml.chart+xml"/>
  <Override PartName="/xl/drawings/drawing40.xml" ContentType="application/vnd.openxmlformats-officedocument.drawing+xml"/>
  <Override PartName="/xl/charts/chart245.xml" ContentType="application/vnd.openxmlformats-officedocument.drawingml.chart+xml"/>
  <Override PartName="/xl/drawings/drawing41.xml" ContentType="application/vnd.openxmlformats-officedocument.drawing+xml"/>
  <Override PartName="/xl/charts/chart246.xml" ContentType="application/vnd.openxmlformats-officedocument.drawingml.chart+xml"/>
  <Override PartName="/xl/drawings/drawing42.xml" ContentType="application/vnd.openxmlformats-officedocument.drawing+xml"/>
  <Override PartName="/xl/charts/chart247.xml" ContentType="application/vnd.openxmlformats-officedocument.drawingml.chart+xml"/>
  <Override PartName="/xl/drawings/drawing43.xml" ContentType="application/vnd.openxmlformats-officedocument.drawing+xml"/>
  <Override PartName="/xl/charts/chart248.xml" ContentType="application/vnd.openxmlformats-officedocument.drawingml.chart+xml"/>
  <Override PartName="/xl/drawings/drawing44.xml" ContentType="application/vnd.openxmlformats-officedocument.drawing+xml"/>
  <Override PartName="/xl/charts/chart249.xml" ContentType="application/vnd.openxmlformats-officedocument.drawingml.chart+xml"/>
  <Override PartName="/xl/drawings/drawing45.xml" ContentType="application/vnd.openxmlformats-officedocument.drawing+xml"/>
  <Override PartName="/xl/charts/chart250.xml" ContentType="application/vnd.openxmlformats-officedocument.drawingml.chart+xml"/>
  <Override PartName="/xl/drawings/drawing46.xml" ContentType="application/vnd.openxmlformats-officedocument.drawing+xml"/>
  <Override PartName="/xl/charts/chart251.xml" ContentType="application/vnd.openxmlformats-officedocument.drawingml.chart+xml"/>
  <Override PartName="/xl/drawings/drawing47.xml" ContentType="application/vnd.openxmlformats-officedocument.drawing+xml"/>
  <Override PartName="/xl/charts/chart25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8.xml" ContentType="application/vnd.openxmlformats-officedocument.drawing+xml"/>
  <Override PartName="/xl/charts/chart253.xml" ContentType="application/vnd.openxmlformats-officedocument.drawingml.chart+xml"/>
  <Override PartName="/xl/drawings/drawing49.xml" ContentType="application/vnd.openxmlformats-officedocument.drawing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50.xml" ContentType="application/vnd.openxmlformats-officedocument.drawing+xml"/>
  <Override PartName="/xl/charts/chart256.xml" ContentType="application/vnd.openxmlformats-officedocument.drawingml.chart+xml"/>
  <Override PartName="/xl/drawings/drawing51.xml" ContentType="application/vnd.openxmlformats-officedocument.drawing+xml"/>
  <Override PartName="/xl/charts/chart257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58.xml" ContentType="application/vnd.openxmlformats-officedocument.drawingml.chart+xml"/>
  <Override PartName="/xl/drawings/drawing54.xml" ContentType="application/vnd.openxmlformats-officedocument.drawing+xml"/>
  <Override PartName="/xl/comments1.xml" ContentType="application/vnd.openxmlformats-officedocument.spreadsheetml.comments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drawings/drawing55.xml" ContentType="application/vnd.openxmlformats-officedocument.drawing+xml"/>
  <Override PartName="/xl/charts/chart26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im/OneDrive/ebswp/EBSpollock/runs/"/>
    </mc:Choice>
  </mc:AlternateContent>
  <bookViews>
    <workbookView xWindow="28800" yWindow="440" windowWidth="38400" windowHeight="21160" tabRatio="918" firstSheet="17" activeTab="28"/>
  </bookViews>
  <sheets>
    <sheet name="Likelihood comparisons" sheetId="144" r:id="rId1"/>
    <sheet name="Sheet1 (2)" sheetId="114" r:id="rId2"/>
    <sheet name="Chart4" sheetId="86" r:id="rId3"/>
    <sheet name="ABCProjections" sheetId="79" r:id="rId4"/>
    <sheet name="Sheet1" sheetId="78" r:id="rId5"/>
    <sheet name="Sheet1 (3)" sheetId="183" r:id="rId6"/>
    <sheet name="ParmCount" sheetId="59" r:id="rId7"/>
    <sheet name="Residuals" sheetId="29" r:id="rId8"/>
    <sheet name="Selectivity Comparison" sheetId="31" r:id="rId9"/>
    <sheet name="Fishery Early" sheetId="4" r:id="rId10"/>
    <sheet name="Chart1" sheetId="190" r:id="rId11"/>
    <sheet name="Past BiomEst" sheetId="51" r:id="rId12"/>
    <sheet name="BTrwl Srvy" sheetId="2" r:id="rId13"/>
    <sheet name="Fishery(shrt)" sheetId="5" r:id="rId14"/>
    <sheet name="EIT AgeCompFit 2+" sheetId="74" r:id="rId15"/>
    <sheet name="Survey Figs" sheetId="8" r:id="rId16"/>
    <sheet name="ProjectFigs" sheetId="10" r:id="rId17"/>
    <sheet name="Figures" sheetId="9" r:id="rId18"/>
    <sheet name="Sheet5" sheetId="179" r:id="rId19"/>
    <sheet name="SSBTrend" sheetId="187" r:id="rId20"/>
    <sheet name="SSB Table" sheetId="128" r:id="rId21"/>
    <sheet name="F_SEr-Figs" sheetId="116" r:id="rId22"/>
    <sheet name="StdDev" sheetId="16" r:id="rId23"/>
    <sheet name="Chart11" sheetId="186" r:id="rId24"/>
    <sheet name="AgeData" sheetId="87" r:id="rId25"/>
    <sheet name="Age Comps" sheetId="23" r:id="rId26"/>
    <sheet name="Sel" sheetId="7" r:id="rId27"/>
    <sheet name="CompareFits" sheetId="115" r:id="rId28"/>
    <sheet name="Summary" sheetId="13" r:id="rId29"/>
    <sheet name="pm.rep" sheetId="14" r:id="rId30"/>
    <sheet name="Sheet2" sheetId="189" r:id="rId31"/>
    <sheet name="Stdev" sheetId="181" r:id="rId32"/>
    <sheet name="Chart5" sheetId="178" r:id="rId33"/>
    <sheet name="ObsErrB20" sheetId="96" r:id="rId34"/>
    <sheet name="Recruits" sheetId="69" r:id="rId35"/>
    <sheet name="Tables" sheetId="52" r:id="rId36"/>
    <sheet name="SRec" sheetId="19" r:id="rId37"/>
    <sheet name="Chart13" sheetId="107" r:id="rId38"/>
    <sheet name="Chart14" sheetId="108" r:id="rId39"/>
    <sheet name="AVO Fit" sheetId="164" r:id="rId40"/>
    <sheet name="AVO wo new" sheetId="165" r:id="rId41"/>
    <sheet name="Sheet3" sheetId="172" r:id="rId42"/>
    <sheet name="Sheet4" sheetId="156" r:id="rId43"/>
    <sheet name="SSB" sheetId="98" r:id="rId44"/>
    <sheet name="SRec (2)" sheetId="160" r:id="rId45"/>
    <sheet name="Chart10" sheetId="149" r:id="rId46"/>
    <sheet name="Chart15" sheetId="150" r:id="rId47"/>
    <sheet name="FIshable stuff" sheetId="145" r:id="rId48"/>
    <sheet name="Chart3" sheetId="158" r:id="rId49"/>
    <sheet name="Chart18" sheetId="188" r:id="rId50"/>
    <sheet name="Fs" sheetId="118" r:id="rId51"/>
    <sheet name="Projections" sheetId="135" r:id="rId52"/>
    <sheet name="SSB ForLorenz" sheetId="159" r:id="rId53"/>
    <sheet name="Chart22" sheetId="20" r:id="rId54"/>
    <sheet name="Chart27" sheetId="55" r:id="rId55"/>
    <sheet name="Survey Components" sheetId="25" r:id="rId56"/>
    <sheet name="Effect of New EIT" sheetId="60" r:id="rId57"/>
    <sheet name="Module1" sheetId="24" state="veryHidden" r:id="rId58"/>
  </sheets>
  <externalReferences>
    <externalReference r:id="rId59"/>
    <externalReference r:id="rId60"/>
    <externalReference r:id="rId61"/>
    <externalReference r:id="rId62"/>
  </externalReferences>
  <definedNames>
    <definedName name="___Bet1" localSheetId="24">[1]Summary!$B$36</definedName>
    <definedName name="__Bet1">'[2]SPR Data'!$B$32</definedName>
    <definedName name="_Bet1">Summary!$B$45</definedName>
    <definedName name="Alph1" localSheetId="24">[1]Summary!$A$36</definedName>
    <definedName name="Alph1">Summary!$A$45</definedName>
    <definedName name="Alpha" localSheetId="24">[1]Summary!$A$38</definedName>
    <definedName name="Alpha">Summary!$A$47</definedName>
    <definedName name="Alpha_HP" localSheetId="24">[3]Summary!$C$9</definedName>
    <definedName name="Alpha_HP">[3]Summary!$C$9</definedName>
    <definedName name="AMFMSYR" localSheetId="42">Sheet4!$H$3</definedName>
    <definedName name="Beta" localSheetId="24">[1]Summary!$B$38</definedName>
    <definedName name="Beta">Summary!$B$47</definedName>
    <definedName name="BTS_Q" localSheetId="24">'[1]Survey Components'!$C$2</definedName>
    <definedName name="BTS_Q">'Survey Components'!$C$2</definedName>
    <definedName name="EIT_Q" localSheetId="24">'[1]Survey Components'!$C$3</definedName>
    <definedName name="EIT_Q">'Survey Components'!$C$3</definedName>
    <definedName name="junk">'[2]SPR Data'!$A$32</definedName>
    <definedName name="Mass_at_age">Fs!$BW$4:$CK$49</definedName>
    <definedName name="_xlnm.Print_Area" localSheetId="17">Figures!$A$1:$B$4</definedName>
    <definedName name="Sigma" localSheetId="27">#REF!</definedName>
    <definedName name="Sigma">#REF!</definedName>
    <definedName name="spnmonth" localSheetId="24">[3]Summary!$C$5</definedName>
    <definedName name="spnmonth">[3]Summary!$C$5</definedName>
    <definedName name="wtage">'Survey Components'!$Z$40:$AN$59</definedName>
  </definedNames>
  <calcPr calcId="150001" concurrentCalc="0"/>
  <pivotCaches>
    <pivotCache cacheId="7" r:id="rId6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4" i="23" l="1"/>
  <c r="B54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P98" i="23"/>
  <c r="S98" i="23"/>
  <c r="T98" i="23"/>
  <c r="U98" i="23"/>
  <c r="V98" i="23"/>
  <c r="W98" i="23"/>
  <c r="X98" i="23"/>
  <c r="Y98" i="23"/>
  <c r="Z98" i="23"/>
  <c r="AA98" i="23"/>
  <c r="AB98" i="23"/>
  <c r="AC98" i="23"/>
  <c r="AD98" i="23"/>
  <c r="AE98" i="23"/>
  <c r="AF98" i="23"/>
  <c r="AG98" i="23"/>
  <c r="A3" i="2"/>
  <c r="A7" i="2"/>
  <c r="B2" i="2"/>
  <c r="B6" i="2"/>
  <c r="B10" i="2"/>
  <c r="C5" i="2"/>
  <c r="C6" i="2"/>
  <c r="C7" i="2"/>
  <c r="C8" i="2"/>
  <c r="C9" i="2"/>
  <c r="C10" i="2"/>
  <c r="D3" i="2"/>
  <c r="D4" i="2"/>
  <c r="D5" i="2"/>
  <c r="D6" i="2"/>
  <c r="D7" i="2"/>
  <c r="D8" i="2"/>
  <c r="D9" i="2"/>
  <c r="D10" i="2"/>
  <c r="S121" i="23"/>
  <c r="T121" i="23"/>
  <c r="U121" i="23"/>
  <c r="V121" i="23"/>
  <c r="W121" i="23"/>
  <c r="X121" i="23"/>
  <c r="Y121" i="23"/>
  <c r="Z121" i="23"/>
  <c r="AA121" i="23"/>
  <c r="AB121" i="23"/>
  <c r="AC121" i="23"/>
  <c r="AD121" i="23"/>
  <c r="AE121" i="23"/>
  <c r="AF121" i="23"/>
  <c r="AG121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P121" i="23"/>
  <c r="BD15" i="13"/>
  <c r="BD16" i="13"/>
  <c r="BD19" i="13"/>
  <c r="BD14" i="13"/>
  <c r="BD18" i="13"/>
  <c r="BD17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BD6" i="13"/>
  <c r="BD7" i="13"/>
  <c r="BD2" i="13"/>
  <c r="BD3" i="13"/>
  <c r="F410" i="181"/>
  <c r="F78" i="128"/>
  <c r="E78" i="128"/>
  <c r="G78" i="128"/>
  <c r="H78" i="128"/>
  <c r="F79" i="128"/>
  <c r="E79" i="128"/>
  <c r="G79" i="128"/>
  <c r="H79" i="128"/>
  <c r="F80" i="128"/>
  <c r="E80" i="128"/>
  <c r="G80" i="128"/>
  <c r="H80" i="128"/>
  <c r="F81" i="128"/>
  <c r="E81" i="128"/>
  <c r="G81" i="128"/>
  <c r="H81" i="128"/>
  <c r="F82" i="128"/>
  <c r="E82" i="128"/>
  <c r="G82" i="128"/>
  <c r="H82" i="128"/>
  <c r="F83" i="128"/>
  <c r="E83" i="128"/>
  <c r="G83" i="128"/>
  <c r="H83" i="128"/>
  <c r="F84" i="128"/>
  <c r="E84" i="128"/>
  <c r="G84" i="128"/>
  <c r="H84" i="128"/>
  <c r="F85" i="128"/>
  <c r="E85" i="128"/>
  <c r="G85" i="128"/>
  <c r="H85" i="128"/>
  <c r="F86" i="128"/>
  <c r="E86" i="128"/>
  <c r="G86" i="128"/>
  <c r="H86" i="128"/>
  <c r="F87" i="128"/>
  <c r="E87" i="128"/>
  <c r="G87" i="128"/>
  <c r="H87" i="128"/>
  <c r="F88" i="128"/>
  <c r="E88" i="128"/>
  <c r="G88" i="128"/>
  <c r="H88" i="128"/>
  <c r="F89" i="128"/>
  <c r="E89" i="128"/>
  <c r="G89" i="128"/>
  <c r="H89" i="128"/>
  <c r="F90" i="128"/>
  <c r="E90" i="128"/>
  <c r="G90" i="128"/>
  <c r="H90" i="128"/>
  <c r="F91" i="128"/>
  <c r="E91" i="128"/>
  <c r="G91" i="128"/>
  <c r="H91" i="128"/>
  <c r="F92" i="128"/>
  <c r="E92" i="128"/>
  <c r="G92" i="128"/>
  <c r="H92" i="128"/>
  <c r="F93" i="128"/>
  <c r="E93" i="128"/>
  <c r="G93" i="128"/>
  <c r="H93" i="128"/>
  <c r="F94" i="128"/>
  <c r="E94" i="128"/>
  <c r="G94" i="128"/>
  <c r="H94" i="128"/>
  <c r="F95" i="128"/>
  <c r="E95" i="128"/>
  <c r="G95" i="128"/>
  <c r="H95" i="128"/>
  <c r="F96" i="128"/>
  <c r="E96" i="128"/>
  <c r="G96" i="128"/>
  <c r="H96" i="128"/>
  <c r="F97" i="128"/>
  <c r="E97" i="128"/>
  <c r="G97" i="128"/>
  <c r="H97" i="128"/>
  <c r="F98" i="128"/>
  <c r="E98" i="128"/>
  <c r="G98" i="128"/>
  <c r="H98" i="128"/>
  <c r="F99" i="128"/>
  <c r="E99" i="128"/>
  <c r="G99" i="128"/>
  <c r="H99" i="128"/>
  <c r="F100" i="128"/>
  <c r="E100" i="128"/>
  <c r="G100" i="128"/>
  <c r="H100" i="128"/>
  <c r="F101" i="128"/>
  <c r="E101" i="128"/>
  <c r="G101" i="128"/>
  <c r="H101" i="128"/>
  <c r="E338" i="181"/>
  <c r="D338" i="181"/>
  <c r="C103" i="51"/>
  <c r="C340" i="181"/>
  <c r="C339" i="181"/>
  <c r="C338" i="181"/>
  <c r="C337" i="181"/>
  <c r="D337" i="181"/>
  <c r="B102" i="51"/>
  <c r="B103" i="51"/>
  <c r="Y110" i="118"/>
  <c r="X110" i="118"/>
  <c r="D521" i="16"/>
  <c r="E521" i="16"/>
  <c r="D522" i="16"/>
  <c r="E522" i="16"/>
  <c r="E520" i="16"/>
  <c r="F520" i="16"/>
  <c r="G520" i="16"/>
  <c r="H520" i="16"/>
  <c r="I520" i="16"/>
  <c r="E511" i="16"/>
  <c r="E512" i="16"/>
  <c r="E513" i="16"/>
  <c r="E514" i="16"/>
  <c r="E515" i="16"/>
  <c r="E516" i="16"/>
  <c r="E517" i="16"/>
  <c r="E518" i="16"/>
  <c r="E519" i="16"/>
  <c r="J520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D520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AG5" i="16"/>
  <c r="AG4" i="16"/>
  <c r="AG3" i="16"/>
  <c r="AF4" i="16"/>
  <c r="AF5" i="16"/>
  <c r="AF3" i="16"/>
  <c r="F48" i="13" a="1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AO101" i="13"/>
  <c r="AO102" i="13"/>
  <c r="AO103" i="13"/>
  <c r="AO99" i="13"/>
  <c r="AO98" i="13"/>
  <c r="E97" i="13"/>
  <c r="E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C98" i="13"/>
  <c r="AB98" i="13"/>
  <c r="AE98" i="13" a="1"/>
  <c r="AE98" i="13"/>
  <c r="AD98" i="13"/>
  <c r="AF98" i="13"/>
  <c r="D98" i="13"/>
  <c r="E226" i="13"/>
  <c r="D286" i="181"/>
  <c r="E286" i="181"/>
  <c r="D287" i="181"/>
  <c r="E287" i="181"/>
  <c r="D288" i="181"/>
  <c r="E288" i="181"/>
  <c r="D289" i="181"/>
  <c r="E289" i="181"/>
  <c r="D290" i="181"/>
  <c r="E290" i="181"/>
  <c r="D291" i="181"/>
  <c r="E291" i="181"/>
  <c r="D292" i="181"/>
  <c r="E292" i="181"/>
  <c r="D293" i="181"/>
  <c r="E293" i="181"/>
  <c r="D294" i="181"/>
  <c r="E294" i="181"/>
  <c r="D295" i="181"/>
  <c r="E295" i="181"/>
  <c r="D296" i="181"/>
  <c r="E296" i="181"/>
  <c r="D297" i="181"/>
  <c r="E297" i="181"/>
  <c r="D298" i="181"/>
  <c r="E298" i="181"/>
  <c r="D299" i="181"/>
  <c r="E299" i="181"/>
  <c r="D300" i="181"/>
  <c r="E300" i="181"/>
  <c r="D301" i="181"/>
  <c r="E301" i="181"/>
  <c r="D302" i="181"/>
  <c r="E302" i="181"/>
  <c r="D303" i="181"/>
  <c r="E303" i="181"/>
  <c r="D304" i="181"/>
  <c r="E304" i="181"/>
  <c r="D305" i="181"/>
  <c r="E305" i="181"/>
  <c r="D306" i="181"/>
  <c r="E306" i="181"/>
  <c r="D307" i="181"/>
  <c r="E307" i="181"/>
  <c r="D308" i="181"/>
  <c r="E308" i="181"/>
  <c r="D309" i="181"/>
  <c r="E309" i="181"/>
  <c r="D310" i="181"/>
  <c r="E310" i="181"/>
  <c r="D311" i="181"/>
  <c r="E311" i="181"/>
  <c r="D312" i="181"/>
  <c r="E312" i="181"/>
  <c r="D313" i="181"/>
  <c r="E313" i="181"/>
  <c r="D314" i="181"/>
  <c r="E314" i="181"/>
  <c r="D315" i="181"/>
  <c r="E315" i="181"/>
  <c r="D316" i="181"/>
  <c r="E316" i="181"/>
  <c r="D317" i="181"/>
  <c r="E317" i="181"/>
  <c r="D318" i="181"/>
  <c r="E318" i="181"/>
  <c r="D319" i="181"/>
  <c r="E319" i="181"/>
  <c r="D320" i="181"/>
  <c r="E320" i="181"/>
  <c r="D321" i="181"/>
  <c r="E321" i="181"/>
  <c r="D322" i="181"/>
  <c r="E322" i="181"/>
  <c r="D323" i="181"/>
  <c r="E323" i="181"/>
  <c r="D324" i="181"/>
  <c r="E324" i="181"/>
  <c r="D325" i="181"/>
  <c r="E325" i="181"/>
  <c r="D326" i="181"/>
  <c r="E326" i="181"/>
  <c r="D327" i="181"/>
  <c r="E327" i="181"/>
  <c r="D328" i="181"/>
  <c r="E328" i="181"/>
  <c r="D329" i="181"/>
  <c r="E329" i="181"/>
  <c r="D330" i="181"/>
  <c r="E330" i="181"/>
  <c r="D331" i="181"/>
  <c r="E331" i="181"/>
  <c r="D332" i="181"/>
  <c r="E332" i="181"/>
  <c r="D333" i="181"/>
  <c r="E333" i="181"/>
  <c r="D334" i="181"/>
  <c r="E334" i="181"/>
  <c r="D335" i="181"/>
  <c r="E335" i="181"/>
  <c r="D336" i="181"/>
  <c r="E336" i="181"/>
  <c r="E337" i="181"/>
  <c r="D341" i="181"/>
  <c r="E341" i="181"/>
  <c r="D342" i="181"/>
  <c r="E342" i="181"/>
  <c r="D343" i="181"/>
  <c r="E343" i="181"/>
  <c r="D344" i="181"/>
  <c r="E344" i="181"/>
  <c r="D345" i="181"/>
  <c r="E345" i="181"/>
  <c r="D346" i="181"/>
  <c r="E346" i="181"/>
  <c r="D347" i="181"/>
  <c r="E347" i="181"/>
  <c r="D348" i="181"/>
  <c r="E348" i="181"/>
  <c r="D349" i="181"/>
  <c r="E349" i="181"/>
  <c r="D350" i="181"/>
  <c r="E350" i="181"/>
  <c r="D351" i="181"/>
  <c r="E351" i="181"/>
  <c r="D352" i="181"/>
  <c r="E352" i="181"/>
  <c r="D353" i="181"/>
  <c r="E353" i="181"/>
  <c r="D354" i="181"/>
  <c r="E354" i="181"/>
  <c r="D355" i="181"/>
  <c r="E355" i="181"/>
  <c r="D356" i="181"/>
  <c r="E356" i="181"/>
  <c r="D357" i="181"/>
  <c r="E357" i="181"/>
  <c r="D358" i="181"/>
  <c r="E358" i="181"/>
  <c r="D359" i="181"/>
  <c r="E359" i="181"/>
  <c r="D360" i="181"/>
  <c r="E360" i="181"/>
  <c r="B629" i="181"/>
  <c r="C629" i="181"/>
  <c r="D629" i="181"/>
  <c r="E629" i="181"/>
  <c r="B630" i="181"/>
  <c r="C630" i="181"/>
  <c r="D630" i="181"/>
  <c r="E630" i="181"/>
  <c r="B631" i="181"/>
  <c r="C631" i="181"/>
  <c r="D631" i="181"/>
  <c r="E631" i="181"/>
  <c r="B632" i="181"/>
  <c r="C632" i="181"/>
  <c r="D632" i="181"/>
  <c r="E632" i="181"/>
  <c r="E2" i="144"/>
  <c r="E3" i="144"/>
  <c r="E4" i="144"/>
  <c r="E5" i="144"/>
  <c r="E6" i="144"/>
  <c r="E7" i="144"/>
  <c r="E11" i="144"/>
  <c r="E12" i="144"/>
  <c r="E13" i="144"/>
  <c r="E14" i="144"/>
  <c r="E15" i="144"/>
  <c r="E17" i="144"/>
  <c r="E21" i="144"/>
  <c r="E22" i="144"/>
  <c r="E23" i="144"/>
  <c r="E24" i="144"/>
  <c r="E27" i="144"/>
  <c r="E28" i="144"/>
  <c r="E29" i="144"/>
  <c r="E30" i="144"/>
  <c r="E31" i="144"/>
  <c r="E32" i="144"/>
  <c r="E33" i="144"/>
  <c r="E34" i="144"/>
  <c r="E35" i="144"/>
  <c r="E36" i="144"/>
  <c r="E37" i="144"/>
  <c r="E38" i="144"/>
  <c r="E39" i="144"/>
  <c r="E40" i="144"/>
  <c r="E41" i="144"/>
  <c r="E42" i="144"/>
  <c r="E43" i="144"/>
  <c r="E44" i="144"/>
  <c r="E47" i="144"/>
  <c r="E48" i="144"/>
  <c r="E49" i="144"/>
  <c r="E50" i="144"/>
  <c r="V119" i="118"/>
  <c r="V120" i="118"/>
  <c r="V121" i="118"/>
  <c r="V122" i="118"/>
  <c r="V123" i="118"/>
  <c r="V124" i="118"/>
  <c r="V125" i="118"/>
  <c r="V126" i="118"/>
  <c r="V127" i="118"/>
  <c r="V128" i="118"/>
  <c r="V129" i="118"/>
  <c r="V130" i="118"/>
  <c r="V131" i="118"/>
  <c r="V132" i="118"/>
  <c r="V133" i="118"/>
  <c r="V134" i="118"/>
  <c r="V135" i="118"/>
  <c r="V136" i="118"/>
  <c r="V137" i="118"/>
  <c r="V138" i="118"/>
  <c r="V139" i="118"/>
  <c r="V140" i="118"/>
  <c r="V141" i="118"/>
  <c r="V142" i="118"/>
  <c r="V143" i="118"/>
  <c r="V144" i="118"/>
  <c r="V145" i="118"/>
  <c r="V146" i="118"/>
  <c r="V147" i="118"/>
  <c r="V148" i="118"/>
  <c r="V149" i="118"/>
  <c r="V150" i="118"/>
  <c r="V151" i="118"/>
  <c r="V152" i="118"/>
  <c r="V153" i="118"/>
  <c r="V154" i="118"/>
  <c r="V155" i="118"/>
  <c r="V156" i="118"/>
  <c r="V157" i="118"/>
  <c r="V158" i="118"/>
  <c r="V159" i="118"/>
  <c r="V160" i="118"/>
  <c r="V161" i="118"/>
  <c r="V162" i="118"/>
  <c r="V163" i="118"/>
  <c r="V164" i="118"/>
  <c r="V165" i="118"/>
  <c r="V166" i="118"/>
  <c r="V167" i="118"/>
  <c r="V168" i="118"/>
  <c r="V169" i="118"/>
  <c r="V170" i="118"/>
  <c r="V171" i="118"/>
  <c r="U119" i="118"/>
  <c r="U120" i="118"/>
  <c r="U121" i="118"/>
  <c r="U122" i="118"/>
  <c r="U123" i="118"/>
  <c r="U124" i="118"/>
  <c r="U125" i="118"/>
  <c r="U126" i="118"/>
  <c r="U127" i="118"/>
  <c r="U128" i="118"/>
  <c r="U129" i="118"/>
  <c r="U130" i="118"/>
  <c r="U131" i="118"/>
  <c r="U132" i="118"/>
  <c r="U133" i="118"/>
  <c r="U134" i="118"/>
  <c r="U135" i="118"/>
  <c r="U136" i="118"/>
  <c r="U137" i="118"/>
  <c r="U138" i="118"/>
  <c r="U139" i="118"/>
  <c r="U140" i="118"/>
  <c r="U141" i="118"/>
  <c r="U142" i="118"/>
  <c r="U143" i="118"/>
  <c r="U144" i="118"/>
  <c r="U145" i="118"/>
  <c r="U146" i="118"/>
  <c r="U147" i="118"/>
  <c r="U148" i="118"/>
  <c r="U149" i="118"/>
  <c r="U150" i="118"/>
  <c r="U151" i="118"/>
  <c r="U152" i="118"/>
  <c r="U153" i="118"/>
  <c r="U154" i="118"/>
  <c r="U155" i="118"/>
  <c r="U156" i="118"/>
  <c r="U157" i="118"/>
  <c r="U158" i="118"/>
  <c r="U159" i="118"/>
  <c r="U160" i="118"/>
  <c r="U161" i="118"/>
  <c r="U162" i="118"/>
  <c r="U163" i="118"/>
  <c r="U164" i="118"/>
  <c r="U165" i="118"/>
  <c r="U166" i="118"/>
  <c r="U167" i="118"/>
  <c r="U168" i="118"/>
  <c r="U169" i="118"/>
  <c r="U170" i="118"/>
  <c r="U171" i="118"/>
  <c r="W171" i="118"/>
  <c r="W172" i="118"/>
  <c r="W173" i="118"/>
  <c r="W120" i="118"/>
  <c r="W121" i="118"/>
  <c r="W122" i="118"/>
  <c r="W123" i="118"/>
  <c r="W124" i="118"/>
  <c r="W125" i="118"/>
  <c r="W126" i="118"/>
  <c r="W127" i="118"/>
  <c r="W128" i="118"/>
  <c r="W129" i="118"/>
  <c r="W130" i="118"/>
  <c r="W131" i="118"/>
  <c r="W132" i="118"/>
  <c r="W133" i="118"/>
  <c r="W134" i="118"/>
  <c r="W135" i="118"/>
  <c r="W136" i="118"/>
  <c r="W137" i="118"/>
  <c r="W138" i="118"/>
  <c r="W139" i="118"/>
  <c r="W140" i="118"/>
  <c r="W141" i="118"/>
  <c r="W142" i="118"/>
  <c r="W143" i="118"/>
  <c r="W144" i="118"/>
  <c r="W145" i="118"/>
  <c r="W146" i="118"/>
  <c r="W147" i="118"/>
  <c r="W148" i="118"/>
  <c r="W149" i="118"/>
  <c r="W150" i="118"/>
  <c r="W151" i="118"/>
  <c r="W152" i="118"/>
  <c r="W153" i="118"/>
  <c r="W154" i="118"/>
  <c r="W155" i="118"/>
  <c r="W156" i="118"/>
  <c r="W157" i="118"/>
  <c r="W158" i="118"/>
  <c r="W159" i="118"/>
  <c r="W160" i="118"/>
  <c r="W161" i="118"/>
  <c r="W162" i="118"/>
  <c r="W163" i="118"/>
  <c r="W164" i="118"/>
  <c r="W165" i="118"/>
  <c r="W166" i="118"/>
  <c r="W167" i="118"/>
  <c r="W168" i="118"/>
  <c r="W169" i="118"/>
  <c r="W170" i="118"/>
  <c r="W119" i="118"/>
  <c r="T119" i="118"/>
  <c r="T120" i="118"/>
  <c r="T121" i="118"/>
  <c r="T122" i="118"/>
  <c r="T123" i="118"/>
  <c r="T124" i="118"/>
  <c r="T125" i="118"/>
  <c r="T126" i="118"/>
  <c r="T127" i="118"/>
  <c r="T128" i="118"/>
  <c r="T129" i="118"/>
  <c r="T130" i="118"/>
  <c r="T131" i="118"/>
  <c r="T132" i="118"/>
  <c r="T133" i="118"/>
  <c r="T134" i="118"/>
  <c r="T135" i="118"/>
  <c r="T136" i="118"/>
  <c r="T137" i="118"/>
  <c r="T138" i="118"/>
  <c r="T139" i="118"/>
  <c r="T140" i="118"/>
  <c r="T141" i="118"/>
  <c r="T142" i="118"/>
  <c r="T143" i="118"/>
  <c r="T144" i="118"/>
  <c r="T145" i="118"/>
  <c r="T146" i="118"/>
  <c r="T147" i="118"/>
  <c r="T148" i="118"/>
  <c r="T149" i="118"/>
  <c r="T150" i="118"/>
  <c r="T151" i="118"/>
  <c r="T152" i="118"/>
  <c r="T153" i="118"/>
  <c r="T154" i="118"/>
  <c r="T155" i="118"/>
  <c r="T156" i="118"/>
  <c r="T157" i="118"/>
  <c r="T158" i="118"/>
  <c r="T159" i="118"/>
  <c r="T160" i="118"/>
  <c r="T161" i="118"/>
  <c r="T162" i="118"/>
  <c r="T163" i="118"/>
  <c r="T164" i="118"/>
  <c r="T165" i="118"/>
  <c r="T166" i="118"/>
  <c r="T167" i="118"/>
  <c r="T168" i="118"/>
  <c r="T169" i="118"/>
  <c r="T170" i="118"/>
  <c r="T172" i="118"/>
  <c r="T173" i="118"/>
  <c r="T174" i="118"/>
  <c r="T176" i="118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C608" i="16"/>
  <c r="C609" i="16"/>
  <c r="C610" i="16"/>
  <c r="C611" i="16"/>
  <c r="C605" i="16"/>
  <c r="C606" i="16"/>
  <c r="C607" i="16"/>
  <c r="N31" i="118"/>
  <c r="N86" i="118"/>
  <c r="N32" i="118"/>
  <c r="N87" i="118"/>
  <c r="N33" i="118"/>
  <c r="N88" i="118"/>
  <c r="N34" i="118"/>
  <c r="N89" i="118"/>
  <c r="N35" i="118"/>
  <c r="N90" i="118"/>
  <c r="N36" i="118"/>
  <c r="N91" i="118"/>
  <c r="N37" i="118"/>
  <c r="N92" i="118"/>
  <c r="N38" i="118"/>
  <c r="N93" i="118"/>
  <c r="N39" i="118"/>
  <c r="N94" i="118"/>
  <c r="N40" i="118"/>
  <c r="N95" i="118"/>
  <c r="N41" i="118"/>
  <c r="N96" i="118"/>
  <c r="N42" i="118"/>
  <c r="N97" i="118"/>
  <c r="N43" i="118"/>
  <c r="N98" i="118"/>
  <c r="N44" i="118"/>
  <c r="N99" i="118"/>
  <c r="N45" i="118"/>
  <c r="N100" i="118"/>
  <c r="N46" i="118"/>
  <c r="N101" i="118"/>
  <c r="N47" i="118"/>
  <c r="N102" i="118"/>
  <c r="N48" i="118"/>
  <c r="N103" i="118"/>
  <c r="N49" i="118"/>
  <c r="N104" i="118"/>
  <c r="N50" i="118"/>
  <c r="N105" i="118"/>
  <c r="N51" i="118"/>
  <c r="N106" i="118"/>
  <c r="N52" i="118"/>
  <c r="N107" i="118"/>
  <c r="N53" i="118"/>
  <c r="N108" i="118"/>
  <c r="N54" i="118"/>
  <c r="N109" i="118"/>
  <c r="N55" i="118"/>
  <c r="N110" i="118"/>
  <c r="N116" i="118"/>
  <c r="M31" i="118"/>
  <c r="M86" i="118"/>
  <c r="M32" i="118"/>
  <c r="M87" i="118"/>
  <c r="M33" i="118"/>
  <c r="M88" i="118"/>
  <c r="M34" i="118"/>
  <c r="M89" i="118"/>
  <c r="M35" i="118"/>
  <c r="M90" i="118"/>
  <c r="M36" i="118"/>
  <c r="M91" i="118"/>
  <c r="M37" i="118"/>
  <c r="M92" i="118"/>
  <c r="M38" i="118"/>
  <c r="M93" i="118"/>
  <c r="M39" i="118"/>
  <c r="M94" i="118"/>
  <c r="M40" i="118"/>
  <c r="M95" i="118"/>
  <c r="M41" i="118"/>
  <c r="M96" i="118"/>
  <c r="M42" i="118"/>
  <c r="M97" i="118"/>
  <c r="M43" i="118"/>
  <c r="M98" i="118"/>
  <c r="M44" i="118"/>
  <c r="M99" i="118"/>
  <c r="M45" i="118"/>
  <c r="M100" i="118"/>
  <c r="M46" i="118"/>
  <c r="M101" i="118"/>
  <c r="M47" i="118"/>
  <c r="M102" i="118"/>
  <c r="M48" i="118"/>
  <c r="M103" i="118"/>
  <c r="M49" i="118"/>
  <c r="M104" i="118"/>
  <c r="M50" i="118"/>
  <c r="M105" i="118"/>
  <c r="M51" i="118"/>
  <c r="M106" i="118"/>
  <c r="M52" i="118"/>
  <c r="M107" i="118"/>
  <c r="M53" i="118"/>
  <c r="M108" i="118"/>
  <c r="M54" i="118"/>
  <c r="M109" i="118"/>
  <c r="M55" i="118"/>
  <c r="M110" i="118"/>
  <c r="M116" i="118"/>
  <c r="L31" i="118"/>
  <c r="L86" i="118"/>
  <c r="L32" i="118"/>
  <c r="L87" i="118"/>
  <c r="L33" i="118"/>
  <c r="L88" i="118"/>
  <c r="L34" i="118"/>
  <c r="L89" i="118"/>
  <c r="L35" i="118"/>
  <c r="L90" i="118"/>
  <c r="L36" i="118"/>
  <c r="L91" i="118"/>
  <c r="L37" i="118"/>
  <c r="L92" i="118"/>
  <c r="L38" i="118"/>
  <c r="L93" i="118"/>
  <c r="L39" i="118"/>
  <c r="L94" i="118"/>
  <c r="L40" i="118"/>
  <c r="L95" i="118"/>
  <c r="L41" i="118"/>
  <c r="L96" i="118"/>
  <c r="L42" i="118"/>
  <c r="L97" i="118"/>
  <c r="L43" i="118"/>
  <c r="L98" i="118"/>
  <c r="L44" i="118"/>
  <c r="L99" i="118"/>
  <c r="L45" i="118"/>
  <c r="L100" i="118"/>
  <c r="L46" i="118"/>
  <c r="L101" i="118"/>
  <c r="L47" i="118"/>
  <c r="L102" i="118"/>
  <c r="L48" i="118"/>
  <c r="L103" i="118"/>
  <c r="L49" i="118"/>
  <c r="L104" i="118"/>
  <c r="L50" i="118"/>
  <c r="L105" i="118"/>
  <c r="L51" i="118"/>
  <c r="L106" i="118"/>
  <c r="L52" i="118"/>
  <c r="L107" i="118"/>
  <c r="L53" i="118"/>
  <c r="L108" i="118"/>
  <c r="L54" i="118"/>
  <c r="L109" i="118"/>
  <c r="L55" i="118"/>
  <c r="L110" i="118"/>
  <c r="L116" i="118"/>
  <c r="K31" i="118"/>
  <c r="K86" i="118"/>
  <c r="K32" i="118"/>
  <c r="K87" i="118"/>
  <c r="K33" i="118"/>
  <c r="K88" i="118"/>
  <c r="K34" i="118"/>
  <c r="K89" i="118"/>
  <c r="K35" i="118"/>
  <c r="K90" i="118"/>
  <c r="K36" i="118"/>
  <c r="K91" i="118"/>
  <c r="K37" i="118"/>
  <c r="K92" i="118"/>
  <c r="K38" i="118"/>
  <c r="K93" i="118"/>
  <c r="K39" i="118"/>
  <c r="K94" i="118"/>
  <c r="K40" i="118"/>
  <c r="K95" i="118"/>
  <c r="K41" i="118"/>
  <c r="K96" i="118"/>
  <c r="K42" i="118"/>
  <c r="K97" i="118"/>
  <c r="K43" i="118"/>
  <c r="K98" i="118"/>
  <c r="K44" i="118"/>
  <c r="K99" i="118"/>
  <c r="K45" i="118"/>
  <c r="K100" i="118"/>
  <c r="K46" i="118"/>
  <c r="K101" i="118"/>
  <c r="K47" i="118"/>
  <c r="K102" i="118"/>
  <c r="K48" i="118"/>
  <c r="K103" i="118"/>
  <c r="K49" i="118"/>
  <c r="K104" i="118"/>
  <c r="K50" i="118"/>
  <c r="K105" i="118"/>
  <c r="K51" i="118"/>
  <c r="K106" i="118"/>
  <c r="K52" i="118"/>
  <c r="K107" i="118"/>
  <c r="K53" i="118"/>
  <c r="K108" i="118"/>
  <c r="K54" i="118"/>
  <c r="K109" i="118"/>
  <c r="K55" i="118"/>
  <c r="K110" i="118"/>
  <c r="K116" i="118"/>
  <c r="J31" i="118"/>
  <c r="J86" i="118"/>
  <c r="J32" i="118"/>
  <c r="J87" i="118"/>
  <c r="J33" i="118"/>
  <c r="J88" i="118"/>
  <c r="J34" i="118"/>
  <c r="J89" i="118"/>
  <c r="J35" i="118"/>
  <c r="J90" i="118"/>
  <c r="J36" i="118"/>
  <c r="J91" i="118"/>
  <c r="J37" i="118"/>
  <c r="J92" i="118"/>
  <c r="J38" i="118"/>
  <c r="J93" i="118"/>
  <c r="J39" i="118"/>
  <c r="J94" i="118"/>
  <c r="J40" i="118"/>
  <c r="J95" i="118"/>
  <c r="J41" i="118"/>
  <c r="J96" i="118"/>
  <c r="J42" i="118"/>
  <c r="J97" i="118"/>
  <c r="J43" i="118"/>
  <c r="J98" i="118"/>
  <c r="J44" i="118"/>
  <c r="J99" i="118"/>
  <c r="J45" i="118"/>
  <c r="J100" i="118"/>
  <c r="J46" i="118"/>
  <c r="J101" i="118"/>
  <c r="J47" i="118"/>
  <c r="J102" i="118"/>
  <c r="J48" i="118"/>
  <c r="J103" i="118"/>
  <c r="J49" i="118"/>
  <c r="J104" i="118"/>
  <c r="J50" i="118"/>
  <c r="J105" i="118"/>
  <c r="J51" i="118"/>
  <c r="J106" i="118"/>
  <c r="J52" i="118"/>
  <c r="J107" i="118"/>
  <c r="J53" i="118"/>
  <c r="J108" i="118"/>
  <c r="J54" i="118"/>
  <c r="J109" i="118"/>
  <c r="J55" i="118"/>
  <c r="J110" i="118"/>
  <c r="J116" i="118"/>
  <c r="I31" i="118"/>
  <c r="I86" i="118"/>
  <c r="I32" i="118"/>
  <c r="I87" i="118"/>
  <c r="I33" i="118"/>
  <c r="I88" i="118"/>
  <c r="I34" i="118"/>
  <c r="I89" i="118"/>
  <c r="I35" i="118"/>
  <c r="I90" i="118"/>
  <c r="I36" i="118"/>
  <c r="I91" i="118"/>
  <c r="I37" i="118"/>
  <c r="I92" i="118"/>
  <c r="I38" i="118"/>
  <c r="I93" i="118"/>
  <c r="I39" i="118"/>
  <c r="I94" i="118"/>
  <c r="I40" i="118"/>
  <c r="I95" i="118"/>
  <c r="I41" i="118"/>
  <c r="I96" i="118"/>
  <c r="I42" i="118"/>
  <c r="I97" i="118"/>
  <c r="I43" i="118"/>
  <c r="I98" i="118"/>
  <c r="I44" i="118"/>
  <c r="I99" i="118"/>
  <c r="I45" i="118"/>
  <c r="I100" i="118"/>
  <c r="I46" i="118"/>
  <c r="I101" i="118"/>
  <c r="I47" i="118"/>
  <c r="I102" i="118"/>
  <c r="I48" i="118"/>
  <c r="I103" i="118"/>
  <c r="I49" i="118"/>
  <c r="I104" i="118"/>
  <c r="I50" i="118"/>
  <c r="I105" i="118"/>
  <c r="I51" i="118"/>
  <c r="I106" i="118"/>
  <c r="I52" i="118"/>
  <c r="I107" i="118"/>
  <c r="I53" i="118"/>
  <c r="I108" i="118"/>
  <c r="I54" i="118"/>
  <c r="I109" i="118"/>
  <c r="I55" i="118"/>
  <c r="I110" i="118"/>
  <c r="I116" i="118"/>
  <c r="H31" i="118"/>
  <c r="H86" i="118"/>
  <c r="H32" i="118"/>
  <c r="H87" i="118"/>
  <c r="H33" i="118"/>
  <c r="H88" i="118"/>
  <c r="H34" i="118"/>
  <c r="H89" i="118"/>
  <c r="H35" i="118"/>
  <c r="H90" i="118"/>
  <c r="H36" i="118"/>
  <c r="H91" i="118"/>
  <c r="H37" i="118"/>
  <c r="H92" i="118"/>
  <c r="H38" i="118"/>
  <c r="H93" i="118"/>
  <c r="H39" i="118"/>
  <c r="H94" i="118"/>
  <c r="H40" i="118"/>
  <c r="H95" i="118"/>
  <c r="H41" i="118"/>
  <c r="H96" i="118"/>
  <c r="H42" i="118"/>
  <c r="H97" i="118"/>
  <c r="H43" i="118"/>
  <c r="H98" i="118"/>
  <c r="H44" i="118"/>
  <c r="H99" i="118"/>
  <c r="H45" i="118"/>
  <c r="H100" i="118"/>
  <c r="H46" i="118"/>
  <c r="H101" i="118"/>
  <c r="H47" i="118"/>
  <c r="H102" i="118"/>
  <c r="H48" i="118"/>
  <c r="H103" i="118"/>
  <c r="H49" i="118"/>
  <c r="H104" i="118"/>
  <c r="H50" i="118"/>
  <c r="H105" i="118"/>
  <c r="H51" i="118"/>
  <c r="H106" i="118"/>
  <c r="H52" i="118"/>
  <c r="H107" i="118"/>
  <c r="H53" i="118"/>
  <c r="H108" i="118"/>
  <c r="H54" i="118"/>
  <c r="H109" i="118"/>
  <c r="H55" i="118"/>
  <c r="H110" i="118"/>
  <c r="H116" i="118"/>
  <c r="G31" i="118"/>
  <c r="G86" i="118"/>
  <c r="G32" i="118"/>
  <c r="G87" i="118"/>
  <c r="G33" i="118"/>
  <c r="G88" i="118"/>
  <c r="G34" i="118"/>
  <c r="G89" i="118"/>
  <c r="G35" i="118"/>
  <c r="G90" i="118"/>
  <c r="G36" i="118"/>
  <c r="G91" i="118"/>
  <c r="G37" i="118"/>
  <c r="G92" i="118"/>
  <c r="G38" i="118"/>
  <c r="G93" i="118"/>
  <c r="G39" i="118"/>
  <c r="G94" i="118"/>
  <c r="G40" i="118"/>
  <c r="G95" i="118"/>
  <c r="G41" i="118"/>
  <c r="G96" i="118"/>
  <c r="G42" i="118"/>
  <c r="G97" i="118"/>
  <c r="G43" i="118"/>
  <c r="G98" i="118"/>
  <c r="G44" i="118"/>
  <c r="G99" i="118"/>
  <c r="G45" i="118"/>
  <c r="G100" i="118"/>
  <c r="G46" i="118"/>
  <c r="G101" i="118"/>
  <c r="G47" i="118"/>
  <c r="G102" i="118"/>
  <c r="G48" i="118"/>
  <c r="G103" i="118"/>
  <c r="G49" i="118"/>
  <c r="G104" i="118"/>
  <c r="G50" i="118"/>
  <c r="G105" i="118"/>
  <c r="G51" i="118"/>
  <c r="G106" i="118"/>
  <c r="G52" i="118"/>
  <c r="G107" i="118"/>
  <c r="G53" i="118"/>
  <c r="G108" i="118"/>
  <c r="G54" i="118"/>
  <c r="G109" i="118"/>
  <c r="G55" i="118"/>
  <c r="G110" i="118"/>
  <c r="G116" i="118"/>
  <c r="F31" i="118"/>
  <c r="F86" i="118"/>
  <c r="F32" i="118"/>
  <c r="F87" i="118"/>
  <c r="F33" i="118"/>
  <c r="F88" i="118"/>
  <c r="F34" i="118"/>
  <c r="F89" i="118"/>
  <c r="F35" i="118"/>
  <c r="F90" i="118"/>
  <c r="F36" i="118"/>
  <c r="F91" i="118"/>
  <c r="F37" i="118"/>
  <c r="F92" i="118"/>
  <c r="F38" i="118"/>
  <c r="F93" i="118"/>
  <c r="F39" i="118"/>
  <c r="F94" i="118"/>
  <c r="F40" i="118"/>
  <c r="F95" i="118"/>
  <c r="F41" i="118"/>
  <c r="F96" i="118"/>
  <c r="F42" i="118"/>
  <c r="F97" i="118"/>
  <c r="F43" i="118"/>
  <c r="F98" i="118"/>
  <c r="F44" i="118"/>
  <c r="F99" i="118"/>
  <c r="F45" i="118"/>
  <c r="F100" i="118"/>
  <c r="F46" i="118"/>
  <c r="F101" i="118"/>
  <c r="F47" i="118"/>
  <c r="F102" i="118"/>
  <c r="F48" i="118"/>
  <c r="F103" i="118"/>
  <c r="F49" i="118"/>
  <c r="F104" i="118"/>
  <c r="F50" i="118"/>
  <c r="F105" i="118"/>
  <c r="F51" i="118"/>
  <c r="F106" i="118"/>
  <c r="F52" i="118"/>
  <c r="F107" i="118"/>
  <c r="F53" i="118"/>
  <c r="F108" i="118"/>
  <c r="F54" i="118"/>
  <c r="F109" i="118"/>
  <c r="F55" i="118"/>
  <c r="F110" i="118"/>
  <c r="F116" i="118"/>
  <c r="N114" i="118"/>
  <c r="M114" i="118"/>
  <c r="L114" i="118"/>
  <c r="K114" i="118"/>
  <c r="J114" i="118"/>
  <c r="I114" i="118"/>
  <c r="H114" i="118"/>
  <c r="G114" i="118"/>
  <c r="F114" i="118"/>
  <c r="N113" i="118"/>
  <c r="M113" i="118"/>
  <c r="L113" i="118"/>
  <c r="K113" i="118"/>
  <c r="J113" i="118"/>
  <c r="I113" i="118"/>
  <c r="H113" i="118"/>
  <c r="G113" i="118"/>
  <c r="F113" i="118"/>
  <c r="N112" i="118"/>
  <c r="M112" i="118"/>
  <c r="L112" i="118"/>
  <c r="K112" i="118"/>
  <c r="J112" i="118"/>
  <c r="I112" i="118"/>
  <c r="H112" i="118"/>
  <c r="G112" i="118"/>
  <c r="F112" i="118"/>
  <c r="G146" i="118"/>
  <c r="G147" i="118"/>
  <c r="G148" i="118"/>
  <c r="G149" i="118"/>
  <c r="G150" i="118"/>
  <c r="G151" i="118"/>
  <c r="G152" i="118"/>
  <c r="G153" i="118"/>
  <c r="G154" i="118"/>
  <c r="G155" i="118"/>
  <c r="G156" i="118"/>
  <c r="G157" i="118"/>
  <c r="G158" i="118"/>
  <c r="G159" i="118"/>
  <c r="G160" i="118"/>
  <c r="G161" i="118"/>
  <c r="G162" i="118"/>
  <c r="G163" i="118"/>
  <c r="G164" i="118"/>
  <c r="G165" i="118"/>
  <c r="G166" i="118"/>
  <c r="G167" i="118"/>
  <c r="G168" i="118"/>
  <c r="G169" i="118"/>
  <c r="G170" i="118"/>
  <c r="G176" i="118"/>
  <c r="H146" i="118"/>
  <c r="H147" i="118"/>
  <c r="H148" i="118"/>
  <c r="H149" i="118"/>
  <c r="H150" i="118"/>
  <c r="H151" i="118"/>
  <c r="H152" i="118"/>
  <c r="H153" i="118"/>
  <c r="H154" i="118"/>
  <c r="H155" i="118"/>
  <c r="H156" i="118"/>
  <c r="H157" i="118"/>
  <c r="H158" i="118"/>
  <c r="H159" i="118"/>
  <c r="H160" i="118"/>
  <c r="H161" i="118"/>
  <c r="H162" i="118"/>
  <c r="H163" i="118"/>
  <c r="H164" i="118"/>
  <c r="H165" i="118"/>
  <c r="H166" i="118"/>
  <c r="H167" i="118"/>
  <c r="H168" i="118"/>
  <c r="H169" i="118"/>
  <c r="H170" i="118"/>
  <c r="H176" i="118"/>
  <c r="I146" i="118"/>
  <c r="I147" i="118"/>
  <c r="I148" i="118"/>
  <c r="I149" i="118"/>
  <c r="I150" i="118"/>
  <c r="I151" i="118"/>
  <c r="I152" i="118"/>
  <c r="I153" i="118"/>
  <c r="I154" i="118"/>
  <c r="I155" i="118"/>
  <c r="I156" i="118"/>
  <c r="I157" i="118"/>
  <c r="I158" i="118"/>
  <c r="I159" i="118"/>
  <c r="I160" i="118"/>
  <c r="I161" i="118"/>
  <c r="I162" i="118"/>
  <c r="I163" i="118"/>
  <c r="I164" i="118"/>
  <c r="I165" i="118"/>
  <c r="I166" i="118"/>
  <c r="I167" i="118"/>
  <c r="I168" i="118"/>
  <c r="I169" i="118"/>
  <c r="I170" i="118"/>
  <c r="I176" i="118"/>
  <c r="J146" i="118"/>
  <c r="J147" i="118"/>
  <c r="J148" i="118"/>
  <c r="J149" i="118"/>
  <c r="J150" i="118"/>
  <c r="J151" i="118"/>
  <c r="J152" i="118"/>
  <c r="J153" i="118"/>
  <c r="J154" i="118"/>
  <c r="J155" i="118"/>
  <c r="J156" i="118"/>
  <c r="J157" i="118"/>
  <c r="J158" i="118"/>
  <c r="J159" i="118"/>
  <c r="J160" i="118"/>
  <c r="J161" i="118"/>
  <c r="J162" i="118"/>
  <c r="J163" i="118"/>
  <c r="J164" i="118"/>
  <c r="J165" i="118"/>
  <c r="J166" i="118"/>
  <c r="J167" i="118"/>
  <c r="J168" i="118"/>
  <c r="J169" i="118"/>
  <c r="J170" i="118"/>
  <c r="J176" i="118"/>
  <c r="K146" i="118"/>
  <c r="K147" i="118"/>
  <c r="K148" i="118"/>
  <c r="K149" i="118"/>
  <c r="K150" i="118"/>
  <c r="K151" i="118"/>
  <c r="K152" i="118"/>
  <c r="K153" i="118"/>
  <c r="K154" i="118"/>
  <c r="K155" i="118"/>
  <c r="K156" i="118"/>
  <c r="K157" i="118"/>
  <c r="K158" i="118"/>
  <c r="K159" i="118"/>
  <c r="K160" i="118"/>
  <c r="K161" i="118"/>
  <c r="K162" i="118"/>
  <c r="K163" i="118"/>
  <c r="K164" i="118"/>
  <c r="K165" i="118"/>
  <c r="K166" i="118"/>
  <c r="K167" i="118"/>
  <c r="K168" i="118"/>
  <c r="K169" i="118"/>
  <c r="K170" i="118"/>
  <c r="K176" i="118"/>
  <c r="L146" i="118"/>
  <c r="L147" i="118"/>
  <c r="L148" i="118"/>
  <c r="L149" i="118"/>
  <c r="L150" i="118"/>
  <c r="L151" i="118"/>
  <c r="L152" i="118"/>
  <c r="L153" i="118"/>
  <c r="L154" i="118"/>
  <c r="L155" i="118"/>
  <c r="L156" i="118"/>
  <c r="L157" i="118"/>
  <c r="L158" i="118"/>
  <c r="L159" i="118"/>
  <c r="L160" i="118"/>
  <c r="L161" i="118"/>
  <c r="L162" i="118"/>
  <c r="L163" i="118"/>
  <c r="L164" i="118"/>
  <c r="L165" i="118"/>
  <c r="L166" i="118"/>
  <c r="L167" i="118"/>
  <c r="L168" i="118"/>
  <c r="L169" i="118"/>
  <c r="L170" i="118"/>
  <c r="L176" i="118"/>
  <c r="M146" i="118"/>
  <c r="M147" i="118"/>
  <c r="M148" i="118"/>
  <c r="M149" i="118"/>
  <c r="M150" i="118"/>
  <c r="M151" i="118"/>
  <c r="M152" i="118"/>
  <c r="M153" i="118"/>
  <c r="M154" i="118"/>
  <c r="M155" i="118"/>
  <c r="M156" i="118"/>
  <c r="M157" i="118"/>
  <c r="M158" i="118"/>
  <c r="M159" i="118"/>
  <c r="M160" i="118"/>
  <c r="M161" i="118"/>
  <c r="M162" i="118"/>
  <c r="M163" i="118"/>
  <c r="M164" i="118"/>
  <c r="M165" i="118"/>
  <c r="M166" i="118"/>
  <c r="M167" i="118"/>
  <c r="M168" i="118"/>
  <c r="M169" i="118"/>
  <c r="M170" i="118"/>
  <c r="M176" i="118"/>
  <c r="N146" i="118"/>
  <c r="N147" i="118"/>
  <c r="N148" i="118"/>
  <c r="N149" i="118"/>
  <c r="N150" i="118"/>
  <c r="N151" i="118"/>
  <c r="N152" i="118"/>
  <c r="N153" i="118"/>
  <c r="N154" i="118"/>
  <c r="N155" i="118"/>
  <c r="N156" i="118"/>
  <c r="N157" i="118"/>
  <c r="N158" i="118"/>
  <c r="N159" i="118"/>
  <c r="N160" i="118"/>
  <c r="N161" i="118"/>
  <c r="N162" i="118"/>
  <c r="N163" i="118"/>
  <c r="N164" i="118"/>
  <c r="N165" i="118"/>
  <c r="N166" i="118"/>
  <c r="N167" i="118"/>
  <c r="N168" i="118"/>
  <c r="N169" i="118"/>
  <c r="N170" i="118"/>
  <c r="N176" i="118"/>
  <c r="O146" i="118"/>
  <c r="O147" i="118"/>
  <c r="O148" i="118"/>
  <c r="O149" i="118"/>
  <c r="O150" i="118"/>
  <c r="O151" i="118"/>
  <c r="O152" i="118"/>
  <c r="O153" i="118"/>
  <c r="O154" i="118"/>
  <c r="O155" i="118"/>
  <c r="O156" i="118"/>
  <c r="O157" i="118"/>
  <c r="O158" i="118"/>
  <c r="O159" i="118"/>
  <c r="O160" i="118"/>
  <c r="O161" i="118"/>
  <c r="O162" i="118"/>
  <c r="O163" i="118"/>
  <c r="O164" i="118"/>
  <c r="O165" i="118"/>
  <c r="O166" i="118"/>
  <c r="O167" i="118"/>
  <c r="O168" i="118"/>
  <c r="O169" i="118"/>
  <c r="O170" i="118"/>
  <c r="O176" i="118"/>
  <c r="P146" i="118"/>
  <c r="P147" i="118"/>
  <c r="P148" i="118"/>
  <c r="P149" i="118"/>
  <c r="P150" i="118"/>
  <c r="P151" i="118"/>
  <c r="P152" i="118"/>
  <c r="P153" i="118"/>
  <c r="P154" i="118"/>
  <c r="P155" i="118"/>
  <c r="P156" i="118"/>
  <c r="P157" i="118"/>
  <c r="P158" i="118"/>
  <c r="P159" i="118"/>
  <c r="P160" i="118"/>
  <c r="P161" i="118"/>
  <c r="P162" i="118"/>
  <c r="P163" i="118"/>
  <c r="P164" i="118"/>
  <c r="P165" i="118"/>
  <c r="P166" i="118"/>
  <c r="P167" i="118"/>
  <c r="P168" i="118"/>
  <c r="P169" i="118"/>
  <c r="P170" i="118"/>
  <c r="P176" i="118"/>
  <c r="Q146" i="118"/>
  <c r="Q147" i="118"/>
  <c r="Q148" i="118"/>
  <c r="Q149" i="118"/>
  <c r="Q150" i="118"/>
  <c r="Q151" i="118"/>
  <c r="Q152" i="118"/>
  <c r="Q153" i="118"/>
  <c r="Q154" i="118"/>
  <c r="Q155" i="118"/>
  <c r="Q156" i="118"/>
  <c r="Q157" i="118"/>
  <c r="Q158" i="118"/>
  <c r="Q159" i="118"/>
  <c r="Q160" i="118"/>
  <c r="Q161" i="118"/>
  <c r="Q162" i="118"/>
  <c r="Q163" i="118"/>
  <c r="Q164" i="118"/>
  <c r="Q165" i="118"/>
  <c r="Q166" i="118"/>
  <c r="Q167" i="118"/>
  <c r="Q168" i="118"/>
  <c r="Q169" i="118"/>
  <c r="Q170" i="118"/>
  <c r="Q176" i="118"/>
  <c r="R146" i="118"/>
  <c r="R147" i="118"/>
  <c r="R148" i="118"/>
  <c r="R149" i="118"/>
  <c r="R150" i="118"/>
  <c r="R151" i="118"/>
  <c r="R152" i="118"/>
  <c r="R153" i="118"/>
  <c r="R154" i="118"/>
  <c r="R155" i="118"/>
  <c r="R156" i="118"/>
  <c r="R157" i="118"/>
  <c r="R158" i="118"/>
  <c r="R159" i="118"/>
  <c r="R160" i="118"/>
  <c r="R161" i="118"/>
  <c r="R162" i="118"/>
  <c r="R163" i="118"/>
  <c r="R164" i="118"/>
  <c r="R165" i="118"/>
  <c r="R166" i="118"/>
  <c r="R167" i="118"/>
  <c r="R168" i="118"/>
  <c r="R169" i="118"/>
  <c r="R170" i="118"/>
  <c r="R176" i="118"/>
  <c r="S146" i="118"/>
  <c r="S147" i="118"/>
  <c r="S148" i="118"/>
  <c r="S149" i="118"/>
  <c r="S150" i="118"/>
  <c r="S151" i="118"/>
  <c r="S152" i="118"/>
  <c r="S153" i="118"/>
  <c r="S154" i="118"/>
  <c r="S155" i="118"/>
  <c r="S156" i="118"/>
  <c r="S157" i="118"/>
  <c r="S158" i="118"/>
  <c r="S159" i="118"/>
  <c r="S160" i="118"/>
  <c r="S161" i="118"/>
  <c r="S162" i="118"/>
  <c r="S163" i="118"/>
  <c r="S164" i="118"/>
  <c r="S165" i="118"/>
  <c r="S166" i="118"/>
  <c r="S167" i="118"/>
  <c r="S168" i="118"/>
  <c r="S169" i="118"/>
  <c r="S170" i="118"/>
  <c r="S176" i="118"/>
  <c r="F146" i="118"/>
  <c r="F147" i="118"/>
  <c r="F148" i="118"/>
  <c r="F149" i="118"/>
  <c r="F150" i="118"/>
  <c r="F151" i="118"/>
  <c r="F152" i="118"/>
  <c r="F153" i="118"/>
  <c r="F154" i="118"/>
  <c r="F155" i="118"/>
  <c r="F156" i="118"/>
  <c r="F157" i="118"/>
  <c r="F158" i="118"/>
  <c r="F159" i="118"/>
  <c r="F160" i="118"/>
  <c r="F161" i="118"/>
  <c r="F162" i="118"/>
  <c r="F163" i="118"/>
  <c r="F164" i="118"/>
  <c r="F165" i="118"/>
  <c r="F166" i="118"/>
  <c r="F167" i="118"/>
  <c r="F168" i="118"/>
  <c r="F169" i="118"/>
  <c r="F170" i="118"/>
  <c r="F176" i="118"/>
  <c r="G174" i="118"/>
  <c r="H174" i="118"/>
  <c r="I174" i="118"/>
  <c r="J174" i="118"/>
  <c r="K174" i="118"/>
  <c r="L174" i="118"/>
  <c r="M174" i="118"/>
  <c r="N174" i="118"/>
  <c r="O174" i="118"/>
  <c r="P174" i="118"/>
  <c r="Q174" i="118"/>
  <c r="R174" i="118"/>
  <c r="S174" i="118"/>
  <c r="F174" i="118"/>
  <c r="G173" i="118"/>
  <c r="H173" i="118"/>
  <c r="I173" i="118"/>
  <c r="J173" i="118"/>
  <c r="K173" i="118"/>
  <c r="L173" i="118"/>
  <c r="M173" i="118"/>
  <c r="N173" i="118"/>
  <c r="O173" i="118"/>
  <c r="P173" i="118"/>
  <c r="Q173" i="118"/>
  <c r="R173" i="118"/>
  <c r="S173" i="118"/>
  <c r="F173" i="118"/>
  <c r="G172" i="118"/>
  <c r="H172" i="118"/>
  <c r="I172" i="118"/>
  <c r="J172" i="118"/>
  <c r="K172" i="118"/>
  <c r="L172" i="118"/>
  <c r="M172" i="118"/>
  <c r="N172" i="118"/>
  <c r="O172" i="118"/>
  <c r="P172" i="118"/>
  <c r="Q172" i="118"/>
  <c r="R172" i="118"/>
  <c r="S172" i="118"/>
  <c r="F172" i="118"/>
  <c r="V109" i="118"/>
  <c r="W109" i="118"/>
  <c r="X109" i="118"/>
  <c r="Y109" i="118"/>
  <c r="W105" i="118"/>
  <c r="W106" i="118"/>
  <c r="W107" i="118"/>
  <c r="W108" i="118"/>
  <c r="AA109" i="118"/>
  <c r="V110" i="118"/>
  <c r="W110" i="118"/>
  <c r="AA110" i="118"/>
  <c r="D54" i="118"/>
  <c r="D109" i="118"/>
  <c r="D169" i="118"/>
  <c r="D170" i="118"/>
  <c r="D55" i="118"/>
  <c r="E55" i="118"/>
  <c r="O55" i="118"/>
  <c r="P55" i="118"/>
  <c r="Q55" i="118"/>
  <c r="R55" i="118"/>
  <c r="S55" i="118"/>
  <c r="D66" i="128"/>
  <c r="D67" i="128"/>
  <c r="D68" i="128"/>
  <c r="D69" i="128"/>
  <c r="D70" i="128"/>
  <c r="D59" i="128"/>
  <c r="D71" i="128"/>
  <c r="D60" i="128"/>
  <c r="D72" i="128"/>
  <c r="D61" i="128"/>
  <c r="D73" i="128"/>
  <c r="D62" i="128"/>
  <c r="D74" i="128"/>
  <c r="D63" i="128"/>
  <c r="D75" i="128"/>
  <c r="D64" i="128"/>
  <c r="D76" i="128"/>
  <c r="D65" i="128"/>
  <c r="D77" i="128"/>
  <c r="D78" i="128"/>
  <c r="D79" i="128"/>
  <c r="D80" i="128"/>
  <c r="D81" i="128"/>
  <c r="D82" i="128"/>
  <c r="D83" i="128"/>
  <c r="D84" i="128"/>
  <c r="D85" i="128"/>
  <c r="D86" i="128"/>
  <c r="D87" i="128"/>
  <c r="D88" i="128"/>
  <c r="D89" i="128"/>
  <c r="D90" i="128"/>
  <c r="D91" i="128"/>
  <c r="D92" i="128"/>
  <c r="D93" i="128"/>
  <c r="D94" i="128"/>
  <c r="D95" i="128"/>
  <c r="D96" i="128"/>
  <c r="D97" i="128"/>
  <c r="D98" i="128"/>
  <c r="D99" i="128"/>
  <c r="D100" i="128"/>
  <c r="D101" i="128"/>
  <c r="D102" i="128"/>
  <c r="D103" i="128"/>
  <c r="D104" i="128"/>
  <c r="D105" i="128"/>
  <c r="D106" i="128"/>
  <c r="D107" i="128"/>
  <c r="D108" i="128"/>
  <c r="D109" i="128"/>
  <c r="D110" i="128"/>
  <c r="D111" i="128"/>
  <c r="D112" i="128"/>
  <c r="D113" i="128"/>
  <c r="D114" i="128"/>
  <c r="D115" i="128"/>
  <c r="D116" i="128"/>
  <c r="D117" i="128"/>
  <c r="D118" i="128"/>
  <c r="D119" i="128"/>
  <c r="D120" i="128"/>
  <c r="D121" i="128"/>
  <c r="D122" i="128"/>
  <c r="D123" i="128"/>
  <c r="D124" i="128"/>
  <c r="D125" i="128"/>
  <c r="D126" i="128"/>
  <c r="D127" i="128"/>
  <c r="D128" i="128"/>
  <c r="D129" i="128"/>
  <c r="D130" i="128"/>
  <c r="D131" i="128"/>
  <c r="D132" i="128"/>
  <c r="D133" i="128"/>
  <c r="D134" i="128"/>
  <c r="D135" i="128"/>
  <c r="D136" i="128"/>
  <c r="D137" i="128"/>
  <c r="D138" i="128"/>
  <c r="D139" i="128"/>
  <c r="D140" i="128"/>
  <c r="D141" i="128"/>
  <c r="D142" i="128"/>
  <c r="D143" i="128"/>
  <c r="D144" i="128"/>
  <c r="D145" i="128"/>
  <c r="D146" i="128"/>
  <c r="D147" i="128"/>
  <c r="D148" i="128"/>
  <c r="D149" i="128"/>
  <c r="D150" i="128"/>
  <c r="D151" i="128"/>
  <c r="D152" i="128"/>
  <c r="D153" i="128"/>
  <c r="D154" i="128"/>
  <c r="D155" i="128"/>
  <c r="D156" i="128"/>
  <c r="D157" i="128"/>
  <c r="D158" i="128"/>
  <c r="D159" i="128"/>
  <c r="D160" i="128"/>
  <c r="D161" i="128"/>
  <c r="D162" i="128"/>
  <c r="D163" i="128"/>
  <c r="D164" i="128"/>
  <c r="D165" i="128"/>
  <c r="D166" i="128"/>
  <c r="C53" i="128"/>
  <c r="E54" i="128"/>
  <c r="K49" i="128"/>
  <c r="E53" i="128"/>
  <c r="K48" i="128"/>
  <c r="J53" i="128"/>
  <c r="J52" i="128"/>
  <c r="J51" i="128"/>
  <c r="J50" i="128"/>
  <c r="J49" i="128"/>
  <c r="J48" i="128"/>
  <c r="F53" i="128"/>
  <c r="G53" i="128"/>
  <c r="H53" i="128"/>
  <c r="A48" i="87"/>
  <c r="A51" i="87"/>
  <c r="A53" i="87"/>
  <c r="A54" i="87"/>
  <c r="B3" i="87"/>
  <c r="C3" i="87"/>
  <c r="D3" i="87"/>
  <c r="E3" i="87"/>
  <c r="F3" i="87"/>
  <c r="G3" i="87"/>
  <c r="H3" i="87"/>
  <c r="I3" i="87"/>
  <c r="J3" i="87"/>
  <c r="K3" i="87"/>
  <c r="L3" i="87"/>
  <c r="M3" i="87"/>
  <c r="N3" i="87"/>
  <c r="O3" i="87"/>
  <c r="P3" i="87"/>
  <c r="B4" i="87"/>
  <c r="C4" i="87"/>
  <c r="D4" i="87"/>
  <c r="E4" i="87"/>
  <c r="F4" i="87"/>
  <c r="G4" i="87"/>
  <c r="H4" i="87"/>
  <c r="I4" i="87"/>
  <c r="J4" i="87"/>
  <c r="K4" i="87"/>
  <c r="L4" i="87"/>
  <c r="M4" i="87"/>
  <c r="N4" i="87"/>
  <c r="O4" i="87"/>
  <c r="P4" i="87"/>
  <c r="B5" i="87"/>
  <c r="C5" i="87"/>
  <c r="D5" i="87"/>
  <c r="E5" i="87"/>
  <c r="F5" i="87"/>
  <c r="G5" i="87"/>
  <c r="H5" i="87"/>
  <c r="I5" i="87"/>
  <c r="J5" i="87"/>
  <c r="K5" i="87"/>
  <c r="L5" i="87"/>
  <c r="M5" i="87"/>
  <c r="N5" i="87"/>
  <c r="O5" i="87"/>
  <c r="P5" i="87"/>
  <c r="B6" i="87"/>
  <c r="C6" i="87"/>
  <c r="D6" i="87"/>
  <c r="E6" i="87"/>
  <c r="F6" i="87"/>
  <c r="G6" i="87"/>
  <c r="H6" i="87"/>
  <c r="I6" i="87"/>
  <c r="J6" i="87"/>
  <c r="K6" i="87"/>
  <c r="L6" i="87"/>
  <c r="M6" i="87"/>
  <c r="N6" i="87"/>
  <c r="O6" i="87"/>
  <c r="P6" i="87"/>
  <c r="B7" i="87"/>
  <c r="C7" i="87"/>
  <c r="D7" i="87"/>
  <c r="E7" i="87"/>
  <c r="F7" i="87"/>
  <c r="G7" i="87"/>
  <c r="H7" i="87"/>
  <c r="I7" i="87"/>
  <c r="J7" i="87"/>
  <c r="K7" i="87"/>
  <c r="L7" i="87"/>
  <c r="M7" i="87"/>
  <c r="N7" i="87"/>
  <c r="O7" i="87"/>
  <c r="P7" i="87"/>
  <c r="B8" i="87"/>
  <c r="C8" i="87"/>
  <c r="D8" i="87"/>
  <c r="E8" i="87"/>
  <c r="F8" i="87"/>
  <c r="G8" i="87"/>
  <c r="H8" i="87"/>
  <c r="I8" i="87"/>
  <c r="J8" i="87"/>
  <c r="K8" i="87"/>
  <c r="L8" i="87"/>
  <c r="M8" i="87"/>
  <c r="N8" i="87"/>
  <c r="O8" i="87"/>
  <c r="P8" i="87"/>
  <c r="B9" i="87"/>
  <c r="C9" i="87"/>
  <c r="D9" i="87"/>
  <c r="E9" i="87"/>
  <c r="F9" i="87"/>
  <c r="G9" i="87"/>
  <c r="H9" i="87"/>
  <c r="I9" i="87"/>
  <c r="J9" i="87"/>
  <c r="K9" i="87"/>
  <c r="L9" i="87"/>
  <c r="M9" i="87"/>
  <c r="N9" i="87"/>
  <c r="O9" i="87"/>
  <c r="P9" i="87"/>
  <c r="B10" i="87"/>
  <c r="C10" i="87"/>
  <c r="D10" i="87"/>
  <c r="E10" i="87"/>
  <c r="F10" i="87"/>
  <c r="G10" i="87"/>
  <c r="H10" i="87"/>
  <c r="I10" i="87"/>
  <c r="J10" i="87"/>
  <c r="K10" i="87"/>
  <c r="L10" i="87"/>
  <c r="M10" i="87"/>
  <c r="N10" i="87"/>
  <c r="O10" i="87"/>
  <c r="P10" i="87"/>
  <c r="B11" i="87"/>
  <c r="C11" i="87"/>
  <c r="D11" i="87"/>
  <c r="E11" i="87"/>
  <c r="F11" i="87"/>
  <c r="G11" i="87"/>
  <c r="H11" i="87"/>
  <c r="I11" i="87"/>
  <c r="J11" i="87"/>
  <c r="K11" i="87"/>
  <c r="L11" i="87"/>
  <c r="M11" i="87"/>
  <c r="N11" i="87"/>
  <c r="O11" i="87"/>
  <c r="P11" i="87"/>
  <c r="B12" i="87"/>
  <c r="C12" i="87"/>
  <c r="D12" i="87"/>
  <c r="E12" i="87"/>
  <c r="F12" i="87"/>
  <c r="G12" i="87"/>
  <c r="H12" i="87"/>
  <c r="I12" i="87"/>
  <c r="J12" i="87"/>
  <c r="K12" i="87"/>
  <c r="L12" i="87"/>
  <c r="M12" i="87"/>
  <c r="N12" i="87"/>
  <c r="O12" i="87"/>
  <c r="P12" i="87"/>
  <c r="B13" i="87"/>
  <c r="C13" i="87"/>
  <c r="D13" i="87"/>
  <c r="E13" i="87"/>
  <c r="F13" i="87"/>
  <c r="G13" i="87"/>
  <c r="H13" i="87"/>
  <c r="I13" i="87"/>
  <c r="J13" i="87"/>
  <c r="K13" i="87"/>
  <c r="L13" i="87"/>
  <c r="M13" i="87"/>
  <c r="N13" i="87"/>
  <c r="O13" i="87"/>
  <c r="P13" i="87"/>
  <c r="B14" i="87"/>
  <c r="C14" i="87"/>
  <c r="D14" i="87"/>
  <c r="E14" i="87"/>
  <c r="F14" i="87"/>
  <c r="G14" i="87"/>
  <c r="H14" i="87"/>
  <c r="I14" i="87"/>
  <c r="J14" i="87"/>
  <c r="K14" i="87"/>
  <c r="L14" i="87"/>
  <c r="M14" i="87"/>
  <c r="N14" i="87"/>
  <c r="O14" i="87"/>
  <c r="P14" i="87"/>
  <c r="B15" i="87"/>
  <c r="C15" i="87"/>
  <c r="D15" i="87"/>
  <c r="E15" i="87"/>
  <c r="F15" i="87"/>
  <c r="G15" i="87"/>
  <c r="H15" i="87"/>
  <c r="I15" i="87"/>
  <c r="J15" i="87"/>
  <c r="K15" i="87"/>
  <c r="L15" i="87"/>
  <c r="M15" i="87"/>
  <c r="N15" i="87"/>
  <c r="O15" i="87"/>
  <c r="P15" i="87"/>
  <c r="B16" i="87"/>
  <c r="C16" i="87"/>
  <c r="D16" i="87"/>
  <c r="E16" i="87"/>
  <c r="F16" i="87"/>
  <c r="G16" i="87"/>
  <c r="H16" i="87"/>
  <c r="I16" i="87"/>
  <c r="J16" i="87"/>
  <c r="K16" i="87"/>
  <c r="L16" i="87"/>
  <c r="M16" i="87"/>
  <c r="N16" i="87"/>
  <c r="O16" i="87"/>
  <c r="P16" i="87"/>
  <c r="B17" i="87"/>
  <c r="C17" i="87"/>
  <c r="D17" i="87"/>
  <c r="E17" i="87"/>
  <c r="F17" i="87"/>
  <c r="G17" i="87"/>
  <c r="H17" i="87"/>
  <c r="I17" i="87"/>
  <c r="J17" i="87"/>
  <c r="K17" i="87"/>
  <c r="L17" i="87"/>
  <c r="M17" i="87"/>
  <c r="N17" i="87"/>
  <c r="O17" i="87"/>
  <c r="P17" i="87"/>
  <c r="B18" i="87"/>
  <c r="C18" i="87"/>
  <c r="D18" i="87"/>
  <c r="E18" i="87"/>
  <c r="F18" i="87"/>
  <c r="G18" i="87"/>
  <c r="H18" i="87"/>
  <c r="I18" i="87"/>
  <c r="J18" i="87"/>
  <c r="K18" i="87"/>
  <c r="L18" i="87"/>
  <c r="M18" i="87"/>
  <c r="N18" i="87"/>
  <c r="O18" i="87"/>
  <c r="P18" i="87"/>
  <c r="B19" i="87"/>
  <c r="C19" i="87"/>
  <c r="D19" i="87"/>
  <c r="E19" i="87"/>
  <c r="F19" i="87"/>
  <c r="G19" i="87"/>
  <c r="H19" i="87"/>
  <c r="I19" i="87"/>
  <c r="J19" i="87"/>
  <c r="K19" i="87"/>
  <c r="L19" i="87"/>
  <c r="M19" i="87"/>
  <c r="N19" i="87"/>
  <c r="O19" i="87"/>
  <c r="P19" i="87"/>
  <c r="B20" i="87"/>
  <c r="C20" i="87"/>
  <c r="D20" i="87"/>
  <c r="E20" i="87"/>
  <c r="F20" i="87"/>
  <c r="G20" i="87"/>
  <c r="H20" i="87"/>
  <c r="I20" i="87"/>
  <c r="J20" i="87"/>
  <c r="K20" i="87"/>
  <c r="L20" i="87"/>
  <c r="M20" i="87"/>
  <c r="N20" i="87"/>
  <c r="O20" i="87"/>
  <c r="P20" i="87"/>
  <c r="B21" i="87"/>
  <c r="C21" i="87"/>
  <c r="D21" i="87"/>
  <c r="E21" i="87"/>
  <c r="F21" i="87"/>
  <c r="G21" i="87"/>
  <c r="H21" i="87"/>
  <c r="I21" i="87"/>
  <c r="J21" i="87"/>
  <c r="K21" i="87"/>
  <c r="L21" i="87"/>
  <c r="M21" i="87"/>
  <c r="N21" i="87"/>
  <c r="O21" i="87"/>
  <c r="P21" i="87"/>
  <c r="B22" i="87"/>
  <c r="C22" i="87"/>
  <c r="D22" i="87"/>
  <c r="E22" i="87"/>
  <c r="F22" i="87"/>
  <c r="G22" i="87"/>
  <c r="H22" i="87"/>
  <c r="I22" i="87"/>
  <c r="J22" i="87"/>
  <c r="K22" i="87"/>
  <c r="L22" i="87"/>
  <c r="M22" i="87"/>
  <c r="N22" i="87"/>
  <c r="O22" i="87"/>
  <c r="P22" i="87"/>
  <c r="B23" i="87"/>
  <c r="C23" i="87"/>
  <c r="D23" i="87"/>
  <c r="E23" i="87"/>
  <c r="F23" i="87"/>
  <c r="G23" i="87"/>
  <c r="H23" i="87"/>
  <c r="I23" i="87"/>
  <c r="J23" i="87"/>
  <c r="K23" i="87"/>
  <c r="L23" i="87"/>
  <c r="M23" i="87"/>
  <c r="N23" i="87"/>
  <c r="O23" i="87"/>
  <c r="P23" i="87"/>
  <c r="B24" i="87"/>
  <c r="C24" i="87"/>
  <c r="D24" i="87"/>
  <c r="E24" i="87"/>
  <c r="F24" i="87"/>
  <c r="G24" i="87"/>
  <c r="H24" i="87"/>
  <c r="I24" i="87"/>
  <c r="J24" i="87"/>
  <c r="K24" i="87"/>
  <c r="L24" i="87"/>
  <c r="M24" i="87"/>
  <c r="N24" i="87"/>
  <c r="O24" i="87"/>
  <c r="P24" i="87"/>
  <c r="B25" i="87"/>
  <c r="C25" i="87"/>
  <c r="D25" i="87"/>
  <c r="E25" i="87"/>
  <c r="F25" i="87"/>
  <c r="G25" i="87"/>
  <c r="H25" i="87"/>
  <c r="I25" i="87"/>
  <c r="J25" i="87"/>
  <c r="K25" i="87"/>
  <c r="L25" i="87"/>
  <c r="M25" i="87"/>
  <c r="N25" i="87"/>
  <c r="O25" i="87"/>
  <c r="P25" i="87"/>
  <c r="B26" i="87"/>
  <c r="C26" i="87"/>
  <c r="D26" i="87"/>
  <c r="E26" i="87"/>
  <c r="F26" i="87"/>
  <c r="G26" i="87"/>
  <c r="H26" i="87"/>
  <c r="I26" i="87"/>
  <c r="J26" i="87"/>
  <c r="K26" i="87"/>
  <c r="L26" i="87"/>
  <c r="M26" i="87"/>
  <c r="N26" i="87"/>
  <c r="O26" i="87"/>
  <c r="P26" i="87"/>
  <c r="B27" i="87"/>
  <c r="C27" i="87"/>
  <c r="D27" i="87"/>
  <c r="E27" i="87"/>
  <c r="F27" i="87"/>
  <c r="G27" i="87"/>
  <c r="H27" i="87"/>
  <c r="I27" i="87"/>
  <c r="J27" i="87"/>
  <c r="K27" i="87"/>
  <c r="L27" i="87"/>
  <c r="M27" i="87"/>
  <c r="N27" i="87"/>
  <c r="O27" i="87"/>
  <c r="P27" i="87"/>
  <c r="B28" i="87"/>
  <c r="C28" i="87"/>
  <c r="D28" i="87"/>
  <c r="E28" i="87"/>
  <c r="F28" i="87"/>
  <c r="G28" i="87"/>
  <c r="H28" i="87"/>
  <c r="I28" i="87"/>
  <c r="J28" i="87"/>
  <c r="K28" i="87"/>
  <c r="L28" i="87"/>
  <c r="M28" i="87"/>
  <c r="N28" i="87"/>
  <c r="O28" i="87"/>
  <c r="P28" i="87"/>
  <c r="B29" i="87"/>
  <c r="C29" i="87"/>
  <c r="D29" i="87"/>
  <c r="E29" i="87"/>
  <c r="F29" i="87"/>
  <c r="G29" i="87"/>
  <c r="H29" i="87"/>
  <c r="I29" i="87"/>
  <c r="J29" i="87"/>
  <c r="K29" i="87"/>
  <c r="L29" i="87"/>
  <c r="M29" i="87"/>
  <c r="N29" i="87"/>
  <c r="O29" i="87"/>
  <c r="P29" i="87"/>
  <c r="B30" i="87"/>
  <c r="C30" i="87"/>
  <c r="D30" i="87"/>
  <c r="E30" i="87"/>
  <c r="F30" i="87"/>
  <c r="G30" i="87"/>
  <c r="H30" i="87"/>
  <c r="I30" i="87"/>
  <c r="J30" i="87"/>
  <c r="K30" i="87"/>
  <c r="L30" i="87"/>
  <c r="M30" i="87"/>
  <c r="N30" i="87"/>
  <c r="O30" i="87"/>
  <c r="P30" i="87"/>
  <c r="B31" i="87"/>
  <c r="C31" i="87"/>
  <c r="D31" i="87"/>
  <c r="E31" i="87"/>
  <c r="F31" i="87"/>
  <c r="G31" i="87"/>
  <c r="H31" i="87"/>
  <c r="I31" i="87"/>
  <c r="J31" i="87"/>
  <c r="K31" i="87"/>
  <c r="L31" i="87"/>
  <c r="M31" i="87"/>
  <c r="N31" i="87"/>
  <c r="O31" i="87"/>
  <c r="P31" i="87"/>
  <c r="B32" i="87"/>
  <c r="C32" i="87"/>
  <c r="D32" i="87"/>
  <c r="E32" i="87"/>
  <c r="F32" i="87"/>
  <c r="G32" i="87"/>
  <c r="H32" i="87"/>
  <c r="I32" i="87"/>
  <c r="J32" i="87"/>
  <c r="K32" i="87"/>
  <c r="L32" i="87"/>
  <c r="M32" i="87"/>
  <c r="N32" i="87"/>
  <c r="O32" i="87"/>
  <c r="P32" i="87"/>
  <c r="B33" i="87"/>
  <c r="C33" i="87"/>
  <c r="D33" i="87"/>
  <c r="E33" i="87"/>
  <c r="F33" i="87"/>
  <c r="G33" i="87"/>
  <c r="H33" i="87"/>
  <c r="I33" i="87"/>
  <c r="J33" i="87"/>
  <c r="K33" i="87"/>
  <c r="L33" i="87"/>
  <c r="M33" i="87"/>
  <c r="N33" i="87"/>
  <c r="O33" i="87"/>
  <c r="P33" i="87"/>
  <c r="B34" i="87"/>
  <c r="C34" i="87"/>
  <c r="D34" i="87"/>
  <c r="E34" i="87"/>
  <c r="F34" i="87"/>
  <c r="G34" i="87"/>
  <c r="H34" i="87"/>
  <c r="I34" i="87"/>
  <c r="J34" i="87"/>
  <c r="K34" i="87"/>
  <c r="L34" i="87"/>
  <c r="M34" i="87"/>
  <c r="N34" i="87"/>
  <c r="O34" i="87"/>
  <c r="P34" i="87"/>
  <c r="B35" i="87"/>
  <c r="C35" i="87"/>
  <c r="D35" i="87"/>
  <c r="E35" i="87"/>
  <c r="F35" i="87"/>
  <c r="G35" i="87"/>
  <c r="H35" i="87"/>
  <c r="I35" i="87"/>
  <c r="J35" i="87"/>
  <c r="K35" i="87"/>
  <c r="L35" i="87"/>
  <c r="M35" i="87"/>
  <c r="N35" i="87"/>
  <c r="O35" i="87"/>
  <c r="P35" i="87"/>
  <c r="B36" i="87"/>
  <c r="C36" i="87"/>
  <c r="D36" i="87"/>
  <c r="E36" i="87"/>
  <c r="F36" i="87"/>
  <c r="G36" i="87"/>
  <c r="H36" i="87"/>
  <c r="I36" i="87"/>
  <c r="J36" i="87"/>
  <c r="K36" i="87"/>
  <c r="L36" i="87"/>
  <c r="M36" i="87"/>
  <c r="N36" i="87"/>
  <c r="O36" i="87"/>
  <c r="P36" i="87"/>
  <c r="B37" i="87"/>
  <c r="C37" i="87"/>
  <c r="D37" i="87"/>
  <c r="E37" i="87"/>
  <c r="F37" i="87"/>
  <c r="G37" i="87"/>
  <c r="H37" i="87"/>
  <c r="I37" i="87"/>
  <c r="J37" i="87"/>
  <c r="K37" i="87"/>
  <c r="L37" i="87"/>
  <c r="M37" i="87"/>
  <c r="N37" i="87"/>
  <c r="O37" i="87"/>
  <c r="P37" i="87"/>
  <c r="B38" i="87"/>
  <c r="C38" i="87"/>
  <c r="D38" i="87"/>
  <c r="E38" i="87"/>
  <c r="F38" i="87"/>
  <c r="G38" i="87"/>
  <c r="H38" i="87"/>
  <c r="I38" i="87"/>
  <c r="J38" i="87"/>
  <c r="K38" i="87"/>
  <c r="L38" i="87"/>
  <c r="M38" i="87"/>
  <c r="N38" i="87"/>
  <c r="O38" i="87"/>
  <c r="P38" i="87"/>
  <c r="B39" i="87"/>
  <c r="C39" i="87"/>
  <c r="D39" i="87"/>
  <c r="E39" i="87"/>
  <c r="F39" i="87"/>
  <c r="G39" i="87"/>
  <c r="H39" i="87"/>
  <c r="I39" i="87"/>
  <c r="J39" i="87"/>
  <c r="K39" i="87"/>
  <c r="L39" i="87"/>
  <c r="M39" i="87"/>
  <c r="N39" i="87"/>
  <c r="O39" i="87"/>
  <c r="P39" i="87"/>
  <c r="B40" i="87"/>
  <c r="C40" i="87"/>
  <c r="D40" i="87"/>
  <c r="E40" i="87"/>
  <c r="F40" i="87"/>
  <c r="G40" i="87"/>
  <c r="H40" i="87"/>
  <c r="I40" i="87"/>
  <c r="J40" i="87"/>
  <c r="K40" i="87"/>
  <c r="L40" i="87"/>
  <c r="M40" i="87"/>
  <c r="N40" i="87"/>
  <c r="O40" i="87"/>
  <c r="P40" i="87"/>
  <c r="B41" i="87"/>
  <c r="C41" i="87"/>
  <c r="D41" i="87"/>
  <c r="E41" i="87"/>
  <c r="F41" i="87"/>
  <c r="G41" i="87"/>
  <c r="H41" i="87"/>
  <c r="I41" i="87"/>
  <c r="J41" i="87"/>
  <c r="K41" i="87"/>
  <c r="L41" i="87"/>
  <c r="M41" i="87"/>
  <c r="N41" i="87"/>
  <c r="O41" i="87"/>
  <c r="P41" i="87"/>
  <c r="B42" i="87"/>
  <c r="C42" i="87"/>
  <c r="D42" i="87"/>
  <c r="E42" i="87"/>
  <c r="F42" i="87"/>
  <c r="G42" i="87"/>
  <c r="H42" i="87"/>
  <c r="I42" i="87"/>
  <c r="J42" i="87"/>
  <c r="K42" i="87"/>
  <c r="L42" i="87"/>
  <c r="M42" i="87"/>
  <c r="N42" i="87"/>
  <c r="O42" i="87"/>
  <c r="P42" i="87"/>
  <c r="B43" i="87"/>
  <c r="C43" i="87"/>
  <c r="D43" i="87"/>
  <c r="E43" i="87"/>
  <c r="F43" i="87"/>
  <c r="G43" i="87"/>
  <c r="H43" i="87"/>
  <c r="I43" i="87"/>
  <c r="J43" i="87"/>
  <c r="K43" i="87"/>
  <c r="L43" i="87"/>
  <c r="M43" i="87"/>
  <c r="N43" i="87"/>
  <c r="O43" i="87"/>
  <c r="P43" i="87"/>
  <c r="B44" i="87"/>
  <c r="C44" i="87"/>
  <c r="D44" i="87"/>
  <c r="E44" i="87"/>
  <c r="F44" i="87"/>
  <c r="G44" i="87"/>
  <c r="H44" i="87"/>
  <c r="I44" i="87"/>
  <c r="J44" i="87"/>
  <c r="K44" i="87"/>
  <c r="L44" i="87"/>
  <c r="M44" i="87"/>
  <c r="N44" i="87"/>
  <c r="O44" i="87"/>
  <c r="P44" i="87"/>
  <c r="B45" i="87"/>
  <c r="C45" i="87"/>
  <c r="D45" i="87"/>
  <c r="E45" i="87"/>
  <c r="F45" i="87"/>
  <c r="G45" i="87"/>
  <c r="H45" i="87"/>
  <c r="I45" i="87"/>
  <c r="J45" i="87"/>
  <c r="K45" i="87"/>
  <c r="L45" i="87"/>
  <c r="M45" i="87"/>
  <c r="N45" i="87"/>
  <c r="O45" i="87"/>
  <c r="P45" i="87"/>
  <c r="B46" i="87"/>
  <c r="C46" i="87"/>
  <c r="D46" i="87"/>
  <c r="E46" i="87"/>
  <c r="F46" i="87"/>
  <c r="G46" i="87"/>
  <c r="H46" i="87"/>
  <c r="I46" i="87"/>
  <c r="J46" i="87"/>
  <c r="K46" i="87"/>
  <c r="L46" i="87"/>
  <c r="M46" i="87"/>
  <c r="N46" i="87"/>
  <c r="O46" i="87"/>
  <c r="P46" i="87"/>
  <c r="A47" i="87"/>
  <c r="B47" i="87"/>
  <c r="C47" i="87"/>
  <c r="D47" i="87"/>
  <c r="E47" i="87"/>
  <c r="F47" i="87"/>
  <c r="G47" i="87"/>
  <c r="H47" i="87"/>
  <c r="I47" i="87"/>
  <c r="J47" i="87"/>
  <c r="K47" i="87"/>
  <c r="L47" i="87"/>
  <c r="M47" i="87"/>
  <c r="N47" i="87"/>
  <c r="O47" i="87"/>
  <c r="P47" i="87"/>
  <c r="B48" i="87"/>
  <c r="C48" i="87"/>
  <c r="D48" i="87"/>
  <c r="E48" i="87"/>
  <c r="F48" i="87"/>
  <c r="G48" i="87"/>
  <c r="H48" i="87"/>
  <c r="I48" i="87"/>
  <c r="J48" i="87"/>
  <c r="K48" i="87"/>
  <c r="L48" i="87"/>
  <c r="M48" i="87"/>
  <c r="N48" i="87"/>
  <c r="O48" i="87"/>
  <c r="P48" i="87"/>
  <c r="A49" i="87"/>
  <c r="B49" i="87"/>
  <c r="C49" i="87"/>
  <c r="D49" i="87"/>
  <c r="E49" i="87"/>
  <c r="F49" i="87"/>
  <c r="G49" i="87"/>
  <c r="H49" i="87"/>
  <c r="I49" i="87"/>
  <c r="J49" i="87"/>
  <c r="K49" i="87"/>
  <c r="L49" i="87"/>
  <c r="M49" i="87"/>
  <c r="N49" i="87"/>
  <c r="O49" i="87"/>
  <c r="P49" i="87"/>
  <c r="A50" i="87"/>
  <c r="B50" i="87"/>
  <c r="C50" i="87"/>
  <c r="D50" i="87"/>
  <c r="E50" i="87"/>
  <c r="F50" i="87"/>
  <c r="G50" i="87"/>
  <c r="H50" i="87"/>
  <c r="I50" i="87"/>
  <c r="J50" i="87"/>
  <c r="K50" i="87"/>
  <c r="L50" i="87"/>
  <c r="M50" i="87"/>
  <c r="N50" i="87"/>
  <c r="O50" i="87"/>
  <c r="P50" i="87"/>
  <c r="B51" i="87"/>
  <c r="C51" i="87"/>
  <c r="D51" i="87"/>
  <c r="E51" i="87"/>
  <c r="F51" i="87"/>
  <c r="G51" i="87"/>
  <c r="H51" i="87"/>
  <c r="I51" i="87"/>
  <c r="J51" i="87"/>
  <c r="K51" i="87"/>
  <c r="L51" i="87"/>
  <c r="M51" i="87"/>
  <c r="N51" i="87"/>
  <c r="O51" i="87"/>
  <c r="P51" i="87"/>
  <c r="A52" i="87"/>
  <c r="B52" i="87"/>
  <c r="C52" i="87"/>
  <c r="D52" i="87"/>
  <c r="E52" i="87"/>
  <c r="F52" i="87"/>
  <c r="G52" i="87"/>
  <c r="H52" i="87"/>
  <c r="I52" i="87"/>
  <c r="J52" i="87"/>
  <c r="K52" i="87"/>
  <c r="L52" i="87"/>
  <c r="M52" i="87"/>
  <c r="N52" i="87"/>
  <c r="O52" i="87"/>
  <c r="P52" i="87"/>
  <c r="B53" i="87"/>
  <c r="C53" i="87"/>
  <c r="D53" i="87"/>
  <c r="E53" i="87"/>
  <c r="F53" i="87"/>
  <c r="G53" i="87"/>
  <c r="H53" i="87"/>
  <c r="I53" i="87"/>
  <c r="J53" i="87"/>
  <c r="K53" i="87"/>
  <c r="L53" i="87"/>
  <c r="M53" i="87"/>
  <c r="N53" i="87"/>
  <c r="O53" i="87"/>
  <c r="P53" i="87"/>
  <c r="B54" i="87"/>
  <c r="C54" i="87"/>
  <c r="D54" i="87"/>
  <c r="E54" i="87"/>
  <c r="F54" i="87"/>
  <c r="G54" i="87"/>
  <c r="H54" i="87"/>
  <c r="I54" i="87"/>
  <c r="J54" i="87"/>
  <c r="K54" i="87"/>
  <c r="L54" i="87"/>
  <c r="M54" i="87"/>
  <c r="N54" i="87"/>
  <c r="O54" i="87"/>
  <c r="P54" i="87"/>
  <c r="P138" i="87"/>
  <c r="O138" i="87"/>
  <c r="N138" i="87"/>
  <c r="M138" i="87"/>
  <c r="L138" i="87"/>
  <c r="K138" i="87"/>
  <c r="J138" i="87"/>
  <c r="I138" i="87"/>
  <c r="H138" i="87"/>
  <c r="G138" i="87"/>
  <c r="F138" i="87"/>
  <c r="E138" i="87"/>
  <c r="D138" i="87"/>
  <c r="C138" i="87"/>
  <c r="B138" i="87"/>
  <c r="P137" i="87"/>
  <c r="O137" i="87"/>
  <c r="N137" i="87"/>
  <c r="M137" i="87"/>
  <c r="L137" i="87"/>
  <c r="K137" i="87"/>
  <c r="J137" i="87"/>
  <c r="I137" i="87"/>
  <c r="H137" i="87"/>
  <c r="G137" i="87"/>
  <c r="F137" i="87"/>
  <c r="E137" i="87"/>
  <c r="D137" i="87"/>
  <c r="C137" i="87"/>
  <c r="B137" i="87"/>
  <c r="P136" i="87"/>
  <c r="O136" i="87"/>
  <c r="N136" i="87"/>
  <c r="M136" i="87"/>
  <c r="L136" i="87"/>
  <c r="K136" i="87"/>
  <c r="J136" i="87"/>
  <c r="I136" i="87"/>
  <c r="H136" i="87"/>
  <c r="G136" i="87"/>
  <c r="F136" i="87"/>
  <c r="E136" i="87"/>
  <c r="D136" i="87"/>
  <c r="C136" i="87"/>
  <c r="B136" i="87"/>
  <c r="P135" i="87"/>
  <c r="O135" i="87"/>
  <c r="N135" i="87"/>
  <c r="M135" i="87"/>
  <c r="L135" i="87"/>
  <c r="K135" i="87"/>
  <c r="J135" i="87"/>
  <c r="I135" i="87"/>
  <c r="H135" i="87"/>
  <c r="G135" i="87"/>
  <c r="F135" i="87"/>
  <c r="E135" i="87"/>
  <c r="D135" i="87"/>
  <c r="C135" i="87"/>
  <c r="B135" i="87"/>
  <c r="P134" i="87"/>
  <c r="O134" i="87"/>
  <c r="N134" i="87"/>
  <c r="M134" i="87"/>
  <c r="L134" i="87"/>
  <c r="K134" i="87"/>
  <c r="J134" i="87"/>
  <c r="I134" i="87"/>
  <c r="H134" i="87"/>
  <c r="G134" i="87"/>
  <c r="F134" i="87"/>
  <c r="E134" i="87"/>
  <c r="D134" i="87"/>
  <c r="C134" i="87"/>
  <c r="B134" i="87"/>
  <c r="P133" i="87"/>
  <c r="O133" i="87"/>
  <c r="N133" i="87"/>
  <c r="M133" i="87"/>
  <c r="L133" i="87"/>
  <c r="K133" i="87"/>
  <c r="J133" i="87"/>
  <c r="I133" i="87"/>
  <c r="H133" i="87"/>
  <c r="G133" i="87"/>
  <c r="F133" i="87"/>
  <c r="E133" i="87"/>
  <c r="D133" i="87"/>
  <c r="C133" i="87"/>
  <c r="B133" i="87"/>
  <c r="P132" i="87"/>
  <c r="O132" i="87"/>
  <c r="N132" i="87"/>
  <c r="M132" i="87"/>
  <c r="L132" i="87"/>
  <c r="K132" i="87"/>
  <c r="J132" i="87"/>
  <c r="I132" i="87"/>
  <c r="H132" i="87"/>
  <c r="G132" i="87"/>
  <c r="F132" i="87"/>
  <c r="E132" i="87"/>
  <c r="D132" i="87"/>
  <c r="C132" i="87"/>
  <c r="B132" i="87"/>
  <c r="P131" i="87"/>
  <c r="O131" i="87"/>
  <c r="N131" i="87"/>
  <c r="M131" i="87"/>
  <c r="L131" i="87"/>
  <c r="K131" i="87"/>
  <c r="J131" i="87"/>
  <c r="I131" i="87"/>
  <c r="H131" i="87"/>
  <c r="G131" i="87"/>
  <c r="F131" i="87"/>
  <c r="E131" i="87"/>
  <c r="D131" i="87"/>
  <c r="C131" i="87"/>
  <c r="B131" i="87"/>
  <c r="P130" i="87"/>
  <c r="O130" i="87"/>
  <c r="N130" i="87"/>
  <c r="M130" i="87"/>
  <c r="L130" i="87"/>
  <c r="K130" i="87"/>
  <c r="J130" i="87"/>
  <c r="I130" i="87"/>
  <c r="H130" i="87"/>
  <c r="G130" i="87"/>
  <c r="F130" i="87"/>
  <c r="E130" i="87"/>
  <c r="D130" i="87"/>
  <c r="C130" i="87"/>
  <c r="B130" i="87"/>
  <c r="P129" i="87"/>
  <c r="O129" i="87"/>
  <c r="N129" i="87"/>
  <c r="M129" i="87"/>
  <c r="L129" i="87"/>
  <c r="K129" i="87"/>
  <c r="J129" i="87"/>
  <c r="I129" i="87"/>
  <c r="H129" i="87"/>
  <c r="G129" i="87"/>
  <c r="F129" i="87"/>
  <c r="E129" i="87"/>
  <c r="D129" i="87"/>
  <c r="C129" i="87"/>
  <c r="B129" i="87"/>
  <c r="P128" i="87"/>
  <c r="O128" i="87"/>
  <c r="N128" i="87"/>
  <c r="M128" i="87"/>
  <c r="L128" i="87"/>
  <c r="K128" i="87"/>
  <c r="J128" i="87"/>
  <c r="I128" i="87"/>
  <c r="H128" i="87"/>
  <c r="G128" i="87"/>
  <c r="F128" i="87"/>
  <c r="E128" i="87"/>
  <c r="D128" i="87"/>
  <c r="C128" i="87"/>
  <c r="B128" i="87"/>
  <c r="P127" i="87"/>
  <c r="O127" i="87"/>
  <c r="N127" i="87"/>
  <c r="M127" i="87"/>
  <c r="L127" i="87"/>
  <c r="K127" i="87"/>
  <c r="J127" i="87"/>
  <c r="I127" i="87"/>
  <c r="H127" i="87"/>
  <c r="G127" i="87"/>
  <c r="F127" i="87"/>
  <c r="E127" i="87"/>
  <c r="D127" i="87"/>
  <c r="C127" i="87"/>
  <c r="B127" i="87"/>
  <c r="P126" i="87"/>
  <c r="O126" i="87"/>
  <c r="N126" i="87"/>
  <c r="M126" i="87"/>
  <c r="L126" i="87"/>
  <c r="K126" i="87"/>
  <c r="J126" i="87"/>
  <c r="I126" i="87"/>
  <c r="H126" i="87"/>
  <c r="G126" i="87"/>
  <c r="F126" i="87"/>
  <c r="E126" i="87"/>
  <c r="D126" i="87"/>
  <c r="C126" i="87"/>
  <c r="B126" i="87"/>
  <c r="P125" i="87"/>
  <c r="O125" i="87"/>
  <c r="N125" i="87"/>
  <c r="M125" i="87"/>
  <c r="L125" i="87"/>
  <c r="K125" i="87"/>
  <c r="J125" i="87"/>
  <c r="I125" i="87"/>
  <c r="H125" i="87"/>
  <c r="G125" i="87"/>
  <c r="F125" i="87"/>
  <c r="E125" i="87"/>
  <c r="D125" i="87"/>
  <c r="C125" i="87"/>
  <c r="B125" i="87"/>
  <c r="P124" i="87"/>
  <c r="O124" i="87"/>
  <c r="N124" i="87"/>
  <c r="M124" i="87"/>
  <c r="L124" i="87"/>
  <c r="K124" i="87"/>
  <c r="J124" i="87"/>
  <c r="I124" i="87"/>
  <c r="H124" i="87"/>
  <c r="G124" i="87"/>
  <c r="F124" i="87"/>
  <c r="E124" i="87"/>
  <c r="D124" i="87"/>
  <c r="C124" i="87"/>
  <c r="B124" i="87"/>
  <c r="P123" i="87"/>
  <c r="O123" i="87"/>
  <c r="N123" i="87"/>
  <c r="M123" i="87"/>
  <c r="L123" i="87"/>
  <c r="K123" i="87"/>
  <c r="J123" i="87"/>
  <c r="I123" i="87"/>
  <c r="H123" i="87"/>
  <c r="G123" i="87"/>
  <c r="F123" i="87"/>
  <c r="E123" i="87"/>
  <c r="D123" i="87"/>
  <c r="C123" i="87"/>
  <c r="B123" i="87"/>
  <c r="P122" i="87"/>
  <c r="O122" i="87"/>
  <c r="N122" i="87"/>
  <c r="M122" i="87"/>
  <c r="L122" i="87"/>
  <c r="K122" i="87"/>
  <c r="J122" i="87"/>
  <c r="I122" i="87"/>
  <c r="H122" i="87"/>
  <c r="G122" i="87"/>
  <c r="F122" i="87"/>
  <c r="E122" i="87"/>
  <c r="D122" i="87"/>
  <c r="C122" i="87"/>
  <c r="B122" i="87"/>
  <c r="P121" i="87"/>
  <c r="O121" i="87"/>
  <c r="N121" i="87"/>
  <c r="M121" i="87"/>
  <c r="L121" i="87"/>
  <c r="K121" i="87"/>
  <c r="J121" i="87"/>
  <c r="I121" i="87"/>
  <c r="H121" i="87"/>
  <c r="G121" i="87"/>
  <c r="F121" i="87"/>
  <c r="E121" i="87"/>
  <c r="D121" i="87"/>
  <c r="C121" i="87"/>
  <c r="B121" i="87"/>
  <c r="P120" i="87"/>
  <c r="O120" i="87"/>
  <c r="N120" i="87"/>
  <c r="M120" i="87"/>
  <c r="L120" i="87"/>
  <c r="K120" i="87"/>
  <c r="J120" i="87"/>
  <c r="I120" i="87"/>
  <c r="H120" i="87"/>
  <c r="G120" i="87"/>
  <c r="F120" i="87"/>
  <c r="E120" i="87"/>
  <c r="D120" i="87"/>
  <c r="C120" i="87"/>
  <c r="B120" i="87"/>
  <c r="P119" i="87"/>
  <c r="O119" i="87"/>
  <c r="N119" i="87"/>
  <c r="M119" i="87"/>
  <c r="L119" i="87"/>
  <c r="K119" i="87"/>
  <c r="J119" i="87"/>
  <c r="I119" i="87"/>
  <c r="H119" i="87"/>
  <c r="G119" i="87"/>
  <c r="F119" i="87"/>
  <c r="E119" i="87"/>
  <c r="D119" i="87"/>
  <c r="C119" i="87"/>
  <c r="B119" i="87"/>
  <c r="P118" i="87"/>
  <c r="O118" i="87"/>
  <c r="N118" i="87"/>
  <c r="M118" i="87"/>
  <c r="L118" i="87"/>
  <c r="K118" i="87"/>
  <c r="J118" i="87"/>
  <c r="I118" i="87"/>
  <c r="H118" i="87"/>
  <c r="G118" i="87"/>
  <c r="F118" i="87"/>
  <c r="E118" i="87"/>
  <c r="D118" i="87"/>
  <c r="C118" i="87"/>
  <c r="B118" i="87"/>
  <c r="P117" i="87"/>
  <c r="O117" i="87"/>
  <c r="N117" i="87"/>
  <c r="M117" i="87"/>
  <c r="L117" i="87"/>
  <c r="K117" i="87"/>
  <c r="J117" i="87"/>
  <c r="I117" i="87"/>
  <c r="H117" i="87"/>
  <c r="G117" i="87"/>
  <c r="F117" i="87"/>
  <c r="E117" i="87"/>
  <c r="D117" i="87"/>
  <c r="C117" i="87"/>
  <c r="B117" i="87"/>
  <c r="P116" i="87"/>
  <c r="O116" i="87"/>
  <c r="N116" i="87"/>
  <c r="M116" i="87"/>
  <c r="L116" i="87"/>
  <c r="K116" i="87"/>
  <c r="J116" i="87"/>
  <c r="I116" i="87"/>
  <c r="H116" i="87"/>
  <c r="G116" i="87"/>
  <c r="F116" i="87"/>
  <c r="E116" i="87"/>
  <c r="D116" i="87"/>
  <c r="C116" i="87"/>
  <c r="B116" i="87"/>
  <c r="P115" i="87"/>
  <c r="O115" i="87"/>
  <c r="N115" i="87"/>
  <c r="M115" i="87"/>
  <c r="L115" i="87"/>
  <c r="K115" i="87"/>
  <c r="J115" i="87"/>
  <c r="I115" i="87"/>
  <c r="H115" i="87"/>
  <c r="G115" i="87"/>
  <c r="F115" i="87"/>
  <c r="E115" i="87"/>
  <c r="D115" i="87"/>
  <c r="C115" i="87"/>
  <c r="B115" i="87"/>
  <c r="P114" i="87"/>
  <c r="O114" i="87"/>
  <c r="N114" i="87"/>
  <c r="M114" i="87"/>
  <c r="L114" i="87"/>
  <c r="K114" i="87"/>
  <c r="J114" i="87"/>
  <c r="I114" i="87"/>
  <c r="H114" i="87"/>
  <c r="G114" i="87"/>
  <c r="F114" i="87"/>
  <c r="E114" i="87"/>
  <c r="D114" i="87"/>
  <c r="C114" i="87"/>
  <c r="B114" i="87"/>
  <c r="P113" i="87"/>
  <c r="O113" i="87"/>
  <c r="N113" i="87"/>
  <c r="M113" i="87"/>
  <c r="L113" i="87"/>
  <c r="K113" i="87"/>
  <c r="J113" i="87"/>
  <c r="I113" i="87"/>
  <c r="H113" i="87"/>
  <c r="G113" i="87"/>
  <c r="F113" i="87"/>
  <c r="E113" i="87"/>
  <c r="D113" i="87"/>
  <c r="C113" i="87"/>
  <c r="B113" i="87"/>
  <c r="P112" i="87"/>
  <c r="O112" i="87"/>
  <c r="N112" i="87"/>
  <c r="M112" i="87"/>
  <c r="L112" i="87"/>
  <c r="K112" i="87"/>
  <c r="J112" i="87"/>
  <c r="I112" i="87"/>
  <c r="H112" i="87"/>
  <c r="G112" i="87"/>
  <c r="F112" i="87"/>
  <c r="E112" i="87"/>
  <c r="D112" i="87"/>
  <c r="C112" i="87"/>
  <c r="B112" i="87"/>
  <c r="P111" i="87"/>
  <c r="O111" i="87"/>
  <c r="N111" i="87"/>
  <c r="M111" i="87"/>
  <c r="L111" i="87"/>
  <c r="K111" i="87"/>
  <c r="J111" i="87"/>
  <c r="I111" i="87"/>
  <c r="H111" i="87"/>
  <c r="G111" i="87"/>
  <c r="F111" i="87"/>
  <c r="E111" i="87"/>
  <c r="D111" i="87"/>
  <c r="C111" i="87"/>
  <c r="B111" i="87"/>
  <c r="P110" i="87"/>
  <c r="O110" i="87"/>
  <c r="N110" i="87"/>
  <c r="M110" i="87"/>
  <c r="L110" i="87"/>
  <c r="K110" i="87"/>
  <c r="J110" i="87"/>
  <c r="I110" i="87"/>
  <c r="H110" i="87"/>
  <c r="G110" i="87"/>
  <c r="F110" i="87"/>
  <c r="E110" i="87"/>
  <c r="D110" i="87"/>
  <c r="C110" i="87"/>
  <c r="B110" i="87"/>
  <c r="P109" i="87"/>
  <c r="O109" i="87"/>
  <c r="N109" i="87"/>
  <c r="M109" i="87"/>
  <c r="L109" i="87"/>
  <c r="K109" i="87"/>
  <c r="J109" i="87"/>
  <c r="I109" i="87"/>
  <c r="H109" i="87"/>
  <c r="G109" i="87"/>
  <c r="F109" i="87"/>
  <c r="E109" i="87"/>
  <c r="D109" i="87"/>
  <c r="C109" i="87"/>
  <c r="B109" i="87"/>
  <c r="P108" i="87"/>
  <c r="O108" i="87"/>
  <c r="N108" i="87"/>
  <c r="M108" i="87"/>
  <c r="L108" i="87"/>
  <c r="K108" i="87"/>
  <c r="J108" i="87"/>
  <c r="I108" i="87"/>
  <c r="H108" i="87"/>
  <c r="G108" i="87"/>
  <c r="F108" i="87"/>
  <c r="E108" i="87"/>
  <c r="D108" i="87"/>
  <c r="C108" i="87"/>
  <c r="B108" i="87"/>
  <c r="P107" i="87"/>
  <c r="O107" i="87"/>
  <c r="N107" i="87"/>
  <c r="M107" i="87"/>
  <c r="L107" i="87"/>
  <c r="K107" i="87"/>
  <c r="J107" i="87"/>
  <c r="I107" i="87"/>
  <c r="H107" i="87"/>
  <c r="G107" i="87"/>
  <c r="F107" i="87"/>
  <c r="E107" i="87"/>
  <c r="D107" i="87"/>
  <c r="C107" i="87"/>
  <c r="B107" i="87"/>
  <c r="P106" i="87"/>
  <c r="O106" i="87"/>
  <c r="N106" i="87"/>
  <c r="M106" i="87"/>
  <c r="L106" i="87"/>
  <c r="K106" i="87"/>
  <c r="J106" i="87"/>
  <c r="I106" i="87"/>
  <c r="H106" i="87"/>
  <c r="G106" i="87"/>
  <c r="F106" i="87"/>
  <c r="E106" i="87"/>
  <c r="D106" i="87"/>
  <c r="C106" i="87"/>
  <c r="B106" i="87"/>
  <c r="P105" i="87"/>
  <c r="O105" i="87"/>
  <c r="N105" i="87"/>
  <c r="M105" i="87"/>
  <c r="L105" i="87"/>
  <c r="K105" i="87"/>
  <c r="J105" i="87"/>
  <c r="I105" i="87"/>
  <c r="H105" i="87"/>
  <c r="G105" i="87"/>
  <c r="F105" i="87"/>
  <c r="E105" i="87"/>
  <c r="D105" i="87"/>
  <c r="C105" i="87"/>
  <c r="B105" i="87"/>
  <c r="P63" i="87"/>
  <c r="P64" i="87"/>
  <c r="P65" i="87"/>
  <c r="P66" i="87"/>
  <c r="P67" i="87"/>
  <c r="P68" i="87"/>
  <c r="P69" i="87"/>
  <c r="P70" i="87"/>
  <c r="P71" i="87"/>
  <c r="P72" i="87"/>
  <c r="P73" i="87"/>
  <c r="P74" i="87"/>
  <c r="P75" i="87"/>
  <c r="P76" i="87"/>
  <c r="P77" i="87"/>
  <c r="P78" i="87"/>
  <c r="P79" i="87"/>
  <c r="P80" i="87"/>
  <c r="P86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6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6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6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6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6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6" i="87"/>
  <c r="I63" i="87"/>
  <c r="I64" i="87"/>
  <c r="I65" i="87"/>
  <c r="I66" i="87"/>
  <c r="I67" i="87"/>
  <c r="I68" i="87"/>
  <c r="I69" i="87"/>
  <c r="I70" i="87"/>
  <c r="I71" i="87"/>
  <c r="I72" i="87"/>
  <c r="I73" i="87"/>
  <c r="I74" i="87"/>
  <c r="I75" i="87"/>
  <c r="I76" i="87"/>
  <c r="I77" i="87"/>
  <c r="I78" i="87"/>
  <c r="I79" i="87"/>
  <c r="I80" i="87"/>
  <c r="I86" i="87"/>
  <c r="H63" i="87"/>
  <c r="H64" i="87"/>
  <c r="H65" i="87"/>
  <c r="H66" i="87"/>
  <c r="H67" i="87"/>
  <c r="H68" i="87"/>
  <c r="H69" i="87"/>
  <c r="H70" i="87"/>
  <c r="H71" i="87"/>
  <c r="H72" i="87"/>
  <c r="H73" i="87"/>
  <c r="H74" i="87"/>
  <c r="H75" i="87"/>
  <c r="H76" i="87"/>
  <c r="H77" i="87"/>
  <c r="H78" i="87"/>
  <c r="H79" i="87"/>
  <c r="H80" i="87"/>
  <c r="H86" i="87"/>
  <c r="G63" i="87"/>
  <c r="G64" i="87"/>
  <c r="G65" i="87"/>
  <c r="G66" i="87"/>
  <c r="G67" i="87"/>
  <c r="G68" i="87"/>
  <c r="G69" i="87"/>
  <c r="G70" i="87"/>
  <c r="G71" i="87"/>
  <c r="G72" i="87"/>
  <c r="G73" i="87"/>
  <c r="G74" i="87"/>
  <c r="G75" i="87"/>
  <c r="G76" i="87"/>
  <c r="G77" i="87"/>
  <c r="G78" i="87"/>
  <c r="G79" i="87"/>
  <c r="G80" i="87"/>
  <c r="G86" i="87"/>
  <c r="F63" i="87"/>
  <c r="F64" i="87"/>
  <c r="F65" i="87"/>
  <c r="F66" i="87"/>
  <c r="F67" i="87"/>
  <c r="F68" i="87"/>
  <c r="F69" i="87"/>
  <c r="F70" i="87"/>
  <c r="F71" i="87"/>
  <c r="F72" i="87"/>
  <c r="F73" i="87"/>
  <c r="F74" i="87"/>
  <c r="F75" i="87"/>
  <c r="F76" i="87"/>
  <c r="F77" i="87"/>
  <c r="F78" i="87"/>
  <c r="F79" i="87"/>
  <c r="F80" i="87"/>
  <c r="F86" i="87"/>
  <c r="E63" i="87"/>
  <c r="E64" i="87"/>
  <c r="E65" i="87"/>
  <c r="E66" i="87"/>
  <c r="E67" i="87"/>
  <c r="E68" i="87"/>
  <c r="E69" i="87"/>
  <c r="E70" i="87"/>
  <c r="E71" i="87"/>
  <c r="E72" i="87"/>
  <c r="E73" i="87"/>
  <c r="E74" i="87"/>
  <c r="E75" i="87"/>
  <c r="E76" i="87"/>
  <c r="E77" i="87"/>
  <c r="E78" i="87"/>
  <c r="E79" i="87"/>
  <c r="E80" i="87"/>
  <c r="E86" i="87"/>
  <c r="D63" i="87"/>
  <c r="D64" i="87"/>
  <c r="D65" i="87"/>
  <c r="D66" i="87"/>
  <c r="D67" i="87"/>
  <c r="D68" i="87"/>
  <c r="D69" i="87"/>
  <c r="D70" i="87"/>
  <c r="D71" i="87"/>
  <c r="D72" i="87"/>
  <c r="D73" i="87"/>
  <c r="D74" i="87"/>
  <c r="D75" i="87"/>
  <c r="D76" i="87"/>
  <c r="D77" i="87"/>
  <c r="D78" i="87"/>
  <c r="D79" i="87"/>
  <c r="D80" i="87"/>
  <c r="D86" i="87"/>
  <c r="C63" i="87"/>
  <c r="C64" i="87"/>
  <c r="C65" i="87"/>
  <c r="C66" i="87"/>
  <c r="C67" i="87"/>
  <c r="C68" i="87"/>
  <c r="C69" i="87"/>
  <c r="C70" i="87"/>
  <c r="C71" i="87"/>
  <c r="C72" i="87"/>
  <c r="C73" i="87"/>
  <c r="C74" i="87"/>
  <c r="C75" i="87"/>
  <c r="C76" i="87"/>
  <c r="C77" i="87"/>
  <c r="C78" i="87"/>
  <c r="C79" i="87"/>
  <c r="C80" i="87"/>
  <c r="C86" i="87"/>
  <c r="B63" i="87"/>
  <c r="B64" i="87"/>
  <c r="B65" i="87"/>
  <c r="B66" i="87"/>
  <c r="B67" i="87"/>
  <c r="B68" i="87"/>
  <c r="B69" i="87"/>
  <c r="B70" i="87"/>
  <c r="B71" i="87"/>
  <c r="B72" i="87"/>
  <c r="B73" i="87"/>
  <c r="B74" i="87"/>
  <c r="B75" i="87"/>
  <c r="B76" i="87"/>
  <c r="B77" i="87"/>
  <c r="B78" i="87"/>
  <c r="B79" i="87"/>
  <c r="B80" i="87"/>
  <c r="B86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Z54" i="87"/>
  <c r="Z53" i="87"/>
  <c r="Z52" i="87"/>
  <c r="Z51" i="87"/>
  <c r="Z50" i="87"/>
  <c r="Z49" i="87"/>
  <c r="Z48" i="87"/>
  <c r="Z47" i="87"/>
  <c r="Z46" i="87"/>
  <c r="Z45" i="87"/>
  <c r="Z44" i="87"/>
  <c r="Z43" i="87"/>
  <c r="Z42" i="87"/>
  <c r="Z41" i="87"/>
  <c r="Z40" i="87"/>
  <c r="Z39" i="87"/>
  <c r="Z38" i="87"/>
  <c r="Z37" i="87"/>
  <c r="Z36" i="87"/>
  <c r="Z35" i="87"/>
  <c r="Z34" i="87"/>
  <c r="Z33" i="87"/>
  <c r="Z32" i="87"/>
  <c r="Z31" i="87"/>
  <c r="Z30" i="87"/>
  <c r="Z29" i="87"/>
  <c r="Z28" i="87"/>
  <c r="Z27" i="87"/>
  <c r="Z26" i="87"/>
  <c r="Z25" i="87"/>
  <c r="Z24" i="87"/>
  <c r="Z23" i="87"/>
  <c r="Z22" i="87"/>
  <c r="Z21" i="87"/>
  <c r="Z20" i="87"/>
  <c r="Z19" i="87"/>
  <c r="Z18" i="87"/>
  <c r="Z17" i="87"/>
  <c r="Z16" i="87"/>
  <c r="Z15" i="87"/>
  <c r="Z14" i="87"/>
  <c r="Z13" i="87"/>
  <c r="Z12" i="87"/>
  <c r="Z11" i="87"/>
  <c r="Z10" i="87"/>
  <c r="Z9" i="87"/>
  <c r="Z8" i="87"/>
  <c r="Z7" i="87"/>
  <c r="Z6" i="87"/>
  <c r="Z5" i="87"/>
  <c r="Z4" i="87"/>
  <c r="Z3" i="87"/>
  <c r="Y54" i="87"/>
  <c r="Y53" i="87"/>
  <c r="Y52" i="87"/>
  <c r="Y51" i="87"/>
  <c r="Y50" i="87"/>
  <c r="Y49" i="87"/>
  <c r="Y48" i="87"/>
  <c r="Y47" i="87"/>
  <c r="Y46" i="87"/>
  <c r="Y45" i="87"/>
  <c r="Y44" i="87"/>
  <c r="Y43" i="87"/>
  <c r="Y42" i="87"/>
  <c r="Y41" i="87"/>
  <c r="Y40" i="87"/>
  <c r="Y39" i="87"/>
  <c r="Y38" i="87"/>
  <c r="Y37" i="87"/>
  <c r="Y36" i="87"/>
  <c r="Y35" i="87"/>
  <c r="Y34" i="87"/>
  <c r="Y33" i="87"/>
  <c r="Y32" i="87"/>
  <c r="Y31" i="87"/>
  <c r="Y30" i="87"/>
  <c r="Y29" i="87"/>
  <c r="Y28" i="87"/>
  <c r="Y27" i="87"/>
  <c r="Y26" i="87"/>
  <c r="Y25" i="87"/>
  <c r="Y24" i="87"/>
  <c r="Y23" i="87"/>
  <c r="Y22" i="87"/>
  <c r="Y21" i="87"/>
  <c r="Y20" i="87"/>
  <c r="Y19" i="87"/>
  <c r="Y18" i="87"/>
  <c r="Y17" i="87"/>
  <c r="Y16" i="87"/>
  <c r="Y15" i="87"/>
  <c r="Y14" i="87"/>
  <c r="Y13" i="87"/>
  <c r="Y12" i="87"/>
  <c r="Y11" i="87"/>
  <c r="Y10" i="87"/>
  <c r="Y9" i="87"/>
  <c r="Y8" i="87"/>
  <c r="Y7" i="87"/>
  <c r="Y6" i="87"/>
  <c r="Y5" i="87"/>
  <c r="Y4" i="87"/>
  <c r="Y3" i="87"/>
  <c r="U3" i="87"/>
  <c r="V3" i="87"/>
  <c r="W3" i="87"/>
  <c r="X3" i="87"/>
  <c r="U4" i="87"/>
  <c r="V4" i="87"/>
  <c r="W4" i="87"/>
  <c r="X4" i="87"/>
  <c r="U5" i="87"/>
  <c r="V5" i="87"/>
  <c r="W5" i="87"/>
  <c r="X5" i="87"/>
  <c r="U6" i="87"/>
  <c r="V6" i="87"/>
  <c r="W6" i="87"/>
  <c r="X6" i="87"/>
  <c r="U7" i="87"/>
  <c r="V7" i="87"/>
  <c r="W7" i="87"/>
  <c r="X7" i="87"/>
  <c r="U8" i="87"/>
  <c r="V8" i="87"/>
  <c r="W8" i="87"/>
  <c r="X8" i="87"/>
  <c r="U9" i="87"/>
  <c r="V9" i="87"/>
  <c r="W9" i="87"/>
  <c r="X9" i="87"/>
  <c r="U10" i="87"/>
  <c r="V10" i="87"/>
  <c r="W10" i="87"/>
  <c r="X10" i="87"/>
  <c r="U11" i="87"/>
  <c r="V11" i="87"/>
  <c r="W11" i="87"/>
  <c r="X11" i="87"/>
  <c r="U12" i="87"/>
  <c r="V12" i="87"/>
  <c r="W12" i="87"/>
  <c r="X12" i="87"/>
  <c r="U13" i="87"/>
  <c r="V13" i="87"/>
  <c r="W13" i="87"/>
  <c r="X13" i="87"/>
  <c r="U14" i="87"/>
  <c r="V14" i="87"/>
  <c r="W14" i="87"/>
  <c r="X14" i="87"/>
  <c r="U15" i="87"/>
  <c r="V15" i="87"/>
  <c r="W15" i="87"/>
  <c r="X15" i="87"/>
  <c r="U16" i="87"/>
  <c r="V16" i="87"/>
  <c r="W16" i="87"/>
  <c r="X16" i="87"/>
  <c r="U17" i="87"/>
  <c r="V17" i="87"/>
  <c r="W17" i="87"/>
  <c r="X17" i="87"/>
  <c r="U18" i="87"/>
  <c r="V18" i="87"/>
  <c r="W18" i="87"/>
  <c r="X18" i="87"/>
  <c r="U19" i="87"/>
  <c r="V19" i="87"/>
  <c r="W19" i="87"/>
  <c r="X19" i="87"/>
  <c r="U20" i="87"/>
  <c r="V20" i="87"/>
  <c r="W20" i="87"/>
  <c r="X20" i="87"/>
  <c r="U21" i="87"/>
  <c r="V21" i="87"/>
  <c r="W21" i="87"/>
  <c r="X21" i="87"/>
  <c r="U22" i="87"/>
  <c r="V22" i="87"/>
  <c r="W22" i="87"/>
  <c r="X22" i="87"/>
  <c r="U23" i="87"/>
  <c r="V23" i="87"/>
  <c r="W23" i="87"/>
  <c r="X23" i="87"/>
  <c r="U24" i="87"/>
  <c r="V24" i="87"/>
  <c r="W24" i="87"/>
  <c r="X24" i="87"/>
  <c r="U25" i="87"/>
  <c r="V25" i="87"/>
  <c r="W25" i="87"/>
  <c r="X25" i="87"/>
  <c r="U26" i="87"/>
  <c r="V26" i="87"/>
  <c r="W26" i="87"/>
  <c r="X26" i="87"/>
  <c r="U27" i="87"/>
  <c r="V27" i="87"/>
  <c r="W27" i="87"/>
  <c r="X27" i="87"/>
  <c r="U28" i="87"/>
  <c r="V28" i="87"/>
  <c r="W28" i="87"/>
  <c r="X28" i="87"/>
  <c r="U29" i="87"/>
  <c r="V29" i="87"/>
  <c r="W29" i="87"/>
  <c r="X29" i="87"/>
  <c r="U30" i="87"/>
  <c r="V30" i="87"/>
  <c r="W30" i="87"/>
  <c r="X30" i="87"/>
  <c r="U31" i="87"/>
  <c r="V31" i="87"/>
  <c r="W31" i="87"/>
  <c r="X31" i="87"/>
  <c r="U32" i="87"/>
  <c r="V32" i="87"/>
  <c r="W32" i="87"/>
  <c r="X32" i="87"/>
  <c r="U33" i="87"/>
  <c r="V33" i="87"/>
  <c r="W33" i="87"/>
  <c r="X33" i="87"/>
  <c r="U34" i="87"/>
  <c r="V34" i="87"/>
  <c r="W34" i="87"/>
  <c r="X34" i="87"/>
  <c r="U35" i="87"/>
  <c r="V35" i="87"/>
  <c r="W35" i="87"/>
  <c r="X35" i="87"/>
  <c r="U36" i="87"/>
  <c r="V36" i="87"/>
  <c r="W36" i="87"/>
  <c r="X36" i="87"/>
  <c r="U37" i="87"/>
  <c r="V37" i="87"/>
  <c r="W37" i="87"/>
  <c r="X37" i="87"/>
  <c r="U38" i="87"/>
  <c r="V38" i="87"/>
  <c r="W38" i="87"/>
  <c r="X38" i="87"/>
  <c r="U39" i="87"/>
  <c r="V39" i="87"/>
  <c r="W39" i="87"/>
  <c r="X39" i="87"/>
  <c r="U40" i="87"/>
  <c r="V40" i="87"/>
  <c r="W40" i="87"/>
  <c r="X40" i="87"/>
  <c r="U41" i="87"/>
  <c r="V41" i="87"/>
  <c r="W41" i="87"/>
  <c r="X41" i="87"/>
  <c r="U42" i="87"/>
  <c r="V42" i="87"/>
  <c r="W42" i="87"/>
  <c r="X42" i="87"/>
  <c r="U43" i="87"/>
  <c r="V43" i="87"/>
  <c r="W43" i="87"/>
  <c r="X43" i="87"/>
  <c r="U44" i="87"/>
  <c r="V44" i="87"/>
  <c r="W44" i="87"/>
  <c r="X44" i="87"/>
  <c r="U45" i="87"/>
  <c r="V45" i="87"/>
  <c r="W45" i="87"/>
  <c r="X45" i="87"/>
  <c r="U46" i="87"/>
  <c r="V46" i="87"/>
  <c r="W46" i="87"/>
  <c r="X46" i="87"/>
  <c r="U47" i="87"/>
  <c r="V47" i="87"/>
  <c r="W47" i="87"/>
  <c r="X47" i="87"/>
  <c r="U48" i="87"/>
  <c r="V48" i="87"/>
  <c r="W48" i="87"/>
  <c r="X48" i="87"/>
  <c r="U49" i="87"/>
  <c r="V49" i="87"/>
  <c r="W49" i="87"/>
  <c r="X49" i="87"/>
  <c r="U50" i="87"/>
  <c r="V50" i="87"/>
  <c r="W50" i="87"/>
  <c r="X50" i="87"/>
  <c r="U51" i="87"/>
  <c r="V51" i="87"/>
  <c r="W51" i="87"/>
  <c r="X51" i="87"/>
  <c r="U52" i="87"/>
  <c r="V52" i="87"/>
  <c r="W52" i="87"/>
  <c r="X52" i="87"/>
  <c r="U53" i="87"/>
  <c r="V53" i="87"/>
  <c r="W53" i="87"/>
  <c r="X53" i="87"/>
  <c r="U54" i="87"/>
  <c r="V54" i="87"/>
  <c r="W54" i="87"/>
  <c r="X54" i="87"/>
  <c r="Q47" i="87"/>
  <c r="R47" i="87"/>
  <c r="S47" i="87"/>
  <c r="T47" i="87"/>
  <c r="Q48" i="87"/>
  <c r="R48" i="87"/>
  <c r="S48" i="87"/>
  <c r="T48" i="87"/>
  <c r="Q49" i="87"/>
  <c r="R49" i="87"/>
  <c r="S49" i="87"/>
  <c r="T49" i="87"/>
  <c r="Q50" i="87"/>
  <c r="R50" i="87"/>
  <c r="S50" i="87"/>
  <c r="T50" i="87"/>
  <c r="Q51" i="87"/>
  <c r="R51" i="87"/>
  <c r="S51" i="87"/>
  <c r="T51" i="87"/>
  <c r="Q52" i="87"/>
  <c r="R52" i="87"/>
  <c r="S52" i="87"/>
  <c r="T52" i="87"/>
  <c r="Q53" i="87"/>
  <c r="R53" i="87"/>
  <c r="S53" i="87"/>
  <c r="T53" i="87"/>
  <c r="Q54" i="87"/>
  <c r="R54" i="87"/>
  <c r="S54" i="87"/>
  <c r="T54" i="87"/>
  <c r="AZ23" i="13"/>
  <c r="AZ26" i="13"/>
  <c r="AX23" i="13"/>
  <c r="AX26" i="13"/>
  <c r="AY23" i="13"/>
  <c r="AY26" i="13"/>
  <c r="BA23" i="13"/>
  <c r="BA26" i="13"/>
  <c r="BB23" i="13"/>
  <c r="BB26" i="13"/>
  <c r="BC23" i="13"/>
  <c r="BC26" i="13"/>
  <c r="C3" i="165"/>
  <c r="AT22" i="13"/>
  <c r="C4" i="165"/>
  <c r="AT21" i="13"/>
  <c r="AT25" i="13"/>
  <c r="D3" i="165"/>
  <c r="AU22" i="13"/>
  <c r="D4" i="165"/>
  <c r="AU21" i="13"/>
  <c r="AU25" i="13"/>
  <c r="E3" i="165"/>
  <c r="AV22" i="13"/>
  <c r="E4" i="165"/>
  <c r="AV21" i="13"/>
  <c r="AV25" i="13"/>
  <c r="F3" i="165"/>
  <c r="AW22" i="13"/>
  <c r="F4" i="165"/>
  <c r="AW21" i="13"/>
  <c r="AW25" i="13"/>
  <c r="G3" i="165"/>
  <c r="AX22" i="13"/>
  <c r="G4" i="165"/>
  <c r="AX21" i="13"/>
  <c r="AX25" i="13"/>
  <c r="H3" i="165"/>
  <c r="AY22" i="13"/>
  <c r="H4" i="165"/>
  <c r="AY21" i="13"/>
  <c r="AY25" i="13"/>
  <c r="I3" i="165"/>
  <c r="AZ22" i="13"/>
  <c r="I4" i="165"/>
  <c r="AZ21" i="13"/>
  <c r="AZ25" i="13"/>
  <c r="J3" i="165"/>
  <c r="BA22" i="13"/>
  <c r="J4" i="165"/>
  <c r="BA21" i="13"/>
  <c r="BA25" i="13"/>
  <c r="K3" i="165"/>
  <c r="BB22" i="13"/>
  <c r="K4" i="165"/>
  <c r="BB21" i="13"/>
  <c r="BB25" i="13"/>
  <c r="L3" i="165"/>
  <c r="BC22" i="13"/>
  <c r="L4" i="165"/>
  <c r="BC21" i="13"/>
  <c r="BC25" i="13"/>
  <c r="BE25" i="13"/>
  <c r="AT23" i="13"/>
  <c r="AT24" i="13"/>
  <c r="AU23" i="13"/>
  <c r="AU24" i="13"/>
  <c r="AV23" i="13"/>
  <c r="AV24" i="13"/>
  <c r="AW23" i="13"/>
  <c r="AW24" i="13"/>
  <c r="AX24" i="13"/>
  <c r="AY24" i="13"/>
  <c r="AZ24" i="13"/>
  <c r="BA24" i="13"/>
  <c r="BB24" i="13"/>
  <c r="BC24" i="13"/>
  <c r="BE24" i="13"/>
  <c r="S15" i="13"/>
  <c r="S14" i="13"/>
  <c r="S18" i="13"/>
  <c r="V15" i="13"/>
  <c r="V14" i="13"/>
  <c r="V18" i="13"/>
  <c r="Y15" i="13"/>
  <c r="Y14" i="13"/>
  <c r="Y18" i="13"/>
  <c r="AB15" i="13"/>
  <c r="AB14" i="13"/>
  <c r="AB18" i="13"/>
  <c r="AE15" i="13"/>
  <c r="AE14" i="13"/>
  <c r="AE18" i="13"/>
  <c r="AH15" i="13"/>
  <c r="AH14" i="13"/>
  <c r="AH18" i="13"/>
  <c r="AJ15" i="13"/>
  <c r="AJ14" i="13"/>
  <c r="AJ18" i="13"/>
  <c r="AK15" i="13"/>
  <c r="AK14" i="13"/>
  <c r="AK18" i="13"/>
  <c r="AM15" i="13"/>
  <c r="AM14" i="13"/>
  <c r="AM18" i="13"/>
  <c r="AN15" i="13"/>
  <c r="AN14" i="13"/>
  <c r="AN18" i="13"/>
  <c r="AP15" i="13"/>
  <c r="AP14" i="13"/>
  <c r="AP18" i="13"/>
  <c r="AR15" i="13"/>
  <c r="AR14" i="13"/>
  <c r="AR18" i="13"/>
  <c r="AT15" i="13"/>
  <c r="AT14" i="13"/>
  <c r="AT18" i="13"/>
  <c r="AU15" i="13"/>
  <c r="AU14" i="13"/>
  <c r="AU18" i="13"/>
  <c r="AV15" i="13"/>
  <c r="AV14" i="13"/>
  <c r="AV18" i="13"/>
  <c r="AW15" i="13"/>
  <c r="AW14" i="13"/>
  <c r="AW18" i="13"/>
  <c r="AX15" i="13"/>
  <c r="AX14" i="13"/>
  <c r="AX18" i="13"/>
  <c r="AZ15" i="13"/>
  <c r="AZ14" i="13"/>
  <c r="AZ18" i="13"/>
  <c r="BB15" i="13"/>
  <c r="BB14" i="13"/>
  <c r="BB18" i="13"/>
  <c r="BG18" i="13"/>
  <c r="S16" i="13"/>
  <c r="S17" i="13"/>
  <c r="V16" i="13"/>
  <c r="V17" i="13"/>
  <c r="Y16" i="13"/>
  <c r="Y17" i="13"/>
  <c r="AB16" i="13"/>
  <c r="AB17" i="13"/>
  <c r="AE16" i="13"/>
  <c r="AE17" i="13"/>
  <c r="AH16" i="13"/>
  <c r="AH17" i="13"/>
  <c r="AJ16" i="13"/>
  <c r="AJ17" i="13"/>
  <c r="AK16" i="13"/>
  <c r="AK17" i="13"/>
  <c r="AM16" i="13"/>
  <c r="AM17" i="13"/>
  <c r="AN16" i="13"/>
  <c r="AN17" i="13"/>
  <c r="AP16" i="13"/>
  <c r="AP17" i="13"/>
  <c r="AR16" i="13"/>
  <c r="AR17" i="13"/>
  <c r="AT16" i="13"/>
  <c r="AT17" i="13"/>
  <c r="AU16" i="13"/>
  <c r="AU17" i="13"/>
  <c r="AV16" i="13"/>
  <c r="AV17" i="13"/>
  <c r="AW16" i="13"/>
  <c r="AW17" i="13"/>
  <c r="AX16" i="13"/>
  <c r="AX17" i="13"/>
  <c r="AZ16" i="13"/>
  <c r="AZ17" i="13"/>
  <c r="BB16" i="13"/>
  <c r="BB17" i="13"/>
  <c r="BG17" i="13"/>
  <c r="V7" i="13" a="1"/>
  <c r="V7" i="13"/>
  <c r="V6" i="13" a="1"/>
  <c r="V6" i="13"/>
  <c r="V10" i="13"/>
  <c r="W7" i="13"/>
  <c r="W6" i="13"/>
  <c r="W10" i="13"/>
  <c r="X7" i="13"/>
  <c r="X6" i="13"/>
  <c r="X10" i="13"/>
  <c r="Y7" i="13"/>
  <c r="Y6" i="13"/>
  <c r="Y10" i="13"/>
  <c r="Z7" i="13"/>
  <c r="Z6" i="13"/>
  <c r="Z10" i="13"/>
  <c r="AA7" i="13"/>
  <c r="AA6" i="13"/>
  <c r="AA10" i="13"/>
  <c r="AB7" i="13"/>
  <c r="AB6" i="13"/>
  <c r="AB10" i="13"/>
  <c r="AC7" i="13"/>
  <c r="AC6" i="13"/>
  <c r="AC10" i="13"/>
  <c r="AD7" i="13"/>
  <c r="AD6" i="13"/>
  <c r="AD10" i="13"/>
  <c r="AE7" i="13"/>
  <c r="AE6" i="13"/>
  <c r="AE10" i="13"/>
  <c r="AF7" i="13"/>
  <c r="AF6" i="13"/>
  <c r="AF10" i="13"/>
  <c r="AG7" i="13"/>
  <c r="AG6" i="13"/>
  <c r="AG10" i="13"/>
  <c r="AH7" i="13"/>
  <c r="AH6" i="13"/>
  <c r="AH10" i="13"/>
  <c r="AI7" i="13"/>
  <c r="AI6" i="13"/>
  <c r="AI10" i="13"/>
  <c r="AJ7" i="13"/>
  <c r="AJ6" i="13"/>
  <c r="AJ10" i="13"/>
  <c r="AK7" i="13"/>
  <c r="AK6" i="13"/>
  <c r="AK10" i="13"/>
  <c r="AL7" i="13"/>
  <c r="AL6" i="13"/>
  <c r="AL10" i="13"/>
  <c r="AM7" i="13"/>
  <c r="AM6" i="13"/>
  <c r="AM10" i="13"/>
  <c r="AN7" i="13"/>
  <c r="AN6" i="13"/>
  <c r="AN10" i="13"/>
  <c r="AO7" i="13"/>
  <c r="AO6" i="13"/>
  <c r="AO10" i="13"/>
  <c r="AP7" i="13"/>
  <c r="AP6" i="13"/>
  <c r="AP10" i="13"/>
  <c r="AQ7" i="13"/>
  <c r="AQ6" i="13"/>
  <c r="AQ10" i="13"/>
  <c r="AR7" i="13"/>
  <c r="AR6" i="13"/>
  <c r="AR10" i="13"/>
  <c r="AS7" i="13"/>
  <c r="AS6" i="13"/>
  <c r="AS10" i="13"/>
  <c r="AT7" i="13"/>
  <c r="AT6" i="13"/>
  <c r="AT10" i="13"/>
  <c r="AU7" i="13"/>
  <c r="AU6" i="13"/>
  <c r="AU10" i="13"/>
  <c r="AV7" i="13"/>
  <c r="AV6" i="13"/>
  <c r="AV10" i="13"/>
  <c r="AW7" i="13"/>
  <c r="AW6" i="13"/>
  <c r="AW10" i="13"/>
  <c r="AX7" i="13"/>
  <c r="AX6" i="13"/>
  <c r="AX10" i="13"/>
  <c r="AY7" i="13"/>
  <c r="AY6" i="13"/>
  <c r="AY10" i="13"/>
  <c r="AZ7" i="13"/>
  <c r="AZ6" i="13"/>
  <c r="AZ10" i="13"/>
  <c r="BA7" i="13"/>
  <c r="BA6" i="13"/>
  <c r="BA10" i="13"/>
  <c r="BB7" i="13"/>
  <c r="BB6" i="13"/>
  <c r="BB10" i="13"/>
  <c r="BC7" i="13"/>
  <c r="BC6" i="13"/>
  <c r="BC10" i="13"/>
  <c r="BE10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BE9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F3" i="13"/>
  <c r="BE3" i="13"/>
  <c r="BC2" i="13"/>
  <c r="V272" i="13"/>
  <c r="V273" i="13"/>
  <c r="V274" i="13"/>
  <c r="V275" i="13"/>
  <c r="V276" i="13"/>
  <c r="V277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L6" i="165"/>
  <c r="K6" i="165"/>
  <c r="K7" i="165"/>
  <c r="L7" i="165"/>
  <c r="K8" i="165"/>
  <c r="L8" i="165"/>
  <c r="K9" i="165"/>
  <c r="L9" i="165"/>
  <c r="K10" i="165"/>
  <c r="L10" i="165"/>
  <c r="S97" i="23"/>
  <c r="T97" i="23"/>
  <c r="U97" i="23"/>
  <c r="V97" i="23"/>
  <c r="W97" i="23"/>
  <c r="X97" i="23"/>
  <c r="Y97" i="23"/>
  <c r="Z97" i="23"/>
  <c r="AA97" i="23"/>
  <c r="AB97" i="23"/>
  <c r="AC97" i="23"/>
  <c r="AD97" i="23"/>
  <c r="AE97" i="23"/>
  <c r="AF97" i="23"/>
  <c r="AG97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P97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C224" i="16"/>
  <c r="D224" i="16"/>
  <c r="E224" i="16"/>
  <c r="F224" i="16"/>
  <c r="G224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J224" i="16"/>
  <c r="I224" i="16"/>
  <c r="AE3" i="16"/>
  <c r="AE4" i="16"/>
  <c r="AE5" i="16"/>
  <c r="C36" i="179"/>
  <c r="D36" i="179"/>
  <c r="H27" i="179"/>
  <c r="H28" i="179"/>
  <c r="H29" i="179"/>
  <c r="H30" i="179"/>
  <c r="H31" i="179"/>
  <c r="H32" i="179"/>
  <c r="H33" i="179"/>
  <c r="H34" i="179"/>
  <c r="H35" i="179"/>
  <c r="H26" i="179"/>
  <c r="E137" i="128"/>
  <c r="N48" i="128"/>
  <c r="E138" i="128"/>
  <c r="N49" i="128"/>
  <c r="E139" i="128"/>
  <c r="N50" i="128"/>
  <c r="E140" i="128"/>
  <c r="N51" i="128"/>
  <c r="E141" i="128"/>
  <c r="N52" i="128"/>
  <c r="E142" i="128"/>
  <c r="N53" i="128"/>
  <c r="M49" i="128"/>
  <c r="M50" i="128"/>
  <c r="M51" i="128"/>
  <c r="M52" i="128"/>
  <c r="M53" i="128"/>
  <c r="M48" i="128"/>
  <c r="P54" i="128"/>
  <c r="E72" i="128"/>
  <c r="L49" i="128"/>
  <c r="E73" i="128"/>
  <c r="L50" i="128"/>
  <c r="E74" i="128"/>
  <c r="L51" i="128"/>
  <c r="E75" i="128"/>
  <c r="L52" i="128"/>
  <c r="E76" i="128"/>
  <c r="L53" i="128"/>
  <c r="E71" i="128"/>
  <c r="L48" i="128"/>
  <c r="C140" i="128"/>
  <c r="C141" i="128"/>
  <c r="C142" i="128"/>
  <c r="C143" i="128"/>
  <c r="E143" i="128"/>
  <c r="C144" i="128"/>
  <c r="E144" i="128"/>
  <c r="C145" i="128"/>
  <c r="E145" i="128"/>
  <c r="C146" i="128"/>
  <c r="E146" i="128"/>
  <c r="C147" i="128"/>
  <c r="E147" i="128"/>
  <c r="C148" i="128"/>
  <c r="E148" i="128"/>
  <c r="C149" i="128"/>
  <c r="E149" i="128"/>
  <c r="C150" i="128"/>
  <c r="E150" i="128"/>
  <c r="C151" i="128"/>
  <c r="E151" i="128"/>
  <c r="C152" i="128"/>
  <c r="E152" i="128"/>
  <c r="C153" i="128"/>
  <c r="E153" i="128"/>
  <c r="C154" i="128"/>
  <c r="E154" i="128"/>
  <c r="C155" i="128"/>
  <c r="E155" i="128"/>
  <c r="C156" i="128"/>
  <c r="E156" i="128"/>
  <c r="C157" i="128"/>
  <c r="E157" i="128"/>
  <c r="C158" i="128"/>
  <c r="E158" i="128"/>
  <c r="C159" i="128"/>
  <c r="E159" i="128"/>
  <c r="C160" i="128"/>
  <c r="E160" i="128"/>
  <c r="C161" i="128"/>
  <c r="E161" i="128"/>
  <c r="C162" i="128"/>
  <c r="E162" i="128"/>
  <c r="C163" i="128"/>
  <c r="E163" i="128"/>
  <c r="C164" i="128"/>
  <c r="E164" i="128"/>
  <c r="C165" i="128"/>
  <c r="E165" i="128"/>
  <c r="C166" i="128"/>
  <c r="E166" i="128"/>
  <c r="C95" i="128"/>
  <c r="C96" i="128"/>
  <c r="C97" i="128"/>
  <c r="C98" i="128"/>
  <c r="C99" i="128"/>
  <c r="C100" i="128"/>
  <c r="C101" i="128"/>
  <c r="C102" i="128"/>
  <c r="E102" i="128"/>
  <c r="C103" i="128"/>
  <c r="E103" i="128"/>
  <c r="C104" i="128"/>
  <c r="E104" i="128"/>
  <c r="C105" i="128"/>
  <c r="E105" i="128"/>
  <c r="C106" i="128"/>
  <c r="E106" i="128"/>
  <c r="C107" i="128"/>
  <c r="E107" i="128"/>
  <c r="C108" i="128"/>
  <c r="E108" i="128"/>
  <c r="C109" i="128"/>
  <c r="E109" i="128"/>
  <c r="C110" i="128"/>
  <c r="E110" i="128"/>
  <c r="C111" i="128"/>
  <c r="E111" i="128"/>
  <c r="C112" i="128"/>
  <c r="E112" i="128"/>
  <c r="C113" i="128"/>
  <c r="E113" i="128"/>
  <c r="C114" i="128"/>
  <c r="E114" i="128"/>
  <c r="C115" i="128"/>
  <c r="E115" i="128"/>
  <c r="C116" i="128"/>
  <c r="E116" i="128"/>
  <c r="C117" i="128"/>
  <c r="E117" i="128"/>
  <c r="C118" i="128"/>
  <c r="E118" i="128"/>
  <c r="C119" i="128"/>
  <c r="E119" i="128"/>
  <c r="C120" i="128"/>
  <c r="E120" i="128"/>
  <c r="C121" i="128"/>
  <c r="E121" i="128"/>
  <c r="C122" i="128"/>
  <c r="E122" i="128"/>
  <c r="C123" i="128"/>
  <c r="E123" i="128"/>
  <c r="C124" i="128"/>
  <c r="E124" i="128"/>
  <c r="C125" i="128"/>
  <c r="E125" i="128"/>
  <c r="C126" i="128"/>
  <c r="E126" i="128"/>
  <c r="C127" i="128"/>
  <c r="E127" i="128"/>
  <c r="C128" i="128"/>
  <c r="E128" i="128"/>
  <c r="C129" i="128"/>
  <c r="E129" i="128"/>
  <c r="C130" i="128"/>
  <c r="E130" i="128"/>
  <c r="C131" i="128"/>
  <c r="E131" i="128"/>
  <c r="C132" i="128"/>
  <c r="E132" i="128"/>
  <c r="C133" i="128"/>
  <c r="E133" i="128"/>
  <c r="C134" i="128"/>
  <c r="E134" i="128"/>
  <c r="C135" i="128"/>
  <c r="E135" i="128"/>
  <c r="C136" i="128"/>
  <c r="E136" i="128"/>
  <c r="C137" i="128"/>
  <c r="C138" i="128"/>
  <c r="C139" i="128"/>
  <c r="C89" i="128"/>
  <c r="C90" i="128"/>
  <c r="C91" i="128"/>
  <c r="C92" i="128"/>
  <c r="C93" i="128"/>
  <c r="C94" i="128"/>
  <c r="P49" i="128"/>
  <c r="P50" i="128"/>
  <c r="P51" i="128"/>
  <c r="P52" i="128"/>
  <c r="P53" i="128"/>
  <c r="P48" i="128"/>
  <c r="O49" i="128"/>
  <c r="O50" i="128"/>
  <c r="O51" i="128"/>
  <c r="O52" i="128"/>
  <c r="O53" i="128"/>
  <c r="E77" i="128"/>
  <c r="O48" i="128"/>
  <c r="E55" i="128"/>
  <c r="K50" i="128"/>
  <c r="E56" i="128"/>
  <c r="K51" i="128"/>
  <c r="E57" i="128"/>
  <c r="K52" i="128"/>
  <c r="E58" i="128"/>
  <c r="K53" i="128"/>
  <c r="E52" i="128"/>
  <c r="I3" i="183"/>
  <c r="I4" i="183"/>
  <c r="I5" i="183"/>
  <c r="I6" i="183"/>
  <c r="D144" i="183"/>
  <c r="D145" i="183"/>
  <c r="I7" i="183"/>
  <c r="C11" i="183"/>
  <c r="C13" i="183"/>
  <c r="I14" i="183"/>
  <c r="C17" i="183"/>
  <c r="C19" i="183"/>
  <c r="C23" i="183"/>
  <c r="C25" i="183"/>
  <c r="H154" i="13"/>
  <c r="H155" i="13"/>
  <c r="H156" i="13"/>
  <c r="H157" i="13"/>
  <c r="H165" i="13"/>
  <c r="D519" i="16"/>
  <c r="F519" i="16"/>
  <c r="G519" i="16"/>
  <c r="H519" i="16"/>
  <c r="I519" i="16"/>
  <c r="J519" i="16"/>
  <c r="A1" i="115"/>
  <c r="A4" i="115"/>
  <c r="AH181" i="23" a="1"/>
  <c r="B178" i="23"/>
  <c r="AH181" i="23"/>
  <c r="C178" i="23"/>
  <c r="AH182" i="23"/>
  <c r="D178" i="23"/>
  <c r="AH183" i="23"/>
  <c r="E178" i="23"/>
  <c r="AH184" i="23"/>
  <c r="F178" i="23"/>
  <c r="AH185" i="23"/>
  <c r="G178" i="23"/>
  <c r="AH186" i="23"/>
  <c r="H178" i="23"/>
  <c r="AH187" i="23"/>
  <c r="I178" i="23"/>
  <c r="AH188" i="23"/>
  <c r="J178" i="23"/>
  <c r="AH189" i="23"/>
  <c r="K178" i="23"/>
  <c r="AH190" i="23"/>
  <c r="L178" i="23"/>
  <c r="AH191" i="23"/>
  <c r="M178" i="23"/>
  <c r="AH192" i="23"/>
  <c r="N178" i="23"/>
  <c r="AH193" i="23"/>
  <c r="O178" i="23"/>
  <c r="AH194" i="23"/>
  <c r="P178" i="23"/>
  <c r="AH195" i="23"/>
  <c r="Q178" i="23"/>
  <c r="AH196" i="23"/>
  <c r="R178" i="23"/>
  <c r="AH197" i="23"/>
  <c r="S178" i="23"/>
  <c r="AH198" i="23"/>
  <c r="T178" i="23"/>
  <c r="AH199" i="23"/>
  <c r="U178" i="23"/>
  <c r="AH200" i="23"/>
  <c r="V178" i="23"/>
  <c r="AH201" i="23"/>
  <c r="W178" i="23"/>
  <c r="AH202" i="23"/>
  <c r="X178" i="23"/>
  <c r="AH203" i="23"/>
  <c r="Y178" i="23"/>
  <c r="AH204" i="23"/>
  <c r="Z178" i="23"/>
  <c r="AH205" i="23"/>
  <c r="AA178" i="23"/>
  <c r="AH206" i="23"/>
  <c r="AB178" i="23"/>
  <c r="AH207" i="23"/>
  <c r="AC178" i="23"/>
  <c r="AH208" i="23"/>
  <c r="AD178" i="23"/>
  <c r="AH209" i="23"/>
  <c r="AE178" i="23"/>
  <c r="AH210" i="23"/>
  <c r="AF178" i="23"/>
  <c r="AH211" i="23"/>
  <c r="AG178" i="23"/>
  <c r="AH212" i="23"/>
  <c r="AH178" i="23"/>
  <c r="AH213" i="23"/>
  <c r="AH176" i="23"/>
  <c r="Q181" i="23" a="1"/>
  <c r="B176" i="23"/>
  <c r="Q181" i="23"/>
  <c r="C176" i="23"/>
  <c r="Q182" i="23"/>
  <c r="D176" i="23"/>
  <c r="Q183" i="23"/>
  <c r="E176" i="23"/>
  <c r="Q184" i="23"/>
  <c r="F176" i="23"/>
  <c r="Q185" i="23"/>
  <c r="G176" i="23"/>
  <c r="Q186" i="23"/>
  <c r="H176" i="23"/>
  <c r="Q187" i="23"/>
  <c r="I176" i="23"/>
  <c r="Q188" i="23"/>
  <c r="J176" i="23"/>
  <c r="Q189" i="23"/>
  <c r="K176" i="23"/>
  <c r="Q190" i="23"/>
  <c r="L176" i="23"/>
  <c r="Q191" i="23"/>
  <c r="M176" i="23"/>
  <c r="Q192" i="23"/>
  <c r="N176" i="23"/>
  <c r="Q193" i="23"/>
  <c r="O176" i="23"/>
  <c r="Q194" i="23"/>
  <c r="P176" i="23"/>
  <c r="Q195" i="23"/>
  <c r="Q176" i="23"/>
  <c r="Q196" i="23"/>
  <c r="R176" i="23"/>
  <c r="Q197" i="23"/>
  <c r="S176" i="23"/>
  <c r="Q198" i="23"/>
  <c r="T176" i="23"/>
  <c r="Q199" i="23"/>
  <c r="U176" i="23"/>
  <c r="Q200" i="23"/>
  <c r="V176" i="23"/>
  <c r="Q201" i="23"/>
  <c r="W176" i="23"/>
  <c r="Q202" i="23"/>
  <c r="X176" i="23"/>
  <c r="Q203" i="23"/>
  <c r="Y176" i="23"/>
  <c r="Q204" i="23"/>
  <c r="Z176" i="23"/>
  <c r="Q205" i="23"/>
  <c r="AA176" i="23"/>
  <c r="Q206" i="23"/>
  <c r="AB176" i="23"/>
  <c r="Q207" i="23"/>
  <c r="AC176" i="23"/>
  <c r="Q208" i="23"/>
  <c r="AD176" i="23"/>
  <c r="Q209" i="23"/>
  <c r="AE176" i="23"/>
  <c r="Q210" i="23"/>
  <c r="AF176" i="23"/>
  <c r="Q211" i="23"/>
  <c r="AG176" i="23"/>
  <c r="Q212" i="23"/>
  <c r="Q213" i="23"/>
  <c r="S120" i="23"/>
  <c r="T120" i="23"/>
  <c r="U120" i="23"/>
  <c r="V120" i="23"/>
  <c r="W120" i="23"/>
  <c r="X120" i="23"/>
  <c r="Y120" i="23"/>
  <c r="Z120" i="23"/>
  <c r="AA120" i="23"/>
  <c r="AB120" i="23"/>
  <c r="AC120" i="23"/>
  <c r="AD120" i="23"/>
  <c r="AE120" i="23"/>
  <c r="AF120" i="23"/>
  <c r="AG120" i="23"/>
  <c r="A120" i="23"/>
  <c r="A235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P120" i="23"/>
  <c r="A96" i="23"/>
  <c r="A213" i="23"/>
  <c r="B96" i="23"/>
  <c r="B213" i="23"/>
  <c r="C96" i="23"/>
  <c r="C213" i="23"/>
  <c r="D96" i="23"/>
  <c r="D213" i="23"/>
  <c r="E96" i="23"/>
  <c r="E213" i="23"/>
  <c r="F96" i="23"/>
  <c r="F213" i="23"/>
  <c r="G96" i="23"/>
  <c r="G213" i="23"/>
  <c r="H96" i="23"/>
  <c r="H213" i="23"/>
  <c r="I96" i="23"/>
  <c r="I213" i="23"/>
  <c r="J96" i="23"/>
  <c r="J213" i="23"/>
  <c r="K96" i="23"/>
  <c r="K213" i="23"/>
  <c r="L96" i="23"/>
  <c r="L213" i="23"/>
  <c r="M96" i="23"/>
  <c r="M213" i="23"/>
  <c r="N96" i="23"/>
  <c r="N213" i="23"/>
  <c r="O96" i="23"/>
  <c r="O213" i="23"/>
  <c r="P96" i="23"/>
  <c r="P213" i="23"/>
  <c r="B93" i="23"/>
  <c r="B210" i="23"/>
  <c r="S96" i="23"/>
  <c r="S213" i="23"/>
  <c r="T96" i="23"/>
  <c r="T213" i="23"/>
  <c r="U96" i="23"/>
  <c r="U213" i="23"/>
  <c r="V96" i="23"/>
  <c r="V213" i="23"/>
  <c r="W96" i="23"/>
  <c r="W213" i="23"/>
  <c r="X96" i="23"/>
  <c r="X213" i="23"/>
  <c r="Y96" i="23"/>
  <c r="Y213" i="23"/>
  <c r="Z96" i="23"/>
  <c r="Z213" i="23"/>
  <c r="AA96" i="23"/>
  <c r="AA213" i="23"/>
  <c r="AB96" i="23"/>
  <c r="AB213" i="23"/>
  <c r="AC96" i="23"/>
  <c r="AC213" i="23"/>
  <c r="AD96" i="23"/>
  <c r="AD213" i="23"/>
  <c r="AE96" i="23"/>
  <c r="AE213" i="23"/>
  <c r="AF96" i="23"/>
  <c r="AF213" i="23"/>
  <c r="AG96" i="23"/>
  <c r="AG213" i="23"/>
  <c r="S173" i="23"/>
  <c r="T173" i="23"/>
  <c r="U173" i="23"/>
  <c r="V173" i="23"/>
  <c r="W173" i="23"/>
  <c r="X173" i="23"/>
  <c r="Y173" i="23"/>
  <c r="Z173" i="23"/>
  <c r="AA173" i="23"/>
  <c r="AB173" i="23"/>
  <c r="AC173" i="23"/>
  <c r="AD173" i="23"/>
  <c r="AE173" i="23"/>
  <c r="AF173" i="23"/>
  <c r="AG173" i="23"/>
  <c r="BB19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109" i="118"/>
  <c r="S54" i="118"/>
  <c r="R54" i="118"/>
  <c r="Q54" i="118"/>
  <c r="P54" i="118"/>
  <c r="O54" i="118"/>
  <c r="E54" i="118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S22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T24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F77" i="128"/>
  <c r="F66" i="128"/>
  <c r="E66" i="128"/>
  <c r="G66" i="128"/>
  <c r="H66" i="128"/>
  <c r="F67" i="128"/>
  <c r="E67" i="128"/>
  <c r="G67" i="128"/>
  <c r="H67" i="128"/>
  <c r="F68" i="128"/>
  <c r="E68" i="128"/>
  <c r="G68" i="128"/>
  <c r="H68" i="128"/>
  <c r="F69" i="128"/>
  <c r="E69" i="128"/>
  <c r="G69" i="128"/>
  <c r="H69" i="128"/>
  <c r="F70" i="128"/>
  <c r="E70" i="128"/>
  <c r="G70" i="128"/>
  <c r="H70" i="128"/>
  <c r="F65" i="128"/>
  <c r="F52" i="128"/>
  <c r="G52" i="128"/>
  <c r="H52" i="128"/>
  <c r="E59" i="128"/>
  <c r="E60" i="128"/>
  <c r="E61" i="128"/>
  <c r="E62" i="128"/>
  <c r="E63" i="128"/>
  <c r="E64" i="128"/>
  <c r="E65" i="128"/>
  <c r="C52" i="128"/>
  <c r="C55" i="128"/>
  <c r="C56" i="128"/>
  <c r="C57" i="128"/>
  <c r="C58" i="128"/>
  <c r="C59" i="128"/>
  <c r="C60" i="128"/>
  <c r="C61" i="128"/>
  <c r="C62" i="128"/>
  <c r="C63" i="128"/>
  <c r="C64" i="128"/>
  <c r="C65" i="128"/>
  <c r="C66" i="128"/>
  <c r="C67" i="128"/>
  <c r="C68" i="128"/>
  <c r="C69" i="128"/>
  <c r="C70" i="128"/>
  <c r="C71" i="128"/>
  <c r="C72" i="128"/>
  <c r="C73" i="128"/>
  <c r="C74" i="128"/>
  <c r="C75" i="128"/>
  <c r="C76" i="128"/>
  <c r="C77" i="128"/>
  <c r="C78" i="128"/>
  <c r="C79" i="128"/>
  <c r="C80" i="128"/>
  <c r="C81" i="128"/>
  <c r="C82" i="128"/>
  <c r="C83" i="128"/>
  <c r="C84" i="128"/>
  <c r="C85" i="128"/>
  <c r="C86" i="128"/>
  <c r="C87" i="128"/>
  <c r="C88" i="128"/>
  <c r="C54" i="128"/>
  <c r="C51" i="128"/>
  <c r="AL157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U157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C158" i="13"/>
  <c r="D158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B435" i="13"/>
  <c r="BB2" i="13"/>
  <c r="AI125" i="23"/>
  <c r="AI126" i="23"/>
  <c r="D129" i="23" a="1"/>
  <c r="D125" i="23"/>
  <c r="D129" i="23"/>
  <c r="D126" i="23"/>
  <c r="E129" i="23"/>
  <c r="E125" i="23"/>
  <c r="D130" i="23"/>
  <c r="E126" i="23"/>
  <c r="E130" i="23"/>
  <c r="F125" i="23"/>
  <c r="D131" i="23"/>
  <c r="F126" i="23"/>
  <c r="E131" i="23"/>
  <c r="G125" i="23"/>
  <c r="D132" i="23"/>
  <c r="G126" i="23"/>
  <c r="E132" i="23"/>
  <c r="H125" i="23"/>
  <c r="D133" i="23"/>
  <c r="H126" i="23"/>
  <c r="E133" i="23"/>
  <c r="I125" i="23"/>
  <c r="D134" i="23"/>
  <c r="I126" i="23"/>
  <c r="E134" i="23"/>
  <c r="J125" i="23"/>
  <c r="D135" i="23"/>
  <c r="J126" i="23"/>
  <c r="E135" i="23"/>
  <c r="K125" i="23"/>
  <c r="D136" i="23"/>
  <c r="K126" i="23"/>
  <c r="E136" i="23"/>
  <c r="L125" i="23"/>
  <c r="D137" i="23"/>
  <c r="L126" i="23"/>
  <c r="E137" i="23"/>
  <c r="M125" i="23"/>
  <c r="D138" i="23"/>
  <c r="M126" i="23"/>
  <c r="E138" i="23"/>
  <c r="N125" i="23"/>
  <c r="D139" i="23"/>
  <c r="N126" i="23"/>
  <c r="E139" i="23"/>
  <c r="O125" i="23"/>
  <c r="D140" i="23"/>
  <c r="O126" i="23"/>
  <c r="E140" i="23"/>
  <c r="P125" i="23"/>
  <c r="D141" i="23"/>
  <c r="P126" i="23"/>
  <c r="E141" i="23"/>
  <c r="Q125" i="23"/>
  <c r="D142" i="23"/>
  <c r="Q126" i="23"/>
  <c r="E142" i="23"/>
  <c r="R125" i="23"/>
  <c r="D143" i="23"/>
  <c r="R126" i="23"/>
  <c r="E143" i="23"/>
  <c r="S125" i="23"/>
  <c r="D144" i="23"/>
  <c r="S126" i="23"/>
  <c r="E144" i="23"/>
  <c r="T125" i="23"/>
  <c r="D145" i="23"/>
  <c r="T126" i="23"/>
  <c r="E145" i="23"/>
  <c r="U125" i="23"/>
  <c r="D146" i="23"/>
  <c r="U126" i="23"/>
  <c r="E146" i="23"/>
  <c r="V125" i="23"/>
  <c r="D147" i="23"/>
  <c r="V126" i="23"/>
  <c r="E147" i="23"/>
  <c r="W125" i="23"/>
  <c r="D148" i="23"/>
  <c r="W126" i="23"/>
  <c r="E148" i="23"/>
  <c r="X125" i="23"/>
  <c r="D149" i="23"/>
  <c r="X126" i="23"/>
  <c r="E149" i="23"/>
  <c r="Y125" i="23"/>
  <c r="D150" i="23"/>
  <c r="Y126" i="23"/>
  <c r="E150" i="23"/>
  <c r="Z125" i="23"/>
  <c r="D151" i="23"/>
  <c r="Z126" i="23"/>
  <c r="E151" i="23"/>
  <c r="AA125" i="23"/>
  <c r="D152" i="23"/>
  <c r="AA126" i="23"/>
  <c r="E152" i="23"/>
  <c r="AB125" i="23"/>
  <c r="D153" i="23"/>
  <c r="AB126" i="23"/>
  <c r="E153" i="23"/>
  <c r="AC125" i="23"/>
  <c r="D154" i="23"/>
  <c r="AC126" i="23"/>
  <c r="E154" i="23"/>
  <c r="AD125" i="23"/>
  <c r="D155" i="23"/>
  <c r="AD126" i="23"/>
  <c r="E155" i="23"/>
  <c r="AE125" i="23"/>
  <c r="D156" i="23"/>
  <c r="AE126" i="23"/>
  <c r="E156" i="23"/>
  <c r="AF125" i="23"/>
  <c r="D157" i="23"/>
  <c r="AF126" i="23"/>
  <c r="E157" i="23"/>
  <c r="AG125" i="23"/>
  <c r="D158" i="23"/>
  <c r="AG126" i="23"/>
  <c r="E158" i="23"/>
  <c r="AH125" i="23"/>
  <c r="D159" i="23"/>
  <c r="AH126" i="23"/>
  <c r="E159" i="23"/>
  <c r="D160" i="23"/>
  <c r="E160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E29" i="128"/>
  <c r="E30" i="128"/>
  <c r="E31" i="128"/>
  <c r="E32" i="128"/>
  <c r="E33" i="128"/>
  <c r="E34" i="128"/>
  <c r="E35" i="128"/>
  <c r="E36" i="128"/>
  <c r="E37" i="128"/>
  <c r="E38" i="128"/>
  <c r="E39" i="128"/>
  <c r="E40" i="128"/>
  <c r="E41" i="128"/>
  <c r="E42" i="128"/>
  <c r="E43" i="128"/>
  <c r="I29" i="128"/>
  <c r="E51" i="128"/>
  <c r="I30" i="128"/>
  <c r="E342" i="16"/>
  <c r="E238" i="165"/>
  <c r="E226" i="165"/>
  <c r="F238" i="165"/>
  <c r="F226" i="165"/>
  <c r="G238" i="165"/>
  <c r="G226" i="165"/>
  <c r="H238" i="165"/>
  <c r="H226" i="165"/>
  <c r="I238" i="165"/>
  <c r="I226" i="165"/>
  <c r="J238" i="165"/>
  <c r="J226" i="165"/>
  <c r="K238" i="165"/>
  <c r="K226" i="165"/>
  <c r="L238" i="165"/>
  <c r="L226" i="165"/>
  <c r="M238" i="165"/>
  <c r="M226" i="165"/>
  <c r="N238" i="165"/>
  <c r="N226" i="165"/>
  <c r="O238" i="165"/>
  <c r="O226" i="165"/>
  <c r="P238" i="165"/>
  <c r="P226" i="165"/>
  <c r="D238" i="165"/>
  <c r="D226" i="165"/>
  <c r="Q238" i="165"/>
  <c r="C238" i="165"/>
  <c r="B59" i="128"/>
  <c r="B65" i="128"/>
  <c r="B71" i="128"/>
  <c r="B77" i="128"/>
  <c r="B83" i="128"/>
  <c r="B89" i="128"/>
  <c r="B95" i="128"/>
  <c r="B101" i="128"/>
  <c r="B107" i="128"/>
  <c r="B113" i="128"/>
  <c r="B119" i="128"/>
  <c r="B125" i="128"/>
  <c r="B131" i="128"/>
  <c r="B137" i="128"/>
  <c r="B143" i="128"/>
  <c r="B149" i="128"/>
  <c r="B155" i="128"/>
  <c r="B161" i="128"/>
  <c r="H77" i="128"/>
  <c r="G77" i="128"/>
  <c r="H31" i="59"/>
  <c r="H33" i="59"/>
  <c r="H49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87" i="59"/>
  <c r="H88" i="59"/>
  <c r="H89" i="59"/>
  <c r="H90" i="59"/>
  <c r="H91" i="59"/>
  <c r="H92" i="59"/>
  <c r="H93" i="59"/>
  <c r="H94" i="59"/>
  <c r="H95" i="59"/>
  <c r="H96" i="59"/>
  <c r="H97" i="59"/>
  <c r="H98" i="59"/>
  <c r="H99" i="59"/>
  <c r="H100" i="59"/>
  <c r="H101" i="59"/>
  <c r="H135" i="59"/>
  <c r="H136" i="59"/>
  <c r="H137" i="59"/>
  <c r="H138" i="59"/>
  <c r="H139" i="59"/>
  <c r="H140" i="59"/>
  <c r="H141" i="59"/>
  <c r="H142" i="59"/>
  <c r="H143" i="59"/>
  <c r="H144" i="59"/>
  <c r="H145" i="59"/>
  <c r="H146" i="59"/>
  <c r="H147" i="59"/>
  <c r="H148" i="59"/>
  <c r="H149" i="59"/>
  <c r="H151" i="59"/>
  <c r="H155" i="59"/>
  <c r="H157" i="59"/>
  <c r="H159" i="59"/>
  <c r="H161" i="59"/>
  <c r="H163" i="59"/>
  <c r="H165" i="59"/>
  <c r="H167" i="59"/>
  <c r="H169" i="59"/>
  <c r="H185" i="59"/>
  <c r="D606" i="16"/>
  <c r="D607" i="16"/>
  <c r="D608" i="16"/>
  <c r="D609" i="16"/>
  <c r="D605" i="16"/>
  <c r="H29" i="59"/>
  <c r="A103" i="52"/>
  <c r="A104" i="52"/>
  <c r="A70" i="52"/>
  <c r="A71" i="52"/>
  <c r="A61" i="52"/>
  <c r="A60" i="52"/>
  <c r="A59" i="52"/>
  <c r="A58" i="52"/>
  <c r="A57" i="52"/>
  <c r="A56" i="52"/>
  <c r="A41" i="52"/>
  <c r="A42" i="52"/>
  <c r="A43" i="52"/>
  <c r="A44" i="52"/>
  <c r="A198" i="52"/>
  <c r="A249" i="52"/>
  <c r="A22" i="52"/>
  <c r="A23" i="52"/>
  <c r="A21" i="52"/>
  <c r="A2" i="52"/>
  <c r="A10" i="52"/>
  <c r="L219" i="165"/>
  <c r="K219" i="165"/>
  <c r="L218" i="165"/>
  <c r="J219" i="165"/>
  <c r="J218" i="165"/>
  <c r="N218" i="165"/>
  <c r="N219" i="165"/>
  <c r="I219" i="165"/>
  <c r="I218" i="165"/>
  <c r="E219" i="165"/>
  <c r="E218" i="165"/>
  <c r="P219" i="165"/>
  <c r="P218" i="165"/>
  <c r="G218" i="165"/>
  <c r="G219" i="165"/>
  <c r="O218" i="165"/>
  <c r="O219" i="165"/>
  <c r="F219" i="165"/>
  <c r="F218" i="165"/>
  <c r="Q218" i="165"/>
  <c r="Q219" i="165"/>
  <c r="M218" i="165"/>
  <c r="M219" i="165"/>
  <c r="H218" i="165"/>
  <c r="H219" i="165"/>
  <c r="D219" i="165"/>
  <c r="D218" i="165"/>
  <c r="AQ3" i="23"/>
  <c r="AQ4" i="23"/>
  <c r="AQ5" i="23"/>
  <c r="AQ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B3" i="23" a="1"/>
  <c r="N6" i="23"/>
  <c r="S3" i="23" a="1"/>
  <c r="S11" i="23"/>
  <c r="AQ34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Q35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Q36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Q37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Q38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Q39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Q40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Q41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Q42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Q43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Q44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Q45" i="23"/>
  <c r="A46" i="23"/>
  <c r="AQ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57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B58" i="23"/>
  <c r="AC58" i="23"/>
  <c r="AD58" i="23"/>
  <c r="AE58" i="23"/>
  <c r="AF58" i="23"/>
  <c r="AG58" i="23"/>
  <c r="AH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B64" i="23" a="1"/>
  <c r="D64" i="23"/>
  <c r="S64" i="23" a="1"/>
  <c r="W65" i="23"/>
  <c r="AQ77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Q78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Q79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Q80" i="23"/>
  <c r="AU80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Q81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Q82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P83" i="23"/>
  <c r="S83" i="23"/>
  <c r="T83" i="23"/>
  <c r="U83" i="23"/>
  <c r="V83" i="23"/>
  <c r="W83" i="23"/>
  <c r="X83" i="23"/>
  <c r="Y83" i="23"/>
  <c r="Z83" i="23"/>
  <c r="AA83" i="23"/>
  <c r="AB83" i="23"/>
  <c r="AC83" i="23"/>
  <c r="AD83" i="23"/>
  <c r="AE83" i="23"/>
  <c r="AF83" i="23"/>
  <c r="AG83" i="23"/>
  <c r="AQ83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P84" i="23"/>
  <c r="S84" i="23"/>
  <c r="T84" i="23"/>
  <c r="U84" i="23"/>
  <c r="V84" i="23"/>
  <c r="W84" i="23"/>
  <c r="X84" i="23"/>
  <c r="Y84" i="23"/>
  <c r="Z84" i="23"/>
  <c r="AA84" i="23"/>
  <c r="AB84" i="23"/>
  <c r="AC84" i="23"/>
  <c r="AD84" i="23"/>
  <c r="AE84" i="23"/>
  <c r="AF84" i="23"/>
  <c r="AG84" i="23"/>
  <c r="AQ84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P85" i="23"/>
  <c r="S85" i="23"/>
  <c r="T85" i="23"/>
  <c r="U85" i="23"/>
  <c r="V85" i="23"/>
  <c r="W85" i="23"/>
  <c r="X85" i="23"/>
  <c r="Y85" i="23"/>
  <c r="Z85" i="23"/>
  <c r="AA85" i="23"/>
  <c r="AB85" i="23"/>
  <c r="AC85" i="23"/>
  <c r="AD85" i="23"/>
  <c r="AE85" i="23"/>
  <c r="AF85" i="23"/>
  <c r="AG85" i="23"/>
  <c r="AQ85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S86" i="23"/>
  <c r="T86" i="23"/>
  <c r="U86" i="23"/>
  <c r="V86" i="23"/>
  <c r="W86" i="23"/>
  <c r="X86" i="23"/>
  <c r="Y86" i="23"/>
  <c r="Z86" i="23"/>
  <c r="AA86" i="23"/>
  <c r="AB86" i="23"/>
  <c r="AC86" i="23"/>
  <c r="AD86" i="23"/>
  <c r="AE86" i="23"/>
  <c r="AF86" i="23"/>
  <c r="AG86" i="23"/>
  <c r="AQ86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P87" i="23"/>
  <c r="S87" i="23"/>
  <c r="T87" i="23"/>
  <c r="U87" i="23"/>
  <c r="V87" i="23"/>
  <c r="W87" i="23"/>
  <c r="X87" i="23"/>
  <c r="Y87" i="23"/>
  <c r="Z87" i="23"/>
  <c r="AA87" i="23"/>
  <c r="AB87" i="23"/>
  <c r="AC87" i="23"/>
  <c r="AD87" i="23"/>
  <c r="AE87" i="23"/>
  <c r="AF87" i="23"/>
  <c r="AG87" i="23"/>
  <c r="AQ87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P88" i="23"/>
  <c r="S88" i="23"/>
  <c r="T88" i="23"/>
  <c r="U88" i="23"/>
  <c r="V88" i="23"/>
  <c r="W88" i="23"/>
  <c r="X88" i="23"/>
  <c r="Y88" i="23"/>
  <c r="Z88" i="23"/>
  <c r="AA88" i="23"/>
  <c r="AB88" i="23"/>
  <c r="AC88" i="23"/>
  <c r="AD88" i="23"/>
  <c r="AE88" i="23"/>
  <c r="AF88" i="23"/>
  <c r="AG88" i="23"/>
  <c r="AQ88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P89" i="23"/>
  <c r="S89" i="23"/>
  <c r="T89" i="23"/>
  <c r="U89" i="23"/>
  <c r="V89" i="23"/>
  <c r="W89" i="23"/>
  <c r="X89" i="23"/>
  <c r="Y89" i="23"/>
  <c r="Z89" i="23"/>
  <c r="AA89" i="23"/>
  <c r="AB89" i="23"/>
  <c r="AC89" i="23"/>
  <c r="AD89" i="23"/>
  <c r="AE89" i="23"/>
  <c r="AF89" i="23"/>
  <c r="AG89" i="23"/>
  <c r="AQ89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S90" i="23"/>
  <c r="T90" i="23"/>
  <c r="U90" i="23"/>
  <c r="V90" i="23"/>
  <c r="W90" i="23"/>
  <c r="X90" i="23"/>
  <c r="Y90" i="23"/>
  <c r="Z90" i="23"/>
  <c r="AA90" i="23"/>
  <c r="AB90" i="23"/>
  <c r="AC90" i="23"/>
  <c r="AD90" i="23"/>
  <c r="AE90" i="23"/>
  <c r="AF90" i="23"/>
  <c r="AG90" i="23"/>
  <c r="AQ90" i="23"/>
  <c r="A91" i="23"/>
  <c r="A208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S91" i="23"/>
  <c r="T91" i="23"/>
  <c r="U91" i="23"/>
  <c r="V91" i="23"/>
  <c r="W91" i="23"/>
  <c r="X91" i="23"/>
  <c r="Y91" i="23"/>
  <c r="Z91" i="23"/>
  <c r="AA91" i="23"/>
  <c r="AB91" i="23"/>
  <c r="AC91" i="23"/>
  <c r="AD91" i="23"/>
  <c r="AE91" i="23"/>
  <c r="AF91" i="23"/>
  <c r="AG91" i="23"/>
  <c r="A92" i="23"/>
  <c r="AQ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S92" i="23"/>
  <c r="T92" i="23"/>
  <c r="U92" i="23"/>
  <c r="V92" i="23"/>
  <c r="W92" i="23"/>
  <c r="X92" i="23"/>
  <c r="Y92" i="23"/>
  <c r="Z92" i="23"/>
  <c r="AA92" i="23"/>
  <c r="AB92" i="23"/>
  <c r="AC92" i="23"/>
  <c r="AD92" i="23"/>
  <c r="AE92" i="23"/>
  <c r="AF92" i="23"/>
  <c r="AG92" i="23"/>
  <c r="A93" i="23"/>
  <c r="AQ93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P93" i="23"/>
  <c r="S93" i="23"/>
  <c r="T93" i="23"/>
  <c r="U93" i="23"/>
  <c r="V93" i="23"/>
  <c r="W93" i="23"/>
  <c r="X93" i="23"/>
  <c r="Y93" i="23"/>
  <c r="Z93" i="23"/>
  <c r="AA93" i="23"/>
  <c r="AB93" i="23"/>
  <c r="AC93" i="23"/>
  <c r="AD93" i="23"/>
  <c r="AE93" i="23"/>
  <c r="AF93" i="23"/>
  <c r="AG93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P94" i="23"/>
  <c r="S94" i="23"/>
  <c r="T94" i="23"/>
  <c r="U94" i="23"/>
  <c r="V94" i="23"/>
  <c r="W94" i="23"/>
  <c r="X94" i="23"/>
  <c r="Y94" i="23"/>
  <c r="Z94" i="23"/>
  <c r="AA94" i="23"/>
  <c r="AB94" i="23"/>
  <c r="AC94" i="23"/>
  <c r="AD94" i="23"/>
  <c r="AE94" i="23"/>
  <c r="AF94" i="23"/>
  <c r="AG94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P95" i="23"/>
  <c r="S95" i="23"/>
  <c r="T95" i="23"/>
  <c r="U95" i="23"/>
  <c r="V95" i="23"/>
  <c r="W95" i="23"/>
  <c r="X95" i="23"/>
  <c r="Y95" i="23"/>
  <c r="Z95" i="23"/>
  <c r="AA95" i="23"/>
  <c r="AB95" i="23"/>
  <c r="AC95" i="23"/>
  <c r="AD95" i="23"/>
  <c r="AE95" i="23"/>
  <c r="AF95" i="23"/>
  <c r="AG95" i="23"/>
  <c r="AQ102" i="23"/>
  <c r="A103" i="23"/>
  <c r="AQ103" i="23"/>
  <c r="A104" i="23"/>
  <c r="A105" i="23"/>
  <c r="AQ105" i="23"/>
  <c r="AQ104" i="23"/>
  <c r="A106" i="23"/>
  <c r="B102" i="23" a="1"/>
  <c r="C102" i="23"/>
  <c r="S102" i="23" a="1"/>
  <c r="AD107" i="23"/>
  <c r="U102" i="23"/>
  <c r="AQ108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P109" i="23"/>
  <c r="S109" i="23"/>
  <c r="T109" i="23"/>
  <c r="U109" i="23"/>
  <c r="V109" i="23"/>
  <c r="W109" i="23"/>
  <c r="X109" i="23"/>
  <c r="Y109" i="23"/>
  <c r="Z109" i="23"/>
  <c r="AA109" i="23"/>
  <c r="AB109" i="23"/>
  <c r="AC109" i="23"/>
  <c r="AD109" i="23"/>
  <c r="AE109" i="23"/>
  <c r="AF109" i="23"/>
  <c r="AG109" i="23"/>
  <c r="AQ109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S110" i="23"/>
  <c r="T110" i="23"/>
  <c r="U110" i="23"/>
  <c r="V110" i="23"/>
  <c r="W110" i="23"/>
  <c r="X110" i="23"/>
  <c r="Y110" i="23"/>
  <c r="Z110" i="23"/>
  <c r="AA110" i="23"/>
  <c r="AB110" i="23"/>
  <c r="AC110" i="23"/>
  <c r="AD110" i="23"/>
  <c r="AE110" i="23"/>
  <c r="AF110" i="23"/>
  <c r="AG110" i="23"/>
  <c r="AQ110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P111" i="23"/>
  <c r="S111" i="23"/>
  <c r="T111" i="23"/>
  <c r="U111" i="23"/>
  <c r="V111" i="23"/>
  <c r="W111" i="23"/>
  <c r="X111" i="23"/>
  <c r="Y111" i="23"/>
  <c r="Z111" i="23"/>
  <c r="AA111" i="23"/>
  <c r="AB111" i="23"/>
  <c r="AC111" i="23"/>
  <c r="AD111" i="23"/>
  <c r="AE111" i="23"/>
  <c r="AF111" i="23"/>
  <c r="AG111" i="23"/>
  <c r="AQ111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S112" i="23"/>
  <c r="T112" i="23"/>
  <c r="U112" i="23"/>
  <c r="V112" i="23"/>
  <c r="W112" i="23"/>
  <c r="X112" i="23"/>
  <c r="Y112" i="23"/>
  <c r="Z112" i="23"/>
  <c r="AA112" i="23"/>
  <c r="AB112" i="23"/>
  <c r="AC112" i="23"/>
  <c r="AD112" i="23"/>
  <c r="AE112" i="23"/>
  <c r="AF112" i="23"/>
  <c r="AG112" i="23"/>
  <c r="AQ112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P113" i="23"/>
  <c r="S113" i="23"/>
  <c r="T113" i="23"/>
  <c r="U113" i="23"/>
  <c r="V113" i="23"/>
  <c r="W113" i="23"/>
  <c r="X113" i="23"/>
  <c r="Y113" i="23"/>
  <c r="Z113" i="23"/>
  <c r="AA113" i="23"/>
  <c r="AB113" i="23"/>
  <c r="AC113" i="23"/>
  <c r="AD113" i="23"/>
  <c r="AE113" i="23"/>
  <c r="AF113" i="23"/>
  <c r="AG113" i="23"/>
  <c r="AQ113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S114" i="23"/>
  <c r="T114" i="23"/>
  <c r="U114" i="23"/>
  <c r="V114" i="23"/>
  <c r="W114" i="23"/>
  <c r="X114" i="23"/>
  <c r="Y114" i="23"/>
  <c r="Z114" i="23"/>
  <c r="AA114" i="23"/>
  <c r="AB114" i="23"/>
  <c r="AC114" i="23"/>
  <c r="AD114" i="23"/>
  <c r="AE114" i="23"/>
  <c r="AF114" i="23"/>
  <c r="AG114" i="23"/>
  <c r="AQ114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P115" i="23"/>
  <c r="S115" i="23"/>
  <c r="T115" i="23"/>
  <c r="U115" i="23"/>
  <c r="V115" i="23"/>
  <c r="W115" i="23"/>
  <c r="X115" i="23"/>
  <c r="Y115" i="23"/>
  <c r="Z115" i="23"/>
  <c r="AA115" i="23"/>
  <c r="AB115" i="23"/>
  <c r="AC115" i="23"/>
  <c r="AD115" i="23"/>
  <c r="AE115" i="23"/>
  <c r="AF115" i="23"/>
  <c r="AG115" i="23"/>
  <c r="AQ115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P116" i="23"/>
  <c r="S116" i="23"/>
  <c r="T116" i="23"/>
  <c r="U116" i="23"/>
  <c r="V116" i="23"/>
  <c r="W116" i="23"/>
  <c r="X116" i="23"/>
  <c r="Y116" i="23"/>
  <c r="Z116" i="23"/>
  <c r="AA116" i="23"/>
  <c r="AB116" i="23"/>
  <c r="AC116" i="23"/>
  <c r="AD116" i="23"/>
  <c r="AE116" i="23"/>
  <c r="AF116" i="23"/>
  <c r="AG116" i="23"/>
  <c r="AQ116" i="23"/>
  <c r="A117" i="23"/>
  <c r="AQ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P117" i="23"/>
  <c r="S117" i="23"/>
  <c r="T117" i="23"/>
  <c r="U117" i="23"/>
  <c r="V117" i="23"/>
  <c r="W117" i="23"/>
  <c r="X117" i="23"/>
  <c r="Y117" i="23"/>
  <c r="Z117" i="23"/>
  <c r="AA117" i="23"/>
  <c r="AB117" i="23"/>
  <c r="AC117" i="23"/>
  <c r="AD117" i="23"/>
  <c r="AE117" i="23"/>
  <c r="AF117" i="23"/>
  <c r="AG117" i="23"/>
  <c r="A118" i="23"/>
  <c r="AQ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P118" i="23"/>
  <c r="S118" i="23"/>
  <c r="T118" i="23"/>
  <c r="U118" i="23"/>
  <c r="V118" i="23"/>
  <c r="W118" i="23"/>
  <c r="X118" i="23"/>
  <c r="Y118" i="23"/>
  <c r="Z118" i="23"/>
  <c r="AA118" i="23"/>
  <c r="AB118" i="23"/>
  <c r="AC118" i="23"/>
  <c r="AD118" i="23"/>
  <c r="AE118" i="23"/>
  <c r="AF118" i="23"/>
  <c r="AG118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P119" i="23"/>
  <c r="S119" i="23"/>
  <c r="T119" i="23"/>
  <c r="U119" i="23"/>
  <c r="V119" i="23"/>
  <c r="W119" i="23"/>
  <c r="X119" i="23"/>
  <c r="Y119" i="23"/>
  <c r="Z119" i="23"/>
  <c r="AA119" i="23"/>
  <c r="AB119" i="23"/>
  <c r="AC119" i="23"/>
  <c r="AD119" i="23"/>
  <c r="AE119" i="23"/>
  <c r="AF119" i="23"/>
  <c r="AG119" i="23"/>
  <c r="C125" i="23"/>
  <c r="C126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A168" i="23"/>
  <c r="S168" i="23"/>
  <c r="T168" i="23"/>
  <c r="U168" i="23"/>
  <c r="V168" i="23"/>
  <c r="W168" i="23"/>
  <c r="X168" i="23"/>
  <c r="Y168" i="23"/>
  <c r="Z168" i="23"/>
  <c r="AA168" i="23"/>
  <c r="AB168" i="23"/>
  <c r="AC168" i="23"/>
  <c r="AD168" i="23"/>
  <c r="AE168" i="23"/>
  <c r="AF168" i="23"/>
  <c r="AG168" i="23"/>
  <c r="A169" i="23"/>
  <c r="S169" i="23"/>
  <c r="T169" i="23"/>
  <c r="U169" i="23"/>
  <c r="V169" i="23"/>
  <c r="W169" i="23"/>
  <c r="X169" i="23"/>
  <c r="Y169" i="23"/>
  <c r="Z169" i="23"/>
  <c r="AA169" i="23"/>
  <c r="AB169" i="23"/>
  <c r="AC169" i="23"/>
  <c r="AD169" i="23"/>
  <c r="AE169" i="23"/>
  <c r="AF169" i="23"/>
  <c r="AG169" i="23"/>
  <c r="S170" i="23"/>
  <c r="T170" i="23"/>
  <c r="U170" i="23"/>
  <c r="V170" i="23"/>
  <c r="W170" i="23"/>
  <c r="X170" i="23"/>
  <c r="Y170" i="23"/>
  <c r="Z170" i="23"/>
  <c r="AA170" i="23"/>
  <c r="AB170" i="23"/>
  <c r="AC170" i="23"/>
  <c r="AD170" i="23"/>
  <c r="AE170" i="23"/>
  <c r="AF170" i="23"/>
  <c r="AG170" i="23"/>
  <c r="S171" i="23"/>
  <c r="T171" i="23"/>
  <c r="U171" i="23"/>
  <c r="V171" i="23"/>
  <c r="W171" i="23"/>
  <c r="X171" i="23"/>
  <c r="Y171" i="23"/>
  <c r="Z171" i="23"/>
  <c r="AA171" i="23"/>
  <c r="AB171" i="23"/>
  <c r="AC171" i="23"/>
  <c r="AD171" i="23"/>
  <c r="AE171" i="23"/>
  <c r="AF171" i="23"/>
  <c r="AG171" i="23"/>
  <c r="S172" i="23"/>
  <c r="T172" i="23"/>
  <c r="U172" i="23"/>
  <c r="V172" i="23"/>
  <c r="W172" i="23"/>
  <c r="X172" i="23"/>
  <c r="Y172" i="23"/>
  <c r="Z172" i="23"/>
  <c r="AA172" i="23"/>
  <c r="AB172" i="23"/>
  <c r="AC172" i="23"/>
  <c r="AD172" i="23"/>
  <c r="AE172" i="23"/>
  <c r="AF172" i="23"/>
  <c r="AG172" i="23"/>
  <c r="A175" i="23"/>
  <c r="B175" i="23"/>
  <c r="C175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N177" i="23"/>
  <c r="O177" i="23"/>
  <c r="P177" i="23"/>
  <c r="Q177" i="23"/>
  <c r="R177" i="23"/>
  <c r="S177" i="23"/>
  <c r="T177" i="23"/>
  <c r="U177" i="23"/>
  <c r="V177" i="23"/>
  <c r="W177" i="23"/>
  <c r="X177" i="23"/>
  <c r="Y177" i="23"/>
  <c r="Z177" i="23"/>
  <c r="AA177" i="23"/>
  <c r="AB177" i="23"/>
  <c r="AC177" i="23"/>
  <c r="AD177" i="23"/>
  <c r="AE177" i="23"/>
  <c r="AF177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N180" i="23"/>
  <c r="O180" i="23"/>
  <c r="P180" i="23"/>
  <c r="R180" i="23"/>
  <c r="S180" i="23"/>
  <c r="T180" i="23"/>
  <c r="U180" i="23"/>
  <c r="V180" i="23"/>
  <c r="W180" i="23"/>
  <c r="X180" i="23"/>
  <c r="Y180" i="23"/>
  <c r="Z180" i="23"/>
  <c r="AA180" i="23"/>
  <c r="AB180" i="23"/>
  <c r="AC180" i="23"/>
  <c r="AD180" i="23"/>
  <c r="AE180" i="23"/>
  <c r="AF180" i="23"/>
  <c r="AG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N216" i="23"/>
  <c r="O216" i="23"/>
  <c r="P216" i="23"/>
  <c r="S216" i="23"/>
  <c r="T216" i="23"/>
  <c r="U216" i="23"/>
  <c r="V216" i="23"/>
  <c r="W216" i="23"/>
  <c r="X216" i="23"/>
  <c r="Y216" i="23"/>
  <c r="Z216" i="23"/>
  <c r="AA216" i="23"/>
  <c r="AB216" i="23"/>
  <c r="AC216" i="23"/>
  <c r="AD216" i="23"/>
  <c r="AE216" i="23"/>
  <c r="AF216" i="23"/>
  <c r="AG216" i="23"/>
  <c r="A217" i="23"/>
  <c r="A218" i="23"/>
  <c r="A219" i="23"/>
  <c r="A220" i="23"/>
  <c r="A221" i="23"/>
  <c r="A223" i="23"/>
  <c r="A224" i="23"/>
  <c r="A225" i="23"/>
  <c r="A226" i="23"/>
  <c r="A227" i="23"/>
  <c r="A228" i="23"/>
  <c r="A229" i="23"/>
  <c r="A230" i="23"/>
  <c r="A231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N239" i="23"/>
  <c r="O239" i="23"/>
  <c r="P239" i="23"/>
  <c r="Q239" i="23"/>
  <c r="R239" i="23"/>
  <c r="S239" i="23"/>
  <c r="T239" i="23"/>
  <c r="U239" i="23"/>
  <c r="V239" i="23"/>
  <c r="W239" i="23"/>
  <c r="X239" i="23"/>
  <c r="Y239" i="23"/>
  <c r="Z239" i="23"/>
  <c r="AA239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N240" i="23"/>
  <c r="O240" i="23"/>
  <c r="P240" i="23"/>
  <c r="Q240" i="23"/>
  <c r="R240" i="23"/>
  <c r="S240" i="23"/>
  <c r="T240" i="23"/>
  <c r="U240" i="23"/>
  <c r="V240" i="23"/>
  <c r="W240" i="23"/>
  <c r="X240" i="23"/>
  <c r="Y240" i="23"/>
  <c r="Z240" i="23"/>
  <c r="AA240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N241" i="23"/>
  <c r="O241" i="23"/>
  <c r="P241" i="23"/>
  <c r="Q241" i="23"/>
  <c r="R241" i="23"/>
  <c r="S241" i="23"/>
  <c r="T241" i="23"/>
  <c r="U241" i="23"/>
  <c r="V241" i="23"/>
  <c r="W241" i="23"/>
  <c r="X241" i="23"/>
  <c r="Y241" i="23"/>
  <c r="Z241" i="23"/>
  <c r="AA241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N242" i="23"/>
  <c r="O242" i="23"/>
  <c r="P242" i="23"/>
  <c r="Q242" i="23"/>
  <c r="R242" i="23"/>
  <c r="S242" i="23"/>
  <c r="T242" i="23"/>
  <c r="U242" i="23"/>
  <c r="V242" i="23"/>
  <c r="W242" i="23"/>
  <c r="X242" i="23"/>
  <c r="Y242" i="23"/>
  <c r="Z242" i="23"/>
  <c r="AA242" i="23"/>
  <c r="B219" i="165"/>
  <c r="BF95" i="23"/>
  <c r="AX95" i="23"/>
  <c r="BB95" i="23"/>
  <c r="AT95" i="23"/>
  <c r="BE95" i="23"/>
  <c r="BA95" i="23"/>
  <c r="AW95" i="23"/>
  <c r="AS95" i="23"/>
  <c r="AJ95" i="23"/>
  <c r="BD94" i="23"/>
  <c r="AZ94" i="23"/>
  <c r="AV94" i="23"/>
  <c r="AR94" i="23"/>
  <c r="AB77" i="23"/>
  <c r="U105" i="23"/>
  <c r="D105" i="23"/>
  <c r="AT105" i="23"/>
  <c r="BF51" i="23"/>
  <c r="BB51" i="23"/>
  <c r="AX51" i="23"/>
  <c r="AF106" i="23"/>
  <c r="AB104" i="23"/>
  <c r="X102" i="23"/>
  <c r="AT51" i="23"/>
  <c r="BE50" i="23"/>
  <c r="BA50" i="23"/>
  <c r="AW50" i="23"/>
  <c r="AS50" i="23"/>
  <c r="AU43" i="23"/>
  <c r="X32" i="23"/>
  <c r="W108" i="23"/>
  <c r="BE94" i="23"/>
  <c r="BA94" i="23"/>
  <c r="AW94" i="23"/>
  <c r="AS94" i="23"/>
  <c r="D5" i="23"/>
  <c r="O108" i="23"/>
  <c r="O107" i="23"/>
  <c r="W106" i="23"/>
  <c r="M104" i="23"/>
  <c r="Y103" i="23"/>
  <c r="M102" i="23"/>
  <c r="AB70" i="23"/>
  <c r="BC51" i="23"/>
  <c r="AY51" i="23"/>
  <c r="J34" i="23"/>
  <c r="L105" i="23"/>
  <c r="D103" i="23"/>
  <c r="N102" i="23"/>
  <c r="BC119" i="23"/>
  <c r="AY119" i="23"/>
  <c r="AU119" i="23"/>
  <c r="AF108" i="23"/>
  <c r="N108" i="23"/>
  <c r="L107" i="23"/>
  <c r="J106" i="23"/>
  <c r="AD105" i="23"/>
  <c r="C105" i="23"/>
  <c r="J104" i="23"/>
  <c r="L103" i="23"/>
  <c r="F102" i="23"/>
  <c r="AT42" i="23"/>
  <c r="B28" i="23"/>
  <c r="L25" i="23"/>
  <c r="B106" i="23"/>
  <c r="H20" i="23"/>
  <c r="G108" i="23"/>
  <c r="D107" i="23"/>
  <c r="E106" i="23"/>
  <c r="B104" i="23"/>
  <c r="K103" i="23"/>
  <c r="M30" i="23"/>
  <c r="BF119" i="23"/>
  <c r="BB119" i="23"/>
  <c r="AX119" i="23"/>
  <c r="AT119" i="23"/>
  <c r="AE108" i="23"/>
  <c r="T108" i="23"/>
  <c r="Z107" i="23"/>
  <c r="AE106" i="23"/>
  <c r="T106" i="23"/>
  <c r="AC105" i="23"/>
  <c r="X104" i="23"/>
  <c r="AG103" i="23"/>
  <c r="V103" i="23"/>
  <c r="AF102" i="23"/>
  <c r="W102" i="23"/>
  <c r="AV102" i="23"/>
  <c r="V72" i="23"/>
  <c r="V64" i="23"/>
  <c r="L22" i="23"/>
  <c r="V14" i="23"/>
  <c r="AB108" i="23"/>
  <c r="F108" i="23"/>
  <c r="Y107" i="23"/>
  <c r="G107" i="23"/>
  <c r="AB106" i="23"/>
  <c r="M106" i="23"/>
  <c r="Y105" i="23"/>
  <c r="K105" i="23"/>
  <c r="AF104" i="23"/>
  <c r="W104" i="23"/>
  <c r="E104" i="23"/>
  <c r="AD103" i="23"/>
  <c r="U103" i="23"/>
  <c r="AT103" i="23"/>
  <c r="C103" i="23"/>
  <c r="AE102" i="23"/>
  <c r="S102" i="23"/>
  <c r="E102" i="23"/>
  <c r="AB74" i="23"/>
  <c r="AB66" i="23"/>
  <c r="T34" i="23"/>
  <c r="O33" i="23"/>
  <c r="P31" i="23"/>
  <c r="G29" i="23"/>
  <c r="B24" i="23"/>
  <c r="L16" i="23"/>
  <c r="X108" i="23"/>
  <c r="AG107" i="23"/>
  <c r="V107" i="23"/>
  <c r="X106" i="23"/>
  <c r="AG105" i="23"/>
  <c r="V105" i="23"/>
  <c r="AE104" i="23"/>
  <c r="T104" i="23"/>
  <c r="AC103" i="23"/>
  <c r="AA102" i="23"/>
  <c r="W76" i="23"/>
  <c r="V68" i="23"/>
  <c r="P18" i="23"/>
  <c r="J9" i="23"/>
  <c r="E34" i="23"/>
  <c r="J33" i="23"/>
  <c r="N32" i="23"/>
  <c r="H31" i="23"/>
  <c r="E30" i="23"/>
  <c r="M26" i="23"/>
  <c r="B25" i="23"/>
  <c r="P7" i="23"/>
  <c r="AA108" i="23"/>
  <c r="S108" i="23"/>
  <c r="K108" i="23"/>
  <c r="C108" i="23"/>
  <c r="AS108" i="23"/>
  <c r="AC107" i="23"/>
  <c r="U107" i="23"/>
  <c r="AT107" i="23"/>
  <c r="K107" i="23"/>
  <c r="C107" i="23"/>
  <c r="AA106" i="23"/>
  <c r="S106" i="23"/>
  <c r="I106" i="23"/>
  <c r="Z105" i="23"/>
  <c r="P105" i="23"/>
  <c r="H105" i="23"/>
  <c r="AA104" i="23"/>
  <c r="S104" i="23"/>
  <c r="AR104" i="23"/>
  <c r="I104" i="23"/>
  <c r="Z103" i="23"/>
  <c r="P103" i="23"/>
  <c r="H103" i="23"/>
  <c r="AB102" i="23"/>
  <c r="T102" i="23"/>
  <c r="AS102" i="23"/>
  <c r="J102" i="23"/>
  <c r="B102" i="23"/>
  <c r="K77" i="23"/>
  <c r="AE34" i="23"/>
  <c r="O34" i="23"/>
  <c r="D33" i="23"/>
  <c r="F32" i="23"/>
  <c r="AB28" i="23"/>
  <c r="L27" i="23"/>
  <c r="B26" i="23"/>
  <c r="O23" i="23"/>
  <c r="F21" i="23"/>
  <c r="B19" i="23"/>
  <c r="O17" i="23"/>
  <c r="G15" i="23"/>
  <c r="L13" i="23"/>
  <c r="O8" i="23"/>
  <c r="C4" i="23"/>
  <c r="E76" i="23"/>
  <c r="J108" i="23"/>
  <c r="B108" i="23"/>
  <c r="P107" i="23"/>
  <c r="H107" i="23"/>
  <c r="N106" i="23"/>
  <c r="F106" i="23"/>
  <c r="O105" i="23"/>
  <c r="G105" i="23"/>
  <c r="N104" i="23"/>
  <c r="F104" i="23"/>
  <c r="AV104" i="23"/>
  <c r="O103" i="23"/>
  <c r="G103" i="23"/>
  <c r="I102" i="23"/>
  <c r="O75" i="23"/>
  <c r="E73" i="23"/>
  <c r="O71" i="23"/>
  <c r="E69" i="23"/>
  <c r="O67" i="23"/>
  <c r="E65" i="23"/>
  <c r="Y34" i="23"/>
  <c r="N34" i="23"/>
  <c r="V33" i="23"/>
  <c r="W30" i="23"/>
  <c r="O29" i="23"/>
  <c r="J28" i="23"/>
  <c r="D27" i="23"/>
  <c r="M24" i="23"/>
  <c r="L9" i="23"/>
  <c r="K8" i="23"/>
  <c r="AJ50" i="23"/>
  <c r="AU51" i="23"/>
  <c r="BF50" i="23"/>
  <c r="BB50" i="23"/>
  <c r="AX50" i="23"/>
  <c r="AT50" i="23"/>
  <c r="BE119" i="23"/>
  <c r="AW119" i="23"/>
  <c r="AZ95" i="23"/>
  <c r="AR95" i="23"/>
  <c r="A212" i="23"/>
  <c r="AQ95" i="23"/>
  <c r="AY94" i="23"/>
  <c r="BA51" i="23"/>
  <c r="AS51" i="23"/>
  <c r="BD50" i="23"/>
  <c r="AR50" i="23"/>
  <c r="BD119" i="23"/>
  <c r="AZ119" i="23"/>
  <c r="AV119" i="23"/>
  <c r="AR119" i="23"/>
  <c r="A234" i="23"/>
  <c r="AQ119" i="23"/>
  <c r="BC95" i="23"/>
  <c r="AY95" i="23"/>
  <c r="AU95" i="23"/>
  <c r="BF94" i="23"/>
  <c r="BB94" i="23"/>
  <c r="AX94" i="23"/>
  <c r="AT94" i="23"/>
  <c r="BD51" i="23"/>
  <c r="AZ51" i="23"/>
  <c r="AV51" i="23"/>
  <c r="AR51" i="23"/>
  <c r="BC50" i="23"/>
  <c r="AY50" i="23"/>
  <c r="AU50" i="23"/>
  <c r="A211" i="23"/>
  <c r="AQ94" i="23"/>
  <c r="BA119" i="23"/>
  <c r="AS119" i="23"/>
  <c r="BD95" i="23"/>
  <c r="AV95" i="23"/>
  <c r="BC94" i="23"/>
  <c r="AU94" i="23"/>
  <c r="BE51" i="23"/>
  <c r="AW51" i="23"/>
  <c r="AZ50" i="23"/>
  <c r="AV50" i="23"/>
  <c r="AW42" i="23"/>
  <c r="AV39" i="23"/>
  <c r="AR39" i="23"/>
  <c r="AR35" i="23"/>
  <c r="AX92" i="23"/>
  <c r="AU84" i="23"/>
  <c r="AU41" i="23"/>
  <c r="AT36" i="23"/>
  <c r="AW41" i="23"/>
  <c r="AV42" i="23"/>
  <c r="AT40" i="23"/>
  <c r="AV88" i="23"/>
  <c r="AX86" i="23"/>
  <c r="AT86" i="23"/>
  <c r="AV114" i="23"/>
  <c r="AX85" i="23"/>
  <c r="AW113" i="23"/>
  <c r="AS113" i="23"/>
  <c r="AJ42" i="23"/>
  <c r="AU85" i="23"/>
  <c r="AS116" i="23"/>
  <c r="AR93" i="23"/>
  <c r="A233" i="23"/>
  <c r="AU117" i="23"/>
  <c r="AR113" i="23"/>
  <c r="AW86" i="23"/>
  <c r="AS86" i="23"/>
  <c r="AX115" i="23"/>
  <c r="AW85" i="23"/>
  <c r="AS85" i="23"/>
  <c r="AT81" i="23"/>
  <c r="AS79" i="23"/>
  <c r="AT49" i="23"/>
  <c r="AW116" i="23"/>
  <c r="AS92" i="23"/>
  <c r="AU89" i="23"/>
  <c r="AY85" i="23"/>
  <c r="AR43" i="23"/>
  <c r="AS109" i="23"/>
  <c r="AT90" i="23"/>
  <c r="AU42" i="23"/>
  <c r="AT37" i="23"/>
  <c r="AV116" i="23"/>
  <c r="AR116" i="23"/>
  <c r="AV115" i="23"/>
  <c r="AR115" i="23"/>
  <c r="AV113" i="23"/>
  <c r="AY112" i="23"/>
  <c r="AU112" i="23"/>
  <c r="AT111" i="23"/>
  <c r="AV110" i="23"/>
  <c r="AV91" i="23"/>
  <c r="AR91" i="23"/>
  <c r="AS90" i="23"/>
  <c r="AW78" i="23"/>
  <c r="AS46" i="23"/>
  <c r="AS45" i="23"/>
  <c r="AS42" i="23"/>
  <c r="AY39" i="23"/>
  <c r="AX35" i="23"/>
  <c r="AT45" i="23"/>
  <c r="AY42" i="23"/>
  <c r="AR87" i="23"/>
  <c r="AR79" i="23"/>
  <c r="AX49" i="23"/>
  <c r="AY46" i="23"/>
  <c r="AY45" i="23"/>
  <c r="AU45" i="23"/>
  <c r="AV38" i="23"/>
  <c r="AJ86" i="23"/>
  <c r="AX118" i="23"/>
  <c r="AT118" i="23"/>
  <c r="AU114" i="23"/>
  <c r="AT89" i="23"/>
  <c r="AT82" i="23"/>
  <c r="A209" i="23"/>
  <c r="W182" i="23"/>
  <c r="AW118" i="23"/>
  <c r="AQ91" i="23"/>
  <c r="AY91" i="23"/>
  <c r="AU91" i="23"/>
  <c r="AW90" i="23"/>
  <c r="AY87" i="23"/>
  <c r="AU87" i="23"/>
  <c r="AV80" i="23"/>
  <c r="AR47" i="23"/>
  <c r="AV45" i="23"/>
  <c r="AR45" i="23"/>
  <c r="AY44" i="23"/>
  <c r="AX91" i="23"/>
  <c r="AT91" i="23"/>
  <c r="AY89" i="23"/>
  <c r="AY88" i="23"/>
  <c r="AU88" i="23"/>
  <c r="AS83" i="23"/>
  <c r="AV83" i="23"/>
  <c r="AR83" i="23"/>
  <c r="AV48" i="23"/>
  <c r="AR48" i="23"/>
  <c r="AY48" i="23"/>
  <c r="AU48" i="23"/>
  <c r="AT47" i="23"/>
  <c r="AX45" i="23"/>
  <c r="AV40" i="23"/>
  <c r="AR40" i="23"/>
  <c r="AY40" i="23"/>
  <c r="AU40" i="23"/>
  <c r="AX37" i="23"/>
  <c r="AX36" i="23"/>
  <c r="AS117" i="23"/>
  <c r="AU113" i="23"/>
  <c r="AT88" i="23"/>
  <c r="AW117" i="23"/>
  <c r="AY113" i="23"/>
  <c r="AT112" i="23"/>
  <c r="AX88" i="23"/>
  <c r="AW81" i="23"/>
  <c r="AS81" i="23"/>
  <c r="AV46" i="23"/>
  <c r="AR46" i="23"/>
  <c r="AV37" i="23"/>
  <c r="AV36" i="23"/>
  <c r="AV35" i="23"/>
  <c r="AX114" i="23"/>
  <c r="AT114" i="23"/>
  <c r="AX113" i="23"/>
  <c r="AV92" i="23"/>
  <c r="AR92" i="23"/>
  <c r="AW82" i="23"/>
  <c r="AS82" i="23"/>
  <c r="AS78" i="23"/>
  <c r="AV49" i="23"/>
  <c r="AR49" i="23"/>
  <c r="AY47" i="23"/>
  <c r="AU47" i="23"/>
  <c r="AV43" i="23"/>
  <c r="A210" i="23"/>
  <c r="AJ116" i="23"/>
  <c r="AW114" i="23"/>
  <c r="AS114" i="23"/>
  <c r="AX111" i="23"/>
  <c r="AY110" i="23"/>
  <c r="AU110" i="23"/>
  <c r="AY93" i="23"/>
  <c r="AU93" i="23"/>
  <c r="AW89" i="23"/>
  <c r="AS89" i="23"/>
  <c r="AV84" i="23"/>
  <c r="AY80" i="23"/>
  <c r="AV79" i="23"/>
  <c r="AT113" i="23"/>
  <c r="AS112" i="23"/>
  <c r="AW111" i="23"/>
  <c r="AS111" i="23"/>
  <c r="AX110" i="23"/>
  <c r="AT110" i="23"/>
  <c r="AX109" i="23"/>
  <c r="AT109" i="23"/>
  <c r="AV82" i="23"/>
  <c r="AR82" i="23"/>
  <c r="AV81" i="23"/>
  <c r="AR81" i="23"/>
  <c r="AX80" i="23"/>
  <c r="AY79" i="23"/>
  <c r="AU79" i="23"/>
  <c r="AY43" i="23"/>
  <c r="AU39" i="23"/>
  <c r="AY37" i="23"/>
  <c r="AU37" i="23"/>
  <c r="AY36" i="23"/>
  <c r="AU36" i="23"/>
  <c r="AY35" i="23"/>
  <c r="I159" i="23"/>
  <c r="AY116" i="23"/>
  <c r="AU116" i="23"/>
  <c r="AX116" i="23"/>
  <c r="AT116" i="23"/>
  <c r="AY115" i="23"/>
  <c r="AU115" i="23"/>
  <c r="AY114" i="23"/>
  <c r="AV111" i="23"/>
  <c r="AR111" i="23"/>
  <c r="AY111" i="23"/>
  <c r="AU111" i="23"/>
  <c r="AR109" i="23"/>
  <c r="AW93" i="23"/>
  <c r="AS93" i="23"/>
  <c r="AW92" i="23"/>
  <c r="AX89" i="23"/>
  <c r="AV87" i="23"/>
  <c r="AT85" i="23"/>
  <c r="AW83" i="23"/>
  <c r="AY81" i="23"/>
  <c r="AX81" i="23"/>
  <c r="AV47" i="23"/>
  <c r="AW46" i="23"/>
  <c r="AW45" i="23"/>
  <c r="AV44" i="23"/>
  <c r="AR44" i="23"/>
  <c r="AX43" i="23"/>
  <c r="AT43" i="23"/>
  <c r="AW43" i="23"/>
  <c r="AR42" i="23"/>
  <c r="AS41" i="23"/>
  <c r="AX39" i="23"/>
  <c r="AT39" i="23"/>
  <c r="AW39" i="23"/>
  <c r="AS39" i="23"/>
  <c r="AX38" i="23"/>
  <c r="AT38" i="23"/>
  <c r="A232" i="23"/>
  <c r="AY117" i="23"/>
  <c r="AW91" i="23"/>
  <c r="AS91" i="23"/>
  <c r="AV89" i="23"/>
  <c r="AR89" i="23"/>
  <c r="AU81" i="23"/>
  <c r="AU49" i="23"/>
  <c r="AT44" i="23"/>
  <c r="AX42" i="23"/>
  <c r="AW38" i="23"/>
  <c r="AS38" i="23"/>
  <c r="AS118" i="23"/>
  <c r="AT115" i="23"/>
  <c r="AW112" i="23"/>
  <c r="AJ112" i="23"/>
  <c r="AV109" i="23"/>
  <c r="AT92" i="23"/>
  <c r="AY84" i="23"/>
  <c r="AJ82" i="23"/>
  <c r="AX47" i="23"/>
  <c r="AX41" i="23"/>
  <c r="AT41" i="23"/>
  <c r="AY49" i="23"/>
  <c r="AU46" i="23"/>
  <c r="AX44" i="23"/>
  <c r="AJ38" i="23"/>
  <c r="AU35" i="23"/>
  <c r="AJ90" i="23"/>
  <c r="AJ78" i="23"/>
  <c r="AJ43" i="23"/>
  <c r="AS43" i="23"/>
  <c r="AV118" i="23"/>
  <c r="AR118" i="23"/>
  <c r="AX117" i="23"/>
  <c r="AT117" i="23"/>
  <c r="AW115" i="23"/>
  <c r="AS115" i="23"/>
  <c r="AV112" i="23"/>
  <c r="AR112" i="23"/>
  <c r="AY109" i="23"/>
  <c r="AU109" i="23"/>
  <c r="AX93" i="23"/>
  <c r="AT93" i="23"/>
  <c r="AV90" i="23"/>
  <c r="AR90" i="23"/>
  <c r="AV85" i="23"/>
  <c r="AR85" i="23"/>
  <c r="AX84" i="23"/>
  <c r="AT84" i="23"/>
  <c r="AX82" i="23"/>
  <c r="AW79" i="23"/>
  <c r="AV78" i="23"/>
  <c r="AR78" i="23"/>
  <c r="AW47" i="23"/>
  <c r="AS47" i="23"/>
  <c r="AX46" i="23"/>
  <c r="AT46" i="23"/>
  <c r="AJ46" i="23"/>
  <c r="AX40" i="23"/>
  <c r="AR38" i="23"/>
  <c r="AT35" i="23"/>
  <c r="AJ35" i="23"/>
  <c r="AM35" i="23"/>
  <c r="AV117" i="23"/>
  <c r="AX112" i="23"/>
  <c r="AW109" i="23"/>
  <c r="AV93" i="23"/>
  <c r="AX90" i="23"/>
  <c r="AV86" i="23"/>
  <c r="AR86" i="23"/>
  <c r="AY83" i="23"/>
  <c r="AU83" i="23"/>
  <c r="AT78" i="23"/>
  <c r="AW49" i="23"/>
  <c r="AS49" i="23"/>
  <c r="AX48" i="23"/>
  <c r="AT48" i="23"/>
  <c r="AW48" i="23"/>
  <c r="AS48" i="23"/>
  <c r="AU44" i="23"/>
  <c r="AV41" i="23"/>
  <c r="AR41" i="23"/>
  <c r="AY41" i="23"/>
  <c r="AJ41" i="23"/>
  <c r="AW37" i="23"/>
  <c r="AS37" i="23"/>
  <c r="AW36" i="23"/>
  <c r="AS36" i="23"/>
  <c r="AY78" i="23"/>
  <c r="AX78" i="23"/>
  <c r="AJ117" i="23"/>
  <c r="AR117" i="23"/>
  <c r="AU78" i="23"/>
  <c r="AJ94" i="23"/>
  <c r="AT80" i="23"/>
  <c r="AX87" i="23"/>
  <c r="AT87" i="23"/>
  <c r="AW87" i="23"/>
  <c r="AJ87" i="23"/>
  <c r="AS87" i="23"/>
  <c r="AW110" i="23"/>
  <c r="AS110" i="23"/>
  <c r="AJ110" i="23"/>
  <c r="AR110" i="23"/>
  <c r="AJ91" i="23"/>
  <c r="AY82" i="23"/>
  <c r="AU82" i="23"/>
  <c r="AW80" i="23"/>
  <c r="AS80" i="23"/>
  <c r="AJ80" i="23"/>
  <c r="AR80" i="23"/>
  <c r="Y77" i="23"/>
  <c r="H77" i="23"/>
  <c r="V76" i="23"/>
  <c r="D76" i="23"/>
  <c r="AF75" i="23"/>
  <c r="Z74" i="23"/>
  <c r="C73" i="23"/>
  <c r="N72" i="23"/>
  <c r="Z70" i="23"/>
  <c r="C69" i="23"/>
  <c r="N68" i="23"/>
  <c r="Z66" i="23"/>
  <c r="C65" i="23"/>
  <c r="N64" i="23"/>
  <c r="AJ118" i="23"/>
  <c r="AJ114" i="23"/>
  <c r="AR114" i="23"/>
  <c r="AJ109" i="23"/>
  <c r="A107" i="23"/>
  <c r="AQ106" i="23"/>
  <c r="AY86" i="23"/>
  <c r="AU86" i="23"/>
  <c r="AW84" i="23"/>
  <c r="AS84" i="23"/>
  <c r="AJ84" i="23"/>
  <c r="AR84" i="23"/>
  <c r="AX79" i="23"/>
  <c r="AT79" i="23"/>
  <c r="AJ79" i="23"/>
  <c r="T77" i="23"/>
  <c r="C77" i="23"/>
  <c r="AE76" i="23"/>
  <c r="M76" i="23"/>
  <c r="AE75" i="23"/>
  <c r="J74" i="23"/>
  <c r="W73" i="23"/>
  <c r="D72" i="23"/>
  <c r="AG71" i="23"/>
  <c r="J70" i="23"/>
  <c r="W69" i="23"/>
  <c r="D68" i="23"/>
  <c r="AG67" i="23"/>
  <c r="J66" i="23"/>
  <c r="AJ113" i="23"/>
  <c r="AJ92" i="23"/>
  <c r="AY90" i="23"/>
  <c r="AU90" i="23"/>
  <c r="AW88" i="23"/>
  <c r="AS88" i="23"/>
  <c r="AJ88" i="23"/>
  <c r="AR88" i="23"/>
  <c r="AX83" i="23"/>
  <c r="AT83" i="23"/>
  <c r="AJ83" i="23"/>
  <c r="U64" i="23"/>
  <c r="Y64" i="23"/>
  <c r="AC64" i="23"/>
  <c r="AG64" i="23"/>
  <c r="T65" i="23"/>
  <c r="X65" i="23"/>
  <c r="AB65" i="23"/>
  <c r="AF65" i="23"/>
  <c r="S66" i="23"/>
  <c r="W66" i="23"/>
  <c r="AA66" i="23"/>
  <c r="AE66" i="23"/>
  <c r="V67" i="23"/>
  <c r="Z67" i="23"/>
  <c r="AD67" i="23"/>
  <c r="U68" i="23"/>
  <c r="Y68" i="23"/>
  <c r="AC68" i="23"/>
  <c r="AG68" i="23"/>
  <c r="T69" i="23"/>
  <c r="X69" i="23"/>
  <c r="AB69" i="23"/>
  <c r="AF69" i="23"/>
  <c r="S70" i="23"/>
  <c r="W70" i="23"/>
  <c r="AA70" i="23"/>
  <c r="AE70" i="23"/>
  <c r="V71" i="23"/>
  <c r="Z71" i="23"/>
  <c r="AD71" i="23"/>
  <c r="U72" i="23"/>
  <c r="Y72" i="23"/>
  <c r="AC72" i="23"/>
  <c r="AG72" i="23"/>
  <c r="T73" i="23"/>
  <c r="X73" i="23"/>
  <c r="AB73" i="23"/>
  <c r="AF73" i="23"/>
  <c r="S74" i="23"/>
  <c r="W74" i="23"/>
  <c r="AA74" i="23"/>
  <c r="AE74" i="23"/>
  <c r="V75" i="23"/>
  <c r="Z75" i="23"/>
  <c r="AD75" i="23"/>
  <c r="S64" i="23"/>
  <c r="W64" i="23"/>
  <c r="AA64" i="23"/>
  <c r="AE64" i="23"/>
  <c r="V65" i="23"/>
  <c r="Z65" i="23"/>
  <c r="AD65" i="23"/>
  <c r="U66" i="23"/>
  <c r="Y66" i="23"/>
  <c r="AC66" i="23"/>
  <c r="AG66" i="23"/>
  <c r="T67" i="23"/>
  <c r="X67" i="23"/>
  <c r="AB67" i="23"/>
  <c r="AF67" i="23"/>
  <c r="S68" i="23"/>
  <c r="W68" i="23"/>
  <c r="AA68" i="23"/>
  <c r="AE68" i="23"/>
  <c r="V69" i="23"/>
  <c r="Z69" i="23"/>
  <c r="AD69" i="23"/>
  <c r="U70" i="23"/>
  <c r="Y70" i="23"/>
  <c r="AC70" i="23"/>
  <c r="AG70" i="23"/>
  <c r="T71" i="23"/>
  <c r="X71" i="23"/>
  <c r="AB71" i="23"/>
  <c r="AF71" i="23"/>
  <c r="S72" i="23"/>
  <c r="W72" i="23"/>
  <c r="AA72" i="23"/>
  <c r="AE72" i="23"/>
  <c r="V73" i="23"/>
  <c r="Z73" i="23"/>
  <c r="AD73" i="23"/>
  <c r="U74" i="23"/>
  <c r="Y74" i="23"/>
  <c r="AC74" i="23"/>
  <c r="AG74" i="23"/>
  <c r="T75" i="23"/>
  <c r="X75" i="23"/>
  <c r="Z64" i="23"/>
  <c r="Y65" i="23"/>
  <c r="AG65" i="23"/>
  <c r="V66" i="23"/>
  <c r="AD66" i="23"/>
  <c r="U67" i="23"/>
  <c r="AC67" i="23"/>
  <c r="Z68" i="23"/>
  <c r="Y69" i="23"/>
  <c r="AG69" i="23"/>
  <c r="V70" i="23"/>
  <c r="AD70" i="23"/>
  <c r="U71" i="23"/>
  <c r="AC71" i="23"/>
  <c r="Z72" i="23"/>
  <c r="Y73" i="23"/>
  <c r="AG73" i="23"/>
  <c r="V74" i="23"/>
  <c r="AD74" i="23"/>
  <c r="U75" i="23"/>
  <c r="AB75" i="23"/>
  <c r="AG75" i="23"/>
  <c r="T76" i="23"/>
  <c r="X76" i="23"/>
  <c r="AB76" i="23"/>
  <c r="AF76" i="23"/>
  <c r="V77" i="23"/>
  <c r="Z77" i="23"/>
  <c r="AD77" i="23"/>
  <c r="AG77" i="23"/>
  <c r="T64" i="23"/>
  <c r="AB64" i="23"/>
  <c r="S65" i="23"/>
  <c r="AA65" i="23"/>
  <c r="X66" i="23"/>
  <c r="AF66" i="23"/>
  <c r="W67" i="23"/>
  <c r="AE67" i="23"/>
  <c r="T68" i="23"/>
  <c r="AB68" i="23"/>
  <c r="S69" i="23"/>
  <c r="AA69" i="23"/>
  <c r="X70" i="23"/>
  <c r="AF70" i="23"/>
  <c r="W71" i="23"/>
  <c r="AE71" i="23"/>
  <c r="T72" i="23"/>
  <c r="AB72" i="23"/>
  <c r="S73" i="23"/>
  <c r="AA73" i="23"/>
  <c r="X74" i="23"/>
  <c r="AF74" i="23"/>
  <c r="W75" i="23"/>
  <c r="AC75" i="23"/>
  <c r="U76" i="23"/>
  <c r="Y76" i="23"/>
  <c r="AC76" i="23"/>
  <c r="AG76" i="23"/>
  <c r="S77" i="23"/>
  <c r="W77" i="23"/>
  <c r="AA77" i="23"/>
  <c r="AE77" i="23"/>
  <c r="X64" i="23"/>
  <c r="AC65" i="23"/>
  <c r="Y67" i="23"/>
  <c r="X68" i="23"/>
  <c r="AC69" i="23"/>
  <c r="Y71" i="23"/>
  <c r="X72" i="23"/>
  <c r="AC73" i="23"/>
  <c r="Y75" i="23"/>
  <c r="Z76" i="23"/>
  <c r="U77" i="23"/>
  <c r="AC77" i="23"/>
  <c r="AD64" i="23"/>
  <c r="AE65" i="23"/>
  <c r="T66" i="23"/>
  <c r="AA67" i="23"/>
  <c r="AD68" i="23"/>
  <c r="AE69" i="23"/>
  <c r="T70" i="23"/>
  <c r="AA71" i="23"/>
  <c r="AD72" i="23"/>
  <c r="AE73" i="23"/>
  <c r="T74" i="23"/>
  <c r="AA75" i="23"/>
  <c r="S76" i="23"/>
  <c r="AA76" i="23"/>
  <c r="X77" i="23"/>
  <c r="AF77" i="23"/>
  <c r="C64" i="23"/>
  <c r="G64" i="23"/>
  <c r="K64" i="23"/>
  <c r="O64" i="23"/>
  <c r="B65" i="23"/>
  <c r="F65" i="23"/>
  <c r="J65" i="23"/>
  <c r="N65" i="23"/>
  <c r="E66" i="23"/>
  <c r="I66" i="23"/>
  <c r="M66" i="23"/>
  <c r="D67" i="23"/>
  <c r="H67" i="23"/>
  <c r="L67" i="23"/>
  <c r="P67" i="23"/>
  <c r="C68" i="23"/>
  <c r="G68" i="23"/>
  <c r="K68" i="23"/>
  <c r="O68" i="23"/>
  <c r="B69" i="23"/>
  <c r="F69" i="23"/>
  <c r="J69" i="23"/>
  <c r="N69" i="23"/>
  <c r="E70" i="23"/>
  <c r="I70" i="23"/>
  <c r="M70" i="23"/>
  <c r="D71" i="23"/>
  <c r="H71" i="23"/>
  <c r="L71" i="23"/>
  <c r="P71" i="23"/>
  <c r="C72" i="23"/>
  <c r="G72" i="23"/>
  <c r="K72" i="23"/>
  <c r="O72" i="23"/>
  <c r="B73" i="23"/>
  <c r="F73" i="23"/>
  <c r="J73" i="23"/>
  <c r="N73" i="23"/>
  <c r="E74" i="23"/>
  <c r="I74" i="23"/>
  <c r="M74" i="23"/>
  <c r="D75" i="23"/>
  <c r="H75" i="23"/>
  <c r="L75" i="23"/>
  <c r="P75" i="23"/>
  <c r="E64" i="23"/>
  <c r="I64" i="23"/>
  <c r="M64" i="23"/>
  <c r="D65" i="23"/>
  <c r="H65" i="23"/>
  <c r="L65" i="23"/>
  <c r="P65" i="23"/>
  <c r="C66" i="23"/>
  <c r="G66" i="23"/>
  <c r="K66" i="23"/>
  <c r="O66" i="23"/>
  <c r="B67" i="23"/>
  <c r="F67" i="23"/>
  <c r="J67" i="23"/>
  <c r="N67" i="23"/>
  <c r="E68" i="23"/>
  <c r="I68" i="23"/>
  <c r="M68" i="23"/>
  <c r="D69" i="23"/>
  <c r="H69" i="23"/>
  <c r="L69" i="23"/>
  <c r="P69" i="23"/>
  <c r="C70" i="23"/>
  <c r="G70" i="23"/>
  <c r="K70" i="23"/>
  <c r="O70" i="23"/>
  <c r="B71" i="23"/>
  <c r="F71" i="23"/>
  <c r="J71" i="23"/>
  <c r="N71" i="23"/>
  <c r="E72" i="23"/>
  <c r="I72" i="23"/>
  <c r="M72" i="23"/>
  <c r="D73" i="23"/>
  <c r="H73" i="23"/>
  <c r="L73" i="23"/>
  <c r="P73" i="23"/>
  <c r="C74" i="23"/>
  <c r="G74" i="23"/>
  <c r="K74" i="23"/>
  <c r="O74" i="23"/>
  <c r="B75" i="23"/>
  <c r="F75" i="23"/>
  <c r="J75" i="23"/>
  <c r="N75" i="23"/>
  <c r="H64" i="23"/>
  <c r="P64" i="23"/>
  <c r="G65" i="23"/>
  <c r="O65" i="23"/>
  <c r="D66" i="23"/>
  <c r="L66" i="23"/>
  <c r="C67" i="23"/>
  <c r="K67" i="23"/>
  <c r="H68" i="23"/>
  <c r="P68" i="23"/>
  <c r="G69" i="23"/>
  <c r="O69" i="23"/>
  <c r="D70" i="23"/>
  <c r="L70" i="23"/>
  <c r="C71" i="23"/>
  <c r="K71" i="23"/>
  <c r="H72" i="23"/>
  <c r="P72" i="23"/>
  <c r="G73" i="23"/>
  <c r="O73" i="23"/>
  <c r="D74" i="23"/>
  <c r="L74" i="23"/>
  <c r="C75" i="23"/>
  <c r="K75" i="23"/>
  <c r="B76" i="23"/>
  <c r="F76" i="23"/>
  <c r="J76" i="23"/>
  <c r="N76" i="23"/>
  <c r="E77" i="23"/>
  <c r="I77" i="23"/>
  <c r="M77" i="23"/>
  <c r="P77" i="23"/>
  <c r="B64" i="23"/>
  <c r="J64" i="23"/>
  <c r="I65" i="23"/>
  <c r="F66" i="23"/>
  <c r="N66" i="23"/>
  <c r="E67" i="23"/>
  <c r="M67" i="23"/>
  <c r="B68" i="23"/>
  <c r="J68" i="23"/>
  <c r="I69" i="23"/>
  <c r="F70" i="23"/>
  <c r="N70" i="23"/>
  <c r="E71" i="23"/>
  <c r="M71" i="23"/>
  <c r="B72" i="23"/>
  <c r="J72" i="23"/>
  <c r="I73" i="23"/>
  <c r="F74" i="23"/>
  <c r="N74" i="23"/>
  <c r="E75" i="23"/>
  <c r="M75" i="23"/>
  <c r="C76" i="23"/>
  <c r="G76" i="23"/>
  <c r="K76" i="23"/>
  <c r="O76" i="23"/>
  <c r="B77" i="23"/>
  <c r="F77" i="23"/>
  <c r="J77" i="23"/>
  <c r="N77" i="23"/>
  <c r="F64" i="23"/>
  <c r="K65" i="23"/>
  <c r="P66" i="23"/>
  <c r="G67" i="23"/>
  <c r="F68" i="23"/>
  <c r="K69" i="23"/>
  <c r="P70" i="23"/>
  <c r="G71" i="23"/>
  <c r="F72" i="23"/>
  <c r="K73" i="23"/>
  <c r="P74" i="23"/>
  <c r="G75" i="23"/>
  <c r="H76" i="23"/>
  <c r="P76" i="23"/>
  <c r="D77" i="23"/>
  <c r="L77" i="23"/>
  <c r="L64" i="23"/>
  <c r="M65" i="23"/>
  <c r="B66" i="23"/>
  <c r="I67" i="23"/>
  <c r="L68" i="23"/>
  <c r="M69" i="23"/>
  <c r="B70" i="23"/>
  <c r="I71" i="23"/>
  <c r="L72" i="23"/>
  <c r="M73" i="23"/>
  <c r="B74" i="23"/>
  <c r="I75" i="23"/>
  <c r="I76" i="23"/>
  <c r="G77" i="23"/>
  <c r="O77" i="23"/>
  <c r="AD76" i="23"/>
  <c r="L76" i="23"/>
  <c r="S75" i="23"/>
  <c r="H74" i="23"/>
  <c r="U73" i="23"/>
  <c r="AF72" i="23"/>
  <c r="S71" i="23"/>
  <c r="H70" i="23"/>
  <c r="U69" i="23"/>
  <c r="AF68" i="23"/>
  <c r="S67" i="23"/>
  <c r="H66" i="23"/>
  <c r="U65" i="23"/>
  <c r="AF64" i="23"/>
  <c r="AJ48" i="23"/>
  <c r="AJ39" i="23"/>
  <c r="AY118" i="23"/>
  <c r="AU118" i="23"/>
  <c r="AJ115" i="23"/>
  <c r="AJ111" i="23"/>
  <c r="AY92" i="23"/>
  <c r="AU92" i="23"/>
  <c r="AJ89" i="23"/>
  <c r="AJ85" i="23"/>
  <c r="AJ81" i="23"/>
  <c r="AJ119" i="23"/>
  <c r="AJ93" i="23"/>
  <c r="AG108" i="23"/>
  <c r="AD108" i="23"/>
  <c r="Z108" i="23"/>
  <c r="V108" i="23"/>
  <c r="P108" i="23"/>
  <c r="M108" i="23"/>
  <c r="I108" i="23"/>
  <c r="E108" i="23"/>
  <c r="AF107" i="23"/>
  <c r="AB107" i="23"/>
  <c r="X107" i="23"/>
  <c r="T107" i="23"/>
  <c r="N107" i="23"/>
  <c r="J107" i="23"/>
  <c r="F107" i="23"/>
  <c r="B107" i="23"/>
  <c r="AD106" i="23"/>
  <c r="Z106" i="23"/>
  <c r="V106" i="23"/>
  <c r="P106" i="23"/>
  <c r="L106" i="23"/>
  <c r="H106" i="23"/>
  <c r="D106" i="23"/>
  <c r="AF105" i="23"/>
  <c r="AB105" i="23"/>
  <c r="X105" i="23"/>
  <c r="T105" i="23"/>
  <c r="N105" i="23"/>
  <c r="J105" i="23"/>
  <c r="F105" i="23"/>
  <c r="B105" i="23"/>
  <c r="AD104" i="23"/>
  <c r="Z104" i="23"/>
  <c r="V104" i="23"/>
  <c r="P104" i="23"/>
  <c r="L104" i="23"/>
  <c r="H104" i="23"/>
  <c r="D104" i="23"/>
  <c r="AF103" i="23"/>
  <c r="AB103" i="23"/>
  <c r="X103" i="23"/>
  <c r="T103" i="23"/>
  <c r="N103" i="23"/>
  <c r="J103" i="23"/>
  <c r="F103" i="23"/>
  <c r="B103" i="23"/>
  <c r="AD102" i="23"/>
  <c r="Z102" i="23"/>
  <c r="V102" i="23"/>
  <c r="P102" i="23"/>
  <c r="L102" i="23"/>
  <c r="H102" i="23"/>
  <c r="D102" i="23"/>
  <c r="AJ49" i="23"/>
  <c r="AR37" i="23"/>
  <c r="AJ37" i="23"/>
  <c r="AL37" i="23"/>
  <c r="AC108" i="23"/>
  <c r="Y108" i="23"/>
  <c r="U108" i="23"/>
  <c r="L108" i="23"/>
  <c r="H108" i="23"/>
  <c r="D108" i="23"/>
  <c r="AE107" i="23"/>
  <c r="AA107" i="23"/>
  <c r="W107" i="23"/>
  <c r="S107" i="23"/>
  <c r="M107" i="23"/>
  <c r="I107" i="23"/>
  <c r="E107" i="23"/>
  <c r="AG106" i="23"/>
  <c r="AC106" i="23"/>
  <c r="Y106" i="23"/>
  <c r="U106" i="23"/>
  <c r="O106" i="23"/>
  <c r="K106" i="23"/>
  <c r="G106" i="23"/>
  <c r="C106" i="23"/>
  <c r="AE105" i="23"/>
  <c r="AA105" i="23"/>
  <c r="W105" i="23"/>
  <c r="S105" i="23"/>
  <c r="M105" i="23"/>
  <c r="I105" i="23"/>
  <c r="E105" i="23"/>
  <c r="AG104" i="23"/>
  <c r="AC104" i="23"/>
  <c r="Y104" i="23"/>
  <c r="U104" i="23"/>
  <c r="O104" i="23"/>
  <c r="K104" i="23"/>
  <c r="G104" i="23"/>
  <c r="C104" i="23"/>
  <c r="AE103" i="23"/>
  <c r="AA103" i="23"/>
  <c r="W103" i="23"/>
  <c r="S103" i="23"/>
  <c r="M103" i="23"/>
  <c r="I103" i="23"/>
  <c r="E103" i="23"/>
  <c r="AG102" i="23"/>
  <c r="AC102" i="23"/>
  <c r="Y102" i="23"/>
  <c r="O102" i="23"/>
  <c r="K102" i="23"/>
  <c r="G102" i="23"/>
  <c r="AJ47" i="23"/>
  <c r="AJ45" i="23"/>
  <c r="AJ36" i="23"/>
  <c r="AK36" i="23"/>
  <c r="AR36" i="23"/>
  <c r="AW44" i="23"/>
  <c r="AS44" i="23"/>
  <c r="AJ44" i="23"/>
  <c r="AC34" i="23"/>
  <c r="X34" i="23"/>
  <c r="S34" i="23"/>
  <c r="AG29" i="23"/>
  <c r="T28" i="23"/>
  <c r="Z26" i="23"/>
  <c r="AG17" i="23"/>
  <c r="AD16" i="23"/>
  <c r="Y15" i="23"/>
  <c r="T3" i="23"/>
  <c r="X3" i="23"/>
  <c r="AB3" i="23"/>
  <c r="AF3" i="23"/>
  <c r="V4" i="23"/>
  <c r="Z4" i="23"/>
  <c r="AD4" i="23"/>
  <c r="T5" i="23"/>
  <c r="X5" i="23"/>
  <c r="AB5" i="23"/>
  <c r="AF5" i="23"/>
  <c r="V6" i="23"/>
  <c r="Z6" i="23"/>
  <c r="AD6" i="23"/>
  <c r="U3" i="23"/>
  <c r="Y3" i="23"/>
  <c r="AC3" i="23"/>
  <c r="AG3" i="23"/>
  <c r="S4" i="23"/>
  <c r="W4" i="23"/>
  <c r="AA4" i="23"/>
  <c r="AE4" i="23"/>
  <c r="U5" i="23"/>
  <c r="AT5" i="23"/>
  <c r="Y5" i="23"/>
  <c r="AC5" i="23"/>
  <c r="AG5" i="23"/>
  <c r="S6" i="23"/>
  <c r="W6" i="23"/>
  <c r="AA6" i="23"/>
  <c r="AE6" i="23"/>
  <c r="U7" i="23"/>
  <c r="Y7" i="23"/>
  <c r="AC7" i="23"/>
  <c r="AG7" i="23"/>
  <c r="S8" i="23"/>
  <c r="W8" i="23"/>
  <c r="AA8" i="23"/>
  <c r="AE8" i="23"/>
  <c r="U9" i="23"/>
  <c r="Y9" i="23"/>
  <c r="AC9" i="23"/>
  <c r="AG9" i="23"/>
  <c r="S10" i="23"/>
  <c r="W10" i="23"/>
  <c r="AA10" i="23"/>
  <c r="AE10" i="23"/>
  <c r="U11" i="23"/>
  <c r="V3" i="23"/>
  <c r="AD3" i="23"/>
  <c r="Y4" i="23"/>
  <c r="AG4" i="23"/>
  <c r="W5" i="23"/>
  <c r="AE5" i="23"/>
  <c r="T6" i="23"/>
  <c r="AB6" i="23"/>
  <c r="T7" i="23"/>
  <c r="Z7" i="23"/>
  <c r="AE7" i="23"/>
  <c r="T8" i="23"/>
  <c r="Y8" i="23"/>
  <c r="AD8" i="23"/>
  <c r="T9" i="23"/>
  <c r="Z9" i="23"/>
  <c r="AE9" i="23"/>
  <c r="T10" i="23"/>
  <c r="Y10" i="23"/>
  <c r="AD10" i="23"/>
  <c r="T11" i="23"/>
  <c r="Y11" i="23"/>
  <c r="AC11" i="23"/>
  <c r="AG11" i="23"/>
  <c r="S12" i="23"/>
  <c r="W12" i="23"/>
  <c r="AA12" i="23"/>
  <c r="AE12" i="23"/>
  <c r="U13" i="23"/>
  <c r="Y13" i="23"/>
  <c r="AC13" i="23"/>
  <c r="AG13" i="23"/>
  <c r="W3" i="23"/>
  <c r="AE3" i="23"/>
  <c r="T4" i="23"/>
  <c r="AB4" i="23"/>
  <c r="Z5" i="23"/>
  <c r="U6" i="23"/>
  <c r="AC6" i="23"/>
  <c r="V7" i="23"/>
  <c r="AA7" i="23"/>
  <c r="AF7" i="23"/>
  <c r="U8" i="23"/>
  <c r="Z8" i="23"/>
  <c r="AF8" i="23"/>
  <c r="V9" i="23"/>
  <c r="AA9" i="23"/>
  <c r="AF9" i="23"/>
  <c r="U10" i="23"/>
  <c r="Z10" i="23"/>
  <c r="AF10" i="23"/>
  <c r="V11" i="23"/>
  <c r="Z11" i="23"/>
  <c r="AD11" i="23"/>
  <c r="T12" i="23"/>
  <c r="X12" i="23"/>
  <c r="AB12" i="23"/>
  <c r="AF12" i="23"/>
  <c r="Z3" i="23"/>
  <c r="X4" i="23"/>
  <c r="AD5" i="23"/>
  <c r="AG6" i="23"/>
  <c r="W7" i="23"/>
  <c r="AC8" i="23"/>
  <c r="AB9" i="23"/>
  <c r="X10" i="23"/>
  <c r="W11" i="23"/>
  <c r="AE11" i="23"/>
  <c r="Z12" i="23"/>
  <c r="V13" i="23"/>
  <c r="AA13" i="23"/>
  <c r="AF13" i="23"/>
  <c r="T14" i="23"/>
  <c r="X14" i="23"/>
  <c r="AB14" i="23"/>
  <c r="AF14" i="23"/>
  <c r="V15" i="23"/>
  <c r="Z15" i="23"/>
  <c r="AD15" i="23"/>
  <c r="T16" i="23"/>
  <c r="X16" i="23"/>
  <c r="AB16" i="23"/>
  <c r="AF16" i="23"/>
  <c r="V17" i="23"/>
  <c r="Z17" i="23"/>
  <c r="AD17" i="23"/>
  <c r="T18" i="23"/>
  <c r="X18" i="23"/>
  <c r="AB18" i="23"/>
  <c r="AF18" i="23"/>
  <c r="V19" i="23"/>
  <c r="Z19" i="23"/>
  <c r="AD19" i="23"/>
  <c r="T20" i="23"/>
  <c r="X20" i="23"/>
  <c r="AB20" i="23"/>
  <c r="AF20" i="23"/>
  <c r="V21" i="23"/>
  <c r="Z21" i="23"/>
  <c r="AD21" i="23"/>
  <c r="T22" i="23"/>
  <c r="X22" i="23"/>
  <c r="AB22" i="23"/>
  <c r="AF22" i="23"/>
  <c r="V23" i="23"/>
  <c r="Z23" i="23"/>
  <c r="AD23" i="23"/>
  <c r="AA3" i="23"/>
  <c r="AC4" i="23"/>
  <c r="S5" i="23"/>
  <c r="X6" i="23"/>
  <c r="X7" i="23"/>
  <c r="V8" i="23"/>
  <c r="AG8" i="23"/>
  <c r="S9" i="23"/>
  <c r="AD9" i="23"/>
  <c r="AB10" i="23"/>
  <c r="X11" i="23"/>
  <c r="AF11" i="23"/>
  <c r="U12" i="23"/>
  <c r="AC12" i="23"/>
  <c r="W13" i="23"/>
  <c r="AB13" i="23"/>
  <c r="U14" i="23"/>
  <c r="Y14" i="23"/>
  <c r="AC14" i="23"/>
  <c r="AG14" i="23"/>
  <c r="S15" i="23"/>
  <c r="W15" i="23"/>
  <c r="AA15" i="23"/>
  <c r="AE15" i="23"/>
  <c r="U16" i="23"/>
  <c r="Y16" i="23"/>
  <c r="AC16" i="23"/>
  <c r="AG16" i="23"/>
  <c r="S17" i="23"/>
  <c r="W17" i="23"/>
  <c r="AA17" i="23"/>
  <c r="AE17" i="23"/>
  <c r="U18" i="23"/>
  <c r="Y18" i="23"/>
  <c r="AC18" i="23"/>
  <c r="AG18" i="23"/>
  <c r="S19" i="23"/>
  <c r="W19" i="23"/>
  <c r="AA19" i="23"/>
  <c r="AE19" i="23"/>
  <c r="U20" i="23"/>
  <c r="Y20" i="23"/>
  <c r="AC20" i="23"/>
  <c r="AG20" i="23"/>
  <c r="S21" i="23"/>
  <c r="W21" i="23"/>
  <c r="AA21" i="23"/>
  <c r="AE21" i="23"/>
  <c r="U22" i="23"/>
  <c r="Y22" i="23"/>
  <c r="AC22" i="23"/>
  <c r="AG22" i="23"/>
  <c r="S23" i="23"/>
  <c r="W23" i="23"/>
  <c r="AA23" i="23"/>
  <c r="AE23" i="23"/>
  <c r="U24" i="23"/>
  <c r="Y24" i="23"/>
  <c r="AC24" i="23"/>
  <c r="AG24" i="23"/>
  <c r="S25" i="23"/>
  <c r="W25" i="23"/>
  <c r="AA25" i="23"/>
  <c r="AE25" i="23"/>
  <c r="U26" i="23"/>
  <c r="Y26" i="23"/>
  <c r="AC26" i="23"/>
  <c r="U4" i="23"/>
  <c r="AF6" i="23"/>
  <c r="AB7" i="23"/>
  <c r="X8" i="23"/>
  <c r="W9" i="23"/>
  <c r="AG10" i="23"/>
  <c r="AA11" i="23"/>
  <c r="Y12" i="23"/>
  <c r="S13" i="23"/>
  <c r="AD13" i="23"/>
  <c r="W14" i="23"/>
  <c r="AE14" i="23"/>
  <c r="T15" i="23"/>
  <c r="AB15" i="23"/>
  <c r="Z16" i="23"/>
  <c r="U17" i="23"/>
  <c r="AC17" i="23"/>
  <c r="S18" i="23"/>
  <c r="AA18" i="23"/>
  <c r="X19" i="23"/>
  <c r="AF19" i="23"/>
  <c r="V20" i="23"/>
  <c r="AD20" i="23"/>
  <c r="Y21" i="23"/>
  <c r="AG21" i="23"/>
  <c r="W22" i="23"/>
  <c r="AE22" i="23"/>
  <c r="T23" i="23"/>
  <c r="AB23" i="23"/>
  <c r="W24" i="23"/>
  <c r="AB24" i="23"/>
  <c r="V25" i="23"/>
  <c r="AB25" i="23"/>
  <c r="AG25" i="23"/>
  <c r="W26" i="23"/>
  <c r="AB26" i="23"/>
  <c r="AG26" i="23"/>
  <c r="S27" i="23"/>
  <c r="W27" i="23"/>
  <c r="AA27" i="23"/>
  <c r="AE27" i="23"/>
  <c r="U28" i="23"/>
  <c r="Y28" i="23"/>
  <c r="AC28" i="23"/>
  <c r="AG28" i="23"/>
  <c r="S29" i="23"/>
  <c r="W29" i="23"/>
  <c r="AA29" i="23"/>
  <c r="AE29" i="23"/>
  <c r="U30" i="23"/>
  <c r="Y30" i="23"/>
  <c r="AC30" i="23"/>
  <c r="AG30" i="23"/>
  <c r="S31" i="23"/>
  <c r="W31" i="23"/>
  <c r="AA31" i="23"/>
  <c r="AE31" i="23"/>
  <c r="U32" i="23"/>
  <c r="Y32" i="23"/>
  <c r="AC32" i="23"/>
  <c r="AG32" i="23"/>
  <c r="S33" i="23"/>
  <c r="W33" i="23"/>
  <c r="AA33" i="23"/>
  <c r="AE33" i="23"/>
  <c r="S3" i="23"/>
  <c r="AF4" i="23"/>
  <c r="V5" i="23"/>
  <c r="AD7" i="23"/>
  <c r="AB8" i="23"/>
  <c r="X9" i="23"/>
  <c r="AB11" i="23"/>
  <c r="AD12" i="23"/>
  <c r="T13" i="23"/>
  <c r="AE13" i="23"/>
  <c r="Z14" i="23"/>
  <c r="U15" i="23"/>
  <c r="AC15" i="23"/>
  <c r="S16" i="23"/>
  <c r="AA16" i="23"/>
  <c r="X17" i="23"/>
  <c r="AF17" i="23"/>
  <c r="V18" i="23"/>
  <c r="AD18" i="23"/>
  <c r="Y19" i="23"/>
  <c r="AG19" i="23"/>
  <c r="W20" i="23"/>
  <c r="AE20" i="23"/>
  <c r="T21" i="23"/>
  <c r="AB21" i="23"/>
  <c r="Z22" i="23"/>
  <c r="U23" i="23"/>
  <c r="AC23" i="23"/>
  <c r="S24" i="23"/>
  <c r="AR24" i="23"/>
  <c r="X24" i="23"/>
  <c r="AD24" i="23"/>
  <c r="X25" i="23"/>
  <c r="AC25" i="23"/>
  <c r="S26" i="23"/>
  <c r="X26" i="23"/>
  <c r="AD26" i="23"/>
  <c r="T27" i="23"/>
  <c r="X27" i="23"/>
  <c r="AB27" i="23"/>
  <c r="AF27" i="23"/>
  <c r="V28" i="23"/>
  <c r="Z28" i="23"/>
  <c r="AD28" i="23"/>
  <c r="T29" i="23"/>
  <c r="X29" i="23"/>
  <c r="AW29" i="23"/>
  <c r="AB29" i="23"/>
  <c r="AF29" i="23"/>
  <c r="V30" i="23"/>
  <c r="Z30" i="23"/>
  <c r="AD30" i="23"/>
  <c r="T31" i="23"/>
  <c r="X31" i="23"/>
  <c r="AB31" i="23"/>
  <c r="AF31" i="23"/>
  <c r="V32" i="23"/>
  <c r="Z32" i="23"/>
  <c r="AD32" i="23"/>
  <c r="AA14" i="23"/>
  <c r="AF15" i="23"/>
  <c r="AE16" i="23"/>
  <c r="T17" i="23"/>
  <c r="W18" i="23"/>
  <c r="U19" i="23"/>
  <c r="AA20" i="23"/>
  <c r="AC21" i="23"/>
  <c r="S22" i="23"/>
  <c r="X23" i="23"/>
  <c r="AA24" i="23"/>
  <c r="Z25" i="23"/>
  <c r="AA26" i="23"/>
  <c r="Y27" i="23"/>
  <c r="AG27" i="23"/>
  <c r="W28" i="23"/>
  <c r="AE28" i="23"/>
  <c r="Z29" i="23"/>
  <c r="X30" i="23"/>
  <c r="AF30" i="23"/>
  <c r="U31" i="23"/>
  <c r="AC31" i="23"/>
  <c r="S32" i="23"/>
  <c r="AA32" i="23"/>
  <c r="X33" i="23"/>
  <c r="AC33" i="23"/>
  <c r="V10" i="23"/>
  <c r="X13" i="23"/>
  <c r="AD14" i="23"/>
  <c r="AG15" i="23"/>
  <c r="V16" i="23"/>
  <c r="Y17" i="23"/>
  <c r="Z18" i="23"/>
  <c r="AB19" i="23"/>
  <c r="AF21" i="23"/>
  <c r="V22" i="23"/>
  <c r="Y23" i="23"/>
  <c r="T24" i="23"/>
  <c r="AE24" i="23"/>
  <c r="T25" i="23"/>
  <c r="AD25" i="23"/>
  <c r="T26" i="23"/>
  <c r="AE26" i="23"/>
  <c r="Z27" i="23"/>
  <c r="X28" i="23"/>
  <c r="AF28" i="23"/>
  <c r="U29" i="23"/>
  <c r="AC29" i="23"/>
  <c r="S30" i="23"/>
  <c r="AA30" i="23"/>
  <c r="V31" i="23"/>
  <c r="AD31" i="23"/>
  <c r="T32" i="23"/>
  <c r="AB32" i="23"/>
  <c r="T33" i="23"/>
  <c r="Y33" i="23"/>
  <c r="AD33" i="23"/>
  <c r="V34" i="23"/>
  <c r="Z34" i="23"/>
  <c r="AD34" i="23"/>
  <c r="AG34" i="23"/>
  <c r="Y6" i="23"/>
  <c r="AC10" i="23"/>
  <c r="V12" i="23"/>
  <c r="Z13" i="23"/>
  <c r="S14" i="23"/>
  <c r="X15" i="23"/>
  <c r="W16" i="23"/>
  <c r="AB17" i="23"/>
  <c r="AE18" i="23"/>
  <c r="AC19" i="23"/>
  <c r="S20" i="23"/>
  <c r="U21" i="23"/>
  <c r="AA22" i="23"/>
  <c r="AF23" i="23"/>
  <c r="V24" i="23"/>
  <c r="AF24" i="23"/>
  <c r="U25" i="23"/>
  <c r="AF25" i="23"/>
  <c r="V26" i="23"/>
  <c r="AF26" i="23"/>
  <c r="U27" i="23"/>
  <c r="AC27" i="23"/>
  <c r="S28" i="23"/>
  <c r="AR28" i="23"/>
  <c r="AA28" i="23"/>
  <c r="V29" i="23"/>
  <c r="AD29" i="23"/>
  <c r="T30" i="23"/>
  <c r="AB30" i="23"/>
  <c r="Y31" i="23"/>
  <c r="AG31" i="23"/>
  <c r="W32" i="23"/>
  <c r="AV32" i="23"/>
  <c r="AE32" i="23"/>
  <c r="U33" i="23"/>
  <c r="Z33" i="23"/>
  <c r="AF33" i="23"/>
  <c r="AB34" i="23"/>
  <c r="W34" i="23"/>
  <c r="AG33" i="23"/>
  <c r="Z31" i="23"/>
  <c r="Y29" i="23"/>
  <c r="AD27" i="23"/>
  <c r="Y25" i="23"/>
  <c r="Z20" i="23"/>
  <c r="T19" i="23"/>
  <c r="AG12" i="23"/>
  <c r="AW40" i="23"/>
  <c r="AS40" i="23"/>
  <c r="AJ40" i="23"/>
  <c r="AY38" i="23"/>
  <c r="AU38" i="23"/>
  <c r="AW35" i="23"/>
  <c r="AS35" i="23"/>
  <c r="AF34" i="23"/>
  <c r="AA34" i="23"/>
  <c r="U34" i="23"/>
  <c r="AB33" i="23"/>
  <c r="AF32" i="23"/>
  <c r="AE30" i="23"/>
  <c r="V27" i="23"/>
  <c r="Z24" i="23"/>
  <c r="AG23" i="23"/>
  <c r="AD22" i="23"/>
  <c r="X21" i="23"/>
  <c r="S7" i="23"/>
  <c r="AA5" i="23"/>
  <c r="I34" i="23"/>
  <c r="D34" i="23"/>
  <c r="N33" i="23"/>
  <c r="H33" i="23"/>
  <c r="C33" i="23"/>
  <c r="M32" i="23"/>
  <c r="E32" i="23"/>
  <c r="O31" i="23"/>
  <c r="G31" i="23"/>
  <c r="J30" i="23"/>
  <c r="B30" i="23"/>
  <c r="L29" i="23"/>
  <c r="D29" i="23"/>
  <c r="I28" i="23"/>
  <c r="K27" i="23"/>
  <c r="C27" i="23"/>
  <c r="I26" i="23"/>
  <c r="H25" i="23"/>
  <c r="I24" i="23"/>
  <c r="N23" i="23"/>
  <c r="I22" i="23"/>
  <c r="C21" i="23"/>
  <c r="K19" i="23"/>
  <c r="M18" i="23"/>
  <c r="J17" i="23"/>
  <c r="E16" i="23"/>
  <c r="F15" i="23"/>
  <c r="B13" i="23"/>
  <c r="P11" i="23"/>
  <c r="P34" i="23"/>
  <c r="M34" i="23"/>
  <c r="H34" i="23"/>
  <c r="B34" i="23"/>
  <c r="L33" i="23"/>
  <c r="G33" i="23"/>
  <c r="B33" i="23"/>
  <c r="J32" i="23"/>
  <c r="B32" i="23"/>
  <c r="L31" i="23"/>
  <c r="D31" i="23"/>
  <c r="I30" i="23"/>
  <c r="K29" i="23"/>
  <c r="C29" i="23"/>
  <c r="N28" i="23"/>
  <c r="F28" i="23"/>
  <c r="P27" i="23"/>
  <c r="H27" i="23"/>
  <c r="H26" i="23"/>
  <c r="G25" i="23"/>
  <c r="H24" i="23"/>
  <c r="G23" i="23"/>
  <c r="D22" i="23"/>
  <c r="N21" i="23"/>
  <c r="P20" i="23"/>
  <c r="J19" i="23"/>
  <c r="H18" i="23"/>
  <c r="G17" i="23"/>
  <c r="D16" i="23"/>
  <c r="O15" i="23"/>
  <c r="K14" i="23"/>
  <c r="O12" i="23"/>
  <c r="B3" i="23"/>
  <c r="F3" i="23"/>
  <c r="J3" i="23"/>
  <c r="N3" i="23"/>
  <c r="D4" i="23"/>
  <c r="H4" i="23"/>
  <c r="L4" i="23"/>
  <c r="P4" i="23"/>
  <c r="B5" i="23"/>
  <c r="F5" i="23"/>
  <c r="J5" i="23"/>
  <c r="N5" i="23"/>
  <c r="D6" i="23"/>
  <c r="H6" i="23"/>
  <c r="L6" i="23"/>
  <c r="P6" i="23"/>
  <c r="C3" i="23"/>
  <c r="G3" i="23"/>
  <c r="K3" i="23"/>
  <c r="O3" i="23"/>
  <c r="E4" i="23"/>
  <c r="I4" i="23"/>
  <c r="M4" i="23"/>
  <c r="C5" i="23"/>
  <c r="G5" i="23"/>
  <c r="K5" i="23"/>
  <c r="O5" i="23"/>
  <c r="E6" i="23"/>
  <c r="I6" i="23"/>
  <c r="M6" i="23"/>
  <c r="C7" i="23"/>
  <c r="G7" i="23"/>
  <c r="K7" i="23"/>
  <c r="O7" i="23"/>
  <c r="E8" i="23"/>
  <c r="I8" i="23"/>
  <c r="M8" i="23"/>
  <c r="C9" i="23"/>
  <c r="G9" i="23"/>
  <c r="K9" i="23"/>
  <c r="O9" i="23"/>
  <c r="E10" i="23"/>
  <c r="I10" i="23"/>
  <c r="M10" i="23"/>
  <c r="C11" i="23"/>
  <c r="G11" i="23"/>
  <c r="K11" i="23"/>
  <c r="O11" i="23"/>
  <c r="D3" i="23"/>
  <c r="L3" i="23"/>
  <c r="G4" i="23"/>
  <c r="O4" i="23"/>
  <c r="E5" i="23"/>
  <c r="M5" i="23"/>
  <c r="B6" i="23"/>
  <c r="J6" i="23"/>
  <c r="B7" i="23"/>
  <c r="H7" i="23"/>
  <c r="M7" i="23"/>
  <c r="B8" i="23"/>
  <c r="G8" i="23"/>
  <c r="L8" i="23"/>
  <c r="B9" i="23"/>
  <c r="H9" i="23"/>
  <c r="M9" i="23"/>
  <c r="B10" i="23"/>
  <c r="G10" i="23"/>
  <c r="L10" i="23"/>
  <c r="B11" i="23"/>
  <c r="AR11" i="23"/>
  <c r="H11" i="23"/>
  <c r="M11" i="23"/>
  <c r="E12" i="23"/>
  <c r="I12" i="23"/>
  <c r="M12" i="23"/>
  <c r="C13" i="23"/>
  <c r="G13" i="23"/>
  <c r="K13" i="23"/>
  <c r="O13" i="23"/>
  <c r="E14" i="23"/>
  <c r="I14" i="23"/>
  <c r="M14" i="23"/>
  <c r="E3" i="23"/>
  <c r="M3" i="23"/>
  <c r="B4" i="23"/>
  <c r="J4" i="23"/>
  <c r="H5" i="23"/>
  <c r="P5" i="23"/>
  <c r="C6" i="23"/>
  <c r="K6" i="23"/>
  <c r="D7" i="23"/>
  <c r="I7" i="23"/>
  <c r="N7" i="23"/>
  <c r="C8" i="23"/>
  <c r="H8" i="23"/>
  <c r="N8" i="23"/>
  <c r="D9" i="23"/>
  <c r="I9" i="23"/>
  <c r="N9" i="23"/>
  <c r="C10" i="23"/>
  <c r="H10" i="23"/>
  <c r="N10" i="23"/>
  <c r="D11" i="23"/>
  <c r="I11" i="23"/>
  <c r="N11" i="23"/>
  <c r="B12" i="23"/>
  <c r="F12" i="23"/>
  <c r="J12" i="23"/>
  <c r="N12" i="23"/>
  <c r="H3" i="23"/>
  <c r="F4" i="23"/>
  <c r="L5" i="23"/>
  <c r="O6" i="23"/>
  <c r="J7" i="23"/>
  <c r="F8" i="23"/>
  <c r="P8" i="23"/>
  <c r="E9" i="23"/>
  <c r="P9" i="23"/>
  <c r="K10" i="23"/>
  <c r="J11" i="23"/>
  <c r="H12" i="23"/>
  <c r="P12" i="23"/>
  <c r="D13" i="23"/>
  <c r="I13" i="23"/>
  <c r="N13" i="23"/>
  <c r="C14" i="23"/>
  <c r="H14" i="23"/>
  <c r="N14" i="23"/>
  <c r="D15" i="23"/>
  <c r="H15" i="23"/>
  <c r="L15" i="23"/>
  <c r="P15" i="23"/>
  <c r="B16" i="23"/>
  <c r="F16" i="23"/>
  <c r="J16" i="23"/>
  <c r="N16" i="23"/>
  <c r="D17" i="23"/>
  <c r="H17" i="23"/>
  <c r="L17" i="23"/>
  <c r="P17" i="23"/>
  <c r="B18" i="23"/>
  <c r="F18" i="23"/>
  <c r="J18" i="23"/>
  <c r="N18" i="23"/>
  <c r="D19" i="23"/>
  <c r="H19" i="23"/>
  <c r="L19" i="23"/>
  <c r="P19" i="23"/>
  <c r="B20" i="23"/>
  <c r="F20" i="23"/>
  <c r="J20" i="23"/>
  <c r="N20" i="23"/>
  <c r="D21" i="23"/>
  <c r="H21" i="23"/>
  <c r="L21" i="23"/>
  <c r="P21" i="23"/>
  <c r="B22" i="23"/>
  <c r="F22" i="23"/>
  <c r="J22" i="23"/>
  <c r="N22" i="23"/>
  <c r="D23" i="23"/>
  <c r="H23" i="23"/>
  <c r="L23" i="23"/>
  <c r="P23" i="23"/>
  <c r="I3" i="23"/>
  <c r="K4" i="23"/>
  <c r="F6" i="23"/>
  <c r="L7" i="23"/>
  <c r="J8" i="23"/>
  <c r="F9" i="23"/>
  <c r="D10" i="23"/>
  <c r="O10" i="23"/>
  <c r="L11" i="23"/>
  <c r="C12" i="23"/>
  <c r="K12" i="23"/>
  <c r="E13" i="23"/>
  <c r="J13" i="23"/>
  <c r="P13" i="23"/>
  <c r="D14" i="23"/>
  <c r="J14" i="23"/>
  <c r="O14" i="23"/>
  <c r="E15" i="23"/>
  <c r="I15" i="23"/>
  <c r="M15" i="23"/>
  <c r="C16" i="23"/>
  <c r="G16" i="23"/>
  <c r="K16" i="23"/>
  <c r="O16" i="23"/>
  <c r="E17" i="23"/>
  <c r="I17" i="23"/>
  <c r="M17" i="23"/>
  <c r="C18" i="23"/>
  <c r="G18" i="23"/>
  <c r="K18" i="23"/>
  <c r="O18" i="23"/>
  <c r="E19" i="23"/>
  <c r="I19" i="23"/>
  <c r="M19" i="23"/>
  <c r="C20" i="23"/>
  <c r="G20" i="23"/>
  <c r="K20" i="23"/>
  <c r="O20" i="23"/>
  <c r="E21" i="23"/>
  <c r="I21" i="23"/>
  <c r="M21" i="23"/>
  <c r="C22" i="23"/>
  <c r="G22" i="23"/>
  <c r="K22" i="23"/>
  <c r="O22" i="23"/>
  <c r="E23" i="23"/>
  <c r="I23" i="23"/>
  <c r="M23" i="23"/>
  <c r="C24" i="23"/>
  <c r="G24" i="23"/>
  <c r="K24" i="23"/>
  <c r="O24" i="23"/>
  <c r="E25" i="23"/>
  <c r="I25" i="23"/>
  <c r="M25" i="23"/>
  <c r="C26" i="23"/>
  <c r="G26" i="23"/>
  <c r="K26" i="23"/>
  <c r="O26" i="23"/>
  <c r="P3" i="23"/>
  <c r="I5" i="23"/>
  <c r="E7" i="23"/>
  <c r="J10" i="23"/>
  <c r="E11" i="23"/>
  <c r="G12" i="23"/>
  <c r="F13" i="23"/>
  <c r="B14" i="23"/>
  <c r="L14" i="23"/>
  <c r="B15" i="23"/>
  <c r="J15" i="23"/>
  <c r="H16" i="23"/>
  <c r="P16" i="23"/>
  <c r="C17" i="23"/>
  <c r="K17" i="23"/>
  <c r="I18" i="23"/>
  <c r="F19" i="23"/>
  <c r="N19" i="23"/>
  <c r="D20" i="23"/>
  <c r="L20" i="23"/>
  <c r="G21" i="23"/>
  <c r="O21" i="23"/>
  <c r="E22" i="23"/>
  <c r="M22" i="23"/>
  <c r="B23" i="23"/>
  <c r="J23" i="23"/>
  <c r="E24" i="23"/>
  <c r="J24" i="23"/>
  <c r="P24" i="23"/>
  <c r="D25" i="23"/>
  <c r="J25" i="23"/>
  <c r="O25" i="23"/>
  <c r="E26" i="23"/>
  <c r="J26" i="23"/>
  <c r="P26" i="23"/>
  <c r="E27" i="23"/>
  <c r="I27" i="23"/>
  <c r="M27" i="23"/>
  <c r="C28" i="23"/>
  <c r="G28" i="23"/>
  <c r="K28" i="23"/>
  <c r="O28" i="23"/>
  <c r="E29" i="23"/>
  <c r="I29" i="23"/>
  <c r="M29" i="23"/>
  <c r="C30" i="23"/>
  <c r="G30" i="23"/>
  <c r="K30" i="23"/>
  <c r="O30" i="23"/>
  <c r="E31" i="23"/>
  <c r="I31" i="23"/>
  <c r="M31" i="23"/>
  <c r="C32" i="23"/>
  <c r="G32" i="23"/>
  <c r="K32" i="23"/>
  <c r="O32" i="23"/>
  <c r="E33" i="23"/>
  <c r="I33" i="23"/>
  <c r="M33" i="23"/>
  <c r="C34" i="23"/>
  <c r="G34" i="23"/>
  <c r="K34" i="23"/>
  <c r="G6" i="23"/>
  <c r="F7" i="23"/>
  <c r="D8" i="23"/>
  <c r="P10" i="23"/>
  <c r="F11" i="23"/>
  <c r="L12" i="23"/>
  <c r="H13" i="23"/>
  <c r="F14" i="23"/>
  <c r="P14" i="23"/>
  <c r="C15" i="23"/>
  <c r="K15" i="23"/>
  <c r="I16" i="23"/>
  <c r="F17" i="23"/>
  <c r="N17" i="23"/>
  <c r="D18" i="23"/>
  <c r="L18" i="23"/>
  <c r="G19" i="23"/>
  <c r="O19" i="23"/>
  <c r="E20" i="23"/>
  <c r="M20" i="23"/>
  <c r="B21" i="23"/>
  <c r="J21" i="23"/>
  <c r="H22" i="23"/>
  <c r="P22" i="23"/>
  <c r="C23" i="23"/>
  <c r="K23" i="23"/>
  <c r="F24" i="23"/>
  <c r="L24" i="23"/>
  <c r="F25" i="23"/>
  <c r="K25" i="23"/>
  <c r="P25" i="23"/>
  <c r="F26" i="23"/>
  <c r="L26" i="23"/>
  <c r="B27" i="23"/>
  <c r="F27" i="23"/>
  <c r="J27" i="23"/>
  <c r="N27" i="23"/>
  <c r="D28" i="23"/>
  <c r="H28" i="23"/>
  <c r="L28" i="23"/>
  <c r="P28" i="23"/>
  <c r="B29" i="23"/>
  <c r="F29" i="23"/>
  <c r="J29" i="23"/>
  <c r="N29" i="23"/>
  <c r="D30" i="23"/>
  <c r="H30" i="23"/>
  <c r="L30" i="23"/>
  <c r="P30" i="23"/>
  <c r="B31" i="23"/>
  <c r="F31" i="23"/>
  <c r="J31" i="23"/>
  <c r="N31" i="23"/>
  <c r="D32" i="23"/>
  <c r="H32" i="23"/>
  <c r="L32" i="23"/>
  <c r="P32" i="23"/>
  <c r="L34" i="23"/>
  <c r="F34" i="23"/>
  <c r="P33" i="23"/>
  <c r="K33" i="23"/>
  <c r="F33" i="23"/>
  <c r="I32" i="23"/>
  <c r="K31" i="23"/>
  <c r="C31" i="23"/>
  <c r="N30" i="23"/>
  <c r="F30" i="23"/>
  <c r="P29" i="23"/>
  <c r="H29" i="23"/>
  <c r="M28" i="23"/>
  <c r="E28" i="23"/>
  <c r="O27" i="23"/>
  <c r="G27" i="23"/>
  <c r="N26" i="23"/>
  <c r="D26" i="23"/>
  <c r="N25" i="23"/>
  <c r="C25" i="23"/>
  <c r="N24" i="23"/>
  <c r="D24" i="23"/>
  <c r="F23" i="23"/>
  <c r="K21" i="23"/>
  <c r="I20" i="23"/>
  <c r="C19" i="23"/>
  <c r="E18" i="23"/>
  <c r="B17" i="23"/>
  <c r="M16" i="23"/>
  <c r="N15" i="23"/>
  <c r="G14" i="23"/>
  <c r="M13" i="23"/>
  <c r="D12" i="23"/>
  <c r="F10" i="23"/>
  <c r="N4" i="23"/>
  <c r="AS34" i="23"/>
  <c r="AX107" i="23"/>
  <c r="AW15" i="23"/>
  <c r="AU30" i="23"/>
  <c r="AU14" i="23"/>
  <c r="AX34" i="23"/>
  <c r="AU34" i="23"/>
  <c r="AW108" i="23"/>
  <c r="AV108" i="23"/>
  <c r="AX105" i="23"/>
  <c r="AR102" i="23"/>
  <c r="AW32" i="23"/>
  <c r="AR106" i="23"/>
  <c r="AX103" i="23"/>
  <c r="AU33" i="23"/>
  <c r="AT27" i="23"/>
  <c r="AU72" i="23"/>
  <c r="BH50" i="23"/>
  <c r="AV106" i="23"/>
  <c r="AV30" i="23"/>
  <c r="AX31" i="23"/>
  <c r="BJ51" i="23"/>
  <c r="AT33" i="23"/>
  <c r="AX20" i="23"/>
  <c r="AV21" i="23"/>
  <c r="AS104" i="23"/>
  <c r="AR108" i="23"/>
  <c r="AR26" i="23"/>
  <c r="BI51" i="23"/>
  <c r="AR25" i="23"/>
  <c r="AR19" i="23"/>
  <c r="AS4" i="23"/>
  <c r="AO94" i="23"/>
  <c r="BI50" i="23"/>
  <c r="AO119" i="23"/>
  <c r="AO50" i="23"/>
  <c r="BJ50" i="23"/>
  <c r="BH51" i="23"/>
  <c r="AO51" i="23"/>
  <c r="AO95" i="23"/>
  <c r="E207" i="23"/>
  <c r="M203" i="23"/>
  <c r="AB187" i="23"/>
  <c r="V189" i="23"/>
  <c r="AG182" i="23"/>
  <c r="AD201" i="23"/>
  <c r="V212" i="23"/>
  <c r="S200" i="23"/>
  <c r="AB182" i="23"/>
  <c r="AA198" i="23"/>
  <c r="T210" i="23"/>
  <c r="AB184" i="23"/>
  <c r="AF183" i="23"/>
  <c r="T203" i="23"/>
  <c r="AC186" i="23"/>
  <c r="AF205" i="23"/>
  <c r="AD196" i="23"/>
  <c r="AD190" i="23"/>
  <c r="V181" i="23"/>
  <c r="AD191" i="23"/>
  <c r="AD207" i="23"/>
  <c r="W193" i="23"/>
  <c r="T209" i="23"/>
  <c r="S204" i="23"/>
  <c r="AE192" i="23"/>
  <c r="V185" i="23"/>
  <c r="V195" i="23"/>
  <c r="AD211" i="23"/>
  <c r="AA197" i="23"/>
  <c r="AA188" i="23"/>
  <c r="AU107" i="23"/>
  <c r="AA182" i="23"/>
  <c r="X208" i="23"/>
  <c r="Y199" i="23"/>
  <c r="AB194" i="23"/>
  <c r="AG189" i="23"/>
  <c r="AJ17" i="23"/>
  <c r="AM17" i="23"/>
  <c r="AJ25" i="23"/>
  <c r="AL25" i="23"/>
  <c r="AJ19" i="23"/>
  <c r="AL19" i="23"/>
  <c r="AW21" i="23"/>
  <c r="AY20" i="23"/>
  <c r="AU26" i="23"/>
  <c r="AX33" i="23"/>
  <c r="AY27" i="23"/>
  <c r="AU28" i="23"/>
  <c r="AS27" i="23"/>
  <c r="AS13" i="23"/>
  <c r="AR33" i="23"/>
  <c r="AT32" i="23"/>
  <c r="AR31" i="23"/>
  <c r="AT30" i="23"/>
  <c r="AR29" i="23"/>
  <c r="AT28" i="23"/>
  <c r="AR27" i="23"/>
  <c r="AV24" i="23"/>
  <c r="AU20" i="23"/>
  <c r="AT26" i="23"/>
  <c r="AT24" i="23"/>
  <c r="AR23" i="23"/>
  <c r="AT22" i="23"/>
  <c r="AT18" i="23"/>
  <c r="AT14" i="23"/>
  <c r="AT12" i="23"/>
  <c r="AW4" i="23"/>
  <c r="AU11" i="23"/>
  <c r="AT11" i="23"/>
  <c r="AR10" i="23"/>
  <c r="AT7" i="23"/>
  <c r="AR6" i="23"/>
  <c r="K205" i="23"/>
  <c r="K181" i="23"/>
  <c r="O201" i="23"/>
  <c r="O184" i="23"/>
  <c r="N183" i="23"/>
  <c r="D183" i="23"/>
  <c r="L188" i="23"/>
  <c r="N191" i="23"/>
  <c r="D212" i="23"/>
  <c r="E186" i="23"/>
  <c r="AJ28" i="23"/>
  <c r="AL28" i="23"/>
  <c r="AJ24" i="23"/>
  <c r="AK24" i="23"/>
  <c r="H183" i="23"/>
  <c r="J183" i="23"/>
  <c r="AY26" i="23"/>
  <c r="AW34" i="23"/>
  <c r="AY107" i="23"/>
  <c r="C183" i="23"/>
  <c r="E183" i="23"/>
  <c r="F185" i="23"/>
  <c r="K195" i="23"/>
  <c r="E193" i="23"/>
  <c r="C209" i="23"/>
  <c r="B194" i="23"/>
  <c r="B189" i="23"/>
  <c r="E199" i="23"/>
  <c r="E182" i="23"/>
  <c r="F197" i="23"/>
  <c r="N210" i="23"/>
  <c r="N206" i="23"/>
  <c r="C202" i="23"/>
  <c r="C198" i="23"/>
  <c r="AJ26" i="23"/>
  <c r="AM26" i="23"/>
  <c r="AU105" i="23"/>
  <c r="P183" i="23"/>
  <c r="F183" i="23"/>
  <c r="AY24" i="23"/>
  <c r="AS19" i="23"/>
  <c r="AT21" i="23"/>
  <c r="AY13" i="23"/>
  <c r="AS32" i="23"/>
  <c r="AR30" i="23"/>
  <c r="AW28" i="23"/>
  <c r="AY18" i="23"/>
  <c r="AW33" i="23"/>
  <c r="AT31" i="23"/>
  <c r="AR22" i="23"/>
  <c r="AY22" i="23"/>
  <c r="AU18" i="23"/>
  <c r="AR16" i="23"/>
  <c r="AW9" i="23"/>
  <c r="AV33" i="23"/>
  <c r="AX32" i="23"/>
  <c r="AV31" i="23"/>
  <c r="AX30" i="23"/>
  <c r="AV29" i="23"/>
  <c r="AX28" i="23"/>
  <c r="AV27" i="23"/>
  <c r="AV26" i="23"/>
  <c r="AY16" i="23"/>
  <c r="AV14" i="23"/>
  <c r="AX26" i="23"/>
  <c r="AV23" i="23"/>
  <c r="AX22" i="23"/>
  <c r="AV19" i="23"/>
  <c r="AX18" i="23"/>
  <c r="AX16" i="23"/>
  <c r="AV15" i="23"/>
  <c r="AX14" i="23"/>
  <c r="AU8" i="23"/>
  <c r="AY11" i="23"/>
  <c r="AT10" i="23"/>
  <c r="AY5" i="23"/>
  <c r="AV3" i="23"/>
  <c r="AT13" i="23"/>
  <c r="AX8" i="23"/>
  <c r="AS7" i="23"/>
  <c r="AV5" i="23"/>
  <c r="AU3" i="23"/>
  <c r="AV10" i="23"/>
  <c r="AX9" i="23"/>
  <c r="AV8" i="23"/>
  <c r="AX7" i="23"/>
  <c r="AV6" i="23"/>
  <c r="AX5" i="23"/>
  <c r="AV4" i="23"/>
  <c r="AU6" i="23"/>
  <c r="AS5" i="23"/>
  <c r="AV76" i="23"/>
  <c r="L183" i="23"/>
  <c r="O183" i="23"/>
  <c r="K183" i="23"/>
  <c r="M183" i="23"/>
  <c r="G183" i="23"/>
  <c r="I183" i="23"/>
  <c r="AJ12" i="23"/>
  <c r="AK12" i="23"/>
  <c r="AJ3" i="23"/>
  <c r="AW27" i="23"/>
  <c r="AY12" i="23"/>
  <c r="AR12" i="23"/>
  <c r="AX104" i="23"/>
  <c r="AT108" i="23"/>
  <c r="AQ107" i="23"/>
  <c r="A222" i="23"/>
  <c r="AJ21" i="23"/>
  <c r="AK21" i="23"/>
  <c r="AJ7" i="23"/>
  <c r="AL7" i="23"/>
  <c r="AJ32" i="23"/>
  <c r="AM32" i="23"/>
  <c r="AV18" i="23"/>
  <c r="AY28" i="23"/>
  <c r="AW24" i="23"/>
  <c r="AV20" i="23"/>
  <c r="AX24" i="23"/>
  <c r="AS22" i="23"/>
  <c r="AY17" i="23"/>
  <c r="AU15" i="23"/>
  <c r="AS11" i="23"/>
  <c r="AX3" i="23"/>
  <c r="AX15" i="23"/>
  <c r="AV103" i="23"/>
  <c r="AY104" i="23"/>
  <c r="AR67" i="23"/>
  <c r="AR75" i="23"/>
  <c r="AJ72" i="23"/>
  <c r="AJ67" i="23"/>
  <c r="AX75" i="23"/>
  <c r="AW64" i="23"/>
  <c r="AT76" i="23"/>
  <c r="AS72" i="23"/>
  <c r="AS68" i="23"/>
  <c r="AS64" i="23"/>
  <c r="AU70" i="23"/>
  <c r="AS75" i="23"/>
  <c r="AT74" i="23"/>
  <c r="AV64" i="23"/>
  <c r="AS73" i="23"/>
  <c r="AJ20" i="23"/>
  <c r="AM20" i="23"/>
  <c r="AJ18" i="23"/>
  <c r="AK18" i="23"/>
  <c r="AJ4" i="23"/>
  <c r="AL4" i="23"/>
  <c r="AJ34" i="23"/>
  <c r="AL34" i="23"/>
  <c r="AY31" i="23"/>
  <c r="AU24" i="23"/>
  <c r="AV16" i="23"/>
  <c r="AS25" i="23"/>
  <c r="AX17" i="23"/>
  <c r="AV28" i="23"/>
  <c r="AS17" i="23"/>
  <c r="AV22" i="23"/>
  <c r="AR18" i="23"/>
  <c r="AR17" i="23"/>
  <c r="AR15" i="23"/>
  <c r="AW18" i="23"/>
  <c r="AS16" i="23"/>
  <c r="AY8" i="23"/>
  <c r="AY9" i="23"/>
  <c r="AS8" i="23"/>
  <c r="AT9" i="23"/>
  <c r="AR8" i="23"/>
  <c r="AR4" i="23"/>
  <c r="AT3" i="23"/>
  <c r="AS28" i="23"/>
  <c r="AJ107" i="23"/>
  <c r="AS107" i="23"/>
  <c r="AJ77" i="23"/>
  <c r="AJ71" i="23"/>
  <c r="AJ69" i="23"/>
  <c r="AW68" i="23"/>
  <c r="AU74" i="23"/>
  <c r="AV68" i="23"/>
  <c r="AX66" i="23"/>
  <c r="AY67" i="23"/>
  <c r="AW65" i="23"/>
  <c r="X182" i="23"/>
  <c r="AX64" i="23"/>
  <c r="AJ104" i="23"/>
  <c r="AY66" i="23"/>
  <c r="AY105" i="23"/>
  <c r="AJ23" i="23"/>
  <c r="AM23" i="23"/>
  <c r="AJ9" i="23"/>
  <c r="AK9" i="23"/>
  <c r="AJ6" i="23"/>
  <c r="AK6" i="23"/>
  <c r="AJ33" i="23"/>
  <c r="AK33" i="23"/>
  <c r="AJ13" i="23"/>
  <c r="AL13" i="23"/>
  <c r="AU27" i="23"/>
  <c r="AX25" i="23"/>
  <c r="AY33" i="23"/>
  <c r="AY34" i="23"/>
  <c r="AS33" i="23"/>
  <c r="AU31" i="23"/>
  <c r="AT29" i="23"/>
  <c r="AU16" i="23"/>
  <c r="AU10" i="23"/>
  <c r="AR32" i="23"/>
  <c r="AW30" i="23"/>
  <c r="AY32" i="23"/>
  <c r="AW31" i="23"/>
  <c r="AS29" i="23"/>
  <c r="AW25" i="23"/>
  <c r="AS21" i="23"/>
  <c r="AX19" i="23"/>
  <c r="AW17" i="23"/>
  <c r="AT15" i="23"/>
  <c r="AS15" i="23"/>
  <c r="AR13" i="23"/>
  <c r="AV9" i="23"/>
  <c r="AT4" i="23"/>
  <c r="AR9" i="23"/>
  <c r="AW6" i="23"/>
  <c r="AY21" i="23"/>
  <c r="AW20" i="23"/>
  <c r="AU19" i="23"/>
  <c r="AS18" i="23"/>
  <c r="AV11" i="23"/>
  <c r="AV7" i="23"/>
  <c r="AY3" i="23"/>
  <c r="AS12" i="23"/>
  <c r="AT8" i="23"/>
  <c r="AX10" i="23"/>
  <c r="AS9" i="23"/>
  <c r="AS6" i="23"/>
  <c r="AX4" i="23"/>
  <c r="AY4" i="23"/>
  <c r="AW3" i="23"/>
  <c r="AR105" i="23"/>
  <c r="AT106" i="23"/>
  <c r="AV107" i="23"/>
  <c r="AJ105" i="23"/>
  <c r="AS105" i="23"/>
  <c r="AU106" i="23"/>
  <c r="AW107" i="23"/>
  <c r="AY108" i="23"/>
  <c r="AJ106" i="23"/>
  <c r="AW102" i="23"/>
  <c r="AT65" i="23"/>
  <c r="U182" i="23"/>
  <c r="AT69" i="23"/>
  <c r="AT73" i="23"/>
  <c r="AJ64" i="23"/>
  <c r="AJ76" i="23"/>
  <c r="AJ75" i="23"/>
  <c r="AJ73" i="23"/>
  <c r="AW77" i="23"/>
  <c r="AS74" i="23"/>
  <c r="AS70" i="23"/>
  <c r="AS66" i="23"/>
  <c r="AT77" i="23"/>
  <c r="AW72" i="23"/>
  <c r="AX67" i="23"/>
  <c r="AV75" i="23"/>
  <c r="AR73" i="23"/>
  <c r="AV71" i="23"/>
  <c r="AR69" i="23"/>
  <c r="AV67" i="23"/>
  <c r="S182" i="23"/>
  <c r="AR65" i="23"/>
  <c r="AT71" i="23"/>
  <c r="AX69" i="23"/>
  <c r="AY64" i="23"/>
  <c r="AY73" i="23"/>
  <c r="AV72" i="23"/>
  <c r="AW71" i="23"/>
  <c r="AX70" i="23"/>
  <c r="AU69" i="23"/>
  <c r="AR68" i="23"/>
  <c r="AS67" i="23"/>
  <c r="AT66" i="23"/>
  <c r="AY71" i="23"/>
  <c r="AV70" i="23"/>
  <c r="AW69" i="23"/>
  <c r="AX68" i="23"/>
  <c r="AU67" i="23"/>
  <c r="AR66" i="23"/>
  <c r="AS65" i="23"/>
  <c r="T182" i="23"/>
  <c r="AT64" i="23"/>
  <c r="AU103" i="23"/>
  <c r="AU76" i="23"/>
  <c r="AT102" i="23"/>
  <c r="AU68" i="23"/>
  <c r="AJ11" i="23"/>
  <c r="AM11" i="23"/>
  <c r="AJ5" i="23"/>
  <c r="AM5" i="23"/>
  <c r="AX29" i="23"/>
  <c r="AX23" i="23"/>
  <c r="AV25" i="23"/>
  <c r="AV17" i="23"/>
  <c r="AU23" i="23"/>
  <c r="AW16" i="23"/>
  <c r="AS14" i="23"/>
  <c r="AU102" i="23"/>
  <c r="AW103" i="23"/>
  <c r="AW104" i="23"/>
  <c r="AR71" i="23"/>
  <c r="AJ65" i="23"/>
  <c r="AR76" i="23"/>
  <c r="AR77" i="23"/>
  <c r="AW74" i="23"/>
  <c r="AW70" i="23"/>
  <c r="AW66" i="23"/>
  <c r="AU77" i="23"/>
  <c r="AS76" i="23"/>
  <c r="AY72" i="23"/>
  <c r="AY65" i="23"/>
  <c r="Z182" i="23"/>
  <c r="AU75" i="23"/>
  <c r="AR74" i="23"/>
  <c r="AT72" i="23"/>
  <c r="AY70" i="23"/>
  <c r="AX77" i="23"/>
  <c r="AJ15" i="23"/>
  <c r="AK15" i="23"/>
  <c r="AJ22" i="23"/>
  <c r="AL22" i="23"/>
  <c r="AJ16" i="23"/>
  <c r="AL16" i="23"/>
  <c r="AJ8" i="23"/>
  <c r="AM8" i="23"/>
  <c r="AS30" i="23"/>
  <c r="AR20" i="23"/>
  <c r="AU12" i="23"/>
  <c r="AU22" i="23"/>
  <c r="AW13" i="23"/>
  <c r="AY25" i="23"/>
  <c r="AY30" i="23"/>
  <c r="AR3" i="23"/>
  <c r="AR21" i="23"/>
  <c r="AT20" i="23"/>
  <c r="AT16" i="23"/>
  <c r="AW7" i="23"/>
  <c r="AY19" i="23"/>
  <c r="AU17" i="23"/>
  <c r="AW12" i="23"/>
  <c r="AU7" i="23"/>
  <c r="AX102" i="23"/>
  <c r="AR107" i="23"/>
  <c r="AJ108" i="23"/>
  <c r="AX108" i="23"/>
  <c r="AY102" i="23"/>
  <c r="AU108" i="23"/>
  <c r="AT67" i="23"/>
  <c r="Y182" i="23"/>
  <c r="AX65" i="23"/>
  <c r="AY69" i="23"/>
  <c r="AW67" i="23"/>
  <c r="AU65" i="23"/>
  <c r="V182" i="23"/>
  <c r="AR64" i="23"/>
  <c r="AV66" i="23"/>
  <c r="AS77" i="23"/>
  <c r="AJ31" i="23"/>
  <c r="AL31" i="23"/>
  <c r="AJ29" i="23"/>
  <c r="AM29" i="23"/>
  <c r="AJ27" i="23"/>
  <c r="AK27" i="23"/>
  <c r="AJ14" i="23"/>
  <c r="AM14" i="23"/>
  <c r="AJ10" i="23"/>
  <c r="AL10" i="23"/>
  <c r="AJ30" i="23"/>
  <c r="AK30" i="23"/>
  <c r="AR7" i="23"/>
  <c r="AT34" i="23"/>
  <c r="AV34" i="23"/>
  <c r="AU29" i="23"/>
  <c r="AT25" i="23"/>
  <c r="AR14" i="23"/>
  <c r="AX6" i="23"/>
  <c r="AS26" i="23"/>
  <c r="AS24" i="23"/>
  <c r="AY29" i="23"/>
  <c r="AX27" i="23"/>
  <c r="AW23" i="23"/>
  <c r="AT19" i="23"/>
  <c r="AU32" i="23"/>
  <c r="AS31" i="23"/>
  <c r="AW26" i="23"/>
  <c r="AT23" i="23"/>
  <c r="AY14" i="23"/>
  <c r="AU5" i="23"/>
  <c r="AU25" i="23"/>
  <c r="AS23" i="23"/>
  <c r="AX21" i="23"/>
  <c r="AW19" i="23"/>
  <c r="AT17" i="23"/>
  <c r="AX12" i="23"/>
  <c r="AW8" i="23"/>
  <c r="AV13" i="23"/>
  <c r="AW11" i="23"/>
  <c r="AR5" i="23"/>
  <c r="AY23" i="23"/>
  <c r="AW22" i="23"/>
  <c r="AU21" i="23"/>
  <c r="AS20" i="23"/>
  <c r="AY15" i="23"/>
  <c r="AW14" i="23"/>
  <c r="AU13" i="23"/>
  <c r="AW10" i="23"/>
  <c r="AY10" i="23"/>
  <c r="AU9" i="23"/>
  <c r="AT6" i="23"/>
  <c r="AX13" i="23"/>
  <c r="AV12" i="23"/>
  <c r="AX11" i="23"/>
  <c r="AS10" i="23"/>
  <c r="AY7" i="23"/>
  <c r="AY6" i="23"/>
  <c r="AW5" i="23"/>
  <c r="AU4" i="23"/>
  <c r="AS3" i="23"/>
  <c r="AR34" i="23"/>
  <c r="AR103" i="23"/>
  <c r="AT104" i="23"/>
  <c r="AV105" i="23"/>
  <c r="AX106" i="23"/>
  <c r="AJ103" i="23"/>
  <c r="AS103" i="23"/>
  <c r="AU104" i="23"/>
  <c r="AW105" i="23"/>
  <c r="AY106" i="23"/>
  <c r="AY103" i="23"/>
  <c r="AS106" i="23"/>
  <c r="AJ74" i="23"/>
  <c r="AJ70" i="23"/>
  <c r="B183" i="23"/>
  <c r="AJ66" i="23"/>
  <c r="AJ68" i="23"/>
  <c r="AE182" i="23"/>
  <c r="AY76" i="23"/>
  <c r="AX71" i="23"/>
  <c r="AC182" i="23"/>
  <c r="AV77" i="23"/>
  <c r="AX76" i="23"/>
  <c r="AY77" i="23"/>
  <c r="AW76" i="23"/>
  <c r="AT75" i="23"/>
  <c r="AX73" i="23"/>
  <c r="AY68" i="23"/>
  <c r="AU66" i="23"/>
  <c r="AW75" i="23"/>
  <c r="AX74" i="23"/>
  <c r="AU73" i="23"/>
  <c r="AR72" i="23"/>
  <c r="AS71" i="23"/>
  <c r="AT70" i="23"/>
  <c r="AD182" i="23"/>
  <c r="AY75" i="23"/>
  <c r="AV74" i="23"/>
  <c r="AW73" i="23"/>
  <c r="AX72" i="23"/>
  <c r="AU71" i="23"/>
  <c r="AR70" i="23"/>
  <c r="AS69" i="23"/>
  <c r="AT68" i="23"/>
  <c r="AF182" i="23"/>
  <c r="AW106" i="23"/>
  <c r="AV69" i="23"/>
  <c r="AV73" i="23"/>
  <c r="AY74" i="23"/>
  <c r="AU64" i="23"/>
  <c r="AJ102" i="23"/>
  <c r="AV65" i="23"/>
  <c r="D203" i="23"/>
  <c r="N203" i="23"/>
  <c r="W194" i="23"/>
  <c r="AJ100" i="23"/>
  <c r="E203" i="23"/>
  <c r="X212" i="23"/>
  <c r="AJ51" i="23"/>
  <c r="AJ124" i="23"/>
  <c r="X187" i="23"/>
  <c r="E181" i="23"/>
  <c r="AD200" i="23"/>
  <c r="G207" i="23"/>
  <c r="C186" i="23"/>
  <c r="Y200" i="23"/>
  <c r="C207" i="23"/>
  <c r="L201" i="23"/>
  <c r="AA204" i="23"/>
  <c r="T200" i="23"/>
  <c r="AE195" i="23"/>
  <c r="M207" i="23"/>
  <c r="K207" i="23"/>
  <c r="AG184" i="23"/>
  <c r="AC194" i="23"/>
  <c r="T212" i="23"/>
  <c r="AG188" i="23"/>
  <c r="Z209" i="23"/>
  <c r="L207" i="23"/>
  <c r="V184" i="23"/>
  <c r="T181" i="23"/>
  <c r="AE194" i="23"/>
  <c r="T194" i="23"/>
  <c r="AE205" i="23"/>
  <c r="J207" i="23"/>
  <c r="F207" i="23"/>
  <c r="U194" i="23"/>
  <c r="V187" i="23"/>
  <c r="J186" i="23"/>
  <c r="P184" i="23"/>
  <c r="B203" i="23"/>
  <c r="G203" i="23"/>
  <c r="P203" i="23"/>
  <c r="C203" i="23"/>
  <c r="S189" i="23"/>
  <c r="AD187" i="23"/>
  <c r="Z189" i="23"/>
  <c r="V194" i="23"/>
  <c r="O207" i="23"/>
  <c r="B207" i="23"/>
  <c r="N207" i="23"/>
  <c r="I207" i="23"/>
  <c r="AC189" i="23"/>
  <c r="W189" i="23"/>
  <c r="W200" i="23"/>
  <c r="B184" i="23"/>
  <c r="AA211" i="23"/>
  <c r="H203" i="23"/>
  <c r="O203" i="23"/>
  <c r="K203" i="23"/>
  <c r="I203" i="23"/>
  <c r="U187" i="23"/>
  <c r="V183" i="23"/>
  <c r="Z187" i="23"/>
  <c r="S194" i="23"/>
  <c r="D207" i="23"/>
  <c r="P207" i="23"/>
  <c r="H207" i="23"/>
  <c r="W187" i="23"/>
  <c r="Y187" i="23"/>
  <c r="D210" i="23"/>
  <c r="J199" i="23"/>
  <c r="V200" i="23"/>
  <c r="AD194" i="23"/>
  <c r="AG194" i="23"/>
  <c r="AF209" i="23"/>
  <c r="W205" i="23"/>
  <c r="T184" i="23"/>
  <c r="AA199" i="23"/>
  <c r="AE212" i="23"/>
  <c r="O212" i="23"/>
  <c r="E201" i="23"/>
  <c r="AE184" i="23"/>
  <c r="U195" i="23"/>
  <c r="AB199" i="23"/>
  <c r="AC212" i="23"/>
  <c r="W212" i="23"/>
  <c r="Z212" i="23"/>
  <c r="V209" i="23"/>
  <c r="H201" i="23"/>
  <c r="Z199" i="23"/>
  <c r="AF184" i="23"/>
  <c r="AA205" i="23"/>
  <c r="X195" i="23"/>
  <c r="T199" i="23"/>
  <c r="L186" i="23"/>
  <c r="P212" i="23"/>
  <c r="C201" i="23"/>
  <c r="G186" i="23"/>
  <c r="K184" i="23"/>
  <c r="D184" i="23"/>
  <c r="K193" i="23"/>
  <c r="D193" i="23"/>
  <c r="J203" i="23"/>
  <c r="L203" i="23"/>
  <c r="F203" i="23"/>
  <c r="Z194" i="23"/>
  <c r="U200" i="23"/>
  <c r="Y194" i="23"/>
  <c r="Y204" i="23"/>
  <c r="X194" i="23"/>
  <c r="AB200" i="23"/>
  <c r="W196" i="23"/>
  <c r="L184" i="23"/>
  <c r="F184" i="23"/>
  <c r="AA194" i="23"/>
  <c r="J184" i="23"/>
  <c r="AF194" i="23"/>
  <c r="F193" i="23"/>
  <c r="G184" i="23"/>
  <c r="Z185" i="23"/>
  <c r="N186" i="23"/>
  <c r="D186" i="23"/>
  <c r="I186" i="23"/>
  <c r="B186" i="23"/>
  <c r="H186" i="23"/>
  <c r="J188" i="23"/>
  <c r="F186" i="23"/>
  <c r="K186" i="23"/>
  <c r="V210" i="23"/>
  <c r="P195" i="23"/>
  <c r="P186" i="23"/>
  <c r="O186" i="23"/>
  <c r="M186" i="23"/>
  <c r="M210" i="23"/>
  <c r="G199" i="23"/>
  <c r="X186" i="23"/>
  <c r="Z188" i="23"/>
  <c r="P210" i="23"/>
  <c r="F199" i="23"/>
  <c r="H193" i="23"/>
  <c r="AC188" i="23"/>
  <c r="S201" i="23"/>
  <c r="AE207" i="23"/>
  <c r="W186" i="23"/>
  <c r="F210" i="23"/>
  <c r="AA186" i="23"/>
  <c r="S203" i="23"/>
  <c r="C199" i="23"/>
  <c r="AC193" i="23"/>
  <c r="AA210" i="23"/>
  <c r="X210" i="23"/>
  <c r="AA192" i="23"/>
  <c r="Y193" i="23"/>
  <c r="S186" i="23"/>
  <c r="W185" i="23"/>
  <c r="X185" i="23"/>
  <c r="AA193" i="23"/>
  <c r="S207" i="23"/>
  <c r="T186" i="23"/>
  <c r="Z192" i="23"/>
  <c r="Y186" i="23"/>
  <c r="Y192" i="23"/>
  <c r="AE210" i="23"/>
  <c r="W210" i="23"/>
  <c r="O191" i="23"/>
  <c r="H188" i="23"/>
  <c r="T197" i="23"/>
  <c r="AD193" i="23"/>
  <c r="X193" i="23"/>
  <c r="Z186" i="23"/>
  <c r="AF193" i="23"/>
  <c r="AG210" i="23"/>
  <c r="AB210" i="23"/>
  <c r="K191" i="23"/>
  <c r="X207" i="23"/>
  <c r="X190" i="23"/>
  <c r="Z193" i="23"/>
  <c r="AD197" i="23"/>
  <c r="AD203" i="23"/>
  <c r="V186" i="23"/>
  <c r="X188" i="23"/>
  <c r="U188" i="23"/>
  <c r="U186" i="23"/>
  <c r="U193" i="23"/>
  <c r="U198" i="23"/>
  <c r="Y210" i="23"/>
  <c r="AB188" i="23"/>
  <c r="AF185" i="23"/>
  <c r="AC185" i="23"/>
  <c r="AD209" i="23"/>
  <c r="AB209" i="23"/>
  <c r="G195" i="23"/>
  <c r="Y205" i="23"/>
  <c r="Z205" i="23"/>
  <c r="AG195" i="23"/>
  <c r="AC181" i="23"/>
  <c r="J191" i="23"/>
  <c r="Y209" i="23"/>
  <c r="S209" i="23"/>
  <c r="AC209" i="23"/>
  <c r="X209" i="23"/>
  <c r="U185" i="23"/>
  <c r="Y188" i="23"/>
  <c r="AB205" i="23"/>
  <c r="AB186" i="23"/>
  <c r="AG205" i="23"/>
  <c r="AD205" i="23"/>
  <c r="U205" i="23"/>
  <c r="T193" i="23"/>
  <c r="S188" i="23"/>
  <c r="AA195" i="23"/>
  <c r="AB195" i="23"/>
  <c r="T195" i="23"/>
  <c r="V193" i="23"/>
  <c r="AG200" i="23"/>
  <c r="Y185" i="23"/>
  <c r="S185" i="23"/>
  <c r="W184" i="23"/>
  <c r="W188" i="23"/>
  <c r="L202" i="23"/>
  <c r="Y181" i="23"/>
  <c r="Z184" i="23"/>
  <c r="Z200" i="23"/>
  <c r="AF200" i="23"/>
  <c r="X200" i="23"/>
  <c r="W181" i="23"/>
  <c r="T185" i="23"/>
  <c r="AA181" i="23"/>
  <c r="AE181" i="23"/>
  <c r="D188" i="23"/>
  <c r="AF181" i="23"/>
  <c r="AD181" i="23"/>
  <c r="U210" i="23"/>
  <c r="AC210" i="23"/>
  <c r="S210" i="23"/>
  <c r="AE185" i="23"/>
  <c r="K188" i="23"/>
  <c r="AE188" i="23"/>
  <c r="Z195" i="23"/>
  <c r="AD188" i="23"/>
  <c r="E184" i="23"/>
  <c r="AF188" i="23"/>
  <c r="AA209" i="23"/>
  <c r="U209" i="23"/>
  <c r="B191" i="23"/>
  <c r="U184" i="23"/>
  <c r="S195" i="23"/>
  <c r="Y195" i="23"/>
  <c r="Z181" i="23"/>
  <c r="Y184" i="23"/>
  <c r="T205" i="23"/>
  <c r="AG181" i="23"/>
  <c r="AF186" i="23"/>
  <c r="AG209" i="23"/>
  <c r="AE209" i="23"/>
  <c r="W209" i="23"/>
  <c r="X205" i="23"/>
  <c r="V188" i="23"/>
  <c r="T188" i="23"/>
  <c r="AE186" i="23"/>
  <c r="D206" i="23"/>
  <c r="AC200" i="23"/>
  <c r="S181" i="23"/>
  <c r="X184" i="23"/>
  <c r="AG186" i="23"/>
  <c r="V205" i="23"/>
  <c r="S205" i="23"/>
  <c r="AC205" i="23"/>
  <c r="S193" i="23"/>
  <c r="AF195" i="23"/>
  <c r="AC195" i="23"/>
  <c r="W195" i="23"/>
  <c r="U181" i="23"/>
  <c r="AA184" i="23"/>
  <c r="Y208" i="23"/>
  <c r="AE200" i="23"/>
  <c r="AA200" i="23"/>
  <c r="X181" i="23"/>
  <c r="S184" i="23"/>
  <c r="AB181" i="23"/>
  <c r="AB193" i="23"/>
  <c r="E191" i="23"/>
  <c r="N188" i="23"/>
  <c r="AG193" i="23"/>
  <c r="AD210" i="23"/>
  <c r="AF210" i="23"/>
  <c r="Z210" i="23"/>
  <c r="AB185" i="23"/>
  <c r="H191" i="23"/>
  <c r="AD195" i="23"/>
  <c r="M191" i="23"/>
  <c r="AE193" i="23"/>
  <c r="I184" i="23"/>
  <c r="AE189" i="23"/>
  <c r="AG207" i="23"/>
  <c r="N201" i="23"/>
  <c r="U192" i="23"/>
  <c r="AA201" i="23"/>
  <c r="V203" i="23"/>
  <c r="AC199" i="23"/>
  <c r="AB203" i="23"/>
  <c r="I181" i="23"/>
  <c r="L181" i="23"/>
  <c r="AF198" i="23"/>
  <c r="AC187" i="23"/>
  <c r="AD189" i="23"/>
  <c r="U207" i="23"/>
  <c r="AB207" i="23"/>
  <c r="T207" i="23"/>
  <c r="M212" i="23"/>
  <c r="N212" i="23"/>
  <c r="J201" i="23"/>
  <c r="I201" i="23"/>
  <c r="W190" i="23"/>
  <c r="S187" i="23"/>
  <c r="Y189" i="23"/>
  <c r="W191" i="23"/>
  <c r="Y190" i="23"/>
  <c r="AF187" i="23"/>
  <c r="Y201" i="23"/>
  <c r="AC201" i="23"/>
  <c r="I209" i="23"/>
  <c r="P206" i="23"/>
  <c r="U189" i="23"/>
  <c r="AB211" i="23"/>
  <c r="W197" i="23"/>
  <c r="M193" i="23"/>
  <c r="S190" i="23"/>
  <c r="X189" i="23"/>
  <c r="J185" i="23"/>
  <c r="U199" i="23"/>
  <c r="X199" i="23"/>
  <c r="AE199" i="23"/>
  <c r="L210" i="23"/>
  <c r="K210" i="23"/>
  <c r="AF203" i="23"/>
  <c r="W203" i="23"/>
  <c r="L199" i="23"/>
  <c r="M199" i="23"/>
  <c r="T190" i="23"/>
  <c r="T189" i="23"/>
  <c r="O181" i="23"/>
  <c r="P181" i="23"/>
  <c r="J181" i="23"/>
  <c r="I193" i="23"/>
  <c r="V198" i="23"/>
  <c r="Z198" i="23"/>
  <c r="H181" i="23"/>
  <c r="AA189" i="23"/>
  <c r="AC184" i="23"/>
  <c r="AF189" i="23"/>
  <c r="AE187" i="23"/>
  <c r="AA207" i="23"/>
  <c r="Y207" i="23"/>
  <c r="E212" i="23"/>
  <c r="B201" i="23"/>
  <c r="F201" i="23"/>
  <c r="U201" i="23"/>
  <c r="P209" i="23"/>
  <c r="G206" i="23"/>
  <c r="V192" i="23"/>
  <c r="S197" i="23"/>
  <c r="L182" i="23"/>
  <c r="AF199" i="23"/>
  <c r="W199" i="23"/>
  <c r="S192" i="23"/>
  <c r="AF207" i="23"/>
  <c r="AC207" i="23"/>
  <c r="W207" i="23"/>
  <c r="G212" i="23"/>
  <c r="C212" i="23"/>
  <c r="P201" i="23"/>
  <c r="M201" i="23"/>
  <c r="D201" i="23"/>
  <c r="AB189" i="23"/>
  <c r="I185" i="23"/>
  <c r="O209" i="23"/>
  <c r="J206" i="23"/>
  <c r="B182" i="23"/>
  <c r="J205" i="23"/>
  <c r="T187" i="23"/>
  <c r="B193" i="23"/>
  <c r="S199" i="23"/>
  <c r="AG199" i="23"/>
  <c r="G210" i="23"/>
  <c r="J210" i="23"/>
  <c r="AA203" i="23"/>
  <c r="K199" i="23"/>
  <c r="AF208" i="23"/>
  <c r="AG191" i="23"/>
  <c r="C185" i="23"/>
  <c r="L193" i="23"/>
  <c r="P191" i="23"/>
  <c r="S211" i="23"/>
  <c r="G191" i="23"/>
  <c r="AA187" i="23"/>
  <c r="AD184" i="23"/>
  <c r="M184" i="23"/>
  <c r="AD186" i="23"/>
  <c r="AG187" i="23"/>
  <c r="B198" i="23"/>
  <c r="N198" i="23"/>
  <c r="E190" i="23"/>
  <c r="F190" i="23"/>
  <c r="I190" i="23"/>
  <c r="I211" i="23"/>
  <c r="O211" i="23"/>
  <c r="F211" i="23"/>
  <c r="G187" i="23"/>
  <c r="M187" i="23"/>
  <c r="L189" i="23"/>
  <c r="T208" i="23"/>
  <c r="T204" i="23"/>
  <c r="V196" i="23"/>
  <c r="F202" i="23"/>
  <c r="B202" i="23"/>
  <c r="H202" i="23"/>
  <c r="N202" i="23"/>
  <c r="I202" i="23"/>
  <c r="O197" i="23"/>
  <c r="I197" i="23"/>
  <c r="N197" i="23"/>
  <c r="K194" i="23"/>
  <c r="G194" i="23"/>
  <c r="L194" i="23"/>
  <c r="N194" i="23"/>
  <c r="L195" i="23"/>
  <c r="H195" i="23"/>
  <c r="M195" i="23"/>
  <c r="J195" i="23"/>
  <c r="F195" i="23"/>
  <c r="Z191" i="23"/>
  <c r="I195" i="23"/>
  <c r="M197" i="23"/>
  <c r="Y211" i="23"/>
  <c r="U211" i="23"/>
  <c r="I205" i="23"/>
  <c r="E202" i="23"/>
  <c r="Z208" i="23"/>
  <c r="AB204" i="23"/>
  <c r="AE196" i="23"/>
  <c r="AF191" i="23"/>
  <c r="AC191" i="23"/>
  <c r="U212" i="23"/>
  <c r="S212" i="23"/>
  <c r="AG212" i="23"/>
  <c r="AF212" i="23"/>
  <c r="Y212" i="23"/>
  <c r="AA212" i="23"/>
  <c r="AD212" i="23"/>
  <c r="AB212" i="23"/>
  <c r="O192" i="23"/>
  <c r="H192" i="23"/>
  <c r="O205" i="23"/>
  <c r="G205" i="23"/>
  <c r="F205" i="23"/>
  <c r="N205" i="23"/>
  <c r="M205" i="23"/>
  <c r="C205" i="23"/>
  <c r="L205" i="23"/>
  <c r="H205" i="23"/>
  <c r="E205" i="23"/>
  <c r="AG208" i="23"/>
  <c r="V208" i="23"/>
  <c r="AB208" i="23"/>
  <c r="U208" i="23"/>
  <c r="S208" i="23"/>
  <c r="AA208" i="23"/>
  <c r="AE208" i="23"/>
  <c r="AE211" i="23"/>
  <c r="Z211" i="23"/>
  <c r="AF211" i="23"/>
  <c r="W211" i="23"/>
  <c r="V211" i="23"/>
  <c r="X211" i="23"/>
  <c r="T211" i="23"/>
  <c r="U204" i="23"/>
  <c r="AD204" i="23"/>
  <c r="W204" i="23"/>
  <c r="AE204" i="23"/>
  <c r="AG204" i="23"/>
  <c r="V204" i="23"/>
  <c r="Z204" i="23"/>
  <c r="AB191" i="23"/>
  <c r="V191" i="23"/>
  <c r="X191" i="23"/>
  <c r="S191" i="23"/>
  <c r="AA191" i="23"/>
  <c r="T191" i="23"/>
  <c r="AC196" i="23"/>
  <c r="S196" i="23"/>
  <c r="AA196" i="23"/>
  <c r="AB196" i="23"/>
  <c r="U196" i="23"/>
  <c r="X196" i="23"/>
  <c r="AF196" i="23"/>
  <c r="T196" i="23"/>
  <c r="Y196" i="23"/>
  <c r="AB183" i="23"/>
  <c r="AA183" i="23"/>
  <c r="Y183" i="23"/>
  <c r="AG183" i="23"/>
  <c r="AC183" i="23"/>
  <c r="T183" i="23"/>
  <c r="AD183" i="23"/>
  <c r="S183" i="23"/>
  <c r="W183" i="23"/>
  <c r="AF206" i="23"/>
  <c r="W206" i="23"/>
  <c r="AB206" i="23"/>
  <c r="AD206" i="23"/>
  <c r="AC206" i="23"/>
  <c r="Z206" i="23"/>
  <c r="U206" i="23"/>
  <c r="X206" i="23"/>
  <c r="AA206" i="23"/>
  <c r="AG206" i="23"/>
  <c r="AE206" i="23"/>
  <c r="T206" i="23"/>
  <c r="V206" i="23"/>
  <c r="S206" i="23"/>
  <c r="Y206" i="23"/>
  <c r="Y191" i="23"/>
  <c r="AC211" i="23"/>
  <c r="B205" i="23"/>
  <c r="U183" i="23"/>
  <c r="AD208" i="23"/>
  <c r="X204" i="23"/>
  <c r="M194" i="23"/>
  <c r="D195" i="23"/>
  <c r="AE183" i="23"/>
  <c r="K211" i="23"/>
  <c r="AG196" i="23"/>
  <c r="J197" i="23"/>
  <c r="X183" i="23"/>
  <c r="AG211" i="23"/>
  <c r="P205" i="23"/>
  <c r="D205" i="23"/>
  <c r="G197" i="23"/>
  <c r="L198" i="23"/>
  <c r="Z183" i="23"/>
  <c r="W208" i="23"/>
  <c r="AC208" i="23"/>
  <c r="AF204" i="23"/>
  <c r="Z196" i="23"/>
  <c r="U191" i="23"/>
  <c r="AE191" i="23"/>
  <c r="AC204" i="23"/>
  <c r="O188" i="23"/>
  <c r="E188" i="23"/>
  <c r="C188" i="23"/>
  <c r="P188" i="23"/>
  <c r="B188" i="23"/>
  <c r="I188" i="23"/>
  <c r="M188" i="23"/>
  <c r="D181" i="23"/>
  <c r="F181" i="23"/>
  <c r="B181" i="23"/>
  <c r="C181" i="23"/>
  <c r="N181" i="23"/>
  <c r="M181" i="23"/>
  <c r="G181" i="23"/>
  <c r="AF197" i="23"/>
  <c r="X197" i="23"/>
  <c r="AC197" i="23"/>
  <c r="AB197" i="23"/>
  <c r="Z197" i="23"/>
  <c r="Y197" i="23"/>
  <c r="U197" i="23"/>
  <c r="AE197" i="23"/>
  <c r="V197" i="23"/>
  <c r="AG197" i="23"/>
  <c r="AG192" i="23"/>
  <c r="AC192" i="23"/>
  <c r="AF192" i="23"/>
  <c r="AB192" i="23"/>
  <c r="AD192" i="23"/>
  <c r="X192" i="23"/>
  <c r="T192" i="23"/>
  <c r="W192" i="23"/>
  <c r="Z207" i="23"/>
  <c r="V207" i="23"/>
  <c r="AC190" i="23"/>
  <c r="AF190" i="23"/>
  <c r="AG190" i="23"/>
  <c r="U190" i="23"/>
  <c r="V190" i="23"/>
  <c r="AA190" i="23"/>
  <c r="AB190" i="23"/>
  <c r="AE190" i="23"/>
  <c r="Z190" i="23"/>
  <c r="Z203" i="23"/>
  <c r="Y203" i="23"/>
  <c r="AG203" i="23"/>
  <c r="AC203" i="23"/>
  <c r="AE203" i="23"/>
  <c r="X203" i="23"/>
  <c r="U203" i="23"/>
  <c r="S198" i="23"/>
  <c r="X198" i="23"/>
  <c r="Y198" i="23"/>
  <c r="AG198" i="23"/>
  <c r="AE198" i="23"/>
  <c r="AD198" i="23"/>
  <c r="AC198" i="23"/>
  <c r="T198" i="23"/>
  <c r="AB198" i="23"/>
  <c r="W198" i="23"/>
  <c r="X201" i="23"/>
  <c r="AF201" i="23"/>
  <c r="T201" i="23"/>
  <c r="AB201" i="23"/>
  <c r="Z201" i="23"/>
  <c r="V201" i="23"/>
  <c r="W201" i="23"/>
  <c r="AE201" i="23"/>
  <c r="AG201" i="23"/>
  <c r="L191" i="23"/>
  <c r="AD185" i="23"/>
  <c r="AG185" i="23"/>
  <c r="K201" i="23"/>
  <c r="G201" i="23"/>
  <c r="V199" i="23"/>
  <c r="AD199" i="23"/>
  <c r="N184" i="23"/>
  <c r="Z202" i="23"/>
  <c r="AE202" i="23"/>
  <c r="T202" i="23"/>
  <c r="S202" i="23"/>
  <c r="V202" i="23"/>
  <c r="Y202" i="23"/>
  <c r="AF202" i="23"/>
  <c r="X202" i="23"/>
  <c r="W202" i="23"/>
  <c r="AB202" i="23"/>
  <c r="AD202" i="23"/>
  <c r="U202" i="23"/>
  <c r="AC202" i="23"/>
  <c r="AA202" i="23"/>
  <c r="AG202" i="23"/>
  <c r="AA185" i="23"/>
  <c r="H184" i="23"/>
  <c r="C184" i="23"/>
  <c r="F182" i="23"/>
  <c r="O182" i="23"/>
  <c r="E209" i="23"/>
  <c r="D209" i="23"/>
  <c r="K209" i="23"/>
  <c r="I206" i="23"/>
  <c r="M206" i="23"/>
  <c r="K206" i="23"/>
  <c r="F206" i="23"/>
  <c r="P182" i="23"/>
  <c r="B212" i="23"/>
  <c r="K212" i="23"/>
  <c r="K185" i="23"/>
  <c r="N193" i="23"/>
  <c r="B209" i="23"/>
  <c r="H209" i="23"/>
  <c r="L209" i="23"/>
  <c r="G209" i="23"/>
  <c r="O206" i="23"/>
  <c r="H206" i="23"/>
  <c r="E206" i="23"/>
  <c r="B206" i="23"/>
  <c r="D185" i="23"/>
  <c r="O185" i="23"/>
  <c r="O193" i="23"/>
  <c r="I210" i="23"/>
  <c r="H210" i="23"/>
  <c r="E210" i="23"/>
  <c r="O199" i="23"/>
  <c r="B199" i="23"/>
  <c r="N199" i="23"/>
  <c r="I199" i="23"/>
  <c r="L212" i="23"/>
  <c r="P185" i="23"/>
  <c r="G185" i="23"/>
  <c r="F194" i="23"/>
  <c r="M182" i="23"/>
  <c r="J194" i="23"/>
  <c r="D191" i="23"/>
  <c r="G188" i="23"/>
  <c r="F191" i="23"/>
  <c r="F188" i="23"/>
  <c r="M209" i="23"/>
  <c r="N185" i="23"/>
  <c r="J182" i="23"/>
  <c r="M185" i="23"/>
  <c r="E185" i="23"/>
  <c r="I182" i="23"/>
  <c r="P193" i="23"/>
  <c r="H212" i="23"/>
  <c r="I212" i="23"/>
  <c r="J212" i="23"/>
  <c r="F212" i="23"/>
  <c r="H182" i="23"/>
  <c r="B185" i="23"/>
  <c r="J209" i="23"/>
  <c r="N209" i="23"/>
  <c r="F209" i="23"/>
  <c r="L206" i="23"/>
  <c r="C206" i="23"/>
  <c r="N182" i="23"/>
  <c r="H185" i="23"/>
  <c r="O210" i="23"/>
  <c r="C210" i="23"/>
  <c r="D199" i="23"/>
  <c r="P199" i="23"/>
  <c r="H199" i="23"/>
  <c r="C182" i="23"/>
  <c r="C193" i="23"/>
  <c r="L185" i="23"/>
  <c r="K182" i="23"/>
  <c r="C191" i="23"/>
  <c r="I191" i="23"/>
  <c r="K189" i="23"/>
  <c r="G192" i="23"/>
  <c r="J198" i="23"/>
  <c r="O187" i="23"/>
  <c r="I204" i="23"/>
  <c r="H204" i="23"/>
  <c r="M204" i="23"/>
  <c r="N204" i="23"/>
  <c r="G204" i="23"/>
  <c r="L204" i="23"/>
  <c r="E204" i="23"/>
  <c r="C204" i="23"/>
  <c r="J204" i="23"/>
  <c r="K204" i="23"/>
  <c r="O204" i="23"/>
  <c r="B204" i="23"/>
  <c r="D204" i="23"/>
  <c r="F204" i="23"/>
  <c r="P204" i="23"/>
  <c r="H194" i="23"/>
  <c r="N192" i="23"/>
  <c r="O194" i="23"/>
  <c r="M189" i="23"/>
  <c r="B187" i="23"/>
  <c r="O195" i="23"/>
  <c r="E195" i="23"/>
  <c r="D211" i="23"/>
  <c r="P197" i="23"/>
  <c r="D197" i="23"/>
  <c r="B190" i="23"/>
  <c r="D190" i="23"/>
  <c r="K197" i="23"/>
  <c r="O202" i="23"/>
  <c r="G202" i="23"/>
  <c r="P202" i="23"/>
  <c r="J202" i="23"/>
  <c r="D198" i="23"/>
  <c r="M198" i="23"/>
  <c r="K198" i="23"/>
  <c r="F198" i="23"/>
  <c r="H190" i="23"/>
  <c r="C197" i="23"/>
  <c r="D192" i="23"/>
  <c r="L192" i="23"/>
  <c r="C187" i="23"/>
  <c r="I194" i="23"/>
  <c r="D194" i="23"/>
  <c r="D187" i="23"/>
  <c r="C200" i="23"/>
  <c r="I200" i="23"/>
  <c r="N200" i="23"/>
  <c r="D200" i="23"/>
  <c r="B200" i="23"/>
  <c r="J200" i="23"/>
  <c r="F200" i="23"/>
  <c r="H200" i="23"/>
  <c r="G200" i="23"/>
  <c r="O200" i="23"/>
  <c r="P200" i="23"/>
  <c r="E200" i="23"/>
  <c r="K200" i="23"/>
  <c r="M200" i="23"/>
  <c r="L200" i="23"/>
  <c r="P192" i="23"/>
  <c r="J192" i="23"/>
  <c r="C192" i="23"/>
  <c r="F187" i="23"/>
  <c r="P194" i="23"/>
  <c r="I189" i="23"/>
  <c r="M211" i="23"/>
  <c r="O190" i="23"/>
  <c r="J189" i="23"/>
  <c r="H211" i="23"/>
  <c r="L211" i="23"/>
  <c r="J211" i="23"/>
  <c r="C190" i="23"/>
  <c r="C189" i="23"/>
  <c r="O198" i="23"/>
  <c r="G198" i="23"/>
  <c r="P198" i="23"/>
  <c r="E187" i="23"/>
  <c r="K192" i="23"/>
  <c r="P187" i="23"/>
  <c r="J190" i="23"/>
  <c r="L190" i="23"/>
  <c r="G190" i="23"/>
  <c r="I192" i="23"/>
  <c r="O189" i="23"/>
  <c r="N195" i="23"/>
  <c r="C211" i="23"/>
  <c r="G211" i="23"/>
  <c r="E189" i="23"/>
  <c r="B197" i="23"/>
  <c r="H189" i="23"/>
  <c r="E211" i="23"/>
  <c r="N190" i="23"/>
  <c r="P190" i="23"/>
  <c r="B195" i="23"/>
  <c r="C195" i="23"/>
  <c r="N211" i="23"/>
  <c r="P211" i="23"/>
  <c r="B211" i="23"/>
  <c r="F189" i="23"/>
  <c r="E197" i="23"/>
  <c r="H197" i="23"/>
  <c r="L197" i="23"/>
  <c r="D189" i="23"/>
  <c r="B192" i="23"/>
  <c r="D202" i="23"/>
  <c r="M202" i="23"/>
  <c r="K202" i="23"/>
  <c r="I198" i="23"/>
  <c r="H198" i="23"/>
  <c r="E198" i="23"/>
  <c r="N189" i="23"/>
  <c r="G189" i="23"/>
  <c r="P189" i="23"/>
  <c r="K187" i="23"/>
  <c r="F192" i="23"/>
  <c r="L187" i="23"/>
  <c r="J187" i="23"/>
  <c r="N187" i="23"/>
  <c r="H187" i="23"/>
  <c r="E194" i="23"/>
  <c r="C208" i="23"/>
  <c r="I208" i="23"/>
  <c r="L208" i="23"/>
  <c r="M208" i="23"/>
  <c r="P208" i="23"/>
  <c r="E208" i="23"/>
  <c r="F208" i="23"/>
  <c r="G208" i="23"/>
  <c r="O208" i="23"/>
  <c r="N208" i="23"/>
  <c r="B208" i="23"/>
  <c r="D208" i="23"/>
  <c r="J208" i="23"/>
  <c r="K208" i="23"/>
  <c r="H208" i="23"/>
  <c r="C196" i="23"/>
  <c r="I196" i="23"/>
  <c r="D196" i="23"/>
  <c r="B196" i="23"/>
  <c r="J196" i="23"/>
  <c r="H196" i="23"/>
  <c r="G196" i="23"/>
  <c r="O196" i="23"/>
  <c r="F196" i="23"/>
  <c r="E196" i="23"/>
  <c r="L196" i="23"/>
  <c r="K196" i="23"/>
  <c r="P196" i="23"/>
  <c r="N196" i="23"/>
  <c r="M196" i="23"/>
  <c r="I187" i="23"/>
  <c r="D182" i="23"/>
  <c r="G182" i="23"/>
  <c r="J193" i="23"/>
  <c r="G193" i="23"/>
  <c r="K190" i="23"/>
  <c r="M190" i="23"/>
  <c r="C194" i="23"/>
  <c r="E192" i="23"/>
  <c r="M192" i="23"/>
  <c r="AL51" i="23"/>
  <c r="AM38" i="23"/>
  <c r="AM51" i="23"/>
  <c r="AK3" i="23"/>
  <c r="AK51" i="23"/>
  <c r="E609" i="16"/>
  <c r="F609" i="16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E3" i="13"/>
  <c r="F3" i="13"/>
  <c r="G3" i="13"/>
  <c r="H3" i="13"/>
  <c r="I3" i="13"/>
  <c r="J3" i="13"/>
  <c r="K3" i="13"/>
  <c r="L3" i="13"/>
  <c r="M3" i="13"/>
  <c r="N3" i="13"/>
  <c r="O3" i="13"/>
  <c r="P3" i="13"/>
  <c r="D3" i="13"/>
  <c r="D2" i="13"/>
  <c r="B434" i="13"/>
  <c r="X108" i="118"/>
  <c r="Y108" i="118"/>
  <c r="AO96" i="13"/>
  <c r="AA96" i="13"/>
  <c r="AO97" i="13"/>
  <c r="AA97" i="13"/>
  <c r="C243" i="16"/>
  <c r="C244" i="16"/>
  <c r="C245" i="16"/>
  <c r="AV64" i="16"/>
  <c r="AV65" i="16"/>
  <c r="AV66" i="16"/>
  <c r="AV67" i="16"/>
  <c r="AV68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B82" i="87"/>
  <c r="C82" i="87"/>
  <c r="D82" i="87"/>
  <c r="E82" i="87"/>
  <c r="F82" i="87"/>
  <c r="G82" i="87"/>
  <c r="H82" i="87"/>
  <c r="I82" i="87"/>
  <c r="J82" i="87"/>
  <c r="K82" i="87"/>
  <c r="L82" i="87"/>
  <c r="M82" i="87"/>
  <c r="N82" i="87"/>
  <c r="O82" i="87"/>
  <c r="P82" i="87"/>
  <c r="AE48" i="13" a="1"/>
  <c r="AE48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C96" i="13"/>
  <c r="AB96" i="13"/>
  <c r="AG96" i="13"/>
  <c r="AH96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C97" i="13"/>
  <c r="AB97" i="13"/>
  <c r="D96" i="13"/>
  <c r="E96" i="13"/>
  <c r="D97" i="13"/>
  <c r="C408" i="16"/>
  <c r="C409" i="16"/>
  <c r="E408" i="16"/>
  <c r="F408" i="16"/>
  <c r="E409" i="16"/>
  <c r="F409" i="16"/>
  <c r="D408" i="16"/>
  <c r="D409" i="16"/>
  <c r="AD355" i="16" a="1"/>
  <c r="AD355" i="16"/>
  <c r="C51" i="16"/>
  <c r="D51" i="16"/>
  <c r="E51" i="16"/>
  <c r="F51" i="16"/>
  <c r="C52" i="16"/>
  <c r="D52" i="16"/>
  <c r="E52" i="16"/>
  <c r="F52" i="16"/>
  <c r="C49" i="16"/>
  <c r="D49" i="16"/>
  <c r="E49" i="16"/>
  <c r="F49" i="16"/>
  <c r="C50" i="16"/>
  <c r="D50" i="16"/>
  <c r="E50" i="16"/>
  <c r="F50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174" i="16"/>
  <c r="F223" i="16"/>
  <c r="D223" i="16"/>
  <c r="C222" i="16"/>
  <c r="C223" i="16"/>
  <c r="F51" i="128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C604" i="16"/>
  <c r="E606" i="16"/>
  <c r="E607" i="16"/>
  <c r="D53" i="118"/>
  <c r="D108" i="118"/>
  <c r="D168" i="118"/>
  <c r="E53" i="118"/>
  <c r="O53" i="118"/>
  <c r="P53" i="118"/>
  <c r="Q53" i="118"/>
  <c r="R53" i="118"/>
  <c r="S53" i="118"/>
  <c r="E108" i="118"/>
  <c r="C284" i="13" a="1"/>
  <c r="C286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G51" i="128"/>
  <c r="AE59" i="13"/>
  <c r="V108" i="118"/>
  <c r="H51" i="128"/>
  <c r="AE86" i="13"/>
  <c r="I223" i="16"/>
  <c r="AE65" i="13"/>
  <c r="AD394" i="16"/>
  <c r="AD378" i="16"/>
  <c r="AD370" i="16"/>
  <c r="AD405" i="16"/>
  <c r="AD397" i="16"/>
  <c r="AD389" i="16"/>
  <c r="AD381" i="16"/>
  <c r="AD373" i="16"/>
  <c r="AD365" i="16"/>
  <c r="AD357" i="16"/>
  <c r="AD401" i="16"/>
  <c r="AD393" i="16"/>
  <c r="AD385" i="16"/>
  <c r="AD377" i="16"/>
  <c r="AD369" i="16"/>
  <c r="AD361" i="16"/>
  <c r="AD402" i="16"/>
  <c r="AD386" i="16"/>
  <c r="AD362" i="16"/>
  <c r="AD406" i="16"/>
  <c r="AD398" i="16"/>
  <c r="AD390" i="16"/>
  <c r="AD382" i="16"/>
  <c r="AD374" i="16"/>
  <c r="AD366" i="16"/>
  <c r="AD358" i="16"/>
  <c r="AE81" i="13"/>
  <c r="AE97" i="13"/>
  <c r="AD97" i="13"/>
  <c r="AE75" i="13"/>
  <c r="AE54" i="13"/>
  <c r="G96" i="13"/>
  <c r="AE91" i="13"/>
  <c r="AE70" i="13"/>
  <c r="AE49" i="13"/>
  <c r="C329" i="13"/>
  <c r="C319" i="13"/>
  <c r="C308" i="13"/>
  <c r="C297" i="13"/>
  <c r="C292" i="13"/>
  <c r="C332" i="13"/>
  <c r="C327" i="13"/>
  <c r="C321" i="13"/>
  <c r="C316" i="13"/>
  <c r="C311" i="13"/>
  <c r="C305" i="13"/>
  <c r="C300" i="13"/>
  <c r="C295" i="13"/>
  <c r="C289" i="13"/>
  <c r="C284" i="13"/>
  <c r="AE93" i="13"/>
  <c r="AE87" i="13"/>
  <c r="AE82" i="13"/>
  <c r="AE77" i="13"/>
  <c r="AE71" i="13"/>
  <c r="AE66" i="13"/>
  <c r="AE61" i="13"/>
  <c r="AE55" i="13"/>
  <c r="AE50" i="13"/>
  <c r="C331" i="13"/>
  <c r="C325" i="13"/>
  <c r="C320" i="13"/>
  <c r="C315" i="13"/>
  <c r="C309" i="13"/>
  <c r="C304" i="13"/>
  <c r="C299" i="13"/>
  <c r="C293" i="13"/>
  <c r="C288" i="13"/>
  <c r="C324" i="13"/>
  <c r="C313" i="13"/>
  <c r="C303" i="13"/>
  <c r="C287" i="13"/>
  <c r="AE95" i="13"/>
  <c r="AE90" i="13"/>
  <c r="AE85" i="13"/>
  <c r="AE79" i="13"/>
  <c r="AE74" i="13"/>
  <c r="AE69" i="13"/>
  <c r="AE63" i="13"/>
  <c r="AE58" i="13"/>
  <c r="AE53" i="13"/>
  <c r="C333" i="13"/>
  <c r="C328" i="13"/>
  <c r="C323" i="13"/>
  <c r="C317" i="13"/>
  <c r="C312" i="13"/>
  <c r="C307" i="13"/>
  <c r="C301" i="13"/>
  <c r="C296" i="13"/>
  <c r="C291" i="13"/>
  <c r="C285" i="13"/>
  <c r="AE94" i="13"/>
  <c r="AE89" i="13"/>
  <c r="AE83" i="13"/>
  <c r="AE78" i="13"/>
  <c r="AE73" i="13"/>
  <c r="AE67" i="13"/>
  <c r="AE62" i="13"/>
  <c r="AE57" i="13"/>
  <c r="AE51" i="13"/>
  <c r="AE96" i="13"/>
  <c r="AD96" i="13"/>
  <c r="AE92" i="13"/>
  <c r="AE88" i="13"/>
  <c r="AE84" i="13"/>
  <c r="AE80" i="13"/>
  <c r="AE76" i="13"/>
  <c r="AE72" i="13"/>
  <c r="AE68" i="13"/>
  <c r="AE64" i="13"/>
  <c r="AE60" i="13"/>
  <c r="AE56" i="13"/>
  <c r="AE52" i="13"/>
  <c r="AD408" i="16"/>
  <c r="AD404" i="16"/>
  <c r="AD400" i="16"/>
  <c r="AD396" i="16"/>
  <c r="AD392" i="16"/>
  <c r="AD388" i="16"/>
  <c r="AD384" i="16"/>
  <c r="AD380" i="16"/>
  <c r="AD376" i="16"/>
  <c r="AD372" i="16"/>
  <c r="AD368" i="16"/>
  <c r="AD364" i="16"/>
  <c r="AD360" i="16"/>
  <c r="AD356" i="16"/>
  <c r="AD407" i="16"/>
  <c r="AD403" i="16"/>
  <c r="AD399" i="16"/>
  <c r="AD395" i="16"/>
  <c r="AD391" i="16"/>
  <c r="AD387" i="16"/>
  <c r="AD383" i="16"/>
  <c r="AD379" i="16"/>
  <c r="AD375" i="16"/>
  <c r="AD371" i="16"/>
  <c r="AD367" i="16"/>
  <c r="AD363" i="16"/>
  <c r="AD359" i="16"/>
  <c r="E608" i="16"/>
  <c r="G223" i="16"/>
  <c r="F606" i="16"/>
  <c r="F607" i="16"/>
  <c r="F608" i="16"/>
  <c r="C330" i="13"/>
  <c r="C326" i="13"/>
  <c r="C322" i="13"/>
  <c r="C318" i="13"/>
  <c r="C314" i="13"/>
  <c r="C310" i="13"/>
  <c r="C306" i="13"/>
  <c r="C302" i="13"/>
  <c r="C298" i="13"/>
  <c r="C294" i="13"/>
  <c r="C290" i="13"/>
  <c r="AF96" i="13"/>
  <c r="AF97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D333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D330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C100" i="51"/>
  <c r="C101" i="51"/>
  <c r="C102" i="51"/>
  <c r="I517" i="16"/>
  <c r="I518" i="16"/>
  <c r="D518" i="16"/>
  <c r="F518" i="16"/>
  <c r="I6" i="165"/>
  <c r="I7" i="165"/>
  <c r="I9" i="165"/>
  <c r="D157" i="13"/>
  <c r="E157" i="13"/>
  <c r="F157" i="13"/>
  <c r="G157" i="13"/>
  <c r="I157" i="13"/>
  <c r="J157" i="13"/>
  <c r="K157" i="13"/>
  <c r="L157" i="13"/>
  <c r="M157" i="13"/>
  <c r="N157" i="13"/>
  <c r="O157" i="13"/>
  <c r="P157" i="13"/>
  <c r="Q157" i="13"/>
  <c r="R157" i="13"/>
  <c r="S157" i="13"/>
  <c r="J6" i="165"/>
  <c r="J8" i="165"/>
  <c r="J10" i="165"/>
  <c r="C157" i="13"/>
  <c r="K217" i="13"/>
  <c r="G518" i="16"/>
  <c r="H518" i="16"/>
  <c r="I8" i="165"/>
  <c r="I10" i="165"/>
  <c r="J7" i="165"/>
  <c r="J9" i="165"/>
  <c r="L217" i="13"/>
  <c r="M217" i="13"/>
  <c r="N217" i="13"/>
  <c r="P217" i="13"/>
  <c r="Q217" i="13"/>
  <c r="R217" i="13"/>
  <c r="S217" i="13"/>
  <c r="O217" i="13"/>
  <c r="E217" i="13"/>
  <c r="F217" i="13"/>
  <c r="G217" i="13"/>
  <c r="H217" i="13"/>
  <c r="I217" i="13"/>
  <c r="J217" i="13"/>
  <c r="A37" i="52"/>
  <c r="A27" i="52"/>
  <c r="I561" i="13"/>
  <c r="I564" i="13"/>
  <c r="J561" i="13"/>
  <c r="J564" i="13"/>
  <c r="K561" i="13"/>
  <c r="K564" i="13"/>
  <c r="L561" i="13"/>
  <c r="L564" i="13"/>
  <c r="M561" i="13"/>
  <c r="M564" i="13"/>
  <c r="N561" i="13"/>
  <c r="N564" i="13"/>
  <c r="O561" i="13"/>
  <c r="O564" i="13"/>
  <c r="P561" i="13"/>
  <c r="P564" i="13"/>
  <c r="Q561" i="13"/>
  <c r="Q564" i="13"/>
  <c r="R561" i="13"/>
  <c r="R564" i="13"/>
  <c r="S561" i="13"/>
  <c r="S564" i="13"/>
  <c r="T561" i="13"/>
  <c r="T564" i="13"/>
  <c r="U561" i="13"/>
  <c r="U564" i="13"/>
  <c r="V561" i="13"/>
  <c r="V564" i="13"/>
  <c r="W561" i="13"/>
  <c r="W564" i="13"/>
  <c r="H563" i="13"/>
  <c r="T565" i="13"/>
  <c r="A195" i="52"/>
  <c r="A196" i="52"/>
  <c r="A197" i="52"/>
  <c r="A248" i="52"/>
  <c r="A26" i="52"/>
  <c r="A25" i="52"/>
  <c r="A12" i="52"/>
  <c r="A11" i="52"/>
  <c r="K565" i="13"/>
  <c r="I565" i="13"/>
  <c r="S565" i="13"/>
  <c r="N565" i="13"/>
  <c r="O565" i="13"/>
  <c r="M565" i="13"/>
  <c r="V565" i="13"/>
  <c r="J565" i="13"/>
  <c r="W565" i="13"/>
  <c r="Q565" i="13"/>
  <c r="L565" i="13"/>
  <c r="R565" i="13"/>
  <c r="P565" i="13"/>
  <c r="U565" i="13"/>
  <c r="D216" i="165"/>
  <c r="E216" i="165"/>
  <c r="F216" i="165"/>
  <c r="G216" i="165"/>
  <c r="H216" i="165"/>
  <c r="I216" i="165"/>
  <c r="J216" i="165"/>
  <c r="K216" i="165"/>
  <c r="L216" i="165"/>
  <c r="M216" i="165"/>
  <c r="N216" i="165"/>
  <c r="O216" i="165"/>
  <c r="P216" i="165"/>
  <c r="B207" i="165"/>
  <c r="B208" i="165"/>
  <c r="B209" i="165"/>
  <c r="B210" i="165"/>
  <c r="B211" i="165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73" i="51"/>
  <c r="B74" i="51"/>
  <c r="B75" i="51"/>
  <c r="B76" i="51"/>
  <c r="B77" i="51"/>
  <c r="B78" i="51"/>
  <c r="B79" i="51"/>
  <c r="B80" i="51"/>
  <c r="B81" i="51"/>
  <c r="B82" i="51"/>
  <c r="B83" i="51"/>
  <c r="B84" i="51"/>
  <c r="B85" i="51"/>
  <c r="B86" i="51"/>
  <c r="B87" i="51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51" i="51"/>
  <c r="K218" i="165"/>
  <c r="B218" i="165"/>
  <c r="E95" i="13"/>
  <c r="J48" i="13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3" i="16"/>
  <c r="P3" i="16"/>
  <c r="O49" i="16"/>
  <c r="O50" i="16"/>
  <c r="O53" i="16"/>
  <c r="R4" i="16"/>
  <c r="S4" i="16"/>
  <c r="R5" i="16"/>
  <c r="S5" i="16"/>
  <c r="R6" i="16"/>
  <c r="S6" i="16"/>
  <c r="R7" i="16"/>
  <c r="S7" i="16"/>
  <c r="R8" i="16"/>
  <c r="S8" i="16"/>
  <c r="R9" i="16"/>
  <c r="S9" i="16"/>
  <c r="R10" i="16"/>
  <c r="S10" i="16"/>
  <c r="R11" i="16"/>
  <c r="S11" i="16"/>
  <c r="R12" i="16"/>
  <c r="S12" i="16"/>
  <c r="R13" i="16"/>
  <c r="S13" i="16"/>
  <c r="R14" i="16"/>
  <c r="S14" i="16"/>
  <c r="R15" i="16"/>
  <c r="S15" i="16"/>
  <c r="R16" i="16"/>
  <c r="S16" i="16"/>
  <c r="R17" i="16"/>
  <c r="S17" i="16"/>
  <c r="R18" i="16"/>
  <c r="S18" i="16"/>
  <c r="R19" i="16"/>
  <c r="S19" i="16"/>
  <c r="R20" i="16"/>
  <c r="S20" i="16"/>
  <c r="R21" i="16"/>
  <c r="S21" i="16"/>
  <c r="R22" i="16"/>
  <c r="S22" i="16"/>
  <c r="R23" i="16"/>
  <c r="S23" i="16"/>
  <c r="R24" i="16"/>
  <c r="S24" i="16"/>
  <c r="R25" i="16"/>
  <c r="S25" i="16"/>
  <c r="R26" i="16"/>
  <c r="S26" i="16"/>
  <c r="R27" i="16"/>
  <c r="S27" i="16"/>
  <c r="R28" i="16"/>
  <c r="S28" i="16"/>
  <c r="R29" i="16"/>
  <c r="S29" i="16"/>
  <c r="R30" i="16"/>
  <c r="S30" i="16"/>
  <c r="R31" i="16"/>
  <c r="S31" i="16"/>
  <c r="R32" i="16"/>
  <c r="S32" i="16"/>
  <c r="R33" i="16"/>
  <c r="S33" i="16"/>
  <c r="R34" i="16"/>
  <c r="S34" i="16"/>
  <c r="R35" i="16"/>
  <c r="S35" i="16"/>
  <c r="R36" i="16"/>
  <c r="S36" i="16"/>
  <c r="R37" i="16"/>
  <c r="S37" i="16"/>
  <c r="R38" i="16"/>
  <c r="S38" i="16"/>
  <c r="R39" i="16"/>
  <c r="S39" i="16"/>
  <c r="R40" i="16"/>
  <c r="S40" i="16"/>
  <c r="R41" i="16"/>
  <c r="S41" i="16"/>
  <c r="R42" i="16"/>
  <c r="S42" i="16"/>
  <c r="R43" i="16"/>
  <c r="S43" i="16"/>
  <c r="R44" i="16"/>
  <c r="S44" i="16"/>
  <c r="R45" i="16"/>
  <c r="S45" i="16"/>
  <c r="R46" i="16"/>
  <c r="S46" i="16"/>
  <c r="R47" i="16"/>
  <c r="S47" i="16"/>
  <c r="R48" i="16"/>
  <c r="S48" i="16"/>
  <c r="R49" i="16"/>
  <c r="S49" i="16"/>
  <c r="R50" i="16"/>
  <c r="S50" i="16"/>
  <c r="R53" i="16"/>
  <c r="S53" i="16"/>
  <c r="S3" i="16"/>
  <c r="R3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469" i="16"/>
  <c r="E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469" i="16"/>
  <c r="J517" i="16"/>
  <c r="J518" i="16"/>
  <c r="U53" i="16"/>
  <c r="G517" i="16"/>
  <c r="H517" i="16"/>
  <c r="T53" i="16"/>
  <c r="X107" i="118"/>
  <c r="Y107" i="118"/>
  <c r="U52" i="118"/>
  <c r="V52" i="118"/>
  <c r="W52" i="118"/>
  <c r="X52" i="118"/>
  <c r="Y52" i="118"/>
  <c r="Z52" i="118"/>
  <c r="AA52" i="118"/>
  <c r="AB52" i="118"/>
  <c r="AC52" i="118"/>
  <c r="AD52" i="118"/>
  <c r="AE52" i="118"/>
  <c r="AF52" i="118"/>
  <c r="AG52" i="118"/>
  <c r="AH52" i="118"/>
  <c r="AI52" i="118"/>
  <c r="D52" i="118"/>
  <c r="D107" i="118"/>
  <c r="D167" i="118"/>
  <c r="E52" i="118"/>
  <c r="E107" i="118"/>
  <c r="O52" i="118"/>
  <c r="P52" i="118"/>
  <c r="Q52" i="118"/>
  <c r="R52" i="118"/>
  <c r="S52" i="118"/>
  <c r="V107" i="118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433" i="13"/>
  <c r="AZ19" i="13"/>
  <c r="AE3" i="128"/>
  <c r="AF3" i="128"/>
  <c r="AG3" i="128"/>
  <c r="AH3" i="128"/>
  <c r="AI3" i="128"/>
  <c r="AJ3" i="128"/>
  <c r="AK3" i="128"/>
  <c r="AL3" i="128"/>
  <c r="AM3" i="128"/>
  <c r="AN3" i="128"/>
  <c r="AO3" i="128"/>
  <c r="AP3" i="128"/>
  <c r="AQ3" i="128"/>
  <c r="AR3" i="128"/>
  <c r="AS3" i="128"/>
  <c r="AT3" i="128"/>
  <c r="AU3" i="128"/>
  <c r="AV3" i="128"/>
  <c r="AW3" i="128"/>
  <c r="AX3" i="128"/>
  <c r="AY3" i="128"/>
  <c r="AZ3" i="128"/>
  <c r="BA3" i="128"/>
  <c r="BB3" i="128"/>
  <c r="BC3" i="128"/>
  <c r="BD3" i="128"/>
  <c r="BE3" i="128"/>
  <c r="BF3" i="128"/>
  <c r="BG3" i="128"/>
  <c r="BH3" i="128"/>
  <c r="BI3" i="128"/>
  <c r="BJ3" i="128"/>
  <c r="BK3" i="128"/>
  <c r="BL3" i="128"/>
  <c r="BM3" i="128"/>
  <c r="BN3" i="128"/>
  <c r="BO3" i="128"/>
  <c r="BP3" i="128"/>
  <c r="BQ3" i="128"/>
  <c r="BR3" i="128"/>
  <c r="BS3" i="128"/>
  <c r="BT3" i="128"/>
  <c r="BU3" i="128"/>
  <c r="BV3" i="128"/>
  <c r="BW3" i="128"/>
  <c r="BX3" i="128"/>
  <c r="BY3" i="128"/>
  <c r="BZ3" i="128"/>
  <c r="CA3" i="128"/>
  <c r="M97" i="135"/>
  <c r="B64" i="135"/>
  <c r="B65" i="135"/>
  <c r="B66" i="135"/>
  <c r="B63" i="135"/>
  <c r="B62" i="135"/>
  <c r="E62" i="135"/>
  <c r="AN80" i="135"/>
  <c r="D6" i="135"/>
  <c r="B92" i="135"/>
  <c r="D92" i="135"/>
  <c r="E6" i="135"/>
  <c r="F6" i="135"/>
  <c r="G6" i="135"/>
  <c r="H6" i="135"/>
  <c r="I6" i="135"/>
  <c r="J6" i="135"/>
  <c r="K6" i="135"/>
  <c r="L6" i="135"/>
  <c r="M6" i="135"/>
  <c r="N6" i="135"/>
  <c r="O6" i="135"/>
  <c r="P6" i="135"/>
  <c r="Q6" i="135"/>
  <c r="R6" i="135"/>
  <c r="B93" i="135"/>
  <c r="D93" i="135"/>
  <c r="H62" i="135"/>
  <c r="Q92" i="135"/>
  <c r="K92" i="135"/>
  <c r="O92" i="135"/>
  <c r="J92" i="135"/>
  <c r="L62" i="135"/>
  <c r="N92" i="135"/>
  <c r="G92" i="135"/>
  <c r="R92" i="135"/>
  <c r="M92" i="135"/>
  <c r="F92" i="135"/>
  <c r="I92" i="135"/>
  <c r="E92" i="135"/>
  <c r="P92" i="135"/>
  <c r="L92" i="135"/>
  <c r="H92" i="135"/>
  <c r="D62" i="135"/>
  <c r="P62" i="135"/>
  <c r="O62" i="135"/>
  <c r="K62" i="135"/>
  <c r="G62" i="135"/>
  <c r="R62" i="135"/>
  <c r="N62" i="135"/>
  <c r="J62" i="135"/>
  <c r="F62" i="135"/>
  <c r="Q62" i="135"/>
  <c r="M62" i="135"/>
  <c r="I62" i="135"/>
  <c r="P93" i="135"/>
  <c r="I93" i="135"/>
  <c r="K93" i="135"/>
  <c r="H93" i="135"/>
  <c r="M93" i="135"/>
  <c r="G93" i="135"/>
  <c r="E93" i="135"/>
  <c r="F93" i="135"/>
  <c r="N93" i="135"/>
  <c r="J93" i="135"/>
  <c r="O93" i="135"/>
  <c r="L93" i="135"/>
  <c r="R93" i="135"/>
  <c r="Q93" i="135"/>
  <c r="M2" i="128"/>
  <c r="E50" i="128"/>
  <c r="F50" i="128"/>
  <c r="C50" i="128"/>
  <c r="C603" i="16"/>
  <c r="H50" i="128"/>
  <c r="G50" i="128"/>
  <c r="A14" i="172"/>
  <c r="B14" i="172"/>
  <c r="C14" i="172"/>
  <c r="D14" i="172"/>
  <c r="E14" i="172"/>
  <c r="F14" i="172"/>
  <c r="G14" i="172"/>
  <c r="H14" i="172"/>
  <c r="I14" i="172"/>
  <c r="J14" i="172"/>
  <c r="K14" i="172"/>
  <c r="L14" i="172"/>
  <c r="M14" i="172"/>
  <c r="N14" i="172"/>
  <c r="O14" i="172"/>
  <c r="P14" i="172"/>
  <c r="A15" i="172"/>
  <c r="B15" i="172"/>
  <c r="C15" i="172"/>
  <c r="D15" i="172"/>
  <c r="E15" i="172"/>
  <c r="F15" i="172"/>
  <c r="G15" i="172"/>
  <c r="H15" i="172"/>
  <c r="I15" i="172"/>
  <c r="J15" i="172"/>
  <c r="K15" i="172"/>
  <c r="L15" i="172"/>
  <c r="M15" i="172"/>
  <c r="N15" i="172"/>
  <c r="O15" i="172"/>
  <c r="P15" i="172"/>
  <c r="F175" i="16"/>
  <c r="G176" i="16"/>
  <c r="G177" i="16"/>
  <c r="G178" i="16"/>
  <c r="F179" i="16"/>
  <c r="G180" i="16"/>
  <c r="G181" i="16"/>
  <c r="G182" i="16"/>
  <c r="F183" i="16"/>
  <c r="G184" i="16"/>
  <c r="G185" i="16"/>
  <c r="G186" i="16"/>
  <c r="F187" i="16"/>
  <c r="G188" i="16"/>
  <c r="G190" i="16"/>
  <c r="F191" i="16"/>
  <c r="G192" i="16"/>
  <c r="G193" i="16"/>
  <c r="G194" i="16"/>
  <c r="F195" i="16"/>
  <c r="G196" i="16"/>
  <c r="G197" i="16"/>
  <c r="G198" i="16"/>
  <c r="F199" i="16"/>
  <c r="G200" i="16"/>
  <c r="G201" i="16"/>
  <c r="G202" i="16"/>
  <c r="F203" i="16"/>
  <c r="G204" i="16"/>
  <c r="G205" i="16"/>
  <c r="G206" i="16"/>
  <c r="F207" i="16"/>
  <c r="G208" i="16"/>
  <c r="G209" i="16"/>
  <c r="G210" i="16"/>
  <c r="F211" i="16"/>
  <c r="G212" i="16"/>
  <c r="G213" i="16"/>
  <c r="G214" i="16"/>
  <c r="F215" i="16"/>
  <c r="G216" i="16"/>
  <c r="G217" i="16"/>
  <c r="G218" i="16"/>
  <c r="F219" i="16"/>
  <c r="G220" i="16"/>
  <c r="G221" i="16"/>
  <c r="G222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174" i="16"/>
  <c r="R2" i="172"/>
  <c r="C3" i="172"/>
  <c r="D3" i="172"/>
  <c r="E3" i="172"/>
  <c r="F3" i="172"/>
  <c r="G3" i="172"/>
  <c r="H3" i="172"/>
  <c r="I3" i="172"/>
  <c r="J3" i="172"/>
  <c r="K3" i="172"/>
  <c r="L3" i="172"/>
  <c r="M3" i="172"/>
  <c r="N3" i="172"/>
  <c r="O3" i="172"/>
  <c r="P3" i="172"/>
  <c r="B3" i="172"/>
  <c r="F174" i="16"/>
  <c r="F222" i="16"/>
  <c r="F214" i="16"/>
  <c r="F206" i="16"/>
  <c r="F198" i="16"/>
  <c r="F190" i="16"/>
  <c r="F182" i="16"/>
  <c r="E229" i="16"/>
  <c r="F220" i="16"/>
  <c r="F212" i="16"/>
  <c r="F204" i="16"/>
  <c r="F196" i="16"/>
  <c r="F188" i="16"/>
  <c r="F180" i="16"/>
  <c r="F218" i="16"/>
  <c r="F210" i="16"/>
  <c r="F202" i="16"/>
  <c r="F194" i="16"/>
  <c r="F186" i="16"/>
  <c r="F178" i="16"/>
  <c r="F216" i="16"/>
  <c r="F208" i="16"/>
  <c r="F200" i="16"/>
  <c r="F192" i="16"/>
  <c r="F184" i="16"/>
  <c r="F176" i="16"/>
  <c r="G174" i="16"/>
  <c r="G219" i="16"/>
  <c r="G215" i="16"/>
  <c r="G211" i="16"/>
  <c r="G207" i="16"/>
  <c r="G203" i="16"/>
  <c r="G199" i="16"/>
  <c r="G195" i="16"/>
  <c r="G191" i="16"/>
  <c r="G187" i="16"/>
  <c r="G183" i="16"/>
  <c r="G179" i="16"/>
  <c r="G175" i="16"/>
  <c r="F221" i="16"/>
  <c r="F217" i="16"/>
  <c r="F213" i="16"/>
  <c r="F209" i="16"/>
  <c r="F205" i="16"/>
  <c r="F201" i="16"/>
  <c r="F197" i="16"/>
  <c r="F193" i="16"/>
  <c r="F189" i="16"/>
  <c r="F185" i="16"/>
  <c r="F181" i="16"/>
  <c r="F177" i="16"/>
  <c r="G189" i="16"/>
  <c r="I222" i="16"/>
  <c r="R3" i="172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D156" i="13"/>
  <c r="E156" i="13"/>
  <c r="F156" i="13"/>
  <c r="G156" i="13"/>
  <c r="I156" i="13"/>
  <c r="J156" i="13"/>
  <c r="K156" i="13"/>
  <c r="L156" i="13"/>
  <c r="M156" i="13"/>
  <c r="N156" i="13"/>
  <c r="O156" i="13"/>
  <c r="P156" i="13"/>
  <c r="Q156" i="13"/>
  <c r="R156" i="13"/>
  <c r="S156" i="13"/>
  <c r="H233" i="16"/>
  <c r="C156" i="13"/>
  <c r="M216" i="13"/>
  <c r="S216" i="13"/>
  <c r="L216" i="13"/>
  <c r="J216" i="13"/>
  <c r="G216" i="13"/>
  <c r="E216" i="13"/>
  <c r="P216" i="13"/>
  <c r="N216" i="13"/>
  <c r="K216" i="13"/>
  <c r="Q216" i="13"/>
  <c r="I216" i="13"/>
  <c r="R216" i="13"/>
  <c r="O216" i="13"/>
  <c r="H216" i="13"/>
  <c r="F216" i="13"/>
  <c r="C602" i="16"/>
  <c r="AO95" i="13"/>
  <c r="AM94" i="13"/>
  <c r="A46" i="52"/>
  <c r="D220" i="165"/>
  <c r="E220" i="165"/>
  <c r="F220" i="165"/>
  <c r="G220" i="165"/>
  <c r="H220" i="165"/>
  <c r="I220" i="165"/>
  <c r="J220" i="165"/>
  <c r="K220" i="165"/>
  <c r="L220" i="165"/>
  <c r="M220" i="165"/>
  <c r="N220" i="165"/>
  <c r="O220" i="165"/>
  <c r="P220" i="165"/>
  <c r="C221" i="165"/>
  <c r="C222" i="165"/>
  <c r="C208" i="165"/>
  <c r="D209" i="165"/>
  <c r="E210" i="165"/>
  <c r="F211" i="165"/>
  <c r="C209" i="165"/>
  <c r="D210" i="165"/>
  <c r="E211" i="165"/>
  <c r="C210" i="165"/>
  <c r="D211" i="165"/>
  <c r="C211" i="165"/>
  <c r="R193" i="165"/>
  <c r="E207" i="165"/>
  <c r="F208" i="165"/>
  <c r="F207" i="165"/>
  <c r="G208" i="165"/>
  <c r="G207" i="165"/>
  <c r="H208" i="165"/>
  <c r="H207" i="165"/>
  <c r="I208" i="165"/>
  <c r="I207" i="165"/>
  <c r="J208" i="165"/>
  <c r="J207" i="165"/>
  <c r="K208" i="165"/>
  <c r="K207" i="165"/>
  <c r="L208" i="165"/>
  <c r="L207" i="165"/>
  <c r="M208" i="165"/>
  <c r="M207" i="165"/>
  <c r="N208" i="165"/>
  <c r="N207" i="165"/>
  <c r="O208" i="165"/>
  <c r="O207" i="165"/>
  <c r="A207" i="165"/>
  <c r="C207" i="165"/>
  <c r="D208" i="165"/>
  <c r="D207" i="165"/>
  <c r="E208" i="165"/>
  <c r="P207" i="165"/>
  <c r="P208" i="165"/>
  <c r="M209" i="165"/>
  <c r="N210" i="165"/>
  <c r="O211" i="165"/>
  <c r="I209" i="165"/>
  <c r="J210" i="165"/>
  <c r="K211" i="165"/>
  <c r="N209" i="165"/>
  <c r="O210" i="165"/>
  <c r="E209" i="165"/>
  <c r="F210" i="165"/>
  <c r="G211" i="165"/>
  <c r="H209" i="165"/>
  <c r="I210" i="165"/>
  <c r="J211" i="165"/>
  <c r="F209" i="165"/>
  <c r="G210" i="165"/>
  <c r="H211" i="165"/>
  <c r="J209" i="165"/>
  <c r="K210" i="165"/>
  <c r="L211" i="165"/>
  <c r="A208" i="165"/>
  <c r="A215" i="165"/>
  <c r="L209" i="165"/>
  <c r="M210" i="165"/>
  <c r="N211" i="165"/>
  <c r="O209" i="165"/>
  <c r="K209" i="165"/>
  <c r="L210" i="165"/>
  <c r="M211" i="165"/>
  <c r="G209" i="165"/>
  <c r="H210" i="165"/>
  <c r="I211" i="165"/>
  <c r="D215" i="165"/>
  <c r="E215" i="165"/>
  <c r="F215" i="165"/>
  <c r="G215" i="165"/>
  <c r="H215" i="165"/>
  <c r="I215" i="165"/>
  <c r="J215" i="165"/>
  <c r="K215" i="165"/>
  <c r="L215" i="165"/>
  <c r="M215" i="165"/>
  <c r="N215" i="165"/>
  <c r="O215" i="165"/>
  <c r="P215" i="165"/>
  <c r="A209" i="165"/>
  <c r="A210" i="165"/>
  <c r="A211" i="165"/>
  <c r="A216" i="165"/>
  <c r="P209" i="165"/>
  <c r="P210" i="165"/>
  <c r="P211" i="165"/>
  <c r="P221" i="165"/>
  <c r="O221" i="165"/>
  <c r="N221" i="165"/>
  <c r="M221" i="165"/>
  <c r="L221" i="165"/>
  <c r="K221" i="165"/>
  <c r="J221" i="165"/>
  <c r="I221" i="165"/>
  <c r="H221" i="165"/>
  <c r="G221" i="165"/>
  <c r="F221" i="165"/>
  <c r="E221" i="165"/>
  <c r="D221" i="165"/>
  <c r="B199" i="165"/>
  <c r="C199" i="165"/>
  <c r="D199" i="165"/>
  <c r="E199" i="165"/>
  <c r="F199" i="165"/>
  <c r="G199" i="165"/>
  <c r="H199" i="165"/>
  <c r="I199" i="165"/>
  <c r="J199" i="165"/>
  <c r="K199" i="165"/>
  <c r="L199" i="165"/>
  <c r="M199" i="165"/>
  <c r="N199" i="165"/>
  <c r="O199" i="165"/>
  <c r="P199" i="165"/>
  <c r="C192" i="165"/>
  <c r="D193" i="165"/>
  <c r="D192" i="165"/>
  <c r="E193" i="165"/>
  <c r="E192" i="165"/>
  <c r="F193" i="165"/>
  <c r="F192" i="165"/>
  <c r="G193" i="165"/>
  <c r="G192" i="165"/>
  <c r="H193" i="165"/>
  <c r="H192" i="165"/>
  <c r="I193" i="165"/>
  <c r="I192" i="165"/>
  <c r="J193" i="165"/>
  <c r="J192" i="165"/>
  <c r="K193" i="165"/>
  <c r="K192" i="165"/>
  <c r="L193" i="165"/>
  <c r="L192" i="165"/>
  <c r="M193" i="165"/>
  <c r="M192" i="165"/>
  <c r="N193" i="165"/>
  <c r="N192" i="165"/>
  <c r="O193" i="165"/>
  <c r="O192" i="165"/>
  <c r="P192" i="165"/>
  <c r="B192" i="165"/>
  <c r="C193" i="165"/>
  <c r="D194" i="165"/>
  <c r="E195" i="165"/>
  <c r="F196" i="165"/>
  <c r="G197" i="165"/>
  <c r="A192" i="165"/>
  <c r="A193" i="165"/>
  <c r="A194" i="165"/>
  <c r="A195" i="165"/>
  <c r="A196" i="165"/>
  <c r="A197" i="165"/>
  <c r="B193" i="165"/>
  <c r="C194" i="165"/>
  <c r="D195" i="165"/>
  <c r="E196" i="165"/>
  <c r="F197" i="165"/>
  <c r="B194" i="165"/>
  <c r="C195" i="165"/>
  <c r="D196" i="165"/>
  <c r="E197" i="165"/>
  <c r="B195" i="165"/>
  <c r="C196" i="165"/>
  <c r="D197" i="165"/>
  <c r="B196" i="165"/>
  <c r="C197" i="165"/>
  <c r="B197" i="165"/>
  <c r="P193" i="165"/>
  <c r="D202" i="165"/>
  <c r="M194" i="165"/>
  <c r="N195" i="165"/>
  <c r="O196" i="165"/>
  <c r="O194" i="165"/>
  <c r="K194" i="165"/>
  <c r="L195" i="165"/>
  <c r="M196" i="165"/>
  <c r="N197" i="165"/>
  <c r="G194" i="165"/>
  <c r="H195" i="165"/>
  <c r="I196" i="165"/>
  <c r="J197" i="165"/>
  <c r="N194" i="165"/>
  <c r="O195" i="165"/>
  <c r="J194" i="165"/>
  <c r="K195" i="165"/>
  <c r="L196" i="165"/>
  <c r="M197" i="165"/>
  <c r="F194" i="165"/>
  <c r="G195" i="165"/>
  <c r="H196" i="165"/>
  <c r="I197" i="165"/>
  <c r="I194" i="165"/>
  <c r="J195" i="165"/>
  <c r="K196" i="165"/>
  <c r="L197" i="165"/>
  <c r="E194" i="165"/>
  <c r="F195" i="165"/>
  <c r="G196" i="165"/>
  <c r="H197" i="165"/>
  <c r="L194" i="165"/>
  <c r="M195" i="165"/>
  <c r="N196" i="165"/>
  <c r="O197" i="165"/>
  <c r="H194" i="165"/>
  <c r="I195" i="165"/>
  <c r="J196" i="165"/>
  <c r="K197" i="165"/>
  <c r="D201" i="165"/>
  <c r="E201" i="165"/>
  <c r="F201" i="165"/>
  <c r="G201" i="165"/>
  <c r="H201" i="165"/>
  <c r="I201" i="165"/>
  <c r="J201" i="165"/>
  <c r="K201" i="165"/>
  <c r="L201" i="165"/>
  <c r="M201" i="165"/>
  <c r="N201" i="165"/>
  <c r="O201" i="165"/>
  <c r="D200" i="165"/>
  <c r="E200" i="165"/>
  <c r="F200" i="165"/>
  <c r="G200" i="165"/>
  <c r="H200" i="165"/>
  <c r="I200" i="165"/>
  <c r="J200" i="165"/>
  <c r="K200" i="165"/>
  <c r="L200" i="165"/>
  <c r="M200" i="165"/>
  <c r="N200" i="165"/>
  <c r="O200" i="165"/>
  <c r="P200" i="165"/>
  <c r="A4" i="52"/>
  <c r="A40" i="52"/>
  <c r="P194" i="165"/>
  <c r="P195" i="165"/>
  <c r="P196" i="165"/>
  <c r="P197" i="165"/>
  <c r="P222" i="165"/>
  <c r="O222" i="165"/>
  <c r="N222" i="165"/>
  <c r="M222" i="165"/>
  <c r="L222" i="165"/>
  <c r="P201" i="165"/>
  <c r="E202" i="165"/>
  <c r="F202" i="165"/>
  <c r="G202" i="165"/>
  <c r="H202" i="165"/>
  <c r="I202" i="165"/>
  <c r="J202" i="165"/>
  <c r="K202" i="165"/>
  <c r="L202" i="165"/>
  <c r="M202" i="165"/>
  <c r="N202" i="165"/>
  <c r="O202" i="165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O4" i="16"/>
  <c r="O3" i="16"/>
  <c r="O24" i="16"/>
  <c r="A235" i="52"/>
  <c r="P202" i="165"/>
  <c r="K222" i="165"/>
  <c r="J222" i="165"/>
  <c r="I222" i="165"/>
  <c r="H222" i="165"/>
  <c r="G222" i="165"/>
  <c r="F222" i="165"/>
  <c r="E222" i="165"/>
  <c r="D222" i="165"/>
  <c r="C407" i="16"/>
  <c r="D407" i="16"/>
  <c r="E407" i="16"/>
  <c r="F407" i="16"/>
  <c r="E150" i="16"/>
  <c r="E348" i="16"/>
  <c r="F348" i="16"/>
  <c r="E349" i="16"/>
  <c r="F349" i="16"/>
  <c r="E350" i="16"/>
  <c r="F350" i="16"/>
  <c r="E351" i="16"/>
  <c r="F351" i="16"/>
  <c r="E352" i="16"/>
  <c r="F352" i="16"/>
  <c r="E353" i="16"/>
  <c r="F353" i="16"/>
  <c r="D348" i="16"/>
  <c r="D346" i="16"/>
  <c r="D347" i="16"/>
  <c r="E347" i="16"/>
  <c r="F347" i="16"/>
  <c r="D354" i="16"/>
  <c r="C1" i="128"/>
  <c r="U78" i="135"/>
  <c r="AM78" i="135"/>
  <c r="I57" i="145"/>
  <c r="J57" i="145"/>
  <c r="K57" i="145"/>
  <c r="L57" i="145"/>
  <c r="M57" i="145"/>
  <c r="N57" i="145"/>
  <c r="O57" i="145"/>
  <c r="P57" i="145"/>
  <c r="Q57" i="145"/>
  <c r="R57" i="145"/>
  <c r="S57" i="145"/>
  <c r="T57" i="145"/>
  <c r="U57" i="145"/>
  <c r="V57" i="145"/>
  <c r="W57" i="145"/>
  <c r="X57" i="145"/>
  <c r="J62" i="145"/>
  <c r="K62" i="145"/>
  <c r="L62" i="145"/>
  <c r="M62" i="145"/>
  <c r="N62" i="145"/>
  <c r="O62" i="145"/>
  <c r="P62" i="145"/>
  <c r="Q62" i="145"/>
  <c r="R62" i="145"/>
  <c r="S62" i="145"/>
  <c r="T62" i="145"/>
  <c r="U62" i="145"/>
  <c r="V62" i="145"/>
  <c r="W62" i="145"/>
  <c r="X62" i="145"/>
  <c r="AP57" i="145"/>
  <c r="AA57" i="145"/>
  <c r="Z56" i="145"/>
  <c r="Z57" i="145"/>
  <c r="AG57" i="145"/>
  <c r="AN57" i="145"/>
  <c r="AC57" i="145"/>
  <c r="AI57" i="145"/>
  <c r="AM57" i="145"/>
  <c r="AB57" i="145"/>
  <c r="AK57" i="145"/>
  <c r="AF57" i="145"/>
  <c r="AO57" i="145"/>
  <c r="AJ57" i="145"/>
  <c r="AE57" i="145"/>
  <c r="AL57" i="145"/>
  <c r="AH57" i="145"/>
  <c r="AD57" i="145"/>
  <c r="G57" i="145"/>
  <c r="B61" i="135"/>
  <c r="D61" i="135"/>
  <c r="Q61" i="135"/>
  <c r="M61" i="135"/>
  <c r="P61" i="135"/>
  <c r="L61" i="135"/>
  <c r="H61" i="135"/>
  <c r="O61" i="135"/>
  <c r="K61" i="135"/>
  <c r="G61" i="135"/>
  <c r="R61" i="135"/>
  <c r="N61" i="135"/>
  <c r="J61" i="135"/>
  <c r="F61" i="135"/>
  <c r="I61" i="135"/>
  <c r="E61" i="135"/>
  <c r="X60" i="118"/>
  <c r="Y60" i="118"/>
  <c r="X61" i="118"/>
  <c r="Y61" i="118"/>
  <c r="X62" i="118"/>
  <c r="Y62" i="118"/>
  <c r="X63" i="118"/>
  <c r="Y63" i="118"/>
  <c r="X64" i="118"/>
  <c r="Y64" i="118"/>
  <c r="X65" i="118"/>
  <c r="Y65" i="118"/>
  <c r="X66" i="118"/>
  <c r="Y66" i="118"/>
  <c r="X67" i="118"/>
  <c r="Y67" i="118"/>
  <c r="X68" i="118"/>
  <c r="Y68" i="118"/>
  <c r="X69" i="118"/>
  <c r="Y69" i="118"/>
  <c r="X70" i="118"/>
  <c r="Y70" i="118"/>
  <c r="X71" i="118"/>
  <c r="Y71" i="118"/>
  <c r="X72" i="118"/>
  <c r="Y72" i="118"/>
  <c r="X73" i="118"/>
  <c r="Y73" i="118"/>
  <c r="X74" i="118"/>
  <c r="Y74" i="118"/>
  <c r="X75" i="118"/>
  <c r="Y75" i="118"/>
  <c r="X76" i="118"/>
  <c r="Y76" i="118"/>
  <c r="X77" i="118"/>
  <c r="Y77" i="118"/>
  <c r="X78" i="118"/>
  <c r="Y78" i="118"/>
  <c r="X79" i="118"/>
  <c r="Y79" i="118"/>
  <c r="X80" i="118"/>
  <c r="Y80" i="118"/>
  <c r="X81" i="118"/>
  <c r="Y81" i="118"/>
  <c r="X82" i="118"/>
  <c r="Y82" i="118"/>
  <c r="X83" i="118"/>
  <c r="Y83" i="118"/>
  <c r="X84" i="118"/>
  <c r="Y84" i="118"/>
  <c r="X85" i="118"/>
  <c r="Y85" i="118"/>
  <c r="X86" i="118"/>
  <c r="Y86" i="118"/>
  <c r="X87" i="118"/>
  <c r="Y87" i="118"/>
  <c r="X88" i="118"/>
  <c r="Y88" i="118"/>
  <c r="X89" i="118"/>
  <c r="Y89" i="118"/>
  <c r="X90" i="118"/>
  <c r="Y90" i="118"/>
  <c r="X91" i="118"/>
  <c r="Y91" i="118"/>
  <c r="X92" i="118"/>
  <c r="Y92" i="118"/>
  <c r="X93" i="118"/>
  <c r="Y93" i="118"/>
  <c r="X94" i="118"/>
  <c r="Y94" i="118"/>
  <c r="X95" i="118"/>
  <c r="Y95" i="118"/>
  <c r="X96" i="118"/>
  <c r="Y96" i="118"/>
  <c r="X97" i="118"/>
  <c r="Y97" i="118"/>
  <c r="X98" i="118"/>
  <c r="Y98" i="118"/>
  <c r="X99" i="118"/>
  <c r="Y99" i="118"/>
  <c r="X100" i="118"/>
  <c r="Y100" i="118"/>
  <c r="X101" i="118"/>
  <c r="Y101" i="118"/>
  <c r="X102" i="118"/>
  <c r="Y102" i="118"/>
  <c r="X103" i="118"/>
  <c r="Y103" i="118"/>
  <c r="X104" i="118"/>
  <c r="Y104" i="118"/>
  <c r="X105" i="118"/>
  <c r="Y105" i="118"/>
  <c r="X106" i="118"/>
  <c r="Y106" i="118"/>
  <c r="Y59" i="118"/>
  <c r="X59" i="118"/>
  <c r="A45" i="52"/>
  <c r="A247" i="52"/>
  <c r="D47" i="156"/>
  <c r="E47" i="156"/>
  <c r="F47" i="156"/>
  <c r="G47" i="156"/>
  <c r="H47" i="156"/>
  <c r="I47" i="156"/>
  <c r="J47" i="156"/>
  <c r="K47" i="156"/>
  <c r="L47" i="156"/>
  <c r="M47" i="156"/>
  <c r="N47" i="156"/>
  <c r="O47" i="156"/>
  <c r="P47" i="156"/>
  <c r="Q47" i="156"/>
  <c r="R47" i="156"/>
  <c r="Y153" i="165"/>
  <c r="Z153" i="165"/>
  <c r="AA153" i="165"/>
  <c r="AB153" i="165"/>
  <c r="AC153" i="165"/>
  <c r="AD153" i="165"/>
  <c r="AE153" i="165"/>
  <c r="AF153" i="165"/>
  <c r="AG153" i="165"/>
  <c r="AH153" i="165"/>
  <c r="AI153" i="165"/>
  <c r="AJ153" i="165"/>
  <c r="AK153" i="165"/>
  <c r="AL153" i="165"/>
  <c r="AM153" i="165"/>
  <c r="AN153" i="165"/>
  <c r="AO153" i="165"/>
  <c r="AP153" i="165"/>
  <c r="AQ153" i="165"/>
  <c r="AR153" i="165"/>
  <c r="AS153" i="165"/>
  <c r="AT153" i="165"/>
  <c r="AU153" i="165"/>
  <c r="AV153" i="165"/>
  <c r="AW153" i="165"/>
  <c r="AX153" i="165"/>
  <c r="AY153" i="165"/>
  <c r="AZ153" i="165"/>
  <c r="BA153" i="165"/>
  <c r="BB153" i="165"/>
  <c r="BC153" i="165"/>
  <c r="Y154" i="165"/>
  <c r="Y155" i="165"/>
  <c r="Y156" i="165"/>
  <c r="Y157" i="165"/>
  <c r="A108" i="165"/>
  <c r="A139" i="165"/>
  <c r="A107" i="165"/>
  <c r="A138" i="165"/>
  <c r="A106" i="165"/>
  <c r="A137" i="165"/>
  <c r="A105" i="165"/>
  <c r="A136" i="165"/>
  <c r="A104" i="165"/>
  <c r="A135" i="165"/>
  <c r="A103" i="165"/>
  <c r="A134" i="165"/>
  <c r="A102" i="165"/>
  <c r="A133" i="165"/>
  <c r="A101" i="165"/>
  <c r="A132" i="165"/>
  <c r="A100" i="165"/>
  <c r="A131" i="165"/>
  <c r="A99" i="165"/>
  <c r="A130" i="165"/>
  <c r="A98" i="165"/>
  <c r="A129" i="165"/>
  <c r="A97" i="165"/>
  <c r="A128" i="165"/>
  <c r="A96" i="165"/>
  <c r="A127" i="165"/>
  <c r="A95" i="165"/>
  <c r="A126" i="165"/>
  <c r="A94" i="165"/>
  <c r="A125" i="165"/>
  <c r="A93" i="165"/>
  <c r="A124" i="165"/>
  <c r="A92" i="165"/>
  <c r="A123" i="165"/>
  <c r="A91" i="165"/>
  <c r="A122" i="165"/>
  <c r="A73" i="165"/>
  <c r="A169" i="165"/>
  <c r="A72" i="165"/>
  <c r="A168" i="165"/>
  <c r="A71" i="165"/>
  <c r="A167" i="165"/>
  <c r="A70" i="165"/>
  <c r="A166" i="165"/>
  <c r="A69" i="165"/>
  <c r="A165" i="165"/>
  <c r="A68" i="165"/>
  <c r="A164" i="165"/>
  <c r="A67" i="165"/>
  <c r="A163" i="165"/>
  <c r="A66" i="165"/>
  <c r="A162" i="165"/>
  <c r="A65" i="165"/>
  <c r="A161" i="165"/>
  <c r="A64" i="165"/>
  <c r="A160" i="165"/>
  <c r="A63" i="165"/>
  <c r="A159" i="165"/>
  <c r="A62" i="165"/>
  <c r="A158" i="165"/>
  <c r="A61" i="165"/>
  <c r="A157" i="165"/>
  <c r="A60" i="165"/>
  <c r="A156" i="165"/>
  <c r="A59" i="165"/>
  <c r="A155" i="165"/>
  <c r="A58" i="165"/>
  <c r="A154" i="165"/>
  <c r="A74" i="165"/>
  <c r="A170" i="165"/>
  <c r="A75" i="165"/>
  <c r="A171" i="165"/>
  <c r="S108" i="165"/>
  <c r="S107" i="165"/>
  <c r="S91" i="165"/>
  <c r="S92" i="165"/>
  <c r="S93" i="165"/>
  <c r="S94" i="165"/>
  <c r="S95" i="165"/>
  <c r="S96" i="165"/>
  <c r="S97" i="165"/>
  <c r="S98" i="165"/>
  <c r="S99" i="165"/>
  <c r="S100" i="165"/>
  <c r="S101" i="165"/>
  <c r="S102" i="165"/>
  <c r="S103" i="165"/>
  <c r="S104" i="165"/>
  <c r="S105" i="165"/>
  <c r="S106" i="165"/>
  <c r="B75" i="165"/>
  <c r="C75" i="165"/>
  <c r="B74" i="165"/>
  <c r="C74" i="165"/>
  <c r="B58" i="165"/>
  <c r="C58" i="165"/>
  <c r="D58" i="165"/>
  <c r="B59" i="165"/>
  <c r="C59" i="165"/>
  <c r="B61" i="165"/>
  <c r="C61" i="165"/>
  <c r="D61" i="165"/>
  <c r="B62" i="165"/>
  <c r="C62" i="165"/>
  <c r="D62" i="165"/>
  <c r="B64" i="165"/>
  <c r="C64" i="165"/>
  <c r="B65" i="165"/>
  <c r="C65" i="165"/>
  <c r="D65" i="165"/>
  <c r="B66" i="165"/>
  <c r="C66" i="165"/>
  <c r="B67" i="165"/>
  <c r="C67" i="165"/>
  <c r="B68" i="165"/>
  <c r="C68" i="165"/>
  <c r="D68" i="165"/>
  <c r="B69" i="165"/>
  <c r="C69" i="165"/>
  <c r="D69" i="165"/>
  <c r="B70" i="165"/>
  <c r="C70" i="165"/>
  <c r="D70" i="165"/>
  <c r="B71" i="165"/>
  <c r="C71" i="165"/>
  <c r="B72" i="165"/>
  <c r="B73" i="165"/>
  <c r="C73" i="165"/>
  <c r="B63" i="165"/>
  <c r="C63" i="165"/>
  <c r="D63" i="165"/>
  <c r="B60" i="165"/>
  <c r="C60" i="165"/>
  <c r="D60" i="165"/>
  <c r="A109" i="165"/>
  <c r="A140" i="165"/>
  <c r="A110" i="165"/>
  <c r="A141" i="165"/>
  <c r="A111" i="165"/>
  <c r="A142" i="165"/>
  <c r="A112" i="165"/>
  <c r="A143" i="165"/>
  <c r="A113" i="165"/>
  <c r="A144" i="165"/>
  <c r="A114" i="165"/>
  <c r="A145" i="165"/>
  <c r="A115" i="165"/>
  <c r="A146" i="165"/>
  <c r="D71" i="165"/>
  <c r="E71" i="165"/>
  <c r="F71" i="165"/>
  <c r="D75" i="165"/>
  <c r="E75" i="165"/>
  <c r="E63" i="165"/>
  <c r="D59" i="165"/>
  <c r="E59" i="165"/>
  <c r="D73" i="165"/>
  <c r="E73" i="165"/>
  <c r="D66" i="165"/>
  <c r="E66" i="165"/>
  <c r="C72" i="165"/>
  <c r="D72" i="165"/>
  <c r="E69" i="165"/>
  <c r="E58" i="165"/>
  <c r="D64" i="165"/>
  <c r="E68" i="165"/>
  <c r="D67" i="165"/>
  <c r="D74" i="165"/>
  <c r="E62" i="165"/>
  <c r="E61" i="165"/>
  <c r="E70" i="165"/>
  <c r="E65" i="165"/>
  <c r="E60" i="165"/>
  <c r="R91" i="165" a="1"/>
  <c r="R91" i="165"/>
  <c r="A116" i="165"/>
  <c r="A147" i="165"/>
  <c r="A117" i="165"/>
  <c r="A148" i="165"/>
  <c r="A118" i="165"/>
  <c r="A149" i="165"/>
  <c r="A119" i="165"/>
  <c r="A150" i="165"/>
  <c r="A120" i="165"/>
  <c r="A151" i="165"/>
  <c r="A76" i="165"/>
  <c r="A172" i="165"/>
  <c r="A77" i="165"/>
  <c r="A173" i="165"/>
  <c r="A78" i="165"/>
  <c r="A174" i="165"/>
  <c r="A79" i="165"/>
  <c r="A175" i="165"/>
  <c r="A80" i="165"/>
  <c r="A176" i="165"/>
  <c r="A81" i="165"/>
  <c r="A177" i="165"/>
  <c r="A82" i="165"/>
  <c r="A178" i="165"/>
  <c r="A83" i="165"/>
  <c r="A179" i="165"/>
  <c r="A84" i="165"/>
  <c r="A180" i="165"/>
  <c r="S113" i="165"/>
  <c r="S112" i="165"/>
  <c r="S110" i="165"/>
  <c r="S114" i="165"/>
  <c r="S111" i="165"/>
  <c r="S109" i="165"/>
  <c r="S117" i="165"/>
  <c r="S116" i="165"/>
  <c r="S115" i="165"/>
  <c r="B80" i="165"/>
  <c r="B79" i="165"/>
  <c r="C79" i="165"/>
  <c r="D79" i="165"/>
  <c r="B77" i="165"/>
  <c r="B76" i="165"/>
  <c r="C76" i="165"/>
  <c r="N91" i="165"/>
  <c r="J91" i="165"/>
  <c r="F91" i="165"/>
  <c r="B91" i="165"/>
  <c r="B122" i="165"/>
  <c r="B154" i="165"/>
  <c r="P91" i="165"/>
  <c r="K91" i="165"/>
  <c r="E91" i="165"/>
  <c r="O91" i="165"/>
  <c r="I91" i="165"/>
  <c r="D91" i="165"/>
  <c r="M91" i="165"/>
  <c r="H91" i="165"/>
  <c r="C91" i="165"/>
  <c r="L91" i="165"/>
  <c r="G91" i="165"/>
  <c r="B84" i="165"/>
  <c r="B83" i="165"/>
  <c r="B82" i="165"/>
  <c r="B81" i="165"/>
  <c r="C81" i="165"/>
  <c r="D81" i="165"/>
  <c r="B78" i="165"/>
  <c r="C78" i="165"/>
  <c r="C83" i="165"/>
  <c r="D83" i="165"/>
  <c r="C82" i="165"/>
  <c r="F63" i="165"/>
  <c r="F59" i="165"/>
  <c r="E74" i="165"/>
  <c r="F69" i="165"/>
  <c r="F65" i="165"/>
  <c r="F62" i="165"/>
  <c r="E67" i="165"/>
  <c r="F75" i="165"/>
  <c r="F66" i="165"/>
  <c r="F70" i="165"/>
  <c r="F61" i="165"/>
  <c r="F73" i="165"/>
  <c r="F68" i="165"/>
  <c r="E72" i="165"/>
  <c r="E64" i="165"/>
  <c r="F60" i="165"/>
  <c r="F58" i="165"/>
  <c r="G71" i="165"/>
  <c r="R118" i="165"/>
  <c r="R114" i="165"/>
  <c r="R110" i="165"/>
  <c r="R106" i="165"/>
  <c r="R102" i="165"/>
  <c r="R98" i="165"/>
  <c r="R94" i="165"/>
  <c r="R117" i="165"/>
  <c r="R113" i="165"/>
  <c r="R109" i="165"/>
  <c r="R105" i="165"/>
  <c r="R101" i="165"/>
  <c r="R97" i="165"/>
  <c r="R93" i="165"/>
  <c r="R120" i="165"/>
  <c r="R116" i="165"/>
  <c r="R112" i="165"/>
  <c r="R108" i="165"/>
  <c r="R104" i="165"/>
  <c r="R100" i="165"/>
  <c r="R96" i="165"/>
  <c r="R92" i="165"/>
  <c r="R119" i="165"/>
  <c r="R115" i="165"/>
  <c r="R111" i="165"/>
  <c r="R107" i="165"/>
  <c r="R103" i="165"/>
  <c r="R99" i="165"/>
  <c r="R95" i="165"/>
  <c r="C122" i="165"/>
  <c r="C154" i="165"/>
  <c r="N113" i="165"/>
  <c r="J113" i="165"/>
  <c r="F113" i="165"/>
  <c r="B113" i="165"/>
  <c r="B144" i="165"/>
  <c r="B176" i="165"/>
  <c r="M113" i="165"/>
  <c r="H113" i="165"/>
  <c r="C113" i="165"/>
  <c r="L113" i="165"/>
  <c r="G113" i="165"/>
  <c r="P113" i="165"/>
  <c r="K113" i="165"/>
  <c r="E113" i="165"/>
  <c r="O113" i="165"/>
  <c r="I113" i="165"/>
  <c r="D113" i="165"/>
  <c r="G63" i="165"/>
  <c r="N111" i="165"/>
  <c r="J111" i="165"/>
  <c r="F111" i="165"/>
  <c r="B111" i="165"/>
  <c r="B142" i="165"/>
  <c r="B174" i="165"/>
  <c r="M111" i="165"/>
  <c r="I111" i="165"/>
  <c r="E111" i="165"/>
  <c r="P111" i="165"/>
  <c r="L111" i="165"/>
  <c r="H111" i="165"/>
  <c r="D111" i="165"/>
  <c r="O111" i="165"/>
  <c r="K111" i="165"/>
  <c r="G111" i="165"/>
  <c r="C111" i="165"/>
  <c r="M97" i="165"/>
  <c r="I97" i="165"/>
  <c r="E97" i="165"/>
  <c r="P97" i="165"/>
  <c r="L97" i="165"/>
  <c r="H97" i="165"/>
  <c r="D97" i="165"/>
  <c r="J97" i="165"/>
  <c r="B97" i="165"/>
  <c r="B128" i="165"/>
  <c r="B160" i="165"/>
  <c r="N97" i="165"/>
  <c r="C97" i="165"/>
  <c r="K97" i="165"/>
  <c r="G97" i="165"/>
  <c r="O97" i="165"/>
  <c r="F97" i="165"/>
  <c r="P115" i="165"/>
  <c r="L115" i="165"/>
  <c r="H115" i="165"/>
  <c r="D115" i="165"/>
  <c r="O115" i="165"/>
  <c r="J115" i="165"/>
  <c r="E115" i="165"/>
  <c r="N115" i="165"/>
  <c r="I115" i="165"/>
  <c r="C115" i="165"/>
  <c r="M115" i="165"/>
  <c r="G115" i="165"/>
  <c r="B115" i="165"/>
  <c r="B146" i="165"/>
  <c r="B178" i="165"/>
  <c r="K115" i="165"/>
  <c r="F115" i="165"/>
  <c r="M116" i="165"/>
  <c r="I116" i="165"/>
  <c r="E116" i="165"/>
  <c r="P116" i="165"/>
  <c r="K116" i="165"/>
  <c r="F116" i="165"/>
  <c r="O116" i="165"/>
  <c r="J116" i="165"/>
  <c r="D116" i="165"/>
  <c r="N116" i="165"/>
  <c r="H116" i="165"/>
  <c r="C116" i="165"/>
  <c r="L116" i="165"/>
  <c r="G116" i="165"/>
  <c r="B116" i="165"/>
  <c r="B147" i="165"/>
  <c r="B179" i="165"/>
  <c r="N106" i="165"/>
  <c r="J106" i="165"/>
  <c r="F106" i="165"/>
  <c r="B106" i="165"/>
  <c r="B137" i="165"/>
  <c r="B169" i="165"/>
  <c r="M106" i="165"/>
  <c r="I106" i="165"/>
  <c r="E106" i="165"/>
  <c r="L106" i="165"/>
  <c r="D106" i="165"/>
  <c r="K106" i="165"/>
  <c r="C106" i="165"/>
  <c r="H106" i="165"/>
  <c r="G106" i="165"/>
  <c r="P106" i="165"/>
  <c r="O106" i="165"/>
  <c r="C80" i="165"/>
  <c r="C84" i="165"/>
  <c r="D84" i="165"/>
  <c r="O95" i="165"/>
  <c r="K95" i="165"/>
  <c r="G95" i="165"/>
  <c r="C95" i="165"/>
  <c r="P95" i="165"/>
  <c r="J95" i="165"/>
  <c r="E95" i="165"/>
  <c r="M95" i="165"/>
  <c r="F95" i="165"/>
  <c r="L95" i="165"/>
  <c r="D95" i="165"/>
  <c r="I95" i="165"/>
  <c r="B95" i="165"/>
  <c r="B126" i="165"/>
  <c r="B158" i="165"/>
  <c r="N95" i="165"/>
  <c r="H95" i="165"/>
  <c r="P96" i="165"/>
  <c r="L96" i="165"/>
  <c r="H96" i="165"/>
  <c r="D96" i="165"/>
  <c r="O96" i="165"/>
  <c r="K96" i="165"/>
  <c r="G96" i="165"/>
  <c r="C96" i="165"/>
  <c r="I96" i="165"/>
  <c r="F96" i="165"/>
  <c r="N96" i="165"/>
  <c r="E96" i="165"/>
  <c r="M96" i="165"/>
  <c r="B96" i="165"/>
  <c r="B127" i="165"/>
  <c r="B159" i="165"/>
  <c r="J96" i="165"/>
  <c r="M112" i="165"/>
  <c r="I112" i="165"/>
  <c r="L112" i="165"/>
  <c r="G112" i="165"/>
  <c r="C112" i="165"/>
  <c r="P112" i="165"/>
  <c r="K112" i="165"/>
  <c r="F112" i="165"/>
  <c r="B112" i="165"/>
  <c r="B143" i="165"/>
  <c r="B175" i="165"/>
  <c r="O112" i="165"/>
  <c r="J112" i="165"/>
  <c r="E112" i="165"/>
  <c r="N112" i="165"/>
  <c r="H112" i="165"/>
  <c r="D112" i="165"/>
  <c r="N102" i="165"/>
  <c r="J102" i="165"/>
  <c r="F102" i="165"/>
  <c r="B102" i="165"/>
  <c r="B133" i="165"/>
  <c r="B165" i="165"/>
  <c r="M102" i="165"/>
  <c r="I102" i="165"/>
  <c r="E102" i="165"/>
  <c r="P102" i="165"/>
  <c r="H102" i="165"/>
  <c r="O102" i="165"/>
  <c r="G102" i="165"/>
  <c r="D102" i="165"/>
  <c r="C102" i="165"/>
  <c r="L102" i="165"/>
  <c r="K102" i="165"/>
  <c r="O118" i="165"/>
  <c r="K118" i="165"/>
  <c r="G118" i="165"/>
  <c r="C118" i="165"/>
  <c r="M118" i="165"/>
  <c r="H118" i="165"/>
  <c r="B118" i="165"/>
  <c r="B149" i="165"/>
  <c r="L118" i="165"/>
  <c r="F118" i="165"/>
  <c r="P118" i="165"/>
  <c r="J118" i="165"/>
  <c r="E118" i="165"/>
  <c r="N118" i="165"/>
  <c r="I118" i="165"/>
  <c r="D118" i="165"/>
  <c r="O99" i="165"/>
  <c r="K99" i="165"/>
  <c r="G99" i="165"/>
  <c r="C99" i="165"/>
  <c r="N99" i="165"/>
  <c r="J99" i="165"/>
  <c r="F99" i="165"/>
  <c r="B99" i="165"/>
  <c r="B130" i="165"/>
  <c r="B162" i="165"/>
  <c r="M99" i="165"/>
  <c r="L99" i="165"/>
  <c r="D99" i="165"/>
  <c r="E99" i="165"/>
  <c r="P99" i="165"/>
  <c r="I99" i="165"/>
  <c r="H99" i="165"/>
  <c r="P100" i="165"/>
  <c r="L100" i="165"/>
  <c r="H100" i="165"/>
  <c r="D100" i="165"/>
  <c r="O100" i="165"/>
  <c r="K100" i="165"/>
  <c r="G100" i="165"/>
  <c r="C100" i="165"/>
  <c r="N100" i="165"/>
  <c r="F100" i="165"/>
  <c r="M100" i="165"/>
  <c r="E100" i="165"/>
  <c r="B100" i="165"/>
  <c r="B131" i="165"/>
  <c r="B163" i="165"/>
  <c r="J100" i="165"/>
  <c r="I100" i="165"/>
  <c r="M101" i="165"/>
  <c r="I101" i="165"/>
  <c r="E101" i="165"/>
  <c r="P101" i="165"/>
  <c r="L101" i="165"/>
  <c r="H101" i="165"/>
  <c r="D101" i="165"/>
  <c r="O101" i="165"/>
  <c r="G101" i="165"/>
  <c r="N101" i="165"/>
  <c r="F101" i="165"/>
  <c r="C101" i="165"/>
  <c r="B101" i="165"/>
  <c r="B132" i="165"/>
  <c r="B164" i="165"/>
  <c r="K101" i="165"/>
  <c r="J101" i="165"/>
  <c r="N117" i="165"/>
  <c r="J117" i="165"/>
  <c r="F117" i="165"/>
  <c r="B117" i="165"/>
  <c r="B148" i="165"/>
  <c r="B180" i="165"/>
  <c r="L117" i="165"/>
  <c r="G117" i="165"/>
  <c r="P117" i="165"/>
  <c r="K117" i="165"/>
  <c r="E117" i="165"/>
  <c r="O117" i="165"/>
  <c r="I117" i="165"/>
  <c r="D117" i="165"/>
  <c r="M117" i="165"/>
  <c r="H117" i="165"/>
  <c r="C117" i="165"/>
  <c r="O103" i="165"/>
  <c r="K103" i="165"/>
  <c r="G103" i="165"/>
  <c r="C103" i="165"/>
  <c r="N103" i="165"/>
  <c r="J103" i="165"/>
  <c r="F103" i="165"/>
  <c r="B103" i="165"/>
  <c r="B134" i="165"/>
  <c r="B166" i="165"/>
  <c r="I103" i="165"/>
  <c r="P103" i="165"/>
  <c r="H103" i="165"/>
  <c r="E103" i="165"/>
  <c r="D103" i="165"/>
  <c r="M103" i="165"/>
  <c r="L103" i="165"/>
  <c r="P119" i="165"/>
  <c r="L119" i="165"/>
  <c r="H119" i="165"/>
  <c r="D119" i="165"/>
  <c r="N119" i="165"/>
  <c r="I119" i="165"/>
  <c r="C119" i="165"/>
  <c r="M119" i="165"/>
  <c r="G119" i="165"/>
  <c r="B119" i="165"/>
  <c r="B150" i="165"/>
  <c r="K119" i="165"/>
  <c r="F119" i="165"/>
  <c r="O119" i="165"/>
  <c r="J119" i="165"/>
  <c r="E119" i="165"/>
  <c r="P104" i="165"/>
  <c r="L104" i="165"/>
  <c r="H104" i="165"/>
  <c r="D104" i="165"/>
  <c r="O104" i="165"/>
  <c r="K104" i="165"/>
  <c r="G104" i="165"/>
  <c r="C104" i="165"/>
  <c r="J104" i="165"/>
  <c r="B104" i="165"/>
  <c r="B135" i="165"/>
  <c r="B167" i="165"/>
  <c r="I104" i="165"/>
  <c r="F104" i="165"/>
  <c r="E104" i="165"/>
  <c r="N104" i="165"/>
  <c r="M104" i="165"/>
  <c r="M120" i="165"/>
  <c r="I120" i="165"/>
  <c r="E120" i="165"/>
  <c r="O120" i="165"/>
  <c r="J120" i="165"/>
  <c r="D120" i="165"/>
  <c r="N120" i="165"/>
  <c r="H120" i="165"/>
  <c r="C120" i="165"/>
  <c r="L120" i="165"/>
  <c r="G120" i="165"/>
  <c r="B120" i="165"/>
  <c r="B151" i="165"/>
  <c r="P120" i="165"/>
  <c r="K120" i="165"/>
  <c r="F120" i="165"/>
  <c r="M105" i="165"/>
  <c r="I105" i="165"/>
  <c r="E105" i="165"/>
  <c r="P105" i="165"/>
  <c r="L105" i="165"/>
  <c r="H105" i="165"/>
  <c r="D105" i="165"/>
  <c r="K105" i="165"/>
  <c r="C105" i="165"/>
  <c r="J105" i="165"/>
  <c r="B105" i="165"/>
  <c r="B136" i="165"/>
  <c r="B168" i="165"/>
  <c r="G105" i="165"/>
  <c r="F105" i="165"/>
  <c r="O105" i="165"/>
  <c r="N105" i="165"/>
  <c r="N94" i="165"/>
  <c r="J94" i="165"/>
  <c r="F94" i="165"/>
  <c r="B94" i="165"/>
  <c r="B125" i="165"/>
  <c r="B157" i="165"/>
  <c r="O94" i="165"/>
  <c r="I94" i="165"/>
  <c r="D94" i="165"/>
  <c r="M94" i="165"/>
  <c r="G94" i="165"/>
  <c r="L94" i="165"/>
  <c r="E94" i="165"/>
  <c r="K94" i="165"/>
  <c r="C94" i="165"/>
  <c r="P94" i="165"/>
  <c r="H94" i="165"/>
  <c r="M110" i="165"/>
  <c r="I110" i="165"/>
  <c r="E110" i="165"/>
  <c r="P110" i="165"/>
  <c r="L110" i="165"/>
  <c r="H110" i="165"/>
  <c r="D110" i="165"/>
  <c r="O110" i="165"/>
  <c r="K110" i="165"/>
  <c r="G110" i="165"/>
  <c r="C110" i="165"/>
  <c r="N110" i="165"/>
  <c r="J110" i="165"/>
  <c r="F110" i="165"/>
  <c r="B110" i="165"/>
  <c r="B141" i="165"/>
  <c r="B173" i="165"/>
  <c r="O107" i="165"/>
  <c r="K107" i="165"/>
  <c r="G107" i="165"/>
  <c r="C107" i="165"/>
  <c r="N107" i="165"/>
  <c r="J107" i="165"/>
  <c r="F107" i="165"/>
  <c r="B107" i="165"/>
  <c r="B138" i="165"/>
  <c r="B170" i="165"/>
  <c r="M107" i="165"/>
  <c r="E107" i="165"/>
  <c r="L107" i="165"/>
  <c r="D107" i="165"/>
  <c r="I107" i="165"/>
  <c r="H107" i="165"/>
  <c r="P107" i="165"/>
  <c r="O92" i="165"/>
  <c r="K92" i="165"/>
  <c r="G92" i="165"/>
  <c r="C92" i="165"/>
  <c r="L92" i="165"/>
  <c r="F92" i="165"/>
  <c r="P92" i="165"/>
  <c r="J92" i="165"/>
  <c r="E92" i="165"/>
  <c r="N92" i="165"/>
  <c r="I92" i="165"/>
  <c r="D92" i="165"/>
  <c r="M92" i="165"/>
  <c r="H92" i="165"/>
  <c r="B92" i="165"/>
  <c r="B123" i="165"/>
  <c r="B155" i="165"/>
  <c r="P108" i="165"/>
  <c r="L108" i="165"/>
  <c r="H108" i="165"/>
  <c r="D108" i="165"/>
  <c r="O108" i="165"/>
  <c r="K108" i="165"/>
  <c r="G108" i="165"/>
  <c r="C108" i="165"/>
  <c r="N108" i="165"/>
  <c r="F108" i="165"/>
  <c r="M108" i="165"/>
  <c r="E108" i="165"/>
  <c r="J108" i="165"/>
  <c r="I108" i="165"/>
  <c r="B108" i="165"/>
  <c r="B139" i="165"/>
  <c r="B171" i="165"/>
  <c r="M93" i="165"/>
  <c r="I93" i="165"/>
  <c r="N93" i="165"/>
  <c r="H93" i="165"/>
  <c r="D93" i="165"/>
  <c r="O93" i="165"/>
  <c r="G93" i="165"/>
  <c r="B93" i="165"/>
  <c r="B124" i="165"/>
  <c r="B156" i="165"/>
  <c r="L93" i="165"/>
  <c r="F93" i="165"/>
  <c r="K93" i="165"/>
  <c r="E93" i="165"/>
  <c r="P93" i="165"/>
  <c r="J93" i="165"/>
  <c r="C93" i="165"/>
  <c r="N109" i="165"/>
  <c r="J109" i="165"/>
  <c r="F109" i="165"/>
  <c r="M109" i="165"/>
  <c r="I109" i="165"/>
  <c r="E109" i="165"/>
  <c r="P109" i="165"/>
  <c r="H109" i="165"/>
  <c r="O109" i="165"/>
  <c r="G109" i="165"/>
  <c r="L109" i="165"/>
  <c r="B109" i="165"/>
  <c r="B140" i="165"/>
  <c r="B172" i="165"/>
  <c r="K109" i="165"/>
  <c r="D109" i="165"/>
  <c r="C109" i="165"/>
  <c r="N98" i="165"/>
  <c r="J98" i="165"/>
  <c r="F98" i="165"/>
  <c r="B98" i="165"/>
  <c r="B129" i="165"/>
  <c r="B161" i="165"/>
  <c r="M98" i="165"/>
  <c r="I98" i="165"/>
  <c r="E98" i="165"/>
  <c r="K98" i="165"/>
  <c r="C98" i="165"/>
  <c r="H98" i="165"/>
  <c r="P98" i="165"/>
  <c r="G98" i="165"/>
  <c r="O98" i="165"/>
  <c r="D98" i="165"/>
  <c r="L98" i="165"/>
  <c r="O114" i="165"/>
  <c r="K114" i="165"/>
  <c r="G114" i="165"/>
  <c r="C114" i="165"/>
  <c r="N114" i="165"/>
  <c r="I114" i="165"/>
  <c r="D114" i="165"/>
  <c r="M114" i="165"/>
  <c r="H114" i="165"/>
  <c r="B114" i="165"/>
  <c r="B145" i="165"/>
  <c r="B177" i="165"/>
  <c r="L114" i="165"/>
  <c r="F114" i="165"/>
  <c r="P114" i="165"/>
  <c r="J114" i="165"/>
  <c r="E114" i="165"/>
  <c r="C77" i="165"/>
  <c r="D122" i="165"/>
  <c r="E83" i="165"/>
  <c r="G65" i="165"/>
  <c r="G60" i="165"/>
  <c r="G73" i="165"/>
  <c r="G75" i="165"/>
  <c r="G62" i="165"/>
  <c r="F72" i="165"/>
  <c r="E79" i="165"/>
  <c r="D78" i="165"/>
  <c r="G69" i="165"/>
  <c r="G59" i="165"/>
  <c r="D82" i="165"/>
  <c r="F64" i="165"/>
  <c r="F74" i="165"/>
  <c r="H71" i="165"/>
  <c r="G70" i="165"/>
  <c r="G58" i="165"/>
  <c r="E81" i="165"/>
  <c r="G68" i="165"/>
  <c r="G61" i="165"/>
  <c r="G66" i="165"/>
  <c r="F67" i="165"/>
  <c r="D76" i="165"/>
  <c r="A85" i="165"/>
  <c r="A181" i="165"/>
  <c r="A86" i="165"/>
  <c r="A182" i="165"/>
  <c r="A87" i="165"/>
  <c r="A183" i="165"/>
  <c r="Q473" i="16"/>
  <c r="Q474" i="16"/>
  <c r="Q475" i="16"/>
  <c r="Q476" i="16"/>
  <c r="G273" i="16"/>
  <c r="G274" i="16"/>
  <c r="G275" i="16"/>
  <c r="G276" i="16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D94" i="13"/>
  <c r="E94" i="13"/>
  <c r="D95" i="13"/>
  <c r="AG95" i="13"/>
  <c r="AH95" i="13"/>
  <c r="AC95" i="13"/>
  <c r="AB95" i="13"/>
  <c r="O7" i="165"/>
  <c r="P7" i="165"/>
  <c r="Q7" i="165"/>
  <c r="R7" i="165"/>
  <c r="S7" i="165"/>
  <c r="T7" i="165"/>
  <c r="U7" i="165"/>
  <c r="V7" i="165"/>
  <c r="W7" i="165"/>
  <c r="X7" i="165"/>
  <c r="Y7" i="165"/>
  <c r="Z7" i="165"/>
  <c r="AA7" i="165"/>
  <c r="AB7" i="165"/>
  <c r="N7" i="165"/>
  <c r="N16" i="165"/>
  <c r="O16" i="165"/>
  <c r="P16" i="165"/>
  <c r="Q16" i="165"/>
  <c r="R16" i="165"/>
  <c r="S16" i="165"/>
  <c r="T16" i="165"/>
  <c r="U16" i="165"/>
  <c r="V16" i="165"/>
  <c r="W16" i="165"/>
  <c r="X16" i="165"/>
  <c r="Y16" i="165"/>
  <c r="Z16" i="165"/>
  <c r="AA16" i="165"/>
  <c r="AB16" i="165"/>
  <c r="M16" i="165"/>
  <c r="L16" i="165"/>
  <c r="M11" i="165"/>
  <c r="M12" i="165"/>
  <c r="M13" i="165"/>
  <c r="M14" i="165"/>
  <c r="M15" i="165"/>
  <c r="M10" i="165"/>
  <c r="N10" i="165"/>
  <c r="O10" i="165"/>
  <c r="P10" i="165"/>
  <c r="Q10" i="165"/>
  <c r="R10" i="165"/>
  <c r="S10" i="165"/>
  <c r="T10" i="165"/>
  <c r="U10" i="165"/>
  <c r="V10" i="165"/>
  <c r="W10" i="165"/>
  <c r="X10" i="165"/>
  <c r="Y10" i="165"/>
  <c r="Z10" i="165"/>
  <c r="AA10" i="165"/>
  <c r="AB10" i="165"/>
  <c r="N11" i="165"/>
  <c r="O11" i="165"/>
  <c r="P11" i="165"/>
  <c r="Q11" i="165"/>
  <c r="R11" i="165"/>
  <c r="S11" i="165"/>
  <c r="T11" i="165"/>
  <c r="U11" i="165"/>
  <c r="V11" i="165"/>
  <c r="W11" i="165"/>
  <c r="X11" i="165"/>
  <c r="Y11" i="165"/>
  <c r="Z11" i="165"/>
  <c r="AA11" i="165"/>
  <c r="AB11" i="165"/>
  <c r="N12" i="165"/>
  <c r="O12" i="165"/>
  <c r="P12" i="165"/>
  <c r="Q12" i="165"/>
  <c r="R12" i="165"/>
  <c r="S12" i="165"/>
  <c r="T12" i="165"/>
  <c r="U12" i="165"/>
  <c r="V12" i="165"/>
  <c r="W12" i="165"/>
  <c r="X12" i="165"/>
  <c r="Y12" i="165"/>
  <c r="Z12" i="165"/>
  <c r="AA12" i="165"/>
  <c r="AB12" i="165"/>
  <c r="N13" i="165"/>
  <c r="O13" i="165"/>
  <c r="P13" i="165"/>
  <c r="Q13" i="165"/>
  <c r="R13" i="165"/>
  <c r="S13" i="165"/>
  <c r="T13" i="165"/>
  <c r="U13" i="165"/>
  <c r="V13" i="165"/>
  <c r="W13" i="165"/>
  <c r="X13" i="165"/>
  <c r="Y13" i="165"/>
  <c r="Z13" i="165"/>
  <c r="AA13" i="165"/>
  <c r="AB13" i="165"/>
  <c r="N14" i="165"/>
  <c r="O14" i="165"/>
  <c r="P14" i="165"/>
  <c r="Q14" i="165"/>
  <c r="R14" i="165"/>
  <c r="S14" i="165"/>
  <c r="T14" i="165"/>
  <c r="U14" i="165"/>
  <c r="V14" i="165"/>
  <c r="W14" i="165"/>
  <c r="X14" i="165"/>
  <c r="Y14" i="165"/>
  <c r="Z14" i="165"/>
  <c r="AA14" i="165"/>
  <c r="AB14" i="165"/>
  <c r="N15" i="165"/>
  <c r="O15" i="165"/>
  <c r="P15" i="165"/>
  <c r="Q15" i="165"/>
  <c r="R15" i="165"/>
  <c r="S15" i="165"/>
  <c r="T15" i="165"/>
  <c r="U15" i="165"/>
  <c r="V15" i="165"/>
  <c r="W15" i="165"/>
  <c r="X15" i="165"/>
  <c r="Y15" i="165"/>
  <c r="Z15" i="165"/>
  <c r="AA15" i="165"/>
  <c r="AB15" i="165"/>
  <c r="G6" i="165"/>
  <c r="G7" i="165"/>
  <c r="G9" i="165"/>
  <c r="C6" i="165"/>
  <c r="C8" i="165"/>
  <c r="C10" i="165"/>
  <c r="E6" i="165"/>
  <c r="E7" i="165"/>
  <c r="E9" i="165"/>
  <c r="F6" i="165"/>
  <c r="F7" i="165"/>
  <c r="F9" i="165"/>
  <c r="H6" i="165"/>
  <c r="H7" i="165"/>
  <c r="H9" i="165"/>
  <c r="D6" i="165"/>
  <c r="D7" i="165"/>
  <c r="D9" i="165"/>
  <c r="C137" i="165"/>
  <c r="C169" i="165"/>
  <c r="C142" i="165"/>
  <c r="C174" i="165"/>
  <c r="C129" i="165"/>
  <c r="C161" i="165"/>
  <c r="S119" i="165"/>
  <c r="S118" i="165"/>
  <c r="AD95" i="13"/>
  <c r="AF95" i="13"/>
  <c r="C126" i="165"/>
  <c r="C158" i="165"/>
  <c r="C127" i="165"/>
  <c r="C159" i="165"/>
  <c r="C145" i="165"/>
  <c r="C177" i="165"/>
  <c r="C131" i="165"/>
  <c r="C163" i="165"/>
  <c r="C133" i="165"/>
  <c r="C165" i="165"/>
  <c r="C148" i="165"/>
  <c r="C180" i="165"/>
  <c r="C144" i="165"/>
  <c r="D144" i="165"/>
  <c r="E144" i="165"/>
  <c r="F144" i="165"/>
  <c r="G144" i="165"/>
  <c r="H144" i="165"/>
  <c r="I144" i="165"/>
  <c r="J144" i="165"/>
  <c r="K144" i="165"/>
  <c r="L144" i="165"/>
  <c r="M144" i="165"/>
  <c r="N144" i="165"/>
  <c r="O144" i="165"/>
  <c r="P144" i="165"/>
  <c r="D129" i="165"/>
  <c r="D161" i="165"/>
  <c r="C151" i="165"/>
  <c r="D151" i="165"/>
  <c r="E151" i="165"/>
  <c r="F151" i="165"/>
  <c r="G151" i="165"/>
  <c r="H151" i="165"/>
  <c r="I151" i="165"/>
  <c r="J151" i="165"/>
  <c r="K151" i="165"/>
  <c r="L151" i="165"/>
  <c r="M151" i="165"/>
  <c r="N151" i="165"/>
  <c r="O151" i="165"/>
  <c r="P151" i="165"/>
  <c r="C135" i="165"/>
  <c r="C167" i="165"/>
  <c r="C150" i="165"/>
  <c r="D150" i="165"/>
  <c r="E150" i="165"/>
  <c r="F150" i="165"/>
  <c r="G150" i="165"/>
  <c r="H150" i="165"/>
  <c r="I150" i="165"/>
  <c r="J150" i="165"/>
  <c r="K150" i="165"/>
  <c r="L150" i="165"/>
  <c r="M150" i="165"/>
  <c r="N150" i="165"/>
  <c r="O150" i="165"/>
  <c r="P150" i="165"/>
  <c r="C132" i="165"/>
  <c r="C164" i="165"/>
  <c r="E122" i="165"/>
  <c r="D154" i="165"/>
  <c r="C124" i="165"/>
  <c r="C156" i="165"/>
  <c r="C138" i="165"/>
  <c r="C170" i="165"/>
  <c r="C141" i="165"/>
  <c r="C173" i="165"/>
  <c r="C136" i="165"/>
  <c r="C168" i="165"/>
  <c r="C128" i="165"/>
  <c r="C160" i="165"/>
  <c r="H63" i="165"/>
  <c r="B86" i="165"/>
  <c r="B182" i="165"/>
  <c r="B85" i="165"/>
  <c r="B181" i="165"/>
  <c r="D77" i="165"/>
  <c r="C140" i="165"/>
  <c r="C172" i="165"/>
  <c r="C123" i="165"/>
  <c r="C155" i="165"/>
  <c r="C125" i="165"/>
  <c r="C157" i="165"/>
  <c r="C134" i="165"/>
  <c r="C166" i="165"/>
  <c r="C130" i="165"/>
  <c r="C162" i="165"/>
  <c r="C149" i="165"/>
  <c r="D149" i="165"/>
  <c r="E149" i="165"/>
  <c r="F149" i="165"/>
  <c r="G149" i="165"/>
  <c r="H149" i="165"/>
  <c r="I149" i="165"/>
  <c r="J149" i="165"/>
  <c r="K149" i="165"/>
  <c r="L149" i="165"/>
  <c r="M149" i="165"/>
  <c r="N149" i="165"/>
  <c r="O149" i="165"/>
  <c r="P149" i="165"/>
  <c r="C147" i="165"/>
  <c r="C179" i="165"/>
  <c r="F83" i="165"/>
  <c r="G83" i="165"/>
  <c r="C139" i="165"/>
  <c r="C171" i="165"/>
  <c r="C143" i="165"/>
  <c r="C175" i="165"/>
  <c r="D80" i="165"/>
  <c r="C146" i="165"/>
  <c r="C178" i="165"/>
  <c r="H66" i="165"/>
  <c r="F79" i="165"/>
  <c r="H62" i="165"/>
  <c r="H73" i="165"/>
  <c r="I71" i="165"/>
  <c r="E84" i="165"/>
  <c r="F81" i="165"/>
  <c r="H70" i="165"/>
  <c r="G74" i="165"/>
  <c r="E78" i="165"/>
  <c r="H60" i="165"/>
  <c r="E76" i="165"/>
  <c r="H68" i="165"/>
  <c r="H59" i="165"/>
  <c r="H58" i="165"/>
  <c r="G64" i="165"/>
  <c r="G67" i="165"/>
  <c r="H61" i="165"/>
  <c r="E82" i="165"/>
  <c r="H69" i="165"/>
  <c r="G72" i="165"/>
  <c r="H75" i="165"/>
  <c r="H65" i="165"/>
  <c r="V17" i="165"/>
  <c r="Z17" i="165"/>
  <c r="R17" i="165"/>
  <c r="AB17" i="165"/>
  <c r="T17" i="165"/>
  <c r="W17" i="165"/>
  <c r="O17" i="165"/>
  <c r="Y17" i="165"/>
  <c r="U17" i="165"/>
  <c r="Q17" i="165"/>
  <c r="X17" i="165"/>
  <c r="P17" i="165"/>
  <c r="AA17" i="165"/>
  <c r="S17" i="165"/>
  <c r="S8" i="165"/>
  <c r="N17" i="165"/>
  <c r="H8" i="165"/>
  <c r="H10" i="165"/>
  <c r="D8" i="165"/>
  <c r="D10" i="165"/>
  <c r="E8" i="165"/>
  <c r="E10" i="165"/>
  <c r="C7" i="165"/>
  <c r="C9" i="165"/>
  <c r="G8" i="165"/>
  <c r="G10" i="165"/>
  <c r="F8" i="165"/>
  <c r="F10" i="165"/>
  <c r="D142" i="165"/>
  <c r="E142" i="165"/>
  <c r="F142" i="165"/>
  <c r="G142" i="165"/>
  <c r="H142" i="165"/>
  <c r="I142" i="165"/>
  <c r="J142" i="165"/>
  <c r="K142" i="165"/>
  <c r="L142" i="165"/>
  <c r="M142" i="165"/>
  <c r="N142" i="165"/>
  <c r="O142" i="165"/>
  <c r="P142" i="165"/>
  <c r="D136" i="165"/>
  <c r="E136" i="165"/>
  <c r="D137" i="165"/>
  <c r="D169" i="165"/>
  <c r="D148" i="165"/>
  <c r="E148" i="165"/>
  <c r="F148" i="165"/>
  <c r="G148" i="165"/>
  <c r="H148" i="165"/>
  <c r="I148" i="165"/>
  <c r="J148" i="165"/>
  <c r="K148" i="165"/>
  <c r="L148" i="165"/>
  <c r="M148" i="165"/>
  <c r="N148" i="165"/>
  <c r="O148" i="165"/>
  <c r="P148" i="165"/>
  <c r="D127" i="165"/>
  <c r="D159" i="165"/>
  <c r="D133" i="165"/>
  <c r="E133" i="165"/>
  <c r="C86" i="165"/>
  <c r="D124" i="165"/>
  <c r="D156" i="165"/>
  <c r="E129" i="165"/>
  <c r="F129" i="165"/>
  <c r="D132" i="165"/>
  <c r="E132" i="165"/>
  <c r="C182" i="165"/>
  <c r="C176" i="165"/>
  <c r="D126" i="165"/>
  <c r="D130" i="165"/>
  <c r="D162" i="165"/>
  <c r="D135" i="165"/>
  <c r="E135" i="165"/>
  <c r="D125" i="165"/>
  <c r="E125" i="165"/>
  <c r="D131" i="165"/>
  <c r="E131" i="165"/>
  <c r="D147" i="165"/>
  <c r="E147" i="165"/>
  <c r="D145" i="165"/>
  <c r="E80" i="165"/>
  <c r="D176" i="165"/>
  <c r="D139" i="165"/>
  <c r="D123" i="165"/>
  <c r="I63" i="165"/>
  <c r="D146" i="165"/>
  <c r="D141" i="165"/>
  <c r="E141" i="165"/>
  <c r="F141" i="165"/>
  <c r="G141" i="165"/>
  <c r="H141" i="165"/>
  <c r="I141" i="165"/>
  <c r="J141" i="165"/>
  <c r="K141" i="165"/>
  <c r="L141" i="165"/>
  <c r="M141" i="165"/>
  <c r="N141" i="165"/>
  <c r="O141" i="165"/>
  <c r="P141" i="165"/>
  <c r="D86" i="165"/>
  <c r="D182" i="165"/>
  <c r="E77" i="165"/>
  <c r="D128" i="165"/>
  <c r="D143" i="165"/>
  <c r="D134" i="165"/>
  <c r="F122" i="165"/>
  <c r="E154" i="165"/>
  <c r="D140" i="165"/>
  <c r="D138" i="165"/>
  <c r="C85" i="165"/>
  <c r="F82" i="165"/>
  <c r="I69" i="165"/>
  <c r="H64" i="165"/>
  <c r="I59" i="165"/>
  <c r="F76" i="165"/>
  <c r="F78" i="165"/>
  <c r="I70" i="165"/>
  <c r="F84" i="165"/>
  <c r="J71" i="165"/>
  <c r="I73" i="165"/>
  <c r="G79" i="165"/>
  <c r="I65" i="165"/>
  <c r="I75" i="165"/>
  <c r="H67" i="165"/>
  <c r="H72" i="165"/>
  <c r="I61" i="165"/>
  <c r="I58" i="165"/>
  <c r="I68" i="165"/>
  <c r="I60" i="165"/>
  <c r="H74" i="165"/>
  <c r="G81" i="165"/>
  <c r="H83" i="165"/>
  <c r="I62" i="165"/>
  <c r="I66" i="165"/>
  <c r="Q8" i="165"/>
  <c r="P8" i="165"/>
  <c r="Y8" i="165"/>
  <c r="AB8" i="165"/>
  <c r="X8" i="165"/>
  <c r="U8" i="165"/>
  <c r="T8" i="165"/>
  <c r="N8" i="165"/>
  <c r="V8" i="165"/>
  <c r="O8" i="165"/>
  <c r="R8" i="165"/>
  <c r="AA8" i="165"/>
  <c r="W8" i="165"/>
  <c r="Z8" i="165"/>
  <c r="E174" i="165"/>
  <c r="E137" i="165"/>
  <c r="E124" i="165"/>
  <c r="F124" i="165"/>
  <c r="E86" i="165"/>
  <c r="F86" i="165"/>
  <c r="D165" i="165"/>
  <c r="D174" i="165"/>
  <c r="D168" i="165"/>
  <c r="D173" i="165"/>
  <c r="E180" i="165"/>
  <c r="D180" i="165"/>
  <c r="E127" i="165"/>
  <c r="E159" i="165"/>
  <c r="D179" i="165"/>
  <c r="D164" i="165"/>
  <c r="E161" i="165"/>
  <c r="E130" i="165"/>
  <c r="E162" i="165"/>
  <c r="D157" i="165"/>
  <c r="D167" i="165"/>
  <c r="E126" i="165"/>
  <c r="D158" i="165"/>
  <c r="D163" i="165"/>
  <c r="E145" i="165"/>
  <c r="D177" i="165"/>
  <c r="F133" i="165"/>
  <c r="E165" i="165"/>
  <c r="F147" i="165"/>
  <c r="E179" i="165"/>
  <c r="E176" i="165"/>
  <c r="F80" i="165"/>
  <c r="E140" i="165"/>
  <c r="D172" i="165"/>
  <c r="E134" i="165"/>
  <c r="D166" i="165"/>
  <c r="E143" i="165"/>
  <c r="D175" i="165"/>
  <c r="J63" i="165"/>
  <c r="D85" i="165"/>
  <c r="C181" i="165"/>
  <c r="F136" i="165"/>
  <c r="E168" i="165"/>
  <c r="E128" i="165"/>
  <c r="D160" i="165"/>
  <c r="F132" i="165"/>
  <c r="E164" i="165"/>
  <c r="E123" i="165"/>
  <c r="D155" i="165"/>
  <c r="F137" i="165"/>
  <c r="E169" i="165"/>
  <c r="F131" i="165"/>
  <c r="E163" i="165"/>
  <c r="E138" i="165"/>
  <c r="D170" i="165"/>
  <c r="G129" i="165"/>
  <c r="F161" i="165"/>
  <c r="F125" i="165"/>
  <c r="E157" i="165"/>
  <c r="G122" i="165"/>
  <c r="F154" i="165"/>
  <c r="E173" i="165"/>
  <c r="F77" i="165"/>
  <c r="E146" i="165"/>
  <c r="D178" i="165"/>
  <c r="E139" i="165"/>
  <c r="D171" i="165"/>
  <c r="F135" i="165"/>
  <c r="E167" i="165"/>
  <c r="J62" i="165"/>
  <c r="I74" i="165"/>
  <c r="I72" i="165"/>
  <c r="J75" i="165"/>
  <c r="H79" i="165"/>
  <c r="J70" i="165"/>
  <c r="I64" i="165"/>
  <c r="G82" i="165"/>
  <c r="J66" i="165"/>
  <c r="I83" i="165"/>
  <c r="H81" i="165"/>
  <c r="J60" i="165"/>
  <c r="J58" i="165"/>
  <c r="J61" i="165"/>
  <c r="J65" i="165"/>
  <c r="J73" i="165"/>
  <c r="G84" i="165"/>
  <c r="F180" i="165"/>
  <c r="G78" i="165"/>
  <c r="F174" i="165"/>
  <c r="J59" i="165"/>
  <c r="J69" i="165"/>
  <c r="K71" i="165"/>
  <c r="J68" i="165"/>
  <c r="I67" i="165"/>
  <c r="G76" i="165"/>
  <c r="D150" i="16"/>
  <c r="D151" i="16"/>
  <c r="E156" i="165"/>
  <c r="F127" i="165"/>
  <c r="F159" i="165"/>
  <c r="F130" i="165"/>
  <c r="G130" i="165"/>
  <c r="E182" i="165"/>
  <c r="F126" i="165"/>
  <c r="E158" i="165"/>
  <c r="F145" i="165"/>
  <c r="E177" i="165"/>
  <c r="G135" i="165"/>
  <c r="F167" i="165"/>
  <c r="F138" i="165"/>
  <c r="E170" i="165"/>
  <c r="F140" i="165"/>
  <c r="E172" i="165"/>
  <c r="G77" i="165"/>
  <c r="F173" i="165"/>
  <c r="F139" i="165"/>
  <c r="E171" i="165"/>
  <c r="G132" i="165"/>
  <c r="F164" i="165"/>
  <c r="G136" i="165"/>
  <c r="F168" i="165"/>
  <c r="G147" i="165"/>
  <c r="F179" i="165"/>
  <c r="F176" i="165"/>
  <c r="G80" i="165"/>
  <c r="G125" i="165"/>
  <c r="F157" i="165"/>
  <c r="G137" i="165"/>
  <c r="F169" i="165"/>
  <c r="F128" i="165"/>
  <c r="E160" i="165"/>
  <c r="K63" i="165"/>
  <c r="F134" i="165"/>
  <c r="E166" i="165"/>
  <c r="G127" i="165"/>
  <c r="F146" i="165"/>
  <c r="E178" i="165"/>
  <c r="H122" i="165"/>
  <c r="G154" i="165"/>
  <c r="H129" i="165"/>
  <c r="G161" i="165"/>
  <c r="G131" i="165"/>
  <c r="F163" i="165"/>
  <c r="F123" i="165"/>
  <c r="E155" i="165"/>
  <c r="G124" i="165"/>
  <c r="F156" i="165"/>
  <c r="D181" i="165"/>
  <c r="E85" i="165"/>
  <c r="F143" i="165"/>
  <c r="E175" i="165"/>
  <c r="G133" i="165"/>
  <c r="F165" i="165"/>
  <c r="J67" i="165"/>
  <c r="H84" i="165"/>
  <c r="G180" i="165"/>
  <c r="K65" i="165"/>
  <c r="K58" i="165"/>
  <c r="I81" i="165"/>
  <c r="K66" i="165"/>
  <c r="J64" i="165"/>
  <c r="I79" i="165"/>
  <c r="J72" i="165"/>
  <c r="J74" i="165"/>
  <c r="K75" i="165"/>
  <c r="G86" i="165"/>
  <c r="F182" i="165"/>
  <c r="K59" i="165"/>
  <c r="H76" i="165"/>
  <c r="K68" i="165"/>
  <c r="L71" i="165"/>
  <c r="K69" i="165"/>
  <c r="H78" i="165"/>
  <c r="G174" i="165"/>
  <c r="K73" i="165"/>
  <c r="K61" i="165"/>
  <c r="K60" i="165"/>
  <c r="J83" i="165"/>
  <c r="H82" i="165"/>
  <c r="K70" i="165"/>
  <c r="K62" i="165"/>
  <c r="AC75" i="16"/>
  <c r="AC76" i="16"/>
  <c r="AA76" i="16"/>
  <c r="AA75" i="16"/>
  <c r="AB75" i="16"/>
  <c r="AB68" i="16"/>
  <c r="AB76" i="16"/>
  <c r="AB69" i="16"/>
  <c r="D100" i="16"/>
  <c r="D96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88" i="16"/>
  <c r="D89" i="16"/>
  <c r="D90" i="16"/>
  <c r="D91" i="16"/>
  <c r="D92" i="16"/>
  <c r="D93" i="16"/>
  <c r="F162" i="165"/>
  <c r="F158" i="165"/>
  <c r="G126" i="165"/>
  <c r="G145" i="165"/>
  <c r="F177" i="165"/>
  <c r="H131" i="165"/>
  <c r="G163" i="165"/>
  <c r="H127" i="165"/>
  <c r="G159" i="165"/>
  <c r="H136" i="165"/>
  <c r="G168" i="165"/>
  <c r="G140" i="165"/>
  <c r="F172" i="165"/>
  <c r="H133" i="165"/>
  <c r="G165" i="165"/>
  <c r="G143" i="165"/>
  <c r="F175" i="165"/>
  <c r="G123" i="165"/>
  <c r="F155" i="165"/>
  <c r="I129" i="165"/>
  <c r="H161" i="165"/>
  <c r="G146" i="165"/>
  <c r="F178" i="165"/>
  <c r="G134" i="165"/>
  <c r="F166" i="165"/>
  <c r="G128" i="165"/>
  <c r="F160" i="165"/>
  <c r="H125" i="165"/>
  <c r="G157" i="165"/>
  <c r="H147" i="165"/>
  <c r="G179" i="165"/>
  <c r="H132" i="165"/>
  <c r="G164" i="165"/>
  <c r="G173" i="165"/>
  <c r="H77" i="165"/>
  <c r="G138" i="165"/>
  <c r="F170" i="165"/>
  <c r="H124" i="165"/>
  <c r="G156" i="165"/>
  <c r="I122" i="165"/>
  <c r="H154" i="165"/>
  <c r="L63" i="165"/>
  <c r="G139" i="165"/>
  <c r="F171" i="165"/>
  <c r="F85" i="165"/>
  <c r="E181" i="165"/>
  <c r="G176" i="165"/>
  <c r="H80" i="165"/>
  <c r="H130" i="165"/>
  <c r="G162" i="165"/>
  <c r="H137" i="165"/>
  <c r="G169" i="165"/>
  <c r="H135" i="165"/>
  <c r="G167" i="165"/>
  <c r="L60" i="165"/>
  <c r="I78" i="165"/>
  <c r="H174" i="165"/>
  <c r="I76" i="165"/>
  <c r="H86" i="165"/>
  <c r="G182" i="165"/>
  <c r="J79" i="165"/>
  <c r="L66" i="165"/>
  <c r="L58" i="165"/>
  <c r="K83" i="165"/>
  <c r="L62" i="165"/>
  <c r="L70" i="165"/>
  <c r="L61" i="165"/>
  <c r="L69" i="165"/>
  <c r="L68" i="165"/>
  <c r="L59" i="165"/>
  <c r="L75" i="165"/>
  <c r="K72" i="165"/>
  <c r="K64" i="165"/>
  <c r="J81" i="165"/>
  <c r="I84" i="165"/>
  <c r="H180" i="165"/>
  <c r="K67" i="165"/>
  <c r="I82" i="165"/>
  <c r="M71" i="165"/>
  <c r="K74" i="165"/>
  <c r="L65" i="165"/>
  <c r="L73" i="165"/>
  <c r="AC69" i="16"/>
  <c r="AD69" i="16"/>
  <c r="AC68" i="16"/>
  <c r="AD68" i="16"/>
  <c r="G158" i="165"/>
  <c r="H126" i="165"/>
  <c r="H145" i="165"/>
  <c r="G177" i="165"/>
  <c r="I135" i="165"/>
  <c r="H167" i="165"/>
  <c r="G85" i="165"/>
  <c r="F181" i="165"/>
  <c r="I127" i="165"/>
  <c r="H159" i="165"/>
  <c r="I77" i="165"/>
  <c r="H173" i="165"/>
  <c r="I130" i="165"/>
  <c r="H162" i="165"/>
  <c r="I124" i="165"/>
  <c r="H156" i="165"/>
  <c r="H128" i="165"/>
  <c r="G160" i="165"/>
  <c r="H123" i="165"/>
  <c r="G155" i="165"/>
  <c r="H143" i="165"/>
  <c r="G175" i="165"/>
  <c r="H176" i="165"/>
  <c r="I80" i="165"/>
  <c r="M63" i="165"/>
  <c r="I147" i="165"/>
  <c r="H179" i="165"/>
  <c r="H146" i="165"/>
  <c r="G178" i="165"/>
  <c r="H140" i="165"/>
  <c r="G172" i="165"/>
  <c r="I137" i="165"/>
  <c r="H169" i="165"/>
  <c r="H139" i="165"/>
  <c r="G171" i="165"/>
  <c r="J122" i="165"/>
  <c r="I154" i="165"/>
  <c r="H138" i="165"/>
  <c r="G170" i="165"/>
  <c r="I132" i="165"/>
  <c r="H164" i="165"/>
  <c r="I125" i="165"/>
  <c r="H157" i="165"/>
  <c r="H134" i="165"/>
  <c r="G166" i="165"/>
  <c r="J129" i="165"/>
  <c r="I161" i="165"/>
  <c r="I133" i="165"/>
  <c r="H165" i="165"/>
  <c r="I136" i="165"/>
  <c r="H168" i="165"/>
  <c r="I131" i="165"/>
  <c r="H163" i="165"/>
  <c r="M65" i="165"/>
  <c r="N71" i="165"/>
  <c r="J82" i="165"/>
  <c r="J84" i="165"/>
  <c r="I180" i="165"/>
  <c r="K81" i="165"/>
  <c r="L72" i="165"/>
  <c r="M59" i="165"/>
  <c r="M69" i="165"/>
  <c r="M70" i="165"/>
  <c r="L83" i="165"/>
  <c r="M58" i="165"/>
  <c r="K79" i="165"/>
  <c r="J76" i="165"/>
  <c r="M60" i="165"/>
  <c r="M73" i="165"/>
  <c r="L74" i="165"/>
  <c r="L67" i="165"/>
  <c r="L64" i="165"/>
  <c r="M75" i="165"/>
  <c r="M68" i="165"/>
  <c r="M61" i="165"/>
  <c r="M62" i="165"/>
  <c r="M66" i="165"/>
  <c r="I86" i="165"/>
  <c r="H182" i="165"/>
  <c r="J78" i="165"/>
  <c r="I174" i="165"/>
  <c r="F49" i="128"/>
  <c r="C49" i="128"/>
  <c r="E49" i="128"/>
  <c r="I126" i="165"/>
  <c r="H158" i="165"/>
  <c r="I145" i="165"/>
  <c r="H177" i="165"/>
  <c r="K129" i="165"/>
  <c r="J161" i="165"/>
  <c r="I139" i="165"/>
  <c r="H171" i="165"/>
  <c r="H85" i="165"/>
  <c r="G181" i="165"/>
  <c r="J80" i="165"/>
  <c r="I176" i="165"/>
  <c r="J131" i="165"/>
  <c r="I163" i="165"/>
  <c r="I138" i="165"/>
  <c r="H170" i="165"/>
  <c r="J147" i="165"/>
  <c r="I179" i="165"/>
  <c r="I123" i="165"/>
  <c r="H155" i="165"/>
  <c r="J124" i="165"/>
  <c r="I156" i="165"/>
  <c r="N63" i="165"/>
  <c r="J133" i="165"/>
  <c r="I165" i="165"/>
  <c r="J125" i="165"/>
  <c r="I157" i="165"/>
  <c r="I140" i="165"/>
  <c r="H172" i="165"/>
  <c r="I173" i="165"/>
  <c r="J77" i="165"/>
  <c r="J136" i="165"/>
  <c r="I168" i="165"/>
  <c r="I134" i="165"/>
  <c r="H166" i="165"/>
  <c r="J132" i="165"/>
  <c r="I164" i="165"/>
  <c r="K122" i="165"/>
  <c r="J154" i="165"/>
  <c r="J137" i="165"/>
  <c r="I169" i="165"/>
  <c r="I146" i="165"/>
  <c r="H178" i="165"/>
  <c r="I143" i="165"/>
  <c r="H175" i="165"/>
  <c r="I128" i="165"/>
  <c r="H160" i="165"/>
  <c r="J130" i="165"/>
  <c r="I162" i="165"/>
  <c r="J127" i="165"/>
  <c r="I159" i="165"/>
  <c r="J135" i="165"/>
  <c r="I167" i="165"/>
  <c r="K78" i="165"/>
  <c r="J174" i="165"/>
  <c r="N62" i="165"/>
  <c r="M64" i="165"/>
  <c r="M74" i="165"/>
  <c r="L79" i="165"/>
  <c r="N69" i="165"/>
  <c r="M72" i="165"/>
  <c r="O71" i="165"/>
  <c r="J86" i="165"/>
  <c r="I182" i="165"/>
  <c r="N75" i="165"/>
  <c r="N73" i="165"/>
  <c r="N58" i="165"/>
  <c r="N70" i="165"/>
  <c r="L81" i="165"/>
  <c r="N66" i="165"/>
  <c r="N68" i="165"/>
  <c r="M67" i="165"/>
  <c r="N60" i="165"/>
  <c r="M83" i="165"/>
  <c r="K84" i="165"/>
  <c r="J180" i="165"/>
  <c r="N61" i="165"/>
  <c r="K76" i="165"/>
  <c r="N59" i="165"/>
  <c r="K82" i="165"/>
  <c r="N65" i="165"/>
  <c r="G49" i="128"/>
  <c r="H49" i="128"/>
  <c r="C221" i="16"/>
  <c r="I516" i="16"/>
  <c r="B432" i="13"/>
  <c r="AL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D155" i="13"/>
  <c r="E155" i="13"/>
  <c r="F155" i="13"/>
  <c r="G155" i="13"/>
  <c r="I155" i="13"/>
  <c r="J155" i="13"/>
  <c r="K155" i="13"/>
  <c r="L155" i="13"/>
  <c r="M155" i="13"/>
  <c r="N155" i="13"/>
  <c r="O155" i="13"/>
  <c r="P155" i="13"/>
  <c r="Q155" i="13"/>
  <c r="R155" i="13"/>
  <c r="S155" i="13"/>
  <c r="BW51" i="118"/>
  <c r="BX51" i="118"/>
  <c r="BY51" i="118"/>
  <c r="BZ51" i="118"/>
  <c r="CA51" i="118"/>
  <c r="CB51" i="118"/>
  <c r="CC51" i="118"/>
  <c r="CD51" i="118"/>
  <c r="CE51" i="118"/>
  <c r="CF51" i="118"/>
  <c r="CG51" i="118"/>
  <c r="CH51" i="118"/>
  <c r="CI51" i="118"/>
  <c r="CJ51" i="118"/>
  <c r="CK51" i="118"/>
  <c r="D51" i="118"/>
  <c r="D106" i="118"/>
  <c r="BQ51" i="118"/>
  <c r="E51" i="118"/>
  <c r="E106" i="118"/>
  <c r="O51" i="118"/>
  <c r="P51" i="118"/>
  <c r="Q51" i="118"/>
  <c r="R51" i="118"/>
  <c r="S51" i="118"/>
  <c r="U51" i="118"/>
  <c r="BB51" i="118"/>
  <c r="V51" i="118"/>
  <c r="BC51" i="118"/>
  <c r="W51" i="118"/>
  <c r="BD51" i="118"/>
  <c r="X51" i="118"/>
  <c r="BE51" i="118"/>
  <c r="Y51" i="118"/>
  <c r="BF51" i="118"/>
  <c r="Z51" i="118"/>
  <c r="BG51" i="118"/>
  <c r="AA51" i="118"/>
  <c r="BH51" i="118"/>
  <c r="AB51" i="118"/>
  <c r="BI51" i="118"/>
  <c r="AC51" i="118"/>
  <c r="BJ51" i="118"/>
  <c r="AD51" i="118"/>
  <c r="BK51" i="118"/>
  <c r="AE51" i="118"/>
  <c r="BL51" i="118"/>
  <c r="AF51" i="118"/>
  <c r="BM51" i="118"/>
  <c r="AG51" i="118"/>
  <c r="BN51" i="118"/>
  <c r="AH51" i="118"/>
  <c r="AI51" i="118"/>
  <c r="BC93" i="23"/>
  <c r="BF93" i="23"/>
  <c r="BB93" i="23"/>
  <c r="BE93" i="23"/>
  <c r="BA93" i="23"/>
  <c r="BC154" i="165"/>
  <c r="BD93" i="23"/>
  <c r="AZ93" i="23"/>
  <c r="BC155" i="165"/>
  <c r="I158" i="165"/>
  <c r="J126" i="165"/>
  <c r="J145" i="165"/>
  <c r="I177" i="165"/>
  <c r="K77" i="165"/>
  <c r="J173" i="165"/>
  <c r="K135" i="165"/>
  <c r="J167" i="165"/>
  <c r="K130" i="165"/>
  <c r="J162" i="165"/>
  <c r="J143" i="165"/>
  <c r="I175" i="165"/>
  <c r="K137" i="165"/>
  <c r="J169" i="165"/>
  <c r="K132" i="165"/>
  <c r="J164" i="165"/>
  <c r="K125" i="165"/>
  <c r="J157" i="165"/>
  <c r="O63" i="165"/>
  <c r="J123" i="165"/>
  <c r="I155" i="165"/>
  <c r="J138" i="165"/>
  <c r="I170" i="165"/>
  <c r="K80" i="165"/>
  <c r="J176" i="165"/>
  <c r="J139" i="165"/>
  <c r="I171" i="165"/>
  <c r="K127" i="165"/>
  <c r="J159" i="165"/>
  <c r="J128" i="165"/>
  <c r="I160" i="165"/>
  <c r="J146" i="165"/>
  <c r="I178" i="165"/>
  <c r="L122" i="165"/>
  <c r="K154" i="165"/>
  <c r="J134" i="165"/>
  <c r="I166" i="165"/>
  <c r="K136" i="165"/>
  <c r="J168" i="165"/>
  <c r="J140" i="165"/>
  <c r="I172" i="165"/>
  <c r="K133" i="165"/>
  <c r="J165" i="165"/>
  <c r="K124" i="165"/>
  <c r="J156" i="165"/>
  <c r="K147" i="165"/>
  <c r="J179" i="165"/>
  <c r="K131" i="165"/>
  <c r="J163" i="165"/>
  <c r="H181" i="165"/>
  <c r="I85" i="165"/>
  <c r="L129" i="165"/>
  <c r="K161" i="165"/>
  <c r="L76" i="165"/>
  <c r="O68" i="165"/>
  <c r="O58" i="165"/>
  <c r="O62" i="165"/>
  <c r="L82" i="165"/>
  <c r="L84" i="165"/>
  <c r="K180" i="165"/>
  <c r="O60" i="165"/>
  <c r="M81" i="165"/>
  <c r="O75" i="165"/>
  <c r="K86" i="165"/>
  <c r="J182" i="165"/>
  <c r="P71" i="165"/>
  <c r="O69" i="165"/>
  <c r="N74" i="165"/>
  <c r="O65" i="165"/>
  <c r="O59" i="165"/>
  <c r="O61" i="165"/>
  <c r="N83" i="165"/>
  <c r="N67" i="165"/>
  <c r="O66" i="165"/>
  <c r="O70" i="165"/>
  <c r="O73" i="165"/>
  <c r="N72" i="165"/>
  <c r="M79" i="165"/>
  <c r="N64" i="165"/>
  <c r="L78" i="165"/>
  <c r="K174" i="165"/>
  <c r="BD49" i="23"/>
  <c r="AZ49" i="23"/>
  <c r="G516" i="16"/>
  <c r="AW51" i="118"/>
  <c r="AS51" i="118"/>
  <c r="D166" i="118"/>
  <c r="AV51" i="118"/>
  <c r="AR51" i="118"/>
  <c r="I221" i="16"/>
  <c r="BO51" i="118"/>
  <c r="H516" i="16"/>
  <c r="BE49" i="23"/>
  <c r="BA49" i="23"/>
  <c r="BC49" i="23"/>
  <c r="BF49" i="23"/>
  <c r="BB49" i="23"/>
  <c r="C155" i="13"/>
  <c r="G215" i="13"/>
  <c r="AX51" i="118"/>
  <c r="AT51" i="118"/>
  <c r="AP51" i="118"/>
  <c r="AL51" i="118"/>
  <c r="AO51" i="118"/>
  <c r="AN51" i="118"/>
  <c r="V106" i="118"/>
  <c r="AY51" i="118"/>
  <c r="AU51" i="118"/>
  <c r="AQ51" i="118"/>
  <c r="AM51" i="118"/>
  <c r="BV51" i="118"/>
  <c r="BU51" i="118"/>
  <c r="S50" i="118"/>
  <c r="R50" i="118"/>
  <c r="Q50" i="118"/>
  <c r="P50" i="118"/>
  <c r="O50" i="118"/>
  <c r="S49" i="118"/>
  <c r="R49" i="118"/>
  <c r="Q49" i="118"/>
  <c r="P49" i="118"/>
  <c r="O49" i="118"/>
  <c r="S48" i="118"/>
  <c r="R48" i="118"/>
  <c r="Q48" i="118"/>
  <c r="P48" i="118"/>
  <c r="O48" i="118"/>
  <c r="S47" i="118"/>
  <c r="R47" i="118"/>
  <c r="Q47" i="118"/>
  <c r="P47" i="118"/>
  <c r="O47" i="118"/>
  <c r="S46" i="118"/>
  <c r="R46" i="118"/>
  <c r="Q46" i="118"/>
  <c r="P46" i="118"/>
  <c r="O46" i="118"/>
  <c r="S45" i="118"/>
  <c r="R45" i="118"/>
  <c r="Q45" i="118"/>
  <c r="P45" i="118"/>
  <c r="O45" i="118"/>
  <c r="S44" i="118"/>
  <c r="R44" i="118"/>
  <c r="Q44" i="118"/>
  <c r="P44" i="118"/>
  <c r="O44" i="118"/>
  <c r="S43" i="118"/>
  <c r="R43" i="118"/>
  <c r="Q43" i="118"/>
  <c r="P43" i="118"/>
  <c r="O43" i="118"/>
  <c r="S42" i="118"/>
  <c r="R42" i="118"/>
  <c r="Q42" i="118"/>
  <c r="P42" i="118"/>
  <c r="O42" i="118"/>
  <c r="S41" i="118"/>
  <c r="R41" i="118"/>
  <c r="Q41" i="118"/>
  <c r="P41" i="118"/>
  <c r="O41" i="118"/>
  <c r="S40" i="118"/>
  <c r="R40" i="118"/>
  <c r="Q40" i="118"/>
  <c r="P40" i="118"/>
  <c r="O40" i="118"/>
  <c r="S39" i="118"/>
  <c r="R39" i="118"/>
  <c r="Q39" i="118"/>
  <c r="P39" i="118"/>
  <c r="O39" i="118"/>
  <c r="S38" i="118"/>
  <c r="R38" i="118"/>
  <c r="Q38" i="118"/>
  <c r="P38" i="118"/>
  <c r="O38" i="118"/>
  <c r="S37" i="118"/>
  <c r="R37" i="118"/>
  <c r="Q37" i="118"/>
  <c r="P37" i="118"/>
  <c r="O37" i="118"/>
  <c r="S36" i="118"/>
  <c r="R36" i="118"/>
  <c r="Q36" i="118"/>
  <c r="P36" i="118"/>
  <c r="O36" i="118"/>
  <c r="S35" i="118"/>
  <c r="R35" i="118"/>
  <c r="Q35" i="118"/>
  <c r="P35" i="118"/>
  <c r="O35" i="118"/>
  <c r="S34" i="118"/>
  <c r="R34" i="118"/>
  <c r="Q34" i="118"/>
  <c r="P34" i="118"/>
  <c r="O34" i="118"/>
  <c r="S33" i="118"/>
  <c r="R33" i="118"/>
  <c r="Q33" i="118"/>
  <c r="P33" i="118"/>
  <c r="O33" i="118"/>
  <c r="S32" i="118"/>
  <c r="R32" i="118"/>
  <c r="Q32" i="118"/>
  <c r="P32" i="118"/>
  <c r="O32" i="118"/>
  <c r="S31" i="118"/>
  <c r="R31" i="118"/>
  <c r="Q31" i="118"/>
  <c r="P31" i="118"/>
  <c r="O31" i="118"/>
  <c r="S30" i="118"/>
  <c r="R30" i="118"/>
  <c r="Q30" i="118"/>
  <c r="P30" i="118"/>
  <c r="O30" i="118"/>
  <c r="N30" i="118"/>
  <c r="N85" i="118"/>
  <c r="M30" i="118"/>
  <c r="M85" i="118"/>
  <c r="L30" i="118"/>
  <c r="L85" i="118"/>
  <c r="K30" i="118"/>
  <c r="K85" i="118"/>
  <c r="J30" i="118"/>
  <c r="J85" i="118"/>
  <c r="I30" i="118"/>
  <c r="I85" i="118"/>
  <c r="H30" i="118"/>
  <c r="H85" i="118"/>
  <c r="G30" i="118"/>
  <c r="G85" i="118"/>
  <c r="F30" i="118"/>
  <c r="F85" i="118"/>
  <c r="S29" i="118"/>
  <c r="R29" i="118"/>
  <c r="Q29" i="118"/>
  <c r="P29" i="118"/>
  <c r="O29" i="118"/>
  <c r="N29" i="118"/>
  <c r="N84" i="118"/>
  <c r="M29" i="118"/>
  <c r="M84" i="118"/>
  <c r="L29" i="118"/>
  <c r="L84" i="118"/>
  <c r="K29" i="118"/>
  <c r="K84" i="118"/>
  <c r="J29" i="118"/>
  <c r="J84" i="118"/>
  <c r="I29" i="118"/>
  <c r="I84" i="118"/>
  <c r="H29" i="118"/>
  <c r="H84" i="118"/>
  <c r="G29" i="118"/>
  <c r="G84" i="118"/>
  <c r="F29" i="118"/>
  <c r="F84" i="118"/>
  <c r="S28" i="118"/>
  <c r="R28" i="118"/>
  <c r="Q28" i="118"/>
  <c r="P28" i="118"/>
  <c r="O28" i="118"/>
  <c r="N28" i="118"/>
  <c r="N83" i="118"/>
  <c r="M28" i="118"/>
  <c r="M83" i="118"/>
  <c r="L28" i="118"/>
  <c r="L83" i="118"/>
  <c r="K28" i="118"/>
  <c r="K83" i="118"/>
  <c r="J28" i="118"/>
  <c r="J83" i="118"/>
  <c r="I28" i="118"/>
  <c r="I83" i="118"/>
  <c r="H28" i="118"/>
  <c r="H83" i="118"/>
  <c r="G28" i="118"/>
  <c r="G83" i="118"/>
  <c r="F28" i="118"/>
  <c r="F83" i="118"/>
  <c r="S27" i="118"/>
  <c r="R27" i="118"/>
  <c r="Q27" i="118"/>
  <c r="P27" i="118"/>
  <c r="O27" i="118"/>
  <c r="N27" i="118"/>
  <c r="N82" i="118"/>
  <c r="M27" i="118"/>
  <c r="M82" i="118"/>
  <c r="L27" i="118"/>
  <c r="L82" i="118"/>
  <c r="K27" i="118"/>
  <c r="K82" i="118"/>
  <c r="J27" i="118"/>
  <c r="J82" i="118"/>
  <c r="I27" i="118"/>
  <c r="I82" i="118"/>
  <c r="H27" i="118"/>
  <c r="H82" i="118"/>
  <c r="G27" i="118"/>
  <c r="G82" i="118"/>
  <c r="F27" i="118"/>
  <c r="F82" i="118"/>
  <c r="S26" i="118"/>
  <c r="R26" i="118"/>
  <c r="Q26" i="118"/>
  <c r="P26" i="118"/>
  <c r="O26" i="118"/>
  <c r="N26" i="118"/>
  <c r="N81" i="118"/>
  <c r="M26" i="118"/>
  <c r="M81" i="118"/>
  <c r="L26" i="118"/>
  <c r="L81" i="118"/>
  <c r="K26" i="118"/>
  <c r="K81" i="118"/>
  <c r="J26" i="118"/>
  <c r="J81" i="118"/>
  <c r="I26" i="118"/>
  <c r="I81" i="118"/>
  <c r="H26" i="118"/>
  <c r="H81" i="118"/>
  <c r="G26" i="118"/>
  <c r="G81" i="118"/>
  <c r="F26" i="118"/>
  <c r="F81" i="118"/>
  <c r="S25" i="118"/>
  <c r="R25" i="118"/>
  <c r="Q25" i="118"/>
  <c r="P25" i="118"/>
  <c r="O25" i="118"/>
  <c r="N25" i="118"/>
  <c r="N80" i="118"/>
  <c r="M25" i="118"/>
  <c r="M80" i="118"/>
  <c r="L25" i="118"/>
  <c r="L80" i="118"/>
  <c r="K25" i="118"/>
  <c r="K80" i="118"/>
  <c r="J25" i="118"/>
  <c r="J80" i="118"/>
  <c r="I25" i="118"/>
  <c r="I80" i="118"/>
  <c r="H25" i="118"/>
  <c r="H80" i="118"/>
  <c r="G25" i="118"/>
  <c r="G80" i="118"/>
  <c r="F25" i="118"/>
  <c r="F80" i="118"/>
  <c r="S24" i="118"/>
  <c r="R24" i="118"/>
  <c r="Q24" i="118"/>
  <c r="P24" i="118"/>
  <c r="O24" i="118"/>
  <c r="N24" i="118"/>
  <c r="N79" i="118"/>
  <c r="M24" i="118"/>
  <c r="M79" i="118"/>
  <c r="L24" i="118"/>
  <c r="L79" i="118"/>
  <c r="K24" i="118"/>
  <c r="K79" i="118"/>
  <c r="J24" i="118"/>
  <c r="J79" i="118"/>
  <c r="I24" i="118"/>
  <c r="I79" i="118"/>
  <c r="H24" i="118"/>
  <c r="H79" i="118"/>
  <c r="G24" i="118"/>
  <c r="G79" i="118"/>
  <c r="F24" i="118"/>
  <c r="F79" i="118"/>
  <c r="S23" i="118"/>
  <c r="R23" i="118"/>
  <c r="Q23" i="118"/>
  <c r="P23" i="118"/>
  <c r="O23" i="118"/>
  <c r="N23" i="118"/>
  <c r="N78" i="118"/>
  <c r="M23" i="118"/>
  <c r="M78" i="118"/>
  <c r="L23" i="118"/>
  <c r="L78" i="118"/>
  <c r="K23" i="118"/>
  <c r="K78" i="118"/>
  <c r="J23" i="118"/>
  <c r="J78" i="118"/>
  <c r="I23" i="118"/>
  <c r="I78" i="118"/>
  <c r="H23" i="118"/>
  <c r="H78" i="118"/>
  <c r="G23" i="118"/>
  <c r="G78" i="118"/>
  <c r="F23" i="118"/>
  <c r="F78" i="118"/>
  <c r="S22" i="118"/>
  <c r="R22" i="118"/>
  <c r="Q22" i="118"/>
  <c r="P22" i="118"/>
  <c r="O22" i="118"/>
  <c r="N22" i="118"/>
  <c r="N77" i="118"/>
  <c r="M22" i="118"/>
  <c r="M77" i="118"/>
  <c r="L22" i="118"/>
  <c r="L77" i="118"/>
  <c r="K22" i="118"/>
  <c r="K77" i="118"/>
  <c r="J22" i="118"/>
  <c r="J77" i="118"/>
  <c r="I22" i="118"/>
  <c r="I77" i="118"/>
  <c r="H22" i="118"/>
  <c r="H77" i="118"/>
  <c r="G22" i="118"/>
  <c r="G77" i="118"/>
  <c r="F22" i="118"/>
  <c r="F77" i="118"/>
  <c r="S21" i="118"/>
  <c r="R21" i="118"/>
  <c r="Q21" i="118"/>
  <c r="P21" i="118"/>
  <c r="O21" i="118"/>
  <c r="N21" i="118"/>
  <c r="N76" i="118"/>
  <c r="M21" i="118"/>
  <c r="M76" i="118"/>
  <c r="L21" i="118"/>
  <c r="L76" i="118"/>
  <c r="K21" i="118"/>
  <c r="K76" i="118"/>
  <c r="J21" i="118"/>
  <c r="J76" i="118"/>
  <c r="I21" i="118"/>
  <c r="I76" i="118"/>
  <c r="H21" i="118"/>
  <c r="H76" i="118"/>
  <c r="G21" i="118"/>
  <c r="G76" i="118"/>
  <c r="F21" i="118"/>
  <c r="F76" i="118"/>
  <c r="S20" i="118"/>
  <c r="R20" i="118"/>
  <c r="Q20" i="118"/>
  <c r="P20" i="118"/>
  <c r="O20" i="118"/>
  <c r="N20" i="118"/>
  <c r="N75" i="118"/>
  <c r="M20" i="118"/>
  <c r="M75" i="118"/>
  <c r="L20" i="118"/>
  <c r="L75" i="118"/>
  <c r="K20" i="118"/>
  <c r="K75" i="118"/>
  <c r="J20" i="118"/>
  <c r="J75" i="118"/>
  <c r="I20" i="118"/>
  <c r="I75" i="118"/>
  <c r="H20" i="118"/>
  <c r="H75" i="118"/>
  <c r="G20" i="118"/>
  <c r="G75" i="118"/>
  <c r="F20" i="118"/>
  <c r="F75" i="118"/>
  <c r="S19" i="118"/>
  <c r="R19" i="118"/>
  <c r="Q19" i="118"/>
  <c r="P19" i="118"/>
  <c r="O19" i="118"/>
  <c r="N19" i="118"/>
  <c r="N74" i="118"/>
  <c r="M19" i="118"/>
  <c r="M74" i="118"/>
  <c r="L19" i="118"/>
  <c r="L74" i="118"/>
  <c r="K19" i="118"/>
  <c r="K74" i="118"/>
  <c r="J19" i="118"/>
  <c r="J74" i="118"/>
  <c r="I19" i="118"/>
  <c r="I74" i="118"/>
  <c r="H19" i="118"/>
  <c r="H74" i="118"/>
  <c r="G19" i="118"/>
  <c r="G74" i="118"/>
  <c r="F19" i="118"/>
  <c r="F74" i="118"/>
  <c r="S18" i="118"/>
  <c r="R18" i="118"/>
  <c r="Q18" i="118"/>
  <c r="P18" i="118"/>
  <c r="O18" i="118"/>
  <c r="N18" i="118"/>
  <c r="N73" i="118"/>
  <c r="M18" i="118"/>
  <c r="M73" i="118"/>
  <c r="L18" i="118"/>
  <c r="L73" i="118"/>
  <c r="K18" i="118"/>
  <c r="K73" i="118"/>
  <c r="J18" i="118"/>
  <c r="J73" i="118"/>
  <c r="I18" i="118"/>
  <c r="I73" i="118"/>
  <c r="H18" i="118"/>
  <c r="H73" i="118"/>
  <c r="G18" i="118"/>
  <c r="G73" i="118"/>
  <c r="F18" i="118"/>
  <c r="F73" i="118"/>
  <c r="S17" i="118"/>
  <c r="R17" i="118"/>
  <c r="Q17" i="118"/>
  <c r="P17" i="118"/>
  <c r="O17" i="118"/>
  <c r="N17" i="118"/>
  <c r="N72" i="118"/>
  <c r="M17" i="118"/>
  <c r="M72" i="118"/>
  <c r="L17" i="118"/>
  <c r="L72" i="118"/>
  <c r="K17" i="118"/>
  <c r="K72" i="118"/>
  <c r="J17" i="118"/>
  <c r="J72" i="118"/>
  <c r="I17" i="118"/>
  <c r="I72" i="118"/>
  <c r="H17" i="118"/>
  <c r="H72" i="118"/>
  <c r="G17" i="118"/>
  <c r="G72" i="118"/>
  <c r="F17" i="118"/>
  <c r="F72" i="118"/>
  <c r="S16" i="118"/>
  <c r="R16" i="118"/>
  <c r="Q16" i="118"/>
  <c r="P16" i="118"/>
  <c r="O16" i="118"/>
  <c r="N16" i="118"/>
  <c r="N71" i="118"/>
  <c r="M16" i="118"/>
  <c r="M71" i="118"/>
  <c r="L16" i="118"/>
  <c r="L71" i="118"/>
  <c r="K16" i="118"/>
  <c r="K71" i="118"/>
  <c r="J16" i="118"/>
  <c r="J71" i="118"/>
  <c r="I16" i="118"/>
  <c r="I71" i="118"/>
  <c r="H16" i="118"/>
  <c r="H71" i="118"/>
  <c r="G16" i="118"/>
  <c r="G71" i="118"/>
  <c r="F16" i="118"/>
  <c r="F71" i="118"/>
  <c r="S15" i="118"/>
  <c r="R15" i="118"/>
  <c r="Q15" i="118"/>
  <c r="P15" i="118"/>
  <c r="O15" i="118"/>
  <c r="N15" i="118"/>
  <c r="N70" i="118"/>
  <c r="M15" i="118"/>
  <c r="M70" i="118"/>
  <c r="L15" i="118"/>
  <c r="L70" i="118"/>
  <c r="K15" i="118"/>
  <c r="K70" i="118"/>
  <c r="J15" i="118"/>
  <c r="J70" i="118"/>
  <c r="I15" i="118"/>
  <c r="I70" i="118"/>
  <c r="H15" i="118"/>
  <c r="H70" i="118"/>
  <c r="G15" i="118"/>
  <c r="G70" i="118"/>
  <c r="F15" i="118"/>
  <c r="F70" i="118"/>
  <c r="S14" i="118"/>
  <c r="R14" i="118"/>
  <c r="Q14" i="118"/>
  <c r="P14" i="118"/>
  <c r="O14" i="118"/>
  <c r="N14" i="118"/>
  <c r="N69" i="118"/>
  <c r="M14" i="118"/>
  <c r="M69" i="118"/>
  <c r="L14" i="118"/>
  <c r="L69" i="118"/>
  <c r="K14" i="118"/>
  <c r="K69" i="118"/>
  <c r="J14" i="118"/>
  <c r="J69" i="118"/>
  <c r="I14" i="118"/>
  <c r="I69" i="118"/>
  <c r="H14" i="118"/>
  <c r="H69" i="118"/>
  <c r="G14" i="118"/>
  <c r="G69" i="118"/>
  <c r="F14" i="118"/>
  <c r="F69" i="118"/>
  <c r="S13" i="118"/>
  <c r="R13" i="118"/>
  <c r="Q13" i="118"/>
  <c r="P13" i="118"/>
  <c r="O13" i="118"/>
  <c r="N13" i="118"/>
  <c r="N68" i="118"/>
  <c r="M13" i="118"/>
  <c r="M68" i="118"/>
  <c r="L13" i="118"/>
  <c r="L68" i="118"/>
  <c r="K13" i="118"/>
  <c r="K68" i="118"/>
  <c r="J13" i="118"/>
  <c r="J68" i="118"/>
  <c r="I13" i="118"/>
  <c r="I68" i="118"/>
  <c r="H13" i="118"/>
  <c r="H68" i="118"/>
  <c r="G13" i="118"/>
  <c r="G68" i="118"/>
  <c r="F13" i="118"/>
  <c r="F68" i="118"/>
  <c r="S12" i="118"/>
  <c r="R12" i="118"/>
  <c r="Q12" i="118"/>
  <c r="P12" i="118"/>
  <c r="O12" i="118"/>
  <c r="N12" i="118"/>
  <c r="N67" i="118"/>
  <c r="M12" i="118"/>
  <c r="M67" i="118"/>
  <c r="L12" i="118"/>
  <c r="L67" i="118"/>
  <c r="K12" i="118"/>
  <c r="K67" i="118"/>
  <c r="J12" i="118"/>
  <c r="J67" i="118"/>
  <c r="I12" i="118"/>
  <c r="I67" i="118"/>
  <c r="H12" i="118"/>
  <c r="H67" i="118"/>
  <c r="G12" i="118"/>
  <c r="G67" i="118"/>
  <c r="F12" i="118"/>
  <c r="F67" i="118"/>
  <c r="S11" i="118"/>
  <c r="R11" i="118"/>
  <c r="Q11" i="118"/>
  <c r="P11" i="118"/>
  <c r="O11" i="118"/>
  <c r="N11" i="118"/>
  <c r="N66" i="118"/>
  <c r="M11" i="118"/>
  <c r="M66" i="118"/>
  <c r="L11" i="118"/>
  <c r="L66" i="118"/>
  <c r="K11" i="118"/>
  <c r="K66" i="118"/>
  <c r="J11" i="118"/>
  <c r="J66" i="118"/>
  <c r="I11" i="118"/>
  <c r="I66" i="118"/>
  <c r="H11" i="118"/>
  <c r="H66" i="118"/>
  <c r="G11" i="118"/>
  <c r="G66" i="118"/>
  <c r="F11" i="118"/>
  <c r="F66" i="118"/>
  <c r="S10" i="118"/>
  <c r="R10" i="118"/>
  <c r="Q10" i="118"/>
  <c r="P10" i="118"/>
  <c r="O10" i="118"/>
  <c r="N10" i="118"/>
  <c r="N65" i="118"/>
  <c r="M10" i="118"/>
  <c r="M65" i="118"/>
  <c r="L10" i="118"/>
  <c r="L65" i="118"/>
  <c r="K10" i="118"/>
  <c r="K65" i="118"/>
  <c r="J10" i="118"/>
  <c r="J65" i="118"/>
  <c r="I10" i="118"/>
  <c r="I65" i="118"/>
  <c r="H10" i="118"/>
  <c r="H65" i="118"/>
  <c r="G10" i="118"/>
  <c r="G65" i="118"/>
  <c r="F10" i="118"/>
  <c r="F65" i="118"/>
  <c r="S9" i="118"/>
  <c r="R9" i="118"/>
  <c r="Q9" i="118"/>
  <c r="P9" i="118"/>
  <c r="O9" i="118"/>
  <c r="N9" i="118"/>
  <c r="N64" i="118"/>
  <c r="M9" i="118"/>
  <c r="M64" i="118"/>
  <c r="L9" i="118"/>
  <c r="L64" i="118"/>
  <c r="K9" i="118"/>
  <c r="K64" i="118"/>
  <c r="J9" i="118"/>
  <c r="J64" i="118"/>
  <c r="I9" i="118"/>
  <c r="I64" i="118"/>
  <c r="H9" i="118"/>
  <c r="H64" i="118"/>
  <c r="G9" i="118"/>
  <c r="G64" i="118"/>
  <c r="F9" i="118"/>
  <c r="F64" i="118"/>
  <c r="S8" i="118"/>
  <c r="R8" i="118"/>
  <c r="Q8" i="118"/>
  <c r="P8" i="118"/>
  <c r="O8" i="118"/>
  <c r="N8" i="118"/>
  <c r="N63" i="118"/>
  <c r="M8" i="118"/>
  <c r="M63" i="118"/>
  <c r="L8" i="118"/>
  <c r="L63" i="118"/>
  <c r="K8" i="118"/>
  <c r="K63" i="118"/>
  <c r="J8" i="118"/>
  <c r="J63" i="118"/>
  <c r="I8" i="118"/>
  <c r="I63" i="118"/>
  <c r="H8" i="118"/>
  <c r="H63" i="118"/>
  <c r="G8" i="118"/>
  <c r="G63" i="118"/>
  <c r="F8" i="118"/>
  <c r="F63" i="118"/>
  <c r="S7" i="118"/>
  <c r="R7" i="118"/>
  <c r="Q7" i="118"/>
  <c r="P7" i="118"/>
  <c r="O7" i="118"/>
  <c r="N7" i="118"/>
  <c r="N62" i="118"/>
  <c r="M7" i="118"/>
  <c r="M62" i="118"/>
  <c r="L7" i="118"/>
  <c r="L62" i="118"/>
  <c r="K7" i="118"/>
  <c r="K62" i="118"/>
  <c r="J7" i="118"/>
  <c r="J62" i="118"/>
  <c r="I7" i="118"/>
  <c r="I62" i="118"/>
  <c r="H7" i="118"/>
  <c r="H62" i="118"/>
  <c r="G7" i="118"/>
  <c r="G62" i="118"/>
  <c r="F7" i="118"/>
  <c r="F62" i="118"/>
  <c r="S6" i="118"/>
  <c r="R6" i="118"/>
  <c r="Q6" i="118"/>
  <c r="P6" i="118"/>
  <c r="O6" i="118"/>
  <c r="N6" i="118"/>
  <c r="N61" i="118"/>
  <c r="M6" i="118"/>
  <c r="M61" i="118"/>
  <c r="L6" i="118"/>
  <c r="L61" i="118"/>
  <c r="K6" i="118"/>
  <c r="K61" i="118"/>
  <c r="J6" i="118"/>
  <c r="J61" i="118"/>
  <c r="I6" i="118"/>
  <c r="I61" i="118"/>
  <c r="H6" i="118"/>
  <c r="H61" i="118"/>
  <c r="G6" i="118"/>
  <c r="G61" i="118"/>
  <c r="F6" i="118"/>
  <c r="F61" i="118"/>
  <c r="S5" i="118"/>
  <c r="R5" i="118"/>
  <c r="Q5" i="118"/>
  <c r="P5" i="118"/>
  <c r="O5" i="118"/>
  <c r="N5" i="118"/>
  <c r="N60" i="118"/>
  <c r="M5" i="118"/>
  <c r="M60" i="118"/>
  <c r="L5" i="118"/>
  <c r="L60" i="118"/>
  <c r="K5" i="118"/>
  <c r="K60" i="118"/>
  <c r="J5" i="118"/>
  <c r="J60" i="118"/>
  <c r="I5" i="118"/>
  <c r="I60" i="118"/>
  <c r="H5" i="118"/>
  <c r="H60" i="118"/>
  <c r="G5" i="118"/>
  <c r="G60" i="118"/>
  <c r="F5" i="118"/>
  <c r="F60" i="118"/>
  <c r="S4" i="118"/>
  <c r="R4" i="118"/>
  <c r="Q4" i="118"/>
  <c r="P4" i="118"/>
  <c r="O4" i="118"/>
  <c r="N4" i="118"/>
  <c r="N59" i="118"/>
  <c r="M4" i="118"/>
  <c r="M59" i="118"/>
  <c r="L4" i="118"/>
  <c r="L59" i="118"/>
  <c r="K4" i="118"/>
  <c r="K59" i="118"/>
  <c r="J4" i="118"/>
  <c r="J59" i="118"/>
  <c r="I4" i="118"/>
  <c r="I59" i="118"/>
  <c r="H4" i="118"/>
  <c r="H59" i="118"/>
  <c r="G4" i="118"/>
  <c r="G59" i="118"/>
  <c r="F4" i="118"/>
  <c r="F59" i="118"/>
  <c r="F120" i="118"/>
  <c r="G120" i="118"/>
  <c r="H120" i="118"/>
  <c r="I120" i="118"/>
  <c r="J120" i="118"/>
  <c r="K120" i="118"/>
  <c r="L120" i="118"/>
  <c r="M120" i="118"/>
  <c r="N120" i="118"/>
  <c r="O120" i="118"/>
  <c r="P120" i="118"/>
  <c r="Q120" i="118"/>
  <c r="R120" i="118"/>
  <c r="S120" i="118"/>
  <c r="F121" i="118"/>
  <c r="G121" i="118"/>
  <c r="H121" i="118"/>
  <c r="I121" i="118"/>
  <c r="J121" i="118"/>
  <c r="K121" i="118"/>
  <c r="L121" i="118"/>
  <c r="M121" i="118"/>
  <c r="N121" i="118"/>
  <c r="O121" i="118"/>
  <c r="P121" i="118"/>
  <c r="Q121" i="118"/>
  <c r="R121" i="118"/>
  <c r="S121" i="118"/>
  <c r="F122" i="118"/>
  <c r="G122" i="118"/>
  <c r="H122" i="118"/>
  <c r="I122" i="118"/>
  <c r="J122" i="118"/>
  <c r="K122" i="118"/>
  <c r="L122" i="118"/>
  <c r="M122" i="118"/>
  <c r="N122" i="118"/>
  <c r="O122" i="118"/>
  <c r="P122" i="118"/>
  <c r="Q122" i="118"/>
  <c r="R122" i="118"/>
  <c r="S122" i="118"/>
  <c r="F123" i="118"/>
  <c r="G123" i="118"/>
  <c r="H123" i="118"/>
  <c r="I123" i="118"/>
  <c r="J123" i="118"/>
  <c r="K123" i="118"/>
  <c r="L123" i="118"/>
  <c r="M123" i="118"/>
  <c r="N123" i="118"/>
  <c r="O123" i="118"/>
  <c r="P123" i="118"/>
  <c r="Q123" i="118"/>
  <c r="R123" i="118"/>
  <c r="S123" i="118"/>
  <c r="F124" i="118"/>
  <c r="G124" i="118"/>
  <c r="H124" i="118"/>
  <c r="I124" i="118"/>
  <c r="J124" i="118"/>
  <c r="K124" i="118"/>
  <c r="L124" i="118"/>
  <c r="M124" i="118"/>
  <c r="N124" i="118"/>
  <c r="O124" i="118"/>
  <c r="P124" i="118"/>
  <c r="Q124" i="118"/>
  <c r="R124" i="118"/>
  <c r="S124" i="118"/>
  <c r="F125" i="118"/>
  <c r="G125" i="118"/>
  <c r="H125" i="118"/>
  <c r="I125" i="118"/>
  <c r="J125" i="118"/>
  <c r="K125" i="118"/>
  <c r="L125" i="118"/>
  <c r="M125" i="118"/>
  <c r="N125" i="118"/>
  <c r="O125" i="118"/>
  <c r="P125" i="118"/>
  <c r="Q125" i="118"/>
  <c r="R125" i="118"/>
  <c r="S125" i="118"/>
  <c r="F126" i="118"/>
  <c r="G126" i="118"/>
  <c r="H126" i="118"/>
  <c r="I126" i="118"/>
  <c r="J126" i="118"/>
  <c r="K126" i="118"/>
  <c r="L126" i="118"/>
  <c r="M126" i="118"/>
  <c r="N126" i="118"/>
  <c r="O126" i="118"/>
  <c r="P126" i="118"/>
  <c r="Q126" i="118"/>
  <c r="R126" i="118"/>
  <c r="S126" i="118"/>
  <c r="F127" i="118"/>
  <c r="G127" i="118"/>
  <c r="H127" i="118"/>
  <c r="I127" i="118"/>
  <c r="J127" i="118"/>
  <c r="K127" i="118"/>
  <c r="L127" i="118"/>
  <c r="M127" i="118"/>
  <c r="N127" i="118"/>
  <c r="O127" i="118"/>
  <c r="P127" i="118"/>
  <c r="Q127" i="118"/>
  <c r="R127" i="118"/>
  <c r="S127" i="118"/>
  <c r="F128" i="118"/>
  <c r="G128" i="118"/>
  <c r="H128" i="118"/>
  <c r="I128" i="118"/>
  <c r="J128" i="118"/>
  <c r="K128" i="118"/>
  <c r="L128" i="118"/>
  <c r="M128" i="118"/>
  <c r="N128" i="118"/>
  <c r="O128" i="118"/>
  <c r="P128" i="118"/>
  <c r="Q128" i="118"/>
  <c r="R128" i="118"/>
  <c r="S128" i="118"/>
  <c r="F129" i="118"/>
  <c r="G129" i="118"/>
  <c r="H129" i="118"/>
  <c r="I129" i="118"/>
  <c r="J129" i="118"/>
  <c r="K129" i="118"/>
  <c r="L129" i="118"/>
  <c r="M129" i="118"/>
  <c r="N129" i="118"/>
  <c r="O129" i="118"/>
  <c r="P129" i="118"/>
  <c r="Q129" i="118"/>
  <c r="R129" i="118"/>
  <c r="S129" i="118"/>
  <c r="F130" i="118"/>
  <c r="G130" i="118"/>
  <c r="H130" i="118"/>
  <c r="I130" i="118"/>
  <c r="J130" i="118"/>
  <c r="K130" i="118"/>
  <c r="L130" i="118"/>
  <c r="M130" i="118"/>
  <c r="N130" i="118"/>
  <c r="O130" i="118"/>
  <c r="P130" i="118"/>
  <c r="Q130" i="118"/>
  <c r="R130" i="118"/>
  <c r="S130" i="118"/>
  <c r="F131" i="118"/>
  <c r="G131" i="118"/>
  <c r="H131" i="118"/>
  <c r="I131" i="118"/>
  <c r="J131" i="118"/>
  <c r="K131" i="118"/>
  <c r="L131" i="118"/>
  <c r="M131" i="118"/>
  <c r="N131" i="118"/>
  <c r="O131" i="118"/>
  <c r="P131" i="118"/>
  <c r="Q131" i="118"/>
  <c r="R131" i="118"/>
  <c r="S131" i="118"/>
  <c r="F132" i="118"/>
  <c r="G132" i="118"/>
  <c r="H132" i="118"/>
  <c r="I132" i="118"/>
  <c r="J132" i="118"/>
  <c r="K132" i="118"/>
  <c r="L132" i="118"/>
  <c r="M132" i="118"/>
  <c r="N132" i="118"/>
  <c r="O132" i="118"/>
  <c r="P132" i="118"/>
  <c r="Q132" i="118"/>
  <c r="R132" i="118"/>
  <c r="S132" i="118"/>
  <c r="F133" i="118"/>
  <c r="G133" i="118"/>
  <c r="H133" i="118"/>
  <c r="I133" i="118"/>
  <c r="J133" i="118"/>
  <c r="K133" i="118"/>
  <c r="L133" i="118"/>
  <c r="M133" i="118"/>
  <c r="N133" i="118"/>
  <c r="O133" i="118"/>
  <c r="P133" i="118"/>
  <c r="Q133" i="118"/>
  <c r="R133" i="118"/>
  <c r="S133" i="118"/>
  <c r="F134" i="118"/>
  <c r="G134" i="118"/>
  <c r="H134" i="118"/>
  <c r="I134" i="118"/>
  <c r="J134" i="118"/>
  <c r="K134" i="118"/>
  <c r="L134" i="118"/>
  <c r="M134" i="118"/>
  <c r="N134" i="118"/>
  <c r="O134" i="118"/>
  <c r="P134" i="118"/>
  <c r="Q134" i="118"/>
  <c r="R134" i="118"/>
  <c r="S134" i="118"/>
  <c r="F135" i="118"/>
  <c r="G135" i="118"/>
  <c r="H135" i="118"/>
  <c r="I135" i="118"/>
  <c r="J135" i="118"/>
  <c r="K135" i="118"/>
  <c r="L135" i="118"/>
  <c r="M135" i="118"/>
  <c r="N135" i="118"/>
  <c r="O135" i="118"/>
  <c r="P135" i="118"/>
  <c r="Q135" i="118"/>
  <c r="R135" i="118"/>
  <c r="S135" i="118"/>
  <c r="F136" i="118"/>
  <c r="G136" i="118"/>
  <c r="H136" i="118"/>
  <c r="I136" i="118"/>
  <c r="J136" i="118"/>
  <c r="K136" i="118"/>
  <c r="L136" i="118"/>
  <c r="M136" i="118"/>
  <c r="N136" i="118"/>
  <c r="O136" i="118"/>
  <c r="P136" i="118"/>
  <c r="Q136" i="118"/>
  <c r="R136" i="118"/>
  <c r="S136" i="118"/>
  <c r="F137" i="118"/>
  <c r="G137" i="118"/>
  <c r="H137" i="118"/>
  <c r="I137" i="118"/>
  <c r="J137" i="118"/>
  <c r="K137" i="118"/>
  <c r="L137" i="118"/>
  <c r="M137" i="118"/>
  <c r="N137" i="118"/>
  <c r="O137" i="118"/>
  <c r="P137" i="118"/>
  <c r="Q137" i="118"/>
  <c r="R137" i="118"/>
  <c r="S137" i="118"/>
  <c r="F138" i="118"/>
  <c r="G138" i="118"/>
  <c r="H138" i="118"/>
  <c r="I138" i="118"/>
  <c r="J138" i="118"/>
  <c r="K138" i="118"/>
  <c r="L138" i="118"/>
  <c r="M138" i="118"/>
  <c r="N138" i="118"/>
  <c r="O138" i="118"/>
  <c r="P138" i="118"/>
  <c r="Q138" i="118"/>
  <c r="R138" i="118"/>
  <c r="S138" i="118"/>
  <c r="F139" i="118"/>
  <c r="G139" i="118"/>
  <c r="H139" i="118"/>
  <c r="I139" i="118"/>
  <c r="J139" i="118"/>
  <c r="K139" i="118"/>
  <c r="L139" i="118"/>
  <c r="M139" i="118"/>
  <c r="N139" i="118"/>
  <c r="O139" i="118"/>
  <c r="P139" i="118"/>
  <c r="Q139" i="118"/>
  <c r="R139" i="118"/>
  <c r="S139" i="118"/>
  <c r="F140" i="118"/>
  <c r="G140" i="118"/>
  <c r="H140" i="118"/>
  <c r="I140" i="118"/>
  <c r="J140" i="118"/>
  <c r="K140" i="118"/>
  <c r="L140" i="118"/>
  <c r="M140" i="118"/>
  <c r="N140" i="118"/>
  <c r="O140" i="118"/>
  <c r="P140" i="118"/>
  <c r="Q140" i="118"/>
  <c r="R140" i="118"/>
  <c r="S140" i="118"/>
  <c r="F141" i="118"/>
  <c r="G141" i="118"/>
  <c r="H141" i="118"/>
  <c r="I141" i="118"/>
  <c r="J141" i="118"/>
  <c r="K141" i="118"/>
  <c r="L141" i="118"/>
  <c r="M141" i="118"/>
  <c r="N141" i="118"/>
  <c r="O141" i="118"/>
  <c r="P141" i="118"/>
  <c r="Q141" i="118"/>
  <c r="R141" i="118"/>
  <c r="S141" i="118"/>
  <c r="F142" i="118"/>
  <c r="G142" i="118"/>
  <c r="H142" i="118"/>
  <c r="I142" i="118"/>
  <c r="J142" i="118"/>
  <c r="K142" i="118"/>
  <c r="L142" i="118"/>
  <c r="M142" i="118"/>
  <c r="N142" i="118"/>
  <c r="O142" i="118"/>
  <c r="P142" i="118"/>
  <c r="Q142" i="118"/>
  <c r="R142" i="118"/>
  <c r="S142" i="118"/>
  <c r="F143" i="118"/>
  <c r="G143" i="118"/>
  <c r="H143" i="118"/>
  <c r="I143" i="118"/>
  <c r="J143" i="118"/>
  <c r="K143" i="118"/>
  <c r="L143" i="118"/>
  <c r="M143" i="118"/>
  <c r="N143" i="118"/>
  <c r="O143" i="118"/>
  <c r="P143" i="118"/>
  <c r="Q143" i="118"/>
  <c r="R143" i="118"/>
  <c r="S143" i="118"/>
  <c r="F144" i="118"/>
  <c r="G144" i="118"/>
  <c r="H144" i="118"/>
  <c r="I144" i="118"/>
  <c r="J144" i="118"/>
  <c r="K144" i="118"/>
  <c r="L144" i="118"/>
  <c r="M144" i="118"/>
  <c r="N144" i="118"/>
  <c r="O144" i="118"/>
  <c r="P144" i="118"/>
  <c r="Q144" i="118"/>
  <c r="R144" i="118"/>
  <c r="S144" i="118"/>
  <c r="F145" i="118"/>
  <c r="G145" i="118"/>
  <c r="H145" i="118"/>
  <c r="I145" i="118"/>
  <c r="J145" i="118"/>
  <c r="K145" i="118"/>
  <c r="L145" i="118"/>
  <c r="M145" i="118"/>
  <c r="N145" i="118"/>
  <c r="O145" i="118"/>
  <c r="P145" i="118"/>
  <c r="Q145" i="118"/>
  <c r="R145" i="118"/>
  <c r="S145" i="118"/>
  <c r="S119" i="118"/>
  <c r="R119" i="118"/>
  <c r="Q119" i="118"/>
  <c r="P119" i="118"/>
  <c r="O119" i="118"/>
  <c r="N119" i="118"/>
  <c r="M119" i="118"/>
  <c r="L119" i="118"/>
  <c r="K119" i="118"/>
  <c r="J119" i="118"/>
  <c r="I119" i="118"/>
  <c r="H119" i="118"/>
  <c r="G119" i="118"/>
  <c r="F119" i="118"/>
  <c r="A27" i="156"/>
  <c r="A12" i="156"/>
  <c r="C12" i="156"/>
  <c r="O12" i="156"/>
  <c r="G5" i="156"/>
  <c r="G4" i="156"/>
  <c r="G3" i="156"/>
  <c r="D7" i="156"/>
  <c r="V51" i="135"/>
  <c r="W51" i="135"/>
  <c r="X51" i="135"/>
  <c r="Y51" i="135"/>
  <c r="Z51" i="135"/>
  <c r="AA51" i="135"/>
  <c r="AB51" i="135"/>
  <c r="AC51" i="135"/>
  <c r="AD51" i="135"/>
  <c r="AE51" i="135"/>
  <c r="AF51" i="135"/>
  <c r="AG51" i="135"/>
  <c r="AH51" i="135"/>
  <c r="AI51" i="135"/>
  <c r="AJ51" i="135"/>
  <c r="U73" i="135"/>
  <c r="AM73" i="135"/>
  <c r="U74" i="135"/>
  <c r="AM74" i="135"/>
  <c r="U75" i="135"/>
  <c r="AM75" i="135"/>
  <c r="U76" i="135"/>
  <c r="AM76" i="135"/>
  <c r="U77" i="135"/>
  <c r="AM77" i="135"/>
  <c r="T169" i="135"/>
  <c r="T170" i="135"/>
  <c r="T171" i="135"/>
  <c r="T172" i="135"/>
  <c r="T173" i="135"/>
  <c r="F604" i="16"/>
  <c r="E605" i="16"/>
  <c r="K542" i="16"/>
  <c r="AL19" i="135"/>
  <c r="I66" i="145"/>
  <c r="I67" i="145"/>
  <c r="I68" i="145"/>
  <c r="I69" i="145"/>
  <c r="I70" i="145"/>
  <c r="I71" i="145"/>
  <c r="I72" i="145"/>
  <c r="AP11" i="145"/>
  <c r="AC11" i="145"/>
  <c r="AP12" i="145"/>
  <c r="AN12" i="145"/>
  <c r="AP13" i="145"/>
  <c r="AP14" i="145"/>
  <c r="AJ14" i="145"/>
  <c r="AP15" i="145"/>
  <c r="AP16" i="145"/>
  <c r="AP17" i="145"/>
  <c r="AO17" i="145"/>
  <c r="AP18" i="145"/>
  <c r="AC18" i="145"/>
  <c r="AP19" i="145"/>
  <c r="AP20" i="145"/>
  <c r="AP21" i="145"/>
  <c r="AP22" i="145"/>
  <c r="AG22" i="145"/>
  <c r="AP23" i="145"/>
  <c r="AP24" i="145"/>
  <c r="AP25" i="145"/>
  <c r="AL25" i="145"/>
  <c r="AP26" i="145"/>
  <c r="AL26" i="145"/>
  <c r="AP27" i="145"/>
  <c r="AP28" i="145"/>
  <c r="AP29" i="145"/>
  <c r="AP30" i="145"/>
  <c r="AP31" i="145"/>
  <c r="AP32" i="145"/>
  <c r="AI32" i="145"/>
  <c r="AP33" i="145"/>
  <c r="AA33" i="145"/>
  <c r="AP34" i="145"/>
  <c r="AK34" i="145"/>
  <c r="AP35" i="145"/>
  <c r="AP36" i="145"/>
  <c r="AJ36" i="145"/>
  <c r="AP37" i="145"/>
  <c r="AP38" i="145"/>
  <c r="AK38" i="145"/>
  <c r="AP39" i="145"/>
  <c r="AP40" i="145"/>
  <c r="AJ40" i="145"/>
  <c r="AP41" i="145"/>
  <c r="AD41" i="145"/>
  <c r="AP42" i="145"/>
  <c r="AD42" i="145"/>
  <c r="AP43" i="145"/>
  <c r="AP44" i="145"/>
  <c r="AJ44" i="145"/>
  <c r="AP45" i="145"/>
  <c r="AF45" i="145"/>
  <c r="AP46" i="145"/>
  <c r="AJ46" i="145"/>
  <c r="AP47" i="145"/>
  <c r="AJ47" i="145"/>
  <c r="AP48" i="145"/>
  <c r="AP49" i="145"/>
  <c r="AM49" i="145"/>
  <c r="AP50" i="145"/>
  <c r="AA50" i="145"/>
  <c r="AP51" i="145"/>
  <c r="AC51" i="145"/>
  <c r="AP52" i="145"/>
  <c r="AJ52" i="145"/>
  <c r="AP53" i="145"/>
  <c r="AJ53" i="145"/>
  <c r="AP54" i="145"/>
  <c r="AP55" i="145"/>
  <c r="AP56" i="145"/>
  <c r="AP10" i="145"/>
  <c r="AK10" i="145"/>
  <c r="Z11" i="145"/>
  <c r="Z12" i="145"/>
  <c r="Z13" i="145"/>
  <c r="Z14" i="145"/>
  <c r="Z15" i="145"/>
  <c r="Z16" i="145"/>
  <c r="Z17" i="145"/>
  <c r="Z18" i="145"/>
  <c r="Z19" i="145"/>
  <c r="Z20" i="145"/>
  <c r="Z21" i="145"/>
  <c r="Z22" i="145"/>
  <c r="Z23" i="145"/>
  <c r="Z24" i="145"/>
  <c r="Z25" i="145"/>
  <c r="Z26" i="145"/>
  <c r="Z27" i="145"/>
  <c r="Z28" i="145"/>
  <c r="Z29" i="145"/>
  <c r="Z30" i="145"/>
  <c r="Z31" i="145"/>
  <c r="Z32" i="145"/>
  <c r="Z33" i="145"/>
  <c r="Z34" i="145"/>
  <c r="Z35" i="145"/>
  <c r="Z36" i="145"/>
  <c r="Z37" i="145"/>
  <c r="Z38" i="145"/>
  <c r="Z39" i="145"/>
  <c r="Z40" i="145"/>
  <c r="Z41" i="145"/>
  <c r="Z42" i="145"/>
  <c r="Z43" i="145"/>
  <c r="Z44" i="145"/>
  <c r="Z45" i="145"/>
  <c r="Z46" i="145"/>
  <c r="Z47" i="145"/>
  <c r="Z48" i="145"/>
  <c r="Z49" i="145"/>
  <c r="Z50" i="145"/>
  <c r="Z51" i="145"/>
  <c r="Z52" i="145"/>
  <c r="Z53" i="145"/>
  <c r="Z54" i="145"/>
  <c r="Z55" i="145"/>
  <c r="Z10" i="145"/>
  <c r="K8" i="145"/>
  <c r="L8" i="145"/>
  <c r="M8" i="145"/>
  <c r="N8" i="145"/>
  <c r="O8" i="145"/>
  <c r="P8" i="145"/>
  <c r="Q8" i="145"/>
  <c r="R8" i="145"/>
  <c r="S8" i="145"/>
  <c r="T8" i="145"/>
  <c r="U8" i="145"/>
  <c r="V8" i="145"/>
  <c r="W8" i="145"/>
  <c r="X8" i="145"/>
  <c r="J8" i="145"/>
  <c r="J1" i="145"/>
  <c r="K1" i="145"/>
  <c r="L1" i="145"/>
  <c r="M1" i="145"/>
  <c r="N1" i="145"/>
  <c r="O1" i="145"/>
  <c r="P1" i="145"/>
  <c r="Q1" i="145"/>
  <c r="R1" i="145"/>
  <c r="S1" i="145"/>
  <c r="T1" i="145"/>
  <c r="U1" i="145"/>
  <c r="V1" i="145"/>
  <c r="W1" i="145"/>
  <c r="X1" i="145"/>
  <c r="I2" i="145"/>
  <c r="I5" i="145"/>
  <c r="J5" i="145"/>
  <c r="K5" i="145"/>
  <c r="L5" i="145"/>
  <c r="M5" i="145"/>
  <c r="N5" i="145"/>
  <c r="O5" i="145"/>
  <c r="P5" i="145"/>
  <c r="Q5" i="145"/>
  <c r="R5" i="145"/>
  <c r="S5" i="145"/>
  <c r="T5" i="145"/>
  <c r="U5" i="145"/>
  <c r="V5" i="145"/>
  <c r="W5" i="145"/>
  <c r="X5" i="145"/>
  <c r="I6" i="145"/>
  <c r="I11" i="145"/>
  <c r="A11" i="145"/>
  <c r="J11" i="145"/>
  <c r="K11" i="145"/>
  <c r="L11" i="145"/>
  <c r="M11" i="145"/>
  <c r="N11" i="145"/>
  <c r="O11" i="145"/>
  <c r="P11" i="145"/>
  <c r="Q11" i="145"/>
  <c r="R11" i="145"/>
  <c r="S11" i="145"/>
  <c r="T11" i="145"/>
  <c r="U11" i="145"/>
  <c r="V11" i="145"/>
  <c r="W11" i="145"/>
  <c r="X11" i="145"/>
  <c r="I12" i="145"/>
  <c r="A12" i="145"/>
  <c r="J12" i="145"/>
  <c r="K12" i="145"/>
  <c r="L12" i="145"/>
  <c r="M12" i="145"/>
  <c r="N12" i="145"/>
  <c r="O12" i="145"/>
  <c r="P12" i="145"/>
  <c r="Q12" i="145"/>
  <c r="R12" i="145"/>
  <c r="S12" i="145"/>
  <c r="T12" i="145"/>
  <c r="U12" i="145"/>
  <c r="V12" i="145"/>
  <c r="W12" i="145"/>
  <c r="X12" i="145"/>
  <c r="I13" i="145"/>
  <c r="A13" i="145"/>
  <c r="J13" i="145"/>
  <c r="K13" i="145"/>
  <c r="L13" i="145"/>
  <c r="M13" i="145"/>
  <c r="N13" i="145"/>
  <c r="O13" i="145"/>
  <c r="P13" i="145"/>
  <c r="Q13" i="145"/>
  <c r="R13" i="145"/>
  <c r="S13" i="145"/>
  <c r="T13" i="145"/>
  <c r="U13" i="145"/>
  <c r="V13" i="145"/>
  <c r="W13" i="145"/>
  <c r="X13" i="145"/>
  <c r="I14" i="145"/>
  <c r="A14" i="145"/>
  <c r="J14" i="145"/>
  <c r="K14" i="145"/>
  <c r="L14" i="145"/>
  <c r="M14" i="145"/>
  <c r="N14" i="145"/>
  <c r="O14" i="145"/>
  <c r="P14" i="145"/>
  <c r="Q14" i="145"/>
  <c r="R14" i="145"/>
  <c r="S14" i="145"/>
  <c r="T14" i="145"/>
  <c r="U14" i="145"/>
  <c r="V14" i="145"/>
  <c r="W14" i="145"/>
  <c r="X14" i="145"/>
  <c r="I15" i="145"/>
  <c r="A15" i="145"/>
  <c r="J15" i="145"/>
  <c r="K15" i="145"/>
  <c r="L15" i="145"/>
  <c r="M15" i="145"/>
  <c r="N15" i="145"/>
  <c r="O15" i="145"/>
  <c r="P15" i="145"/>
  <c r="Q15" i="145"/>
  <c r="R15" i="145"/>
  <c r="S15" i="145"/>
  <c r="T15" i="145"/>
  <c r="U15" i="145"/>
  <c r="V15" i="145"/>
  <c r="W15" i="145"/>
  <c r="X15" i="145"/>
  <c r="I16" i="145"/>
  <c r="A16" i="145"/>
  <c r="J16" i="145"/>
  <c r="K16" i="145"/>
  <c r="L16" i="145"/>
  <c r="M16" i="145"/>
  <c r="N16" i="145"/>
  <c r="O16" i="145"/>
  <c r="P16" i="145"/>
  <c r="Q16" i="145"/>
  <c r="R16" i="145"/>
  <c r="S16" i="145"/>
  <c r="T16" i="145"/>
  <c r="U16" i="145"/>
  <c r="V16" i="145"/>
  <c r="W16" i="145"/>
  <c r="X16" i="145"/>
  <c r="I17" i="145"/>
  <c r="A17" i="145"/>
  <c r="J17" i="145"/>
  <c r="K17" i="145"/>
  <c r="L17" i="145"/>
  <c r="M17" i="145"/>
  <c r="N17" i="145"/>
  <c r="O17" i="145"/>
  <c r="P17" i="145"/>
  <c r="Q17" i="145"/>
  <c r="R17" i="145"/>
  <c r="S17" i="145"/>
  <c r="T17" i="145"/>
  <c r="U17" i="145"/>
  <c r="V17" i="145"/>
  <c r="W17" i="145"/>
  <c r="X17" i="145"/>
  <c r="I18" i="145"/>
  <c r="A18" i="145"/>
  <c r="J18" i="145"/>
  <c r="K18" i="145"/>
  <c r="L18" i="145"/>
  <c r="M18" i="145"/>
  <c r="N18" i="145"/>
  <c r="O18" i="145"/>
  <c r="P18" i="145"/>
  <c r="Q18" i="145"/>
  <c r="R18" i="145"/>
  <c r="S18" i="145"/>
  <c r="T18" i="145"/>
  <c r="U18" i="145"/>
  <c r="V18" i="145"/>
  <c r="W18" i="145"/>
  <c r="X18" i="145"/>
  <c r="I19" i="145"/>
  <c r="A19" i="145"/>
  <c r="J19" i="145"/>
  <c r="K19" i="145"/>
  <c r="L19" i="145"/>
  <c r="M19" i="145"/>
  <c r="N19" i="145"/>
  <c r="O19" i="145"/>
  <c r="P19" i="145"/>
  <c r="Q19" i="145"/>
  <c r="R19" i="145"/>
  <c r="S19" i="145"/>
  <c r="T19" i="145"/>
  <c r="U19" i="145"/>
  <c r="V19" i="145"/>
  <c r="W19" i="145"/>
  <c r="X19" i="145"/>
  <c r="I20" i="145"/>
  <c r="A20" i="145"/>
  <c r="J20" i="145"/>
  <c r="K20" i="145"/>
  <c r="L20" i="145"/>
  <c r="M20" i="145"/>
  <c r="N20" i="145"/>
  <c r="O20" i="145"/>
  <c r="P20" i="145"/>
  <c r="Q20" i="145"/>
  <c r="R20" i="145"/>
  <c r="S20" i="145"/>
  <c r="T20" i="145"/>
  <c r="U20" i="145"/>
  <c r="V20" i="145"/>
  <c r="W20" i="145"/>
  <c r="X20" i="145"/>
  <c r="I21" i="145"/>
  <c r="A21" i="145"/>
  <c r="J21" i="145"/>
  <c r="K21" i="145"/>
  <c r="L21" i="145"/>
  <c r="M21" i="145"/>
  <c r="N21" i="145"/>
  <c r="O21" i="145"/>
  <c r="P21" i="145"/>
  <c r="Q21" i="145"/>
  <c r="R21" i="145"/>
  <c r="S21" i="145"/>
  <c r="T21" i="145"/>
  <c r="U21" i="145"/>
  <c r="V21" i="145"/>
  <c r="W21" i="145"/>
  <c r="X21" i="145"/>
  <c r="I22" i="145"/>
  <c r="A22" i="145"/>
  <c r="J22" i="145"/>
  <c r="K22" i="145"/>
  <c r="L22" i="145"/>
  <c r="M22" i="145"/>
  <c r="N22" i="145"/>
  <c r="O22" i="145"/>
  <c r="P22" i="145"/>
  <c r="Q22" i="145"/>
  <c r="R22" i="145"/>
  <c r="S22" i="145"/>
  <c r="T22" i="145"/>
  <c r="U22" i="145"/>
  <c r="V22" i="145"/>
  <c r="W22" i="145"/>
  <c r="X22" i="145"/>
  <c r="I23" i="145"/>
  <c r="A23" i="145"/>
  <c r="J23" i="145"/>
  <c r="K23" i="145"/>
  <c r="L23" i="145"/>
  <c r="M23" i="145"/>
  <c r="N23" i="145"/>
  <c r="O23" i="145"/>
  <c r="P23" i="145"/>
  <c r="Q23" i="145"/>
  <c r="R23" i="145"/>
  <c r="S23" i="145"/>
  <c r="T23" i="145"/>
  <c r="U23" i="145"/>
  <c r="V23" i="145"/>
  <c r="W23" i="145"/>
  <c r="X23" i="145"/>
  <c r="I24" i="145"/>
  <c r="A24" i="145"/>
  <c r="J24" i="145"/>
  <c r="K24" i="145"/>
  <c r="L24" i="145"/>
  <c r="M24" i="145"/>
  <c r="N24" i="145"/>
  <c r="O24" i="145"/>
  <c r="P24" i="145"/>
  <c r="Q24" i="145"/>
  <c r="R24" i="145"/>
  <c r="S24" i="145"/>
  <c r="T24" i="145"/>
  <c r="U24" i="145"/>
  <c r="V24" i="145"/>
  <c r="W24" i="145"/>
  <c r="X24" i="145"/>
  <c r="I25" i="145"/>
  <c r="A25" i="145"/>
  <c r="J25" i="145"/>
  <c r="K25" i="145"/>
  <c r="L25" i="145"/>
  <c r="M25" i="145"/>
  <c r="N25" i="145"/>
  <c r="O25" i="145"/>
  <c r="P25" i="145"/>
  <c r="Q25" i="145"/>
  <c r="R25" i="145"/>
  <c r="S25" i="145"/>
  <c r="T25" i="145"/>
  <c r="U25" i="145"/>
  <c r="V25" i="145"/>
  <c r="W25" i="145"/>
  <c r="X25" i="145"/>
  <c r="I26" i="145"/>
  <c r="A26" i="145"/>
  <c r="J26" i="145"/>
  <c r="K26" i="145"/>
  <c r="L26" i="145"/>
  <c r="M26" i="145"/>
  <c r="N26" i="145"/>
  <c r="O26" i="145"/>
  <c r="P26" i="145"/>
  <c r="Q26" i="145"/>
  <c r="R26" i="145"/>
  <c r="S26" i="145"/>
  <c r="T26" i="145"/>
  <c r="U26" i="145"/>
  <c r="V26" i="145"/>
  <c r="W26" i="145"/>
  <c r="X26" i="145"/>
  <c r="I27" i="145"/>
  <c r="A27" i="145"/>
  <c r="J27" i="145"/>
  <c r="K27" i="145"/>
  <c r="L27" i="145"/>
  <c r="M27" i="145"/>
  <c r="N27" i="145"/>
  <c r="O27" i="145"/>
  <c r="P27" i="145"/>
  <c r="Q27" i="145"/>
  <c r="R27" i="145"/>
  <c r="S27" i="145"/>
  <c r="T27" i="145"/>
  <c r="U27" i="145"/>
  <c r="V27" i="145"/>
  <c r="W27" i="145"/>
  <c r="X27" i="145"/>
  <c r="I28" i="145"/>
  <c r="A28" i="145"/>
  <c r="J28" i="145"/>
  <c r="K28" i="145"/>
  <c r="L28" i="145"/>
  <c r="M28" i="145"/>
  <c r="N28" i="145"/>
  <c r="O28" i="145"/>
  <c r="P28" i="145"/>
  <c r="Q28" i="145"/>
  <c r="R28" i="145"/>
  <c r="S28" i="145"/>
  <c r="T28" i="145"/>
  <c r="U28" i="145"/>
  <c r="V28" i="145"/>
  <c r="W28" i="145"/>
  <c r="X28" i="145"/>
  <c r="I29" i="145"/>
  <c r="A29" i="145"/>
  <c r="J29" i="145"/>
  <c r="K29" i="145"/>
  <c r="L29" i="145"/>
  <c r="M29" i="145"/>
  <c r="N29" i="145"/>
  <c r="O29" i="145"/>
  <c r="P29" i="145"/>
  <c r="Q29" i="145"/>
  <c r="R29" i="145"/>
  <c r="S29" i="145"/>
  <c r="T29" i="145"/>
  <c r="U29" i="145"/>
  <c r="V29" i="145"/>
  <c r="W29" i="145"/>
  <c r="X29" i="145"/>
  <c r="I30" i="145"/>
  <c r="A30" i="145"/>
  <c r="J30" i="145"/>
  <c r="K30" i="145"/>
  <c r="L30" i="145"/>
  <c r="M30" i="145"/>
  <c r="N30" i="145"/>
  <c r="O30" i="145"/>
  <c r="P30" i="145"/>
  <c r="Q30" i="145"/>
  <c r="R30" i="145"/>
  <c r="S30" i="145"/>
  <c r="T30" i="145"/>
  <c r="U30" i="145"/>
  <c r="V30" i="145"/>
  <c r="W30" i="145"/>
  <c r="X30" i="145"/>
  <c r="I31" i="145"/>
  <c r="A31" i="145"/>
  <c r="J31" i="145"/>
  <c r="K31" i="145"/>
  <c r="L31" i="145"/>
  <c r="M31" i="145"/>
  <c r="N31" i="145"/>
  <c r="O31" i="145"/>
  <c r="P31" i="145"/>
  <c r="Q31" i="145"/>
  <c r="R31" i="145"/>
  <c r="S31" i="145"/>
  <c r="T31" i="145"/>
  <c r="U31" i="145"/>
  <c r="V31" i="145"/>
  <c r="W31" i="145"/>
  <c r="X31" i="145"/>
  <c r="I32" i="145"/>
  <c r="A32" i="145"/>
  <c r="J32" i="145"/>
  <c r="K32" i="145"/>
  <c r="L32" i="145"/>
  <c r="M32" i="145"/>
  <c r="N32" i="145"/>
  <c r="O32" i="145"/>
  <c r="P32" i="145"/>
  <c r="Q32" i="145"/>
  <c r="R32" i="145"/>
  <c r="S32" i="145"/>
  <c r="T32" i="145"/>
  <c r="U32" i="145"/>
  <c r="V32" i="145"/>
  <c r="W32" i="145"/>
  <c r="X32" i="145"/>
  <c r="I33" i="145"/>
  <c r="A33" i="145"/>
  <c r="J33" i="145"/>
  <c r="K33" i="145"/>
  <c r="L33" i="145"/>
  <c r="M33" i="145"/>
  <c r="N33" i="145"/>
  <c r="O33" i="145"/>
  <c r="P33" i="145"/>
  <c r="Q33" i="145"/>
  <c r="R33" i="145"/>
  <c r="S33" i="145"/>
  <c r="T33" i="145"/>
  <c r="U33" i="145"/>
  <c r="V33" i="145"/>
  <c r="W33" i="145"/>
  <c r="X33" i="145"/>
  <c r="I34" i="145"/>
  <c r="A34" i="145"/>
  <c r="J34" i="145"/>
  <c r="K34" i="145"/>
  <c r="L34" i="145"/>
  <c r="M34" i="145"/>
  <c r="N34" i="145"/>
  <c r="O34" i="145"/>
  <c r="P34" i="145"/>
  <c r="Q34" i="145"/>
  <c r="R34" i="145"/>
  <c r="S34" i="145"/>
  <c r="T34" i="145"/>
  <c r="U34" i="145"/>
  <c r="V34" i="145"/>
  <c r="W34" i="145"/>
  <c r="X34" i="145"/>
  <c r="I35" i="145"/>
  <c r="A35" i="145"/>
  <c r="J35" i="145"/>
  <c r="K35" i="145"/>
  <c r="L35" i="145"/>
  <c r="M35" i="145"/>
  <c r="N35" i="145"/>
  <c r="O35" i="145"/>
  <c r="P35" i="145"/>
  <c r="Q35" i="145"/>
  <c r="R35" i="145"/>
  <c r="S35" i="145"/>
  <c r="T35" i="145"/>
  <c r="U35" i="145"/>
  <c r="V35" i="145"/>
  <c r="W35" i="145"/>
  <c r="X35" i="145"/>
  <c r="I36" i="145"/>
  <c r="A36" i="145"/>
  <c r="J36" i="145"/>
  <c r="K36" i="145"/>
  <c r="L36" i="145"/>
  <c r="M36" i="145"/>
  <c r="N36" i="145"/>
  <c r="O36" i="145"/>
  <c r="P36" i="145"/>
  <c r="Q36" i="145"/>
  <c r="R36" i="145"/>
  <c r="S36" i="145"/>
  <c r="T36" i="145"/>
  <c r="U36" i="145"/>
  <c r="V36" i="145"/>
  <c r="W36" i="145"/>
  <c r="X36" i="145"/>
  <c r="I37" i="145"/>
  <c r="A37" i="145"/>
  <c r="J37" i="145"/>
  <c r="K37" i="145"/>
  <c r="L37" i="145"/>
  <c r="M37" i="145"/>
  <c r="N37" i="145"/>
  <c r="O37" i="145"/>
  <c r="P37" i="145"/>
  <c r="Q37" i="145"/>
  <c r="R37" i="145"/>
  <c r="S37" i="145"/>
  <c r="T37" i="145"/>
  <c r="U37" i="145"/>
  <c r="V37" i="145"/>
  <c r="W37" i="145"/>
  <c r="X37" i="145"/>
  <c r="I38" i="145"/>
  <c r="A38" i="145"/>
  <c r="J38" i="145"/>
  <c r="K38" i="145"/>
  <c r="L38" i="145"/>
  <c r="M38" i="145"/>
  <c r="N38" i="145"/>
  <c r="O38" i="145"/>
  <c r="P38" i="145"/>
  <c r="Q38" i="145"/>
  <c r="R38" i="145"/>
  <c r="S38" i="145"/>
  <c r="T38" i="145"/>
  <c r="U38" i="145"/>
  <c r="V38" i="145"/>
  <c r="W38" i="145"/>
  <c r="X38" i="145"/>
  <c r="I39" i="145"/>
  <c r="A39" i="145"/>
  <c r="J39" i="145"/>
  <c r="K39" i="145"/>
  <c r="L39" i="145"/>
  <c r="M39" i="145"/>
  <c r="N39" i="145"/>
  <c r="O39" i="145"/>
  <c r="P39" i="145"/>
  <c r="Q39" i="145"/>
  <c r="R39" i="145"/>
  <c r="S39" i="145"/>
  <c r="T39" i="145"/>
  <c r="U39" i="145"/>
  <c r="V39" i="145"/>
  <c r="W39" i="145"/>
  <c r="X39" i="145"/>
  <c r="I40" i="145"/>
  <c r="A40" i="145"/>
  <c r="J40" i="145"/>
  <c r="K40" i="145"/>
  <c r="L40" i="145"/>
  <c r="M40" i="145"/>
  <c r="N40" i="145"/>
  <c r="O40" i="145"/>
  <c r="P40" i="145"/>
  <c r="Q40" i="145"/>
  <c r="R40" i="145"/>
  <c r="S40" i="145"/>
  <c r="T40" i="145"/>
  <c r="U40" i="145"/>
  <c r="V40" i="145"/>
  <c r="W40" i="145"/>
  <c r="X40" i="145"/>
  <c r="I41" i="145"/>
  <c r="A41" i="145"/>
  <c r="J41" i="145"/>
  <c r="K41" i="145"/>
  <c r="L41" i="145"/>
  <c r="M41" i="145"/>
  <c r="N41" i="145"/>
  <c r="O41" i="145"/>
  <c r="P41" i="145"/>
  <c r="Q41" i="145"/>
  <c r="R41" i="145"/>
  <c r="S41" i="145"/>
  <c r="T41" i="145"/>
  <c r="U41" i="145"/>
  <c r="V41" i="145"/>
  <c r="W41" i="145"/>
  <c r="X41" i="145"/>
  <c r="I42" i="145"/>
  <c r="A42" i="145"/>
  <c r="J42" i="145"/>
  <c r="K42" i="145"/>
  <c r="L42" i="145"/>
  <c r="M42" i="145"/>
  <c r="N42" i="145"/>
  <c r="O42" i="145"/>
  <c r="P42" i="145"/>
  <c r="Q42" i="145"/>
  <c r="R42" i="145"/>
  <c r="S42" i="145"/>
  <c r="T42" i="145"/>
  <c r="U42" i="145"/>
  <c r="V42" i="145"/>
  <c r="W42" i="145"/>
  <c r="X42" i="145"/>
  <c r="I43" i="145"/>
  <c r="A43" i="145"/>
  <c r="J43" i="145"/>
  <c r="K43" i="145"/>
  <c r="L43" i="145"/>
  <c r="M43" i="145"/>
  <c r="N43" i="145"/>
  <c r="O43" i="145"/>
  <c r="P43" i="145"/>
  <c r="Q43" i="145"/>
  <c r="R43" i="145"/>
  <c r="S43" i="145"/>
  <c r="T43" i="145"/>
  <c r="U43" i="145"/>
  <c r="V43" i="145"/>
  <c r="W43" i="145"/>
  <c r="X43" i="145"/>
  <c r="I44" i="145"/>
  <c r="A44" i="145"/>
  <c r="J44" i="145"/>
  <c r="K44" i="145"/>
  <c r="L44" i="145"/>
  <c r="M44" i="145"/>
  <c r="N44" i="145"/>
  <c r="O44" i="145"/>
  <c r="P44" i="145"/>
  <c r="Q44" i="145"/>
  <c r="R44" i="145"/>
  <c r="S44" i="145"/>
  <c r="T44" i="145"/>
  <c r="U44" i="145"/>
  <c r="V44" i="145"/>
  <c r="W44" i="145"/>
  <c r="X44" i="145"/>
  <c r="I45" i="145"/>
  <c r="A45" i="145"/>
  <c r="J45" i="145"/>
  <c r="K45" i="145"/>
  <c r="L45" i="145"/>
  <c r="M45" i="145"/>
  <c r="N45" i="145"/>
  <c r="O45" i="145"/>
  <c r="P45" i="145"/>
  <c r="Q45" i="145"/>
  <c r="R45" i="145"/>
  <c r="S45" i="145"/>
  <c r="T45" i="145"/>
  <c r="U45" i="145"/>
  <c r="V45" i="145"/>
  <c r="W45" i="145"/>
  <c r="X45" i="145"/>
  <c r="I46" i="145"/>
  <c r="A46" i="145"/>
  <c r="J46" i="145"/>
  <c r="K46" i="145"/>
  <c r="L46" i="145"/>
  <c r="M46" i="145"/>
  <c r="N46" i="145"/>
  <c r="O46" i="145"/>
  <c r="P46" i="145"/>
  <c r="Q46" i="145"/>
  <c r="R46" i="145"/>
  <c r="S46" i="145"/>
  <c r="T46" i="145"/>
  <c r="U46" i="145"/>
  <c r="V46" i="145"/>
  <c r="W46" i="145"/>
  <c r="X46" i="145"/>
  <c r="I47" i="145"/>
  <c r="A47" i="145"/>
  <c r="J47" i="145"/>
  <c r="K47" i="145"/>
  <c r="L47" i="145"/>
  <c r="M47" i="145"/>
  <c r="N47" i="145"/>
  <c r="O47" i="145"/>
  <c r="P47" i="145"/>
  <c r="Q47" i="145"/>
  <c r="R47" i="145"/>
  <c r="S47" i="145"/>
  <c r="T47" i="145"/>
  <c r="U47" i="145"/>
  <c r="V47" i="145"/>
  <c r="W47" i="145"/>
  <c r="X47" i="145"/>
  <c r="I48" i="145"/>
  <c r="A48" i="145"/>
  <c r="J48" i="145"/>
  <c r="K48" i="145"/>
  <c r="L48" i="145"/>
  <c r="M48" i="145"/>
  <c r="N48" i="145"/>
  <c r="O48" i="145"/>
  <c r="P48" i="145"/>
  <c r="Q48" i="145"/>
  <c r="R48" i="145"/>
  <c r="S48" i="145"/>
  <c r="T48" i="145"/>
  <c r="U48" i="145"/>
  <c r="V48" i="145"/>
  <c r="W48" i="145"/>
  <c r="X48" i="145"/>
  <c r="I49" i="145"/>
  <c r="A49" i="145"/>
  <c r="J49" i="145"/>
  <c r="K49" i="145"/>
  <c r="L49" i="145"/>
  <c r="M49" i="145"/>
  <c r="N49" i="145"/>
  <c r="O49" i="145"/>
  <c r="P49" i="145"/>
  <c r="Q49" i="145"/>
  <c r="R49" i="145"/>
  <c r="S49" i="145"/>
  <c r="T49" i="145"/>
  <c r="U49" i="145"/>
  <c r="V49" i="145"/>
  <c r="W49" i="145"/>
  <c r="X49" i="145"/>
  <c r="I50" i="145"/>
  <c r="A50" i="145"/>
  <c r="J50" i="145"/>
  <c r="K50" i="145"/>
  <c r="L50" i="145"/>
  <c r="M50" i="145"/>
  <c r="N50" i="145"/>
  <c r="O50" i="145"/>
  <c r="P50" i="145"/>
  <c r="Q50" i="145"/>
  <c r="R50" i="145"/>
  <c r="S50" i="145"/>
  <c r="T50" i="145"/>
  <c r="U50" i="145"/>
  <c r="V50" i="145"/>
  <c r="W50" i="145"/>
  <c r="X50" i="145"/>
  <c r="I51" i="145"/>
  <c r="A51" i="145"/>
  <c r="J51" i="145"/>
  <c r="K51" i="145"/>
  <c r="L51" i="145"/>
  <c r="M51" i="145"/>
  <c r="N51" i="145"/>
  <c r="O51" i="145"/>
  <c r="P51" i="145"/>
  <c r="Q51" i="145"/>
  <c r="R51" i="145"/>
  <c r="S51" i="145"/>
  <c r="T51" i="145"/>
  <c r="U51" i="145"/>
  <c r="V51" i="145"/>
  <c r="W51" i="145"/>
  <c r="X51" i="145"/>
  <c r="I52" i="145"/>
  <c r="A52" i="145"/>
  <c r="J52" i="145"/>
  <c r="K52" i="145"/>
  <c r="L52" i="145"/>
  <c r="M52" i="145"/>
  <c r="N52" i="145"/>
  <c r="O52" i="145"/>
  <c r="P52" i="145"/>
  <c r="Q52" i="145"/>
  <c r="R52" i="145"/>
  <c r="S52" i="145"/>
  <c r="T52" i="145"/>
  <c r="U52" i="145"/>
  <c r="V52" i="145"/>
  <c r="W52" i="145"/>
  <c r="X52" i="145"/>
  <c r="I53" i="145"/>
  <c r="A53" i="145"/>
  <c r="J53" i="145"/>
  <c r="K53" i="145"/>
  <c r="L53" i="145"/>
  <c r="M53" i="145"/>
  <c r="N53" i="145"/>
  <c r="O53" i="145"/>
  <c r="P53" i="145"/>
  <c r="Q53" i="145"/>
  <c r="R53" i="145"/>
  <c r="S53" i="145"/>
  <c r="T53" i="145"/>
  <c r="U53" i="145"/>
  <c r="V53" i="145"/>
  <c r="W53" i="145"/>
  <c r="X53" i="145"/>
  <c r="I54" i="145"/>
  <c r="A54" i="145"/>
  <c r="J54" i="145"/>
  <c r="K54" i="145"/>
  <c r="L54" i="145"/>
  <c r="M54" i="145"/>
  <c r="N54" i="145"/>
  <c r="O54" i="145"/>
  <c r="P54" i="145"/>
  <c r="Q54" i="145"/>
  <c r="R54" i="145"/>
  <c r="S54" i="145"/>
  <c r="T54" i="145"/>
  <c r="U54" i="145"/>
  <c r="V54" i="145"/>
  <c r="W54" i="145"/>
  <c r="X54" i="145"/>
  <c r="I55" i="145"/>
  <c r="A55" i="145"/>
  <c r="J55" i="145"/>
  <c r="K55" i="145"/>
  <c r="L55" i="145"/>
  <c r="M55" i="145"/>
  <c r="N55" i="145"/>
  <c r="O55" i="145"/>
  <c r="P55" i="145"/>
  <c r="Q55" i="145"/>
  <c r="R55" i="145"/>
  <c r="S55" i="145"/>
  <c r="T55" i="145"/>
  <c r="U55" i="145"/>
  <c r="V55" i="145"/>
  <c r="W55" i="145"/>
  <c r="X55" i="145"/>
  <c r="I56" i="145"/>
  <c r="A56" i="145"/>
  <c r="J56" i="145"/>
  <c r="K56" i="145"/>
  <c r="L56" i="145"/>
  <c r="M56" i="145"/>
  <c r="N56" i="145"/>
  <c r="O56" i="145"/>
  <c r="P56" i="145"/>
  <c r="Q56" i="145"/>
  <c r="R56" i="145"/>
  <c r="S56" i="145"/>
  <c r="T56" i="145"/>
  <c r="U56" i="145"/>
  <c r="V56" i="145"/>
  <c r="W56" i="145"/>
  <c r="X56" i="145"/>
  <c r="I10" i="145"/>
  <c r="A10" i="145"/>
  <c r="K10" i="145"/>
  <c r="L10" i="145"/>
  <c r="M10" i="145"/>
  <c r="N10" i="145"/>
  <c r="O10" i="145"/>
  <c r="P10" i="145"/>
  <c r="Q10" i="145"/>
  <c r="R10" i="145"/>
  <c r="S10" i="145"/>
  <c r="T10" i="145"/>
  <c r="U10" i="145"/>
  <c r="V10" i="145"/>
  <c r="W10" i="145"/>
  <c r="X10" i="145"/>
  <c r="J10" i="145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BK1" i="13"/>
  <c r="BL1" i="13"/>
  <c r="BM1" i="13"/>
  <c r="BN1" i="13"/>
  <c r="BO1" i="13"/>
  <c r="BP1" i="13"/>
  <c r="BQ1" i="13"/>
  <c r="BR1" i="13"/>
  <c r="BS1" i="13"/>
  <c r="BT1" i="13"/>
  <c r="BU1" i="13"/>
  <c r="BV1" i="13"/>
  <c r="BW1" i="13"/>
  <c r="BX1" i="13"/>
  <c r="BY1" i="13"/>
  <c r="BZ1" i="13"/>
  <c r="CA1" i="13"/>
  <c r="U396" i="25"/>
  <c r="X396" i="25"/>
  <c r="V195" i="25"/>
  <c r="W195" i="25"/>
  <c r="X195" i="25"/>
  <c r="Y195" i="25"/>
  <c r="Z195" i="25"/>
  <c r="AA195" i="25"/>
  <c r="AB195" i="25"/>
  <c r="AC195" i="25"/>
  <c r="AD195" i="25"/>
  <c r="AE195" i="25"/>
  <c r="AF195" i="25"/>
  <c r="AG195" i="25"/>
  <c r="AH195" i="25"/>
  <c r="AI195" i="25"/>
  <c r="AJ195" i="25"/>
  <c r="V164" i="25"/>
  <c r="W164" i="25"/>
  <c r="X164" i="25"/>
  <c r="Y164" i="25"/>
  <c r="Z164" i="25"/>
  <c r="AA164" i="25"/>
  <c r="AB164" i="25"/>
  <c r="AC164" i="25"/>
  <c r="AD164" i="25"/>
  <c r="AE164" i="25"/>
  <c r="AF164" i="25"/>
  <c r="AG164" i="25"/>
  <c r="AH164" i="25"/>
  <c r="AI164" i="25"/>
  <c r="AJ164" i="25"/>
  <c r="B589" i="13"/>
  <c r="C589" i="13"/>
  <c r="D589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61" i="13"/>
  <c r="D344" i="16"/>
  <c r="E344" i="16"/>
  <c r="F344" i="16"/>
  <c r="D345" i="16"/>
  <c r="E345" i="16"/>
  <c r="F345" i="16"/>
  <c r="E343" i="16"/>
  <c r="F343" i="16"/>
  <c r="D343" i="16"/>
  <c r="F342" i="16"/>
  <c r="AH33" i="16"/>
  <c r="D342" i="16"/>
  <c r="H339" i="16"/>
  <c r="A76" i="52"/>
  <c r="A75" i="52"/>
  <c r="AJ21" i="16"/>
  <c r="B6" i="52"/>
  <c r="AJ22" i="16"/>
  <c r="B7" i="52"/>
  <c r="AJ20" i="16"/>
  <c r="AM7" i="135"/>
  <c r="A9" i="52"/>
  <c r="K265" i="16"/>
  <c r="K272" i="16"/>
  <c r="L265" i="16"/>
  <c r="L272" i="16"/>
  <c r="M273" i="16"/>
  <c r="N274" i="16"/>
  <c r="O275" i="16"/>
  <c r="P276" i="16"/>
  <c r="M265" i="16"/>
  <c r="M272" i="16"/>
  <c r="N273" i="16"/>
  <c r="O274" i="16"/>
  <c r="P275" i="16"/>
  <c r="Q276" i="16"/>
  <c r="N265" i="16"/>
  <c r="N272" i="16"/>
  <c r="O273" i="16"/>
  <c r="P274" i="16"/>
  <c r="Q275" i="16"/>
  <c r="R276" i="16"/>
  <c r="O265" i="16"/>
  <c r="O272" i="16"/>
  <c r="P273" i="16"/>
  <c r="Q274" i="16"/>
  <c r="R275" i="16"/>
  <c r="S276" i="16"/>
  <c r="P265" i="16"/>
  <c r="P272" i="16"/>
  <c r="Q273" i="16"/>
  <c r="R274" i="16"/>
  <c r="S275" i="16"/>
  <c r="T276" i="16"/>
  <c r="Q265" i="16"/>
  <c r="Q272" i="16"/>
  <c r="R273" i="16"/>
  <c r="S274" i="16"/>
  <c r="T275" i="16"/>
  <c r="U276" i="16"/>
  <c r="R265" i="16"/>
  <c r="R272" i="16"/>
  <c r="S273" i="16"/>
  <c r="T274" i="16"/>
  <c r="U275" i="16"/>
  <c r="V276" i="16"/>
  <c r="S265" i="16"/>
  <c r="S272" i="16"/>
  <c r="T273" i="16"/>
  <c r="U274" i="16"/>
  <c r="V275" i="16"/>
  <c r="W276" i="16"/>
  <c r="T265" i="16"/>
  <c r="T272" i="16"/>
  <c r="U273" i="16"/>
  <c r="V274" i="16"/>
  <c r="W275" i="16"/>
  <c r="U265" i="16"/>
  <c r="U272" i="16"/>
  <c r="V273" i="16"/>
  <c r="W274" i="16"/>
  <c r="V265" i="16"/>
  <c r="V272" i="16"/>
  <c r="W273" i="16"/>
  <c r="W265" i="16"/>
  <c r="W272" i="16"/>
  <c r="X265" i="16"/>
  <c r="X272" i="16"/>
  <c r="J265" i="16"/>
  <c r="J272" i="16"/>
  <c r="K273" i="16"/>
  <c r="L274" i="16"/>
  <c r="M275" i="16"/>
  <c r="N276" i="16"/>
  <c r="D296" i="16"/>
  <c r="E296" i="16"/>
  <c r="F296" i="16"/>
  <c r="D297" i="16"/>
  <c r="E297" i="16"/>
  <c r="F297" i="16"/>
  <c r="D298" i="16"/>
  <c r="E298" i="16"/>
  <c r="F298" i="16"/>
  <c r="D299" i="16"/>
  <c r="E299" i="16"/>
  <c r="F299" i="16"/>
  <c r="D300" i="16"/>
  <c r="E300" i="16"/>
  <c r="F300" i="16"/>
  <c r="D295" i="16"/>
  <c r="E295" i="16"/>
  <c r="F295" i="16"/>
  <c r="E266" i="16"/>
  <c r="AN64" i="16"/>
  <c r="F266" i="16"/>
  <c r="AH27" i="16"/>
  <c r="E267" i="16"/>
  <c r="F267" i="16"/>
  <c r="E268" i="16"/>
  <c r="F268" i="16"/>
  <c r="AH29" i="16"/>
  <c r="E269" i="16"/>
  <c r="AG30" i="16"/>
  <c r="F269" i="16"/>
  <c r="E270" i="16"/>
  <c r="F270" i="16"/>
  <c r="AH31" i="16"/>
  <c r="E271" i="16"/>
  <c r="AP63" i="16"/>
  <c r="F271" i="16"/>
  <c r="AQ63" i="16"/>
  <c r="E272" i="16"/>
  <c r="AP64" i="16"/>
  <c r="F272" i="16"/>
  <c r="AQ64" i="16"/>
  <c r="E273" i="16"/>
  <c r="AP65" i="16"/>
  <c r="F273" i="16"/>
  <c r="AQ65" i="16"/>
  <c r="E274" i="16"/>
  <c r="AP66" i="16"/>
  <c r="F274" i="16"/>
  <c r="AQ66" i="16"/>
  <c r="E275" i="16"/>
  <c r="AP67" i="16"/>
  <c r="F275" i="16"/>
  <c r="AQ67" i="16"/>
  <c r="E276" i="16"/>
  <c r="AP68" i="16"/>
  <c r="F276" i="16"/>
  <c r="AQ68" i="16"/>
  <c r="E277" i="16"/>
  <c r="AT63" i="16"/>
  <c r="AK63" i="16"/>
  <c r="F277" i="16"/>
  <c r="AU63" i="16"/>
  <c r="E278" i="16"/>
  <c r="AT64" i="16"/>
  <c r="F278" i="16"/>
  <c r="AU64" i="16"/>
  <c r="E279" i="16"/>
  <c r="AT65" i="16"/>
  <c r="AK65" i="16"/>
  <c r="F279" i="16"/>
  <c r="AU65" i="16"/>
  <c r="E280" i="16"/>
  <c r="AT66" i="16"/>
  <c r="AK66" i="16"/>
  <c r="F280" i="16"/>
  <c r="AU66" i="16"/>
  <c r="E281" i="16"/>
  <c r="AT67" i="16"/>
  <c r="AK67" i="16"/>
  <c r="F281" i="16"/>
  <c r="AU67" i="16"/>
  <c r="E282" i="16"/>
  <c r="AT68" i="16"/>
  <c r="AK68" i="16"/>
  <c r="F282" i="16"/>
  <c r="AU68" i="16"/>
  <c r="E283" i="16"/>
  <c r="AW63" i="16"/>
  <c r="AL80" i="13"/>
  <c r="F283" i="16"/>
  <c r="AX63" i="16"/>
  <c r="E284" i="16"/>
  <c r="AW64" i="16"/>
  <c r="F284" i="16"/>
  <c r="AX64" i="16"/>
  <c r="E285" i="16"/>
  <c r="AW65" i="16"/>
  <c r="F285" i="16"/>
  <c r="AX65" i="16"/>
  <c r="E286" i="16"/>
  <c r="AW66" i="16"/>
  <c r="F286" i="16"/>
  <c r="AX66" i="16"/>
  <c r="E287" i="16"/>
  <c r="AW67" i="16"/>
  <c r="F287" i="16"/>
  <c r="AX67" i="16"/>
  <c r="E288" i="16"/>
  <c r="AW68" i="16"/>
  <c r="F288" i="16"/>
  <c r="AX68" i="16"/>
  <c r="E289" i="16"/>
  <c r="AY63" i="16"/>
  <c r="F289" i="16"/>
  <c r="AZ63" i="16"/>
  <c r="E290" i="16"/>
  <c r="AY64" i="16"/>
  <c r="F290" i="16"/>
  <c r="AZ64" i="16"/>
  <c r="E291" i="16"/>
  <c r="AY65" i="16"/>
  <c r="F291" i="16"/>
  <c r="AZ65" i="16"/>
  <c r="E292" i="16"/>
  <c r="AY66" i="16"/>
  <c r="F292" i="16"/>
  <c r="AZ66" i="16"/>
  <c r="E293" i="16"/>
  <c r="AY67" i="16"/>
  <c r="F293" i="16"/>
  <c r="AZ67" i="16"/>
  <c r="E294" i="16"/>
  <c r="AY68" i="16"/>
  <c r="F294" i="16"/>
  <c r="AZ68" i="16"/>
  <c r="F265" i="16"/>
  <c r="AO63" i="16"/>
  <c r="E265" i="16"/>
  <c r="AN63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BA63" i="16"/>
  <c r="D284" i="16"/>
  <c r="D285" i="16"/>
  <c r="D286" i="16"/>
  <c r="D287" i="16"/>
  <c r="D288" i="16"/>
  <c r="D289" i="16"/>
  <c r="D290" i="16"/>
  <c r="D291" i="16"/>
  <c r="D292" i="16"/>
  <c r="D293" i="16"/>
  <c r="D294" i="16"/>
  <c r="A67" i="52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AJ10" i="135"/>
  <c r="AI10" i="135"/>
  <c r="AH10" i="135"/>
  <c r="AG10" i="135"/>
  <c r="AF10" i="135"/>
  <c r="AE10" i="135"/>
  <c r="AD10" i="135"/>
  <c r="AC10" i="135"/>
  <c r="AB10" i="135"/>
  <c r="AA10" i="135"/>
  <c r="Z10" i="135"/>
  <c r="Y10" i="135"/>
  <c r="X10" i="135"/>
  <c r="W10" i="135"/>
  <c r="V10" i="135"/>
  <c r="W11" i="135"/>
  <c r="X11" i="135"/>
  <c r="Y11" i="135"/>
  <c r="Z11" i="135"/>
  <c r="AA11" i="135"/>
  <c r="AB11" i="135"/>
  <c r="AC11" i="135"/>
  <c r="AD11" i="135"/>
  <c r="AE11" i="135"/>
  <c r="AF11" i="135"/>
  <c r="AG11" i="135"/>
  <c r="AH11" i="135"/>
  <c r="AI11" i="135"/>
  <c r="AJ11" i="135"/>
  <c r="V11" i="135"/>
  <c r="CK50" i="118"/>
  <c r="CJ50" i="118"/>
  <c r="CI50" i="118"/>
  <c r="CH50" i="118"/>
  <c r="CG50" i="118"/>
  <c r="CF50" i="118"/>
  <c r="CE50" i="118"/>
  <c r="CD50" i="118"/>
  <c r="CC50" i="118"/>
  <c r="CB50" i="118"/>
  <c r="CA50" i="118"/>
  <c r="BZ50" i="118"/>
  <c r="BY50" i="118"/>
  <c r="BX50" i="118"/>
  <c r="BW50" i="118"/>
  <c r="CK49" i="118"/>
  <c r="CJ49" i="118"/>
  <c r="CI49" i="118"/>
  <c r="CH49" i="118"/>
  <c r="CG49" i="118"/>
  <c r="CF49" i="118"/>
  <c r="CE49" i="118"/>
  <c r="CD49" i="118"/>
  <c r="CC49" i="118"/>
  <c r="CB49" i="118"/>
  <c r="CA49" i="118"/>
  <c r="BZ49" i="118"/>
  <c r="BY49" i="118"/>
  <c r="BX49" i="118"/>
  <c r="BW49" i="118"/>
  <c r="CK48" i="118"/>
  <c r="CJ48" i="118"/>
  <c r="CI48" i="118"/>
  <c r="CH48" i="118"/>
  <c r="CG48" i="118"/>
  <c r="CF48" i="118"/>
  <c r="CE48" i="118"/>
  <c r="CD48" i="118"/>
  <c r="CC48" i="118"/>
  <c r="CB48" i="118"/>
  <c r="CA48" i="118"/>
  <c r="BZ48" i="118"/>
  <c r="BY48" i="118"/>
  <c r="BX48" i="118"/>
  <c r="BW48" i="118"/>
  <c r="CK47" i="118"/>
  <c r="CJ47" i="118"/>
  <c r="CI47" i="118"/>
  <c r="CH47" i="118"/>
  <c r="CG47" i="118"/>
  <c r="CF47" i="118"/>
  <c r="CE47" i="118"/>
  <c r="CD47" i="118"/>
  <c r="CC47" i="118"/>
  <c r="CB47" i="118"/>
  <c r="CA47" i="118"/>
  <c r="BZ47" i="118"/>
  <c r="BY47" i="118"/>
  <c r="BX47" i="118"/>
  <c r="BW47" i="118"/>
  <c r="CK46" i="118"/>
  <c r="CJ46" i="118"/>
  <c r="CI46" i="118"/>
  <c r="CH46" i="118"/>
  <c r="CG46" i="118"/>
  <c r="CF46" i="118"/>
  <c r="CE46" i="118"/>
  <c r="CD46" i="118"/>
  <c r="CC46" i="118"/>
  <c r="CB46" i="118"/>
  <c r="CA46" i="118"/>
  <c r="BZ46" i="118"/>
  <c r="BY46" i="118"/>
  <c r="BX46" i="118"/>
  <c r="BW46" i="118"/>
  <c r="CK45" i="118"/>
  <c r="CJ45" i="118"/>
  <c r="CI45" i="118"/>
  <c r="CH45" i="118"/>
  <c r="CG45" i="118"/>
  <c r="CF45" i="118"/>
  <c r="CE45" i="118"/>
  <c r="CD45" i="118"/>
  <c r="CC45" i="118"/>
  <c r="CB45" i="118"/>
  <c r="CA45" i="118"/>
  <c r="BZ45" i="118"/>
  <c r="BY45" i="118"/>
  <c r="BX45" i="118"/>
  <c r="BW45" i="118"/>
  <c r="CK44" i="118"/>
  <c r="CJ44" i="118"/>
  <c r="CI44" i="118"/>
  <c r="CH44" i="118"/>
  <c r="CG44" i="118"/>
  <c r="CF44" i="118"/>
  <c r="CE44" i="118"/>
  <c r="CD44" i="118"/>
  <c r="CC44" i="118"/>
  <c r="CB44" i="118"/>
  <c r="CA44" i="118"/>
  <c r="BZ44" i="118"/>
  <c r="BY44" i="118"/>
  <c r="BX44" i="118"/>
  <c r="BW44" i="118"/>
  <c r="CK43" i="118"/>
  <c r="CJ43" i="118"/>
  <c r="CI43" i="118"/>
  <c r="CH43" i="118"/>
  <c r="CG43" i="118"/>
  <c r="CF43" i="118"/>
  <c r="CE43" i="118"/>
  <c r="CD43" i="118"/>
  <c r="CC43" i="118"/>
  <c r="CB43" i="118"/>
  <c r="CA43" i="118"/>
  <c r="BZ43" i="118"/>
  <c r="BY43" i="118"/>
  <c r="BX43" i="118"/>
  <c r="BW43" i="118"/>
  <c r="CK42" i="118"/>
  <c r="CJ42" i="118"/>
  <c r="CI42" i="118"/>
  <c r="CH42" i="118"/>
  <c r="CG42" i="118"/>
  <c r="CF42" i="118"/>
  <c r="CE42" i="118"/>
  <c r="CD42" i="118"/>
  <c r="CC42" i="118"/>
  <c r="CB42" i="118"/>
  <c r="CA42" i="118"/>
  <c r="BZ42" i="118"/>
  <c r="BY42" i="118"/>
  <c r="BX42" i="118"/>
  <c r="BW42" i="118"/>
  <c r="CK41" i="118"/>
  <c r="CJ41" i="118"/>
  <c r="CI41" i="118"/>
  <c r="CH41" i="118"/>
  <c r="CG41" i="118"/>
  <c r="CF41" i="118"/>
  <c r="CE41" i="118"/>
  <c r="CD41" i="118"/>
  <c r="CC41" i="118"/>
  <c r="CB41" i="118"/>
  <c r="CA41" i="118"/>
  <c r="BZ41" i="118"/>
  <c r="BY41" i="118"/>
  <c r="BX41" i="118"/>
  <c r="BW41" i="118"/>
  <c r="CK40" i="118"/>
  <c r="CJ40" i="118"/>
  <c r="CI40" i="118"/>
  <c r="CH40" i="118"/>
  <c r="CG40" i="118"/>
  <c r="CF40" i="118"/>
  <c r="CE40" i="118"/>
  <c r="CD40" i="118"/>
  <c r="CC40" i="118"/>
  <c r="CB40" i="118"/>
  <c r="CA40" i="118"/>
  <c r="BZ40" i="118"/>
  <c r="BY40" i="118"/>
  <c r="BX40" i="118"/>
  <c r="BW40" i="118"/>
  <c r="CK39" i="118"/>
  <c r="CJ39" i="118"/>
  <c r="CI39" i="118"/>
  <c r="CH39" i="118"/>
  <c r="CG39" i="118"/>
  <c r="CF39" i="118"/>
  <c r="CE39" i="118"/>
  <c r="CD39" i="118"/>
  <c r="CC39" i="118"/>
  <c r="CB39" i="118"/>
  <c r="CA39" i="118"/>
  <c r="BZ39" i="118"/>
  <c r="BY39" i="118"/>
  <c r="BX39" i="118"/>
  <c r="BW39" i="118"/>
  <c r="CK38" i="118"/>
  <c r="CJ38" i="118"/>
  <c r="CI38" i="118"/>
  <c r="CH38" i="118"/>
  <c r="CG38" i="118"/>
  <c r="CF38" i="118"/>
  <c r="CE38" i="118"/>
  <c r="CD38" i="118"/>
  <c r="CC38" i="118"/>
  <c r="CB38" i="118"/>
  <c r="CA38" i="118"/>
  <c r="BZ38" i="118"/>
  <c r="BY38" i="118"/>
  <c r="BX38" i="118"/>
  <c r="BW38" i="118"/>
  <c r="CK37" i="118"/>
  <c r="CJ37" i="118"/>
  <c r="CI37" i="118"/>
  <c r="CH37" i="118"/>
  <c r="CG37" i="118"/>
  <c r="CF37" i="118"/>
  <c r="CE37" i="118"/>
  <c r="CD37" i="118"/>
  <c r="CC37" i="118"/>
  <c r="CB37" i="118"/>
  <c r="CA37" i="118"/>
  <c r="BZ37" i="118"/>
  <c r="BY37" i="118"/>
  <c r="BX37" i="118"/>
  <c r="BW37" i="118"/>
  <c r="CK36" i="118"/>
  <c r="CJ36" i="118"/>
  <c r="CI36" i="118"/>
  <c r="CH36" i="118"/>
  <c r="CG36" i="118"/>
  <c r="CF36" i="118"/>
  <c r="CE36" i="118"/>
  <c r="CD36" i="118"/>
  <c r="CC36" i="118"/>
  <c r="CB36" i="118"/>
  <c r="CA36" i="118"/>
  <c r="BZ36" i="118"/>
  <c r="BY36" i="118"/>
  <c r="BX36" i="118"/>
  <c r="BW36" i="118"/>
  <c r="CK35" i="118"/>
  <c r="CJ35" i="118"/>
  <c r="CI35" i="118"/>
  <c r="CH35" i="118"/>
  <c r="CG35" i="118"/>
  <c r="CF35" i="118"/>
  <c r="CE35" i="118"/>
  <c r="CD35" i="118"/>
  <c r="CC35" i="118"/>
  <c r="CB35" i="118"/>
  <c r="CA35" i="118"/>
  <c r="BZ35" i="118"/>
  <c r="BY35" i="118"/>
  <c r="BX35" i="118"/>
  <c r="BW35" i="118"/>
  <c r="CK34" i="118"/>
  <c r="CJ34" i="118"/>
  <c r="CI34" i="118"/>
  <c r="CH34" i="118"/>
  <c r="CG34" i="118"/>
  <c r="CF34" i="118"/>
  <c r="CE34" i="118"/>
  <c r="CD34" i="118"/>
  <c r="CC34" i="118"/>
  <c r="CB34" i="118"/>
  <c r="CA34" i="118"/>
  <c r="BZ34" i="118"/>
  <c r="BY34" i="118"/>
  <c r="BX34" i="118"/>
  <c r="BW34" i="118"/>
  <c r="CK33" i="118"/>
  <c r="CJ33" i="118"/>
  <c r="CI33" i="118"/>
  <c r="CH33" i="118"/>
  <c r="CG33" i="118"/>
  <c r="CF33" i="118"/>
  <c r="CE33" i="118"/>
  <c r="CD33" i="118"/>
  <c r="CC33" i="118"/>
  <c r="CB33" i="118"/>
  <c r="CA33" i="118"/>
  <c r="BZ33" i="118"/>
  <c r="BY33" i="118"/>
  <c r="BX33" i="118"/>
  <c r="BW33" i="118"/>
  <c r="CK32" i="118"/>
  <c r="CJ32" i="118"/>
  <c r="CI32" i="118"/>
  <c r="CH32" i="118"/>
  <c r="CG32" i="118"/>
  <c r="CF32" i="118"/>
  <c r="CE32" i="118"/>
  <c r="CD32" i="118"/>
  <c r="CC32" i="118"/>
  <c r="CB32" i="118"/>
  <c r="CA32" i="118"/>
  <c r="BZ32" i="118"/>
  <c r="BY32" i="118"/>
  <c r="BX32" i="118"/>
  <c r="BW32" i="118"/>
  <c r="CK31" i="118"/>
  <c r="CJ31" i="118"/>
  <c r="CI31" i="118"/>
  <c r="CH31" i="118"/>
  <c r="CG31" i="118"/>
  <c r="CF31" i="118"/>
  <c r="CE31" i="118"/>
  <c r="CD31" i="118"/>
  <c r="CC31" i="118"/>
  <c r="CB31" i="118"/>
  <c r="CA31" i="118"/>
  <c r="BZ31" i="118"/>
  <c r="BY31" i="118"/>
  <c r="BX31" i="118"/>
  <c r="BW31" i="118"/>
  <c r="CK30" i="118"/>
  <c r="CJ30" i="118"/>
  <c r="CI30" i="118"/>
  <c r="CH30" i="118"/>
  <c r="CG30" i="118"/>
  <c r="CF30" i="118"/>
  <c r="CE30" i="118"/>
  <c r="CD30" i="118"/>
  <c r="CC30" i="118"/>
  <c r="CB30" i="118"/>
  <c r="CA30" i="118"/>
  <c r="BZ30" i="118"/>
  <c r="BY30" i="118"/>
  <c r="BX30" i="118"/>
  <c r="BW30" i="118"/>
  <c r="CK29" i="118"/>
  <c r="CJ29" i="118"/>
  <c r="CI29" i="118"/>
  <c r="CH29" i="118"/>
  <c r="CG29" i="118"/>
  <c r="CF29" i="118"/>
  <c r="CE29" i="118"/>
  <c r="CD29" i="118"/>
  <c r="CC29" i="118"/>
  <c r="CB29" i="118"/>
  <c r="CA29" i="118"/>
  <c r="BZ29" i="118"/>
  <c r="BY29" i="118"/>
  <c r="BX29" i="118"/>
  <c r="BW29" i="118"/>
  <c r="CK28" i="118"/>
  <c r="CJ28" i="118"/>
  <c r="CI28" i="118"/>
  <c r="CH28" i="118"/>
  <c r="CG28" i="118"/>
  <c r="CF28" i="118"/>
  <c r="CE28" i="118"/>
  <c r="CD28" i="118"/>
  <c r="CC28" i="118"/>
  <c r="CB28" i="118"/>
  <c r="CA28" i="118"/>
  <c r="BZ28" i="118"/>
  <c r="BY28" i="118"/>
  <c r="BX28" i="118"/>
  <c r="BW28" i="118"/>
  <c r="CK27" i="118"/>
  <c r="CJ27" i="118"/>
  <c r="CI27" i="118"/>
  <c r="CH27" i="118"/>
  <c r="CG27" i="118"/>
  <c r="CF27" i="118"/>
  <c r="CE27" i="118"/>
  <c r="CD27" i="118"/>
  <c r="CC27" i="118"/>
  <c r="CB27" i="118"/>
  <c r="CA27" i="118"/>
  <c r="BZ27" i="118"/>
  <c r="BY27" i="118"/>
  <c r="BX27" i="118"/>
  <c r="BW27" i="118"/>
  <c r="CK26" i="118"/>
  <c r="CJ26" i="118"/>
  <c r="CI26" i="118"/>
  <c r="CH26" i="118"/>
  <c r="CG26" i="118"/>
  <c r="CF26" i="118"/>
  <c r="CE26" i="118"/>
  <c r="CD26" i="118"/>
  <c r="CC26" i="118"/>
  <c r="CB26" i="118"/>
  <c r="CA26" i="118"/>
  <c r="BZ26" i="118"/>
  <c r="BY26" i="118"/>
  <c r="BX26" i="118"/>
  <c r="BW26" i="118"/>
  <c r="CK25" i="118"/>
  <c r="CJ25" i="118"/>
  <c r="CI25" i="118"/>
  <c r="CH25" i="118"/>
  <c r="CG25" i="118"/>
  <c r="CF25" i="118"/>
  <c r="CE25" i="118"/>
  <c r="CD25" i="118"/>
  <c r="CC25" i="118"/>
  <c r="CB25" i="118"/>
  <c r="CA25" i="118"/>
  <c r="BZ25" i="118"/>
  <c r="BY25" i="118"/>
  <c r="BX25" i="118"/>
  <c r="BW25" i="118"/>
  <c r="CK24" i="118"/>
  <c r="CJ24" i="118"/>
  <c r="CI24" i="118"/>
  <c r="CH24" i="118"/>
  <c r="CG24" i="118"/>
  <c r="CF24" i="118"/>
  <c r="CE24" i="118"/>
  <c r="CD24" i="118"/>
  <c r="CC24" i="118"/>
  <c r="CB24" i="118"/>
  <c r="CA24" i="118"/>
  <c r="BZ24" i="118"/>
  <c r="BY24" i="118"/>
  <c r="BX24" i="118"/>
  <c r="BW24" i="118"/>
  <c r="CK23" i="118"/>
  <c r="CJ23" i="118"/>
  <c r="CI23" i="118"/>
  <c r="CH23" i="118"/>
  <c r="CG23" i="118"/>
  <c r="CF23" i="118"/>
  <c r="CE23" i="118"/>
  <c r="CD23" i="118"/>
  <c r="CC23" i="118"/>
  <c r="CB23" i="118"/>
  <c r="CA23" i="118"/>
  <c r="BZ23" i="118"/>
  <c r="BY23" i="118"/>
  <c r="BX23" i="118"/>
  <c r="BW23" i="118"/>
  <c r="CK22" i="118"/>
  <c r="CJ22" i="118"/>
  <c r="CI22" i="118"/>
  <c r="CH22" i="118"/>
  <c r="CG22" i="118"/>
  <c r="CF22" i="118"/>
  <c r="CE22" i="118"/>
  <c r="CD22" i="118"/>
  <c r="CC22" i="118"/>
  <c r="CB22" i="118"/>
  <c r="CA22" i="118"/>
  <c r="BZ22" i="118"/>
  <c r="BY22" i="118"/>
  <c r="BX22" i="118"/>
  <c r="BW22" i="118"/>
  <c r="CK21" i="118"/>
  <c r="CJ21" i="118"/>
  <c r="CI21" i="118"/>
  <c r="CH21" i="118"/>
  <c r="CG21" i="118"/>
  <c r="CF21" i="118"/>
  <c r="CE21" i="118"/>
  <c r="CD21" i="118"/>
  <c r="CC21" i="118"/>
  <c r="CB21" i="118"/>
  <c r="CA21" i="118"/>
  <c r="BZ21" i="118"/>
  <c r="BY21" i="118"/>
  <c r="BX21" i="118"/>
  <c r="BW21" i="118"/>
  <c r="CK20" i="118"/>
  <c r="CJ20" i="118"/>
  <c r="CI20" i="118"/>
  <c r="CH20" i="118"/>
  <c r="CG20" i="118"/>
  <c r="CF20" i="118"/>
  <c r="CE20" i="118"/>
  <c r="CD20" i="118"/>
  <c r="CC20" i="118"/>
  <c r="CB20" i="118"/>
  <c r="CA20" i="118"/>
  <c r="BZ20" i="118"/>
  <c r="BY20" i="118"/>
  <c r="BX20" i="118"/>
  <c r="BW20" i="118"/>
  <c r="CK19" i="118"/>
  <c r="CJ19" i="118"/>
  <c r="CI19" i="118"/>
  <c r="CH19" i="118"/>
  <c r="CG19" i="118"/>
  <c r="CF19" i="118"/>
  <c r="CE19" i="118"/>
  <c r="CD19" i="118"/>
  <c r="CC19" i="118"/>
  <c r="CB19" i="118"/>
  <c r="CA19" i="118"/>
  <c r="BZ19" i="118"/>
  <c r="BY19" i="118"/>
  <c r="BX19" i="118"/>
  <c r="BW19" i="118"/>
  <c r="CK18" i="118"/>
  <c r="CJ18" i="118"/>
  <c r="CI18" i="118"/>
  <c r="CH18" i="118"/>
  <c r="CG18" i="118"/>
  <c r="CF18" i="118"/>
  <c r="CE18" i="118"/>
  <c r="CD18" i="118"/>
  <c r="CC18" i="118"/>
  <c r="CB18" i="118"/>
  <c r="CA18" i="118"/>
  <c r="BZ18" i="118"/>
  <c r="BY18" i="118"/>
  <c r="BX18" i="118"/>
  <c r="BW18" i="118"/>
  <c r="CK17" i="118"/>
  <c r="CJ17" i="118"/>
  <c r="CI17" i="118"/>
  <c r="CH17" i="118"/>
  <c r="CG17" i="118"/>
  <c r="CF17" i="118"/>
  <c r="CE17" i="118"/>
  <c r="CD17" i="118"/>
  <c r="CC17" i="118"/>
  <c r="CB17" i="118"/>
  <c r="CA17" i="118"/>
  <c r="BZ17" i="118"/>
  <c r="BY17" i="118"/>
  <c r="BX17" i="118"/>
  <c r="BW17" i="118"/>
  <c r="CK16" i="118"/>
  <c r="CJ16" i="118"/>
  <c r="CI16" i="118"/>
  <c r="CH16" i="118"/>
  <c r="CG16" i="118"/>
  <c r="CF16" i="118"/>
  <c r="CE16" i="118"/>
  <c r="CD16" i="118"/>
  <c r="CC16" i="118"/>
  <c r="CB16" i="118"/>
  <c r="CA16" i="118"/>
  <c r="BZ16" i="118"/>
  <c r="BY16" i="118"/>
  <c r="BX16" i="118"/>
  <c r="BW16" i="118"/>
  <c r="CK15" i="118"/>
  <c r="CJ15" i="118"/>
  <c r="CI15" i="118"/>
  <c r="CH15" i="118"/>
  <c r="CG15" i="118"/>
  <c r="CF15" i="118"/>
  <c r="CE15" i="118"/>
  <c r="CD15" i="118"/>
  <c r="CC15" i="118"/>
  <c r="CB15" i="118"/>
  <c r="CA15" i="118"/>
  <c r="BZ15" i="118"/>
  <c r="BY15" i="118"/>
  <c r="BX15" i="118"/>
  <c r="BW15" i="118"/>
  <c r="CK14" i="118"/>
  <c r="CJ14" i="118"/>
  <c r="CI14" i="118"/>
  <c r="CH14" i="118"/>
  <c r="CG14" i="118"/>
  <c r="CF14" i="118"/>
  <c r="CE14" i="118"/>
  <c r="CD14" i="118"/>
  <c r="CC14" i="118"/>
  <c r="CB14" i="118"/>
  <c r="CA14" i="118"/>
  <c r="BZ14" i="118"/>
  <c r="BY14" i="118"/>
  <c r="BX14" i="118"/>
  <c r="BW14" i="118"/>
  <c r="CK13" i="118"/>
  <c r="CJ13" i="118"/>
  <c r="CI13" i="118"/>
  <c r="CH13" i="118"/>
  <c r="CG13" i="118"/>
  <c r="CF13" i="118"/>
  <c r="CE13" i="118"/>
  <c r="CD13" i="118"/>
  <c r="CC13" i="118"/>
  <c r="CB13" i="118"/>
  <c r="CA13" i="118"/>
  <c r="BZ13" i="118"/>
  <c r="BY13" i="118"/>
  <c r="BX13" i="118"/>
  <c r="BW13" i="118"/>
  <c r="CK12" i="118"/>
  <c r="CJ12" i="118"/>
  <c r="CI12" i="118"/>
  <c r="CH12" i="118"/>
  <c r="CG12" i="118"/>
  <c r="CF12" i="118"/>
  <c r="CE12" i="118"/>
  <c r="CD12" i="118"/>
  <c r="CC12" i="118"/>
  <c r="CB12" i="118"/>
  <c r="CA12" i="118"/>
  <c r="BZ12" i="118"/>
  <c r="BY12" i="118"/>
  <c r="BX12" i="118"/>
  <c r="BW12" i="118"/>
  <c r="CK11" i="118"/>
  <c r="CJ11" i="118"/>
  <c r="CI11" i="118"/>
  <c r="CH11" i="118"/>
  <c r="CG11" i="118"/>
  <c r="CF11" i="118"/>
  <c r="CE11" i="118"/>
  <c r="CD11" i="118"/>
  <c r="CC11" i="118"/>
  <c r="CB11" i="118"/>
  <c r="CA11" i="118"/>
  <c r="BZ11" i="118"/>
  <c r="BY11" i="118"/>
  <c r="BX11" i="118"/>
  <c r="BW11" i="118"/>
  <c r="CK10" i="118"/>
  <c r="CJ10" i="118"/>
  <c r="CI10" i="118"/>
  <c r="CH10" i="118"/>
  <c r="CG10" i="118"/>
  <c r="CF10" i="118"/>
  <c r="CE10" i="118"/>
  <c r="CD10" i="118"/>
  <c r="CC10" i="118"/>
  <c r="CB10" i="118"/>
  <c r="CA10" i="118"/>
  <c r="BZ10" i="118"/>
  <c r="BY10" i="118"/>
  <c r="BX10" i="118"/>
  <c r="BW10" i="118"/>
  <c r="CK9" i="118"/>
  <c r="CJ9" i="118"/>
  <c r="CI9" i="118"/>
  <c r="CH9" i="118"/>
  <c r="CG9" i="118"/>
  <c r="CF9" i="118"/>
  <c r="CE9" i="118"/>
  <c r="CD9" i="118"/>
  <c r="CC9" i="118"/>
  <c r="CB9" i="118"/>
  <c r="CA9" i="118"/>
  <c r="BZ9" i="118"/>
  <c r="BY9" i="118"/>
  <c r="BX9" i="118"/>
  <c r="BW9" i="118"/>
  <c r="CK8" i="118"/>
  <c r="CJ8" i="118"/>
  <c r="CI8" i="118"/>
  <c r="CH8" i="118"/>
  <c r="CG8" i="118"/>
  <c r="CF8" i="118"/>
  <c r="CE8" i="118"/>
  <c r="CD8" i="118"/>
  <c r="CC8" i="118"/>
  <c r="CB8" i="118"/>
  <c r="CA8" i="118"/>
  <c r="BZ8" i="118"/>
  <c r="BY8" i="118"/>
  <c r="BX8" i="118"/>
  <c r="BW8" i="118"/>
  <c r="CK7" i="118"/>
  <c r="CJ7" i="118"/>
  <c r="CI7" i="118"/>
  <c r="CH7" i="118"/>
  <c r="CG7" i="118"/>
  <c r="CF7" i="118"/>
  <c r="CE7" i="118"/>
  <c r="CD7" i="118"/>
  <c r="CC7" i="118"/>
  <c r="CB7" i="118"/>
  <c r="CA7" i="118"/>
  <c r="BZ7" i="118"/>
  <c r="BY7" i="118"/>
  <c r="BX7" i="118"/>
  <c r="BW7" i="118"/>
  <c r="CK6" i="118"/>
  <c r="CJ6" i="118"/>
  <c r="CI6" i="118"/>
  <c r="CH6" i="118"/>
  <c r="CG6" i="118"/>
  <c r="CF6" i="118"/>
  <c r="CE6" i="118"/>
  <c r="CD6" i="118"/>
  <c r="CC6" i="118"/>
  <c r="CB6" i="118"/>
  <c r="CA6" i="118"/>
  <c r="BZ6" i="118"/>
  <c r="BY6" i="118"/>
  <c r="BX6" i="118"/>
  <c r="BW6" i="118"/>
  <c r="CK5" i="118"/>
  <c r="CJ5" i="118"/>
  <c r="CI5" i="118"/>
  <c r="CH5" i="118"/>
  <c r="CG5" i="118"/>
  <c r="CF5" i="118"/>
  <c r="CE5" i="118"/>
  <c r="CD5" i="118"/>
  <c r="CC5" i="118"/>
  <c r="CB5" i="118"/>
  <c r="CA5" i="118"/>
  <c r="BZ5" i="118"/>
  <c r="BY5" i="118"/>
  <c r="BX5" i="118"/>
  <c r="BW5" i="118"/>
  <c r="CK4" i="118"/>
  <c r="CJ4" i="118"/>
  <c r="CI4" i="118"/>
  <c r="CH4" i="118"/>
  <c r="CG4" i="118"/>
  <c r="CF4" i="118"/>
  <c r="CE4" i="118"/>
  <c r="CD4" i="118"/>
  <c r="CC4" i="118"/>
  <c r="CB4" i="118"/>
  <c r="CA4" i="118"/>
  <c r="BZ4" i="118"/>
  <c r="BY4" i="118"/>
  <c r="BX4" i="118"/>
  <c r="BW4" i="118"/>
  <c r="F12" i="135"/>
  <c r="F19" i="135"/>
  <c r="B41" i="135"/>
  <c r="I41" i="135"/>
  <c r="B42" i="135"/>
  <c r="G42" i="135"/>
  <c r="B43" i="135"/>
  <c r="F43" i="135"/>
  <c r="B44" i="135"/>
  <c r="B45" i="135"/>
  <c r="B46" i="135"/>
  <c r="B47" i="135"/>
  <c r="O47" i="135"/>
  <c r="B48" i="135"/>
  <c r="D48" i="135"/>
  <c r="B49" i="135"/>
  <c r="B50" i="135"/>
  <c r="I50" i="135"/>
  <c r="B51" i="135"/>
  <c r="B52" i="135"/>
  <c r="B53" i="135"/>
  <c r="B54" i="135"/>
  <c r="H54" i="135"/>
  <c r="B55" i="135"/>
  <c r="G55" i="135"/>
  <c r="B56" i="135"/>
  <c r="R56" i="135"/>
  <c r="B57" i="135"/>
  <c r="B58" i="135"/>
  <c r="K58" i="135"/>
  <c r="B59" i="135"/>
  <c r="B60" i="135"/>
  <c r="B40" i="135"/>
  <c r="C41" i="135"/>
  <c r="U53" i="135"/>
  <c r="AM53" i="135"/>
  <c r="C42" i="135"/>
  <c r="C43" i="135"/>
  <c r="U55" i="135"/>
  <c r="AM55" i="135"/>
  <c r="C44" i="135"/>
  <c r="C45" i="135"/>
  <c r="U57" i="135"/>
  <c r="AM57" i="135"/>
  <c r="C46" i="135"/>
  <c r="U58" i="135"/>
  <c r="AM58" i="135"/>
  <c r="C47" i="135"/>
  <c r="C48" i="135"/>
  <c r="C49" i="135"/>
  <c r="U61" i="135"/>
  <c r="AM61" i="135"/>
  <c r="C50" i="135"/>
  <c r="U62" i="135"/>
  <c r="AM62" i="135"/>
  <c r="C51" i="135"/>
  <c r="U63" i="135"/>
  <c r="AM63" i="135"/>
  <c r="C52" i="135"/>
  <c r="C53" i="135"/>
  <c r="U65" i="135"/>
  <c r="AM65" i="135"/>
  <c r="C54" i="135"/>
  <c r="U66" i="135"/>
  <c r="AM66" i="135"/>
  <c r="C55" i="135"/>
  <c r="C56" i="135"/>
  <c r="C57" i="135"/>
  <c r="U69" i="135"/>
  <c r="AM69" i="135"/>
  <c r="C58" i="135"/>
  <c r="C59" i="135"/>
  <c r="U71" i="135"/>
  <c r="AM71" i="135"/>
  <c r="C60" i="135"/>
  <c r="C40" i="135"/>
  <c r="D32" i="135"/>
  <c r="E32" i="135"/>
  <c r="F32" i="135"/>
  <c r="G32" i="135"/>
  <c r="H32" i="135"/>
  <c r="I32" i="135"/>
  <c r="J32" i="135"/>
  <c r="K32" i="135"/>
  <c r="L32" i="135"/>
  <c r="M32" i="135"/>
  <c r="N32" i="135"/>
  <c r="O32" i="135"/>
  <c r="P32" i="135"/>
  <c r="Q32" i="135"/>
  <c r="R32" i="135"/>
  <c r="B128" i="135"/>
  <c r="M128" i="135"/>
  <c r="B129" i="135"/>
  <c r="M129" i="135"/>
  <c r="B130" i="135"/>
  <c r="I130" i="135"/>
  <c r="B131" i="135"/>
  <c r="D131" i="135"/>
  <c r="B132" i="135"/>
  <c r="B133" i="135"/>
  <c r="B134" i="135"/>
  <c r="B135" i="135"/>
  <c r="B136" i="135"/>
  <c r="I136" i="135"/>
  <c r="B137" i="135"/>
  <c r="G137" i="135"/>
  <c r="B138" i="135"/>
  <c r="D138" i="135"/>
  <c r="B139" i="135"/>
  <c r="P139" i="135"/>
  <c r="B140" i="135"/>
  <c r="B141" i="135"/>
  <c r="B142" i="135"/>
  <c r="E142" i="135"/>
  <c r="B143" i="135"/>
  <c r="B144" i="135"/>
  <c r="E144" i="135"/>
  <c r="B145" i="135"/>
  <c r="B146" i="135"/>
  <c r="B147" i="135"/>
  <c r="N147" i="135"/>
  <c r="B127" i="135"/>
  <c r="C128" i="135"/>
  <c r="C150" i="135"/>
  <c r="T149" i="135"/>
  <c r="C129" i="135"/>
  <c r="C151" i="135"/>
  <c r="T150" i="135"/>
  <c r="C130" i="135"/>
  <c r="C152" i="135"/>
  <c r="T151" i="135"/>
  <c r="C131" i="135"/>
  <c r="C153" i="135"/>
  <c r="T152" i="135"/>
  <c r="C132" i="135"/>
  <c r="C154" i="135"/>
  <c r="T153" i="135"/>
  <c r="C133" i="135"/>
  <c r="C155" i="135"/>
  <c r="T154" i="135"/>
  <c r="C134" i="135"/>
  <c r="C156" i="135"/>
  <c r="T155" i="135"/>
  <c r="C135" i="135"/>
  <c r="C157" i="135"/>
  <c r="T156" i="135"/>
  <c r="C136" i="135"/>
  <c r="C158" i="135"/>
  <c r="T157" i="135"/>
  <c r="C137" i="135"/>
  <c r="C159" i="135"/>
  <c r="T158" i="135"/>
  <c r="C138" i="135"/>
  <c r="C160" i="135"/>
  <c r="T159" i="135"/>
  <c r="C139" i="135"/>
  <c r="C161" i="135"/>
  <c r="T160" i="135"/>
  <c r="C140" i="135"/>
  <c r="C162" i="135"/>
  <c r="T161" i="135"/>
  <c r="C141" i="135"/>
  <c r="C163" i="135"/>
  <c r="T162" i="135"/>
  <c r="C142" i="135"/>
  <c r="C164" i="135"/>
  <c r="T163" i="135"/>
  <c r="C143" i="135"/>
  <c r="C165" i="135"/>
  <c r="T164" i="135"/>
  <c r="C144" i="135"/>
  <c r="C166" i="135"/>
  <c r="T165" i="135"/>
  <c r="C145" i="135"/>
  <c r="C167" i="135"/>
  <c r="T166" i="135"/>
  <c r="C146" i="135"/>
  <c r="C168" i="135"/>
  <c r="T167" i="135"/>
  <c r="C147" i="135"/>
  <c r="C169" i="135"/>
  <c r="T168" i="135"/>
  <c r="C127" i="135"/>
  <c r="C149" i="135"/>
  <c r="T148" i="135"/>
  <c r="D120" i="135"/>
  <c r="E120" i="135"/>
  <c r="F120" i="135"/>
  <c r="G120" i="135"/>
  <c r="H120" i="135"/>
  <c r="I120" i="135"/>
  <c r="J120" i="135"/>
  <c r="K120" i="135"/>
  <c r="L120" i="135"/>
  <c r="M120" i="135"/>
  <c r="N120" i="135"/>
  <c r="O120" i="135"/>
  <c r="P120" i="135"/>
  <c r="Q120" i="135"/>
  <c r="R120" i="135"/>
  <c r="B111" i="135"/>
  <c r="E10" i="135"/>
  <c r="F10" i="135"/>
  <c r="G10" i="135"/>
  <c r="M7" i="145"/>
  <c r="H10" i="135"/>
  <c r="I10" i="135"/>
  <c r="J10" i="135"/>
  <c r="K10" i="135"/>
  <c r="L10" i="135"/>
  <c r="M10" i="135"/>
  <c r="N10" i="135"/>
  <c r="O10" i="135"/>
  <c r="P10" i="135"/>
  <c r="Q10" i="135"/>
  <c r="R10" i="135"/>
  <c r="D10" i="135"/>
  <c r="E9" i="135"/>
  <c r="K6" i="145"/>
  <c r="F9" i="135"/>
  <c r="L6" i="145"/>
  <c r="G9" i="135"/>
  <c r="M6" i="145"/>
  <c r="H9" i="135"/>
  <c r="N6" i="145"/>
  <c r="I9" i="135"/>
  <c r="O6" i="145"/>
  <c r="J9" i="135"/>
  <c r="P6" i="145"/>
  <c r="K9" i="135"/>
  <c r="Q6" i="145"/>
  <c r="L9" i="135"/>
  <c r="R6" i="145"/>
  <c r="M9" i="135"/>
  <c r="S6" i="145"/>
  <c r="N9" i="135"/>
  <c r="T6" i="145"/>
  <c r="O9" i="135"/>
  <c r="U6" i="145"/>
  <c r="P9" i="135"/>
  <c r="V6" i="145"/>
  <c r="Q9" i="135"/>
  <c r="W6" i="145"/>
  <c r="R9" i="135"/>
  <c r="X6" i="145"/>
  <c r="D9" i="135"/>
  <c r="J6" i="145"/>
  <c r="C19" i="135"/>
  <c r="C20" i="135"/>
  <c r="T22" i="135"/>
  <c r="AK22" i="135"/>
  <c r="C21" i="135"/>
  <c r="I60" i="145"/>
  <c r="C22" i="135"/>
  <c r="C23" i="135"/>
  <c r="C30" i="135"/>
  <c r="C37" i="135"/>
  <c r="D7" i="135"/>
  <c r="J4" i="145"/>
  <c r="E7" i="135"/>
  <c r="F7" i="135"/>
  <c r="G7" i="135"/>
  <c r="H7" i="135"/>
  <c r="I7" i="135"/>
  <c r="AA43" i="135"/>
  <c r="J7" i="135"/>
  <c r="AA22" i="135"/>
  <c r="AR22" i="135"/>
  <c r="BH22" i="135"/>
  <c r="K7" i="135"/>
  <c r="L7" i="135"/>
  <c r="AC22" i="135"/>
  <c r="AT22" i="135"/>
  <c r="BJ22" i="135"/>
  <c r="M7" i="135"/>
  <c r="AD25" i="135"/>
  <c r="AU25" i="135"/>
  <c r="BK25" i="135"/>
  <c r="N7" i="135"/>
  <c r="AE23" i="135"/>
  <c r="AV23" i="135"/>
  <c r="BL23" i="135"/>
  <c r="O7" i="135"/>
  <c r="AF22" i="135"/>
  <c r="AW22" i="135"/>
  <c r="BM22" i="135"/>
  <c r="P7" i="135"/>
  <c r="Q7" i="135"/>
  <c r="R7" i="135"/>
  <c r="D12" i="135"/>
  <c r="D19" i="135"/>
  <c r="V12" i="135"/>
  <c r="E12" i="135"/>
  <c r="E19" i="135"/>
  <c r="W12" i="135"/>
  <c r="G12" i="135"/>
  <c r="G19" i="135"/>
  <c r="H12" i="135"/>
  <c r="H19" i="135"/>
  <c r="I12" i="135"/>
  <c r="I19" i="135"/>
  <c r="J12" i="135"/>
  <c r="J19" i="135"/>
  <c r="K12" i="135"/>
  <c r="K19" i="135"/>
  <c r="L12" i="135"/>
  <c r="L19" i="135"/>
  <c r="M12" i="135"/>
  <c r="M19" i="135"/>
  <c r="N12" i="135"/>
  <c r="N19" i="135"/>
  <c r="AF12" i="135"/>
  <c r="O12" i="135"/>
  <c r="O19" i="135"/>
  <c r="P12" i="135"/>
  <c r="P19" i="135"/>
  <c r="Q12" i="135"/>
  <c r="Q19" i="135"/>
  <c r="R12" i="135"/>
  <c r="R19" i="135"/>
  <c r="D13" i="135"/>
  <c r="D20" i="135"/>
  <c r="J58" i="145"/>
  <c r="E13" i="135"/>
  <c r="F13" i="135"/>
  <c r="G13" i="135"/>
  <c r="H13" i="135"/>
  <c r="I13" i="135"/>
  <c r="J13" i="135"/>
  <c r="K13" i="135"/>
  <c r="L13" i="135"/>
  <c r="M13" i="135"/>
  <c r="N13" i="135"/>
  <c r="O13" i="135"/>
  <c r="P13" i="135"/>
  <c r="Q13" i="135"/>
  <c r="R13" i="135"/>
  <c r="D14" i="135"/>
  <c r="D21" i="135"/>
  <c r="J59" i="145"/>
  <c r="E14" i="135"/>
  <c r="F14" i="135"/>
  <c r="G14" i="135"/>
  <c r="H14" i="135"/>
  <c r="I14" i="135"/>
  <c r="J14" i="135"/>
  <c r="K14" i="135"/>
  <c r="L14" i="135"/>
  <c r="M14" i="135"/>
  <c r="N14" i="135"/>
  <c r="O14" i="135"/>
  <c r="P14" i="135"/>
  <c r="Q14" i="135"/>
  <c r="R14" i="135"/>
  <c r="D15" i="135"/>
  <c r="D22" i="135"/>
  <c r="J60" i="145"/>
  <c r="E15" i="135"/>
  <c r="F15" i="135"/>
  <c r="G15" i="135"/>
  <c r="H15" i="135"/>
  <c r="I15" i="135"/>
  <c r="J15" i="135"/>
  <c r="K15" i="135"/>
  <c r="L15" i="135"/>
  <c r="M15" i="135"/>
  <c r="N15" i="135"/>
  <c r="O15" i="135"/>
  <c r="P15" i="135"/>
  <c r="Q15" i="135"/>
  <c r="R15" i="135"/>
  <c r="D16" i="135"/>
  <c r="D23" i="135"/>
  <c r="J61" i="145"/>
  <c r="E16" i="135"/>
  <c r="F16" i="135"/>
  <c r="G16" i="135"/>
  <c r="H16" i="135"/>
  <c r="I16" i="135"/>
  <c r="J16" i="135"/>
  <c r="K16" i="135"/>
  <c r="L16" i="135"/>
  <c r="M16" i="135"/>
  <c r="N16" i="135"/>
  <c r="O16" i="135"/>
  <c r="P16" i="135"/>
  <c r="Q16" i="135"/>
  <c r="R16" i="135"/>
  <c r="A201" i="52"/>
  <c r="A202" i="52"/>
  <c r="A203" i="52"/>
  <c r="A204" i="52"/>
  <c r="A205" i="52"/>
  <c r="A206" i="52"/>
  <c r="A207" i="52"/>
  <c r="A208" i="52"/>
  <c r="A209" i="52"/>
  <c r="A210" i="52"/>
  <c r="A211" i="52"/>
  <c r="A212" i="52"/>
  <c r="A213" i="52"/>
  <c r="A214" i="52"/>
  <c r="A215" i="52"/>
  <c r="A216" i="52"/>
  <c r="A217" i="52"/>
  <c r="A218" i="52"/>
  <c r="A219" i="52"/>
  <c r="A220" i="52"/>
  <c r="A221" i="52"/>
  <c r="A222" i="52"/>
  <c r="A223" i="52"/>
  <c r="A224" i="52"/>
  <c r="A225" i="52"/>
  <c r="A226" i="52"/>
  <c r="A227" i="52"/>
  <c r="A228" i="52"/>
  <c r="A229" i="52"/>
  <c r="A230" i="52"/>
  <c r="A231" i="52"/>
  <c r="A232" i="52"/>
  <c r="A233" i="52"/>
  <c r="A234" i="52"/>
  <c r="A236" i="52"/>
  <c r="A237" i="52"/>
  <c r="A39" i="52"/>
  <c r="A238" i="52"/>
  <c r="A239" i="52"/>
  <c r="A240" i="52"/>
  <c r="A241" i="52"/>
  <c r="A242" i="52"/>
  <c r="A243" i="52"/>
  <c r="A244" i="52"/>
  <c r="A245" i="52"/>
  <c r="A246" i="52"/>
  <c r="A148" i="52"/>
  <c r="A149" i="52"/>
  <c r="A150" i="52"/>
  <c r="A151" i="52"/>
  <c r="A152" i="52"/>
  <c r="A153" i="52"/>
  <c r="A154" i="52"/>
  <c r="A155" i="52"/>
  <c r="A156" i="52"/>
  <c r="A157" i="52"/>
  <c r="A158" i="52"/>
  <c r="A159" i="52"/>
  <c r="A160" i="52"/>
  <c r="A161" i="52"/>
  <c r="A162" i="52"/>
  <c r="A163" i="52"/>
  <c r="A164" i="52"/>
  <c r="A165" i="52"/>
  <c r="A166" i="52"/>
  <c r="A167" i="52"/>
  <c r="A168" i="52"/>
  <c r="A169" i="52"/>
  <c r="A170" i="52"/>
  <c r="A171" i="52"/>
  <c r="A172" i="52"/>
  <c r="A173" i="52"/>
  <c r="A174" i="52"/>
  <c r="A175" i="52"/>
  <c r="A176" i="52"/>
  <c r="A177" i="52"/>
  <c r="A178" i="52"/>
  <c r="A179" i="52"/>
  <c r="A180" i="52"/>
  <c r="A181" i="52"/>
  <c r="A182" i="52"/>
  <c r="A183" i="52"/>
  <c r="A184" i="52"/>
  <c r="A185" i="52"/>
  <c r="A186" i="52"/>
  <c r="A187" i="52"/>
  <c r="A188" i="52"/>
  <c r="A189" i="52"/>
  <c r="A190" i="52"/>
  <c r="A191" i="52"/>
  <c r="A192" i="52"/>
  <c r="A193" i="52"/>
  <c r="A194" i="52"/>
  <c r="A147" i="52"/>
  <c r="B107" i="52"/>
  <c r="B108" i="52"/>
  <c r="B109" i="52"/>
  <c r="B110" i="52"/>
  <c r="B111" i="52"/>
  <c r="B112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A108" i="52"/>
  <c r="A109" i="52"/>
  <c r="A110" i="52"/>
  <c r="A111" i="52"/>
  <c r="A112" i="52"/>
  <c r="A114" i="52"/>
  <c r="A117" i="52"/>
  <c r="A118" i="52"/>
  <c r="A119" i="52"/>
  <c r="A120" i="52"/>
  <c r="A123" i="52"/>
  <c r="A124" i="52"/>
  <c r="A125" i="52"/>
  <c r="A126" i="52"/>
  <c r="A127" i="52"/>
  <c r="A128" i="52"/>
  <c r="A129" i="52"/>
  <c r="A130" i="52"/>
  <c r="A131" i="52"/>
  <c r="A132" i="52"/>
  <c r="A133" i="52"/>
  <c r="A134" i="52"/>
  <c r="A135" i="52"/>
  <c r="A136" i="52"/>
  <c r="A137" i="52"/>
  <c r="A138" i="52"/>
  <c r="A139" i="52"/>
  <c r="A140" i="52"/>
  <c r="A143" i="52"/>
  <c r="A144" i="52"/>
  <c r="A78" i="52"/>
  <c r="A79" i="52"/>
  <c r="J532" i="16"/>
  <c r="J533" i="16"/>
  <c r="J534" i="16"/>
  <c r="J535" i="16"/>
  <c r="J536" i="16"/>
  <c r="J537" i="16"/>
  <c r="J538" i="16"/>
  <c r="J539" i="16"/>
  <c r="J540" i="16"/>
  <c r="J531" i="16"/>
  <c r="I532" i="16"/>
  <c r="I533" i="16"/>
  <c r="I534" i="16"/>
  <c r="I535" i="16"/>
  <c r="I536" i="16"/>
  <c r="I537" i="16"/>
  <c r="I538" i="16"/>
  <c r="I539" i="16"/>
  <c r="I540" i="16"/>
  <c r="I531" i="16"/>
  <c r="H532" i="16"/>
  <c r="H533" i="16"/>
  <c r="H534" i="16"/>
  <c r="H535" i="16"/>
  <c r="H536" i="16"/>
  <c r="H537" i="16"/>
  <c r="H538" i="16"/>
  <c r="H539" i="16"/>
  <c r="H540" i="16"/>
  <c r="H531" i="16"/>
  <c r="G532" i="16"/>
  <c r="G533" i="16"/>
  <c r="G534" i="16"/>
  <c r="G535" i="16"/>
  <c r="G536" i="16"/>
  <c r="G537" i="16"/>
  <c r="G538" i="16"/>
  <c r="G539" i="16"/>
  <c r="G540" i="16"/>
  <c r="G531" i="16"/>
  <c r="F535" i="16"/>
  <c r="F536" i="16"/>
  <c r="F537" i="16"/>
  <c r="F538" i="16"/>
  <c r="F539" i="16"/>
  <c r="F540" i="16"/>
  <c r="B532" i="16"/>
  <c r="A532" i="16"/>
  <c r="B533" i="16"/>
  <c r="A533" i="16"/>
  <c r="B534" i="16"/>
  <c r="A534" i="16"/>
  <c r="B535" i="16"/>
  <c r="A535" i="16"/>
  <c r="B536" i="16"/>
  <c r="A536" i="16"/>
  <c r="B537" i="16"/>
  <c r="A537" i="16"/>
  <c r="B538" i="16"/>
  <c r="A538" i="16"/>
  <c r="B539" i="16"/>
  <c r="A539" i="16"/>
  <c r="B540" i="16"/>
  <c r="A540" i="16"/>
  <c r="B531" i="16"/>
  <c r="C532" i="16"/>
  <c r="C533" i="16"/>
  <c r="C534" i="16"/>
  <c r="C535" i="16"/>
  <c r="C536" i="16"/>
  <c r="C537" i="16"/>
  <c r="C538" i="16"/>
  <c r="C539" i="16"/>
  <c r="C540" i="16"/>
  <c r="C531" i="16"/>
  <c r="D532" i="16"/>
  <c r="D533" i="16"/>
  <c r="D534" i="16"/>
  <c r="D535" i="16"/>
  <c r="D536" i="16"/>
  <c r="D537" i="16"/>
  <c r="D538" i="16"/>
  <c r="D539" i="16"/>
  <c r="D540" i="16"/>
  <c r="D531" i="16"/>
  <c r="E531" i="16"/>
  <c r="E532" i="16"/>
  <c r="E533" i="16"/>
  <c r="E534" i="16"/>
  <c r="E535" i="16"/>
  <c r="E536" i="16"/>
  <c r="E537" i="16"/>
  <c r="E538" i="16"/>
  <c r="E539" i="16"/>
  <c r="E540" i="16"/>
  <c r="A47" i="52"/>
  <c r="A38" i="52"/>
  <c r="A30" i="52"/>
  <c r="A18" i="52"/>
  <c r="A16" i="52"/>
  <c r="A17" i="52"/>
  <c r="A15" i="52"/>
  <c r="A8" i="52"/>
  <c r="A14" i="52"/>
  <c r="E328" i="13"/>
  <c r="E385" i="13"/>
  <c r="F386" i="13"/>
  <c r="G387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E329" i="13"/>
  <c r="E386" i="13"/>
  <c r="F387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E330" i="13"/>
  <c r="E387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B329" i="13"/>
  <c r="B328" i="13"/>
  <c r="B324" i="13"/>
  <c r="B320" i="13"/>
  <c r="B316" i="13"/>
  <c r="B312" i="13"/>
  <c r="B304" i="13"/>
  <c r="B296" i="13"/>
  <c r="B284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U32" i="13"/>
  <c r="AC49" i="13"/>
  <c r="AC50" i="13"/>
  <c r="AB50" i="13"/>
  <c r="AC51" i="13"/>
  <c r="AB51" i="13"/>
  <c r="AC52" i="13"/>
  <c r="AB52" i="13"/>
  <c r="AC53" i="13"/>
  <c r="AB53" i="13"/>
  <c r="AC54" i="13"/>
  <c r="AB54" i="13"/>
  <c r="AC55" i="13"/>
  <c r="AB55" i="13"/>
  <c r="AC56" i="13"/>
  <c r="AB56" i="13"/>
  <c r="AC57" i="13"/>
  <c r="AB57" i="13"/>
  <c r="AC58" i="13"/>
  <c r="AB58" i="13"/>
  <c r="AC59" i="13"/>
  <c r="AB59" i="13"/>
  <c r="AC60" i="13"/>
  <c r="AB60" i="13"/>
  <c r="AC61" i="13"/>
  <c r="AB61" i="13"/>
  <c r="AC62" i="13"/>
  <c r="AB62" i="13"/>
  <c r="AC63" i="13"/>
  <c r="AB63" i="13"/>
  <c r="AC64" i="13"/>
  <c r="AB64" i="13"/>
  <c r="AC65" i="13"/>
  <c r="AB65" i="13"/>
  <c r="AC66" i="13"/>
  <c r="AB66" i="13"/>
  <c r="AC67" i="13"/>
  <c r="AB67" i="13"/>
  <c r="AC68" i="13"/>
  <c r="AB68" i="13"/>
  <c r="AC69" i="13"/>
  <c r="AB69" i="13"/>
  <c r="AC70" i="13"/>
  <c r="AB70" i="13"/>
  <c r="AC71" i="13"/>
  <c r="AB71" i="13"/>
  <c r="AC72" i="13"/>
  <c r="AB72" i="13"/>
  <c r="AC73" i="13"/>
  <c r="AB73" i="13"/>
  <c r="AC74" i="13"/>
  <c r="AB74" i="13"/>
  <c r="AC75" i="13"/>
  <c r="AB75" i="13"/>
  <c r="AC76" i="13"/>
  <c r="AB76" i="13"/>
  <c r="AC77" i="13"/>
  <c r="AB77" i="13"/>
  <c r="AC78" i="13"/>
  <c r="AB78" i="13"/>
  <c r="AC79" i="13"/>
  <c r="AB79" i="13"/>
  <c r="AC80" i="13"/>
  <c r="AB80" i="13"/>
  <c r="AC81" i="13"/>
  <c r="AB81" i="13"/>
  <c r="AC82" i="13"/>
  <c r="AB82" i="13"/>
  <c r="AC83" i="13"/>
  <c r="AB83" i="13"/>
  <c r="AC84" i="13"/>
  <c r="AB84" i="13"/>
  <c r="AC85" i="13"/>
  <c r="AB85" i="13"/>
  <c r="AC86" i="13"/>
  <c r="AB86" i="13"/>
  <c r="AC87" i="13"/>
  <c r="AB87" i="13"/>
  <c r="AC88" i="13"/>
  <c r="AB88" i="13"/>
  <c r="AC89" i="13"/>
  <c r="AB89" i="13"/>
  <c r="AC90" i="13"/>
  <c r="AB90" i="13"/>
  <c r="AC91" i="13"/>
  <c r="AB91" i="13"/>
  <c r="AC92" i="13"/>
  <c r="AB92" i="13"/>
  <c r="AC93" i="13"/>
  <c r="AB93" i="13"/>
  <c r="AC94" i="13"/>
  <c r="AB94" i="13"/>
  <c r="AC48" i="13"/>
  <c r="AB48" i="13"/>
  <c r="AG49" i="13"/>
  <c r="AH49" i="13"/>
  <c r="AG50" i="13"/>
  <c r="AH50" i="13"/>
  <c r="AG51" i="13"/>
  <c r="AH51" i="13"/>
  <c r="AG52" i="13"/>
  <c r="AH52" i="13"/>
  <c r="AG53" i="13"/>
  <c r="AH53" i="13"/>
  <c r="AG54" i="13"/>
  <c r="AH54" i="13"/>
  <c r="AG55" i="13"/>
  <c r="AH55" i="13"/>
  <c r="AG56" i="13"/>
  <c r="AH56" i="13"/>
  <c r="AG57" i="13"/>
  <c r="AH57" i="13"/>
  <c r="AG58" i="13"/>
  <c r="AH58" i="13"/>
  <c r="AG59" i="13"/>
  <c r="AH59" i="13"/>
  <c r="AG60" i="13"/>
  <c r="AH60" i="13"/>
  <c r="AG61" i="13"/>
  <c r="AH61" i="13"/>
  <c r="AG62" i="13"/>
  <c r="AH62" i="13"/>
  <c r="AG63" i="13"/>
  <c r="AH63" i="13"/>
  <c r="AG64" i="13"/>
  <c r="AH64" i="13"/>
  <c r="AG65" i="13"/>
  <c r="AH65" i="13"/>
  <c r="AG66" i="13"/>
  <c r="AH66" i="13"/>
  <c r="AG67" i="13"/>
  <c r="AH67" i="13"/>
  <c r="AG68" i="13"/>
  <c r="AH68" i="13"/>
  <c r="AG69" i="13"/>
  <c r="AH69" i="13"/>
  <c r="AG70" i="13"/>
  <c r="AH70" i="13"/>
  <c r="AG71" i="13"/>
  <c r="AH71" i="13"/>
  <c r="AG72" i="13"/>
  <c r="AH72" i="13"/>
  <c r="AG73" i="13"/>
  <c r="AH73" i="13"/>
  <c r="AG74" i="13"/>
  <c r="AH74" i="13"/>
  <c r="AG75" i="13"/>
  <c r="AH75" i="13"/>
  <c r="AG76" i="13"/>
  <c r="AH76" i="13"/>
  <c r="AG77" i="13"/>
  <c r="AH77" i="13"/>
  <c r="AG78" i="13"/>
  <c r="AH78" i="13"/>
  <c r="AG79" i="13"/>
  <c r="AH79" i="13"/>
  <c r="AG80" i="13"/>
  <c r="AH80" i="13"/>
  <c r="AG81" i="13"/>
  <c r="AH81" i="13"/>
  <c r="AG82" i="13"/>
  <c r="AH82" i="13"/>
  <c r="AG83" i="13"/>
  <c r="AH83" i="13"/>
  <c r="AG84" i="13"/>
  <c r="AH84" i="13"/>
  <c r="AG85" i="13"/>
  <c r="AH85" i="13"/>
  <c r="AG86" i="13"/>
  <c r="AH86" i="13"/>
  <c r="AG87" i="13"/>
  <c r="AH87" i="13"/>
  <c r="AG88" i="13"/>
  <c r="AH88" i="13"/>
  <c r="AI96" i="13"/>
  <c r="AG89" i="13"/>
  <c r="AH89" i="13"/>
  <c r="AG90" i="13"/>
  <c r="AH90" i="13"/>
  <c r="AG91" i="13"/>
  <c r="AH91" i="13"/>
  <c r="AG92" i="13"/>
  <c r="AH92" i="13"/>
  <c r="AG93" i="13"/>
  <c r="AH93" i="13"/>
  <c r="AG94" i="13"/>
  <c r="AH94" i="13"/>
  <c r="AG48" i="13"/>
  <c r="AH48" i="13"/>
  <c r="B151" i="16" a="1"/>
  <c r="B166" i="16"/>
  <c r="E93" i="13"/>
  <c r="AT26" i="13"/>
  <c r="AV26" i="13"/>
  <c r="AW26" i="13"/>
  <c r="D249" i="16"/>
  <c r="E249" i="16"/>
  <c r="AT42" i="16"/>
  <c r="F249" i="16"/>
  <c r="AU42" i="16"/>
  <c r="D250" i="16"/>
  <c r="E250" i="16"/>
  <c r="AT43" i="16"/>
  <c r="F250" i="16"/>
  <c r="AU43" i="16"/>
  <c r="D251" i="16"/>
  <c r="E251" i="16"/>
  <c r="AT44" i="16"/>
  <c r="F251" i="16"/>
  <c r="AU44" i="16"/>
  <c r="D252" i="16"/>
  <c r="E252" i="16"/>
  <c r="AT45" i="16"/>
  <c r="F252" i="16"/>
  <c r="AU45" i="16"/>
  <c r="D253" i="16"/>
  <c r="E253" i="16"/>
  <c r="AW41" i="16"/>
  <c r="F253" i="16"/>
  <c r="AX41" i="16"/>
  <c r="D254" i="16"/>
  <c r="E254" i="16"/>
  <c r="AW42" i="16"/>
  <c r="F254" i="16"/>
  <c r="AX42" i="16"/>
  <c r="D255" i="16"/>
  <c r="E255" i="16"/>
  <c r="AW43" i="16"/>
  <c r="F255" i="16"/>
  <c r="AX43" i="16"/>
  <c r="D256" i="16"/>
  <c r="E256" i="16"/>
  <c r="AW44" i="16"/>
  <c r="F256" i="16"/>
  <c r="AX44" i="16"/>
  <c r="D257" i="16"/>
  <c r="E257" i="16"/>
  <c r="AW45" i="16"/>
  <c r="F257" i="16"/>
  <c r="AX45" i="16"/>
  <c r="D258" i="16"/>
  <c r="E258" i="16"/>
  <c r="F258" i="16"/>
  <c r="D259" i="16"/>
  <c r="E259" i="16"/>
  <c r="F259" i="16"/>
  <c r="D260" i="16"/>
  <c r="E260" i="16"/>
  <c r="F260" i="16"/>
  <c r="D261" i="16"/>
  <c r="E261" i="16"/>
  <c r="F261" i="16"/>
  <c r="D262" i="16"/>
  <c r="E262" i="16"/>
  <c r="F262" i="16"/>
  <c r="E248" i="16"/>
  <c r="AT41" i="16"/>
  <c r="D248" i="16"/>
  <c r="E247" i="16"/>
  <c r="AP45" i="16"/>
  <c r="D247" i="16"/>
  <c r="E246" i="16"/>
  <c r="AP44" i="16"/>
  <c r="D246" i="16"/>
  <c r="E245" i="16"/>
  <c r="AP43" i="16"/>
  <c r="D245" i="16"/>
  <c r="E244" i="16"/>
  <c r="AP42" i="16"/>
  <c r="D244" i="16"/>
  <c r="E243" i="16"/>
  <c r="AP41" i="16"/>
  <c r="D243" i="16"/>
  <c r="E242" i="16"/>
  <c r="AN45" i="16"/>
  <c r="D242" i="16"/>
  <c r="E241" i="16"/>
  <c r="AN44" i="16"/>
  <c r="D241" i="16"/>
  <c r="E240" i="16"/>
  <c r="AN43" i="16"/>
  <c r="D240" i="16"/>
  <c r="E239" i="16"/>
  <c r="AN42" i="16"/>
  <c r="D239" i="16"/>
  <c r="E238" i="16"/>
  <c r="AN41" i="16"/>
  <c r="D238" i="16"/>
  <c r="F238" i="16"/>
  <c r="AO41" i="16"/>
  <c r="F239" i="16"/>
  <c r="AO42" i="16"/>
  <c r="F240" i="16"/>
  <c r="AO43" i="16"/>
  <c r="AO12" i="16"/>
  <c r="F241" i="16"/>
  <c r="AO44" i="16"/>
  <c r="F242" i="16"/>
  <c r="AO45" i="16"/>
  <c r="F243" i="16"/>
  <c r="AQ41" i="16"/>
  <c r="F244" i="16"/>
  <c r="AQ42" i="16"/>
  <c r="AQ11" i="16"/>
  <c r="F245" i="16"/>
  <c r="AQ43" i="16"/>
  <c r="F246" i="16"/>
  <c r="AQ44" i="16"/>
  <c r="F247" i="16"/>
  <c r="AQ45" i="16"/>
  <c r="F248" i="16"/>
  <c r="AU41" i="16"/>
  <c r="F3" i="128"/>
  <c r="F4" i="128"/>
  <c r="F5" i="128"/>
  <c r="F6" i="128"/>
  <c r="F7" i="128"/>
  <c r="F8" i="128"/>
  <c r="F9" i="128"/>
  <c r="F10" i="128"/>
  <c r="F11" i="128"/>
  <c r="F12" i="128"/>
  <c r="F13" i="128"/>
  <c r="F14" i="128"/>
  <c r="F15" i="128"/>
  <c r="F16" i="128"/>
  <c r="F17" i="128"/>
  <c r="F18" i="128"/>
  <c r="F19" i="128"/>
  <c r="F20" i="128"/>
  <c r="F21" i="128"/>
  <c r="F22" i="128"/>
  <c r="F23" i="128"/>
  <c r="F24" i="128"/>
  <c r="F25" i="128"/>
  <c r="F26" i="128"/>
  <c r="F27" i="128"/>
  <c r="F28" i="128"/>
  <c r="F29" i="128"/>
  <c r="F30" i="128"/>
  <c r="F31" i="128"/>
  <c r="F32" i="128"/>
  <c r="F33" i="128"/>
  <c r="F34" i="128"/>
  <c r="F35" i="128"/>
  <c r="F36" i="128"/>
  <c r="F37" i="128"/>
  <c r="F38" i="128"/>
  <c r="F39" i="128"/>
  <c r="F40" i="128"/>
  <c r="F41" i="128"/>
  <c r="F42" i="128"/>
  <c r="F43" i="128"/>
  <c r="F44" i="128"/>
  <c r="F45" i="128"/>
  <c r="F46" i="128"/>
  <c r="F47" i="128"/>
  <c r="F48" i="128"/>
  <c r="F2" i="128"/>
  <c r="M1" i="128"/>
  <c r="R48" i="128"/>
  <c r="R49" i="128"/>
  <c r="R50" i="128"/>
  <c r="R51" i="128"/>
  <c r="R52" i="128"/>
  <c r="R53" i="128"/>
  <c r="D47" i="128"/>
  <c r="D46" i="128"/>
  <c r="D45" i="128"/>
  <c r="D44" i="128"/>
  <c r="D43" i="128"/>
  <c r="D42" i="128"/>
  <c r="D41" i="128"/>
  <c r="D40" i="128"/>
  <c r="D39" i="128"/>
  <c r="D38" i="128"/>
  <c r="D37" i="128"/>
  <c r="D36" i="128"/>
  <c r="D35" i="128"/>
  <c r="D34" i="128"/>
  <c r="D33" i="128"/>
  <c r="D32" i="128"/>
  <c r="D31" i="128"/>
  <c r="D30" i="128"/>
  <c r="D29" i="128"/>
  <c r="D28" i="128"/>
  <c r="D27" i="128"/>
  <c r="D26" i="128"/>
  <c r="D25" i="128"/>
  <c r="D24" i="128"/>
  <c r="D23" i="128"/>
  <c r="D22" i="128"/>
  <c r="D21" i="128"/>
  <c r="D20" i="128"/>
  <c r="D19" i="128"/>
  <c r="D18" i="128"/>
  <c r="D17" i="128"/>
  <c r="D16" i="128"/>
  <c r="D15" i="128"/>
  <c r="D14" i="128"/>
  <c r="D13" i="128"/>
  <c r="D12" i="128"/>
  <c r="D11" i="128"/>
  <c r="D10" i="128"/>
  <c r="D9" i="128"/>
  <c r="D8" i="128"/>
  <c r="D7" i="128"/>
  <c r="D6" i="128"/>
  <c r="D5" i="128"/>
  <c r="D4" i="128"/>
  <c r="D3" i="128"/>
  <c r="D2" i="128"/>
  <c r="C2" i="128"/>
  <c r="E2" i="128"/>
  <c r="C3" i="128"/>
  <c r="E3" i="128"/>
  <c r="C4" i="128"/>
  <c r="E4" i="128"/>
  <c r="C5" i="128"/>
  <c r="E5" i="128"/>
  <c r="C6" i="128"/>
  <c r="E6" i="128"/>
  <c r="C7" i="128"/>
  <c r="E7" i="128"/>
  <c r="C8" i="128"/>
  <c r="E8" i="128"/>
  <c r="C9" i="128"/>
  <c r="E9" i="128"/>
  <c r="C10" i="128"/>
  <c r="E10" i="128"/>
  <c r="C11" i="128"/>
  <c r="E11" i="128"/>
  <c r="C12" i="128"/>
  <c r="E12" i="128"/>
  <c r="C13" i="128"/>
  <c r="E13" i="128"/>
  <c r="C14" i="128"/>
  <c r="E14" i="128"/>
  <c r="C15" i="128"/>
  <c r="E15" i="128"/>
  <c r="C16" i="128"/>
  <c r="E16" i="128"/>
  <c r="C17" i="128"/>
  <c r="E17" i="128"/>
  <c r="C18" i="128"/>
  <c r="E18" i="128"/>
  <c r="C19" i="128"/>
  <c r="E19" i="128"/>
  <c r="C20" i="128"/>
  <c r="E20" i="128"/>
  <c r="C21" i="128"/>
  <c r="E21" i="128"/>
  <c r="C22" i="128"/>
  <c r="E22" i="128"/>
  <c r="C23" i="128"/>
  <c r="E23" i="128"/>
  <c r="C24" i="128"/>
  <c r="E24" i="128"/>
  <c r="C25" i="128"/>
  <c r="E25" i="128"/>
  <c r="C26" i="128"/>
  <c r="E26" i="128"/>
  <c r="C27" i="128"/>
  <c r="E27" i="128"/>
  <c r="C28" i="128"/>
  <c r="E28" i="128"/>
  <c r="C29" i="128"/>
  <c r="C30" i="128"/>
  <c r="C31" i="128"/>
  <c r="C32" i="128"/>
  <c r="C33" i="128"/>
  <c r="C34" i="128"/>
  <c r="C35" i="128"/>
  <c r="C36" i="128"/>
  <c r="C37" i="128"/>
  <c r="C38" i="128"/>
  <c r="C39" i="128"/>
  <c r="C40" i="128"/>
  <c r="C41" i="128"/>
  <c r="C42" i="128"/>
  <c r="C43" i="128"/>
  <c r="C44" i="128"/>
  <c r="E44" i="128"/>
  <c r="C45" i="128"/>
  <c r="E45" i="128"/>
  <c r="C46" i="128"/>
  <c r="E46" i="128"/>
  <c r="C47" i="128"/>
  <c r="E47" i="128"/>
  <c r="C48" i="128"/>
  <c r="E48" i="128"/>
  <c r="AX76" i="16"/>
  <c r="AX75" i="16"/>
  <c r="AX74" i="16"/>
  <c r="AX73" i="16"/>
  <c r="AX72" i="16"/>
  <c r="AX71" i="16"/>
  <c r="B431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469" i="16"/>
  <c r="F527" i="16" a="1"/>
  <c r="F531" i="16" a="1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2" i="16"/>
  <c r="E3" i="16"/>
  <c r="F3" i="16"/>
  <c r="E4" i="16"/>
  <c r="F4" i="16"/>
  <c r="E5" i="16"/>
  <c r="F5" i="16"/>
  <c r="E6" i="16"/>
  <c r="F6" i="16"/>
  <c r="E7" i="16"/>
  <c r="F7" i="16"/>
  <c r="E8" i="16"/>
  <c r="F8" i="16"/>
  <c r="E9" i="16"/>
  <c r="F9" i="16"/>
  <c r="E10" i="16"/>
  <c r="F10" i="16"/>
  <c r="E11" i="16"/>
  <c r="F11" i="16"/>
  <c r="E12" i="16"/>
  <c r="F12" i="16"/>
  <c r="E13" i="16"/>
  <c r="F13" i="16"/>
  <c r="E14" i="16"/>
  <c r="F14" i="16"/>
  <c r="E15" i="16"/>
  <c r="F15" i="16"/>
  <c r="E16" i="16"/>
  <c r="F16" i="16"/>
  <c r="E17" i="16"/>
  <c r="F17" i="16"/>
  <c r="E18" i="16"/>
  <c r="F18" i="16"/>
  <c r="E19" i="16"/>
  <c r="F19" i="16"/>
  <c r="E20" i="16"/>
  <c r="F20" i="16"/>
  <c r="E21" i="16"/>
  <c r="F21" i="16"/>
  <c r="E22" i="16"/>
  <c r="F22" i="16"/>
  <c r="E23" i="16"/>
  <c r="F23" i="16"/>
  <c r="E24" i="16"/>
  <c r="F24" i="16"/>
  <c r="E25" i="16"/>
  <c r="F25" i="16"/>
  <c r="E26" i="16"/>
  <c r="F26" i="16"/>
  <c r="E27" i="16"/>
  <c r="F27" i="16"/>
  <c r="E28" i="16"/>
  <c r="F28" i="16"/>
  <c r="E29" i="16"/>
  <c r="F29" i="16"/>
  <c r="E30" i="16"/>
  <c r="F30" i="16"/>
  <c r="E31" i="16"/>
  <c r="F31" i="16"/>
  <c r="E32" i="16"/>
  <c r="F32" i="16"/>
  <c r="E33" i="16"/>
  <c r="F33" i="16"/>
  <c r="E34" i="16"/>
  <c r="F34" i="16"/>
  <c r="E35" i="16"/>
  <c r="F35" i="16"/>
  <c r="E36" i="16"/>
  <c r="F36" i="16"/>
  <c r="E37" i="16"/>
  <c r="F37" i="16"/>
  <c r="E38" i="16"/>
  <c r="F38" i="16"/>
  <c r="E39" i="16"/>
  <c r="F39" i="16"/>
  <c r="E40" i="16"/>
  <c r="F40" i="16"/>
  <c r="E41" i="16"/>
  <c r="F41" i="16"/>
  <c r="E42" i="16"/>
  <c r="F42" i="16"/>
  <c r="E43" i="16"/>
  <c r="F43" i="16"/>
  <c r="E44" i="16"/>
  <c r="F44" i="16"/>
  <c r="E45" i="16"/>
  <c r="F45" i="16"/>
  <c r="E46" i="16"/>
  <c r="F46" i="16"/>
  <c r="E47" i="16"/>
  <c r="F47" i="16"/>
  <c r="E48" i="16"/>
  <c r="F48" i="16"/>
  <c r="F2" i="16"/>
  <c r="E2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406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D149" i="16"/>
  <c r="E149" i="16"/>
  <c r="F149" i="16"/>
  <c r="E101" i="16"/>
  <c r="Y3" i="16"/>
  <c r="F101" i="16"/>
  <c r="Z3" i="16"/>
  <c r="E102" i="16"/>
  <c r="Y4" i="16"/>
  <c r="F102" i="16"/>
  <c r="E103" i="16"/>
  <c r="Y5" i="16"/>
  <c r="F103" i="16"/>
  <c r="E104" i="16"/>
  <c r="Y6" i="16"/>
  <c r="F104" i="16"/>
  <c r="E105" i="16"/>
  <c r="F105" i="16"/>
  <c r="Z7" i="16"/>
  <c r="E106" i="16"/>
  <c r="Y8" i="16"/>
  <c r="F106" i="16"/>
  <c r="E107" i="16"/>
  <c r="Y9" i="16"/>
  <c r="F107" i="16"/>
  <c r="E108" i="16"/>
  <c r="Y10" i="16"/>
  <c r="F108" i="16"/>
  <c r="E109" i="16"/>
  <c r="F109" i="16"/>
  <c r="Z11" i="16"/>
  <c r="E110" i="16"/>
  <c r="Y12" i="16"/>
  <c r="F110" i="16"/>
  <c r="E111" i="16"/>
  <c r="F111" i="16"/>
  <c r="Z13" i="16"/>
  <c r="E112" i="16"/>
  <c r="Y14" i="16"/>
  <c r="F112" i="16"/>
  <c r="E113" i="16"/>
  <c r="F113" i="16"/>
  <c r="Z15" i="16"/>
  <c r="E114" i="16"/>
  <c r="Y16" i="16"/>
  <c r="F114" i="16"/>
  <c r="E115" i="16"/>
  <c r="F115" i="16"/>
  <c r="E116" i="16"/>
  <c r="Y18" i="16"/>
  <c r="F116" i="16"/>
  <c r="E117" i="16"/>
  <c r="Y19" i="16"/>
  <c r="F117" i="16"/>
  <c r="E118" i="16"/>
  <c r="Y20" i="16"/>
  <c r="F118" i="16"/>
  <c r="Z20" i="16"/>
  <c r="E119" i="16"/>
  <c r="Y21" i="16"/>
  <c r="F119" i="16"/>
  <c r="E120" i="16"/>
  <c r="Y22" i="16"/>
  <c r="F120" i="16"/>
  <c r="E121" i="16"/>
  <c r="F121" i="16"/>
  <c r="Z23" i="16"/>
  <c r="E122" i="16"/>
  <c r="Y24" i="16"/>
  <c r="F122" i="16"/>
  <c r="Z24" i="16"/>
  <c r="E123" i="16"/>
  <c r="F123" i="16"/>
  <c r="Z25" i="16"/>
  <c r="E124" i="16"/>
  <c r="Y26" i="16"/>
  <c r="F124" i="16"/>
  <c r="E125" i="16"/>
  <c r="Y27" i="16"/>
  <c r="F125" i="16"/>
  <c r="E126" i="16"/>
  <c r="Y28" i="16"/>
  <c r="F126" i="16"/>
  <c r="E127" i="16"/>
  <c r="F127" i="16"/>
  <c r="Z29" i="16"/>
  <c r="E128" i="16"/>
  <c r="F128" i="16"/>
  <c r="E129" i="16"/>
  <c r="Y31" i="16"/>
  <c r="F129" i="16"/>
  <c r="E130" i="16"/>
  <c r="Y32" i="16"/>
  <c r="F130" i="16"/>
  <c r="E131" i="16"/>
  <c r="F131" i="16"/>
  <c r="E132" i="16"/>
  <c r="Y34" i="16"/>
  <c r="F132" i="16"/>
  <c r="Z34" i="16"/>
  <c r="E133" i="16"/>
  <c r="Y35" i="16"/>
  <c r="F133" i="16"/>
  <c r="E134" i="16"/>
  <c r="F134" i="16"/>
  <c r="Z36" i="16"/>
  <c r="E135" i="16"/>
  <c r="F135" i="16"/>
  <c r="E136" i="16"/>
  <c r="Y38" i="16"/>
  <c r="F136" i="16"/>
  <c r="Z38" i="16"/>
  <c r="E137" i="16"/>
  <c r="F137" i="16"/>
  <c r="E138" i="16"/>
  <c r="Y40" i="16"/>
  <c r="F138" i="16"/>
  <c r="E139" i="16"/>
  <c r="F139" i="16"/>
  <c r="Z41" i="16"/>
  <c r="E140" i="16"/>
  <c r="Y42" i="16"/>
  <c r="F140" i="16"/>
  <c r="Z42" i="16"/>
  <c r="E141" i="16"/>
  <c r="F141" i="16"/>
  <c r="Z43" i="16"/>
  <c r="E142" i="16"/>
  <c r="Y44" i="16"/>
  <c r="F142" i="16"/>
  <c r="E143" i="16"/>
  <c r="F143" i="16"/>
  <c r="E144" i="16"/>
  <c r="F144" i="16"/>
  <c r="Z46" i="16"/>
  <c r="E145" i="16"/>
  <c r="F145" i="16"/>
  <c r="Z47" i="16"/>
  <c r="E146" i="16"/>
  <c r="F146" i="16"/>
  <c r="Z48" i="16"/>
  <c r="E147" i="16"/>
  <c r="F147" i="16"/>
  <c r="E148" i="16"/>
  <c r="G148" i="16"/>
  <c r="F148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01" i="16"/>
  <c r="D50" i="118"/>
  <c r="D105" i="118"/>
  <c r="E50" i="118"/>
  <c r="E105" i="118"/>
  <c r="U50" i="118"/>
  <c r="BB50" i="118"/>
  <c r="V50" i="118"/>
  <c r="W50" i="118"/>
  <c r="BD50" i="118"/>
  <c r="X50" i="118"/>
  <c r="Y50" i="118"/>
  <c r="Z50" i="118"/>
  <c r="BG50" i="118"/>
  <c r="AA50" i="118"/>
  <c r="AB50" i="118"/>
  <c r="AC50" i="118"/>
  <c r="AD50" i="118"/>
  <c r="AE50" i="118"/>
  <c r="BL50" i="118"/>
  <c r="AF50" i="118"/>
  <c r="BM50" i="118"/>
  <c r="AG50" i="118"/>
  <c r="AH50" i="118"/>
  <c r="AI50" i="118"/>
  <c r="AL63" i="16"/>
  <c r="AL64" i="16"/>
  <c r="AL65" i="16"/>
  <c r="AL66" i="16"/>
  <c r="AL67" i="16"/>
  <c r="E151" i="16"/>
  <c r="F151" i="16"/>
  <c r="E152" i="16"/>
  <c r="F152" i="16"/>
  <c r="E153" i="16"/>
  <c r="F153" i="16"/>
  <c r="E154" i="16"/>
  <c r="F154" i="16"/>
  <c r="E155" i="16"/>
  <c r="F155" i="16"/>
  <c r="E156" i="16"/>
  <c r="F156" i="16"/>
  <c r="E157" i="16"/>
  <c r="F157" i="16"/>
  <c r="E158" i="16"/>
  <c r="F158" i="16"/>
  <c r="E159" i="16"/>
  <c r="F159" i="16"/>
  <c r="E160" i="16"/>
  <c r="F160" i="16"/>
  <c r="E161" i="16"/>
  <c r="F161" i="16"/>
  <c r="E162" i="16"/>
  <c r="F162" i="16"/>
  <c r="E163" i="16"/>
  <c r="F163" i="16"/>
  <c r="E164" i="16"/>
  <c r="F164" i="16"/>
  <c r="E165" i="16"/>
  <c r="F165" i="16"/>
  <c r="E166" i="16"/>
  <c r="F166" i="16"/>
  <c r="E167" i="16"/>
  <c r="F167" i="16"/>
  <c r="E168" i="16"/>
  <c r="F168" i="16"/>
  <c r="E169" i="16"/>
  <c r="F169" i="16"/>
  <c r="E170" i="16"/>
  <c r="F170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51" i="16"/>
  <c r="D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555" i="16"/>
  <c r="C52" i="51"/>
  <c r="C53" i="51"/>
  <c r="C54" i="51"/>
  <c r="C55" i="51"/>
  <c r="C56" i="51"/>
  <c r="C57" i="51"/>
  <c r="C58" i="51"/>
  <c r="C59" i="51"/>
  <c r="C60" i="51"/>
  <c r="C61" i="51"/>
  <c r="C62" i="51"/>
  <c r="C63" i="51"/>
  <c r="C64" i="51"/>
  <c r="C65" i="51"/>
  <c r="C66" i="51"/>
  <c r="C67" i="51"/>
  <c r="C68" i="51"/>
  <c r="C69" i="51"/>
  <c r="C70" i="51"/>
  <c r="C71" i="51"/>
  <c r="C72" i="51"/>
  <c r="C73" i="51"/>
  <c r="C74" i="51"/>
  <c r="C75" i="51"/>
  <c r="C76" i="51"/>
  <c r="C77" i="51"/>
  <c r="C78" i="51"/>
  <c r="C79" i="51"/>
  <c r="C80" i="51"/>
  <c r="C81" i="51"/>
  <c r="C82" i="51"/>
  <c r="C83" i="51"/>
  <c r="C84" i="51"/>
  <c r="C85" i="51"/>
  <c r="C86" i="51"/>
  <c r="C87" i="51"/>
  <c r="C88" i="51"/>
  <c r="C89" i="51"/>
  <c r="C90" i="51"/>
  <c r="C91" i="51"/>
  <c r="C92" i="51"/>
  <c r="C93" i="51"/>
  <c r="C94" i="51"/>
  <c r="C95" i="51"/>
  <c r="C96" i="51"/>
  <c r="C97" i="51"/>
  <c r="C98" i="51"/>
  <c r="C99" i="51"/>
  <c r="C51" i="51"/>
  <c r="C220" i="16"/>
  <c r="AO49" i="13"/>
  <c r="AA49" i="13"/>
  <c r="AO50" i="13"/>
  <c r="AA50" i="13"/>
  <c r="AO51" i="13"/>
  <c r="AA51" i="13"/>
  <c r="AO52" i="13"/>
  <c r="AA52" i="13"/>
  <c r="AO53" i="13"/>
  <c r="AA53" i="13"/>
  <c r="AO54" i="13"/>
  <c r="AA54" i="13"/>
  <c r="AO55" i="13"/>
  <c r="AA55" i="13"/>
  <c r="AO56" i="13"/>
  <c r="AA56" i="13"/>
  <c r="AO57" i="13"/>
  <c r="AA57" i="13"/>
  <c r="AO58" i="13"/>
  <c r="AA58" i="13"/>
  <c r="AO59" i="13"/>
  <c r="AA59" i="13"/>
  <c r="AO60" i="13"/>
  <c r="AA60" i="13"/>
  <c r="AO61" i="13"/>
  <c r="AA61" i="13"/>
  <c r="AO62" i="13"/>
  <c r="AA62" i="13"/>
  <c r="AO63" i="13"/>
  <c r="AA63" i="13"/>
  <c r="AO64" i="13"/>
  <c r="AA64" i="13"/>
  <c r="AO65" i="13"/>
  <c r="AA65" i="13"/>
  <c r="AO66" i="13"/>
  <c r="AA66" i="13"/>
  <c r="AO67" i="13"/>
  <c r="AA67" i="13"/>
  <c r="AO68" i="13"/>
  <c r="AA68" i="13"/>
  <c r="AO69" i="13"/>
  <c r="AA69" i="13"/>
  <c r="AO70" i="13"/>
  <c r="AA70" i="13"/>
  <c r="AO71" i="13"/>
  <c r="AA71" i="13"/>
  <c r="AO72" i="13"/>
  <c r="AA72" i="13"/>
  <c r="AO73" i="13"/>
  <c r="AA73" i="13"/>
  <c r="AO74" i="13"/>
  <c r="AA74" i="13"/>
  <c r="AO75" i="13"/>
  <c r="AA75" i="13"/>
  <c r="AO76" i="13"/>
  <c r="AA76" i="13"/>
  <c r="AO77" i="13"/>
  <c r="AA77" i="13"/>
  <c r="AO78" i="13"/>
  <c r="AA78" i="13"/>
  <c r="AO79" i="13"/>
  <c r="AA79" i="13"/>
  <c r="AO80" i="13"/>
  <c r="AA80" i="13"/>
  <c r="AO81" i="13"/>
  <c r="AA81" i="13"/>
  <c r="AO82" i="13"/>
  <c r="AA82" i="13"/>
  <c r="AO83" i="13"/>
  <c r="AA83" i="13"/>
  <c r="AO84" i="13"/>
  <c r="AA84" i="13"/>
  <c r="AO85" i="13"/>
  <c r="AA85" i="13"/>
  <c r="AO86" i="13"/>
  <c r="AA86" i="13"/>
  <c r="AO87" i="13"/>
  <c r="AA87" i="13"/>
  <c r="AO88" i="13"/>
  <c r="AA88" i="13"/>
  <c r="AO89" i="13"/>
  <c r="AA89" i="13"/>
  <c r="AO90" i="13"/>
  <c r="AA90" i="13"/>
  <c r="AO91" i="13"/>
  <c r="AA91" i="13"/>
  <c r="AO92" i="13"/>
  <c r="AA92" i="13"/>
  <c r="AO93" i="13"/>
  <c r="AA93" i="13"/>
  <c r="AO94" i="13"/>
  <c r="AA94" i="13"/>
  <c r="AA95" i="13"/>
  <c r="AO48" i="13"/>
  <c r="AA48" i="13"/>
  <c r="AX19" i="13"/>
  <c r="AX29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D154" i="13"/>
  <c r="E154" i="13"/>
  <c r="F154" i="13"/>
  <c r="G154" i="13"/>
  <c r="I154" i="13"/>
  <c r="J154" i="13"/>
  <c r="K154" i="13"/>
  <c r="L154" i="13"/>
  <c r="M154" i="13"/>
  <c r="N154" i="13"/>
  <c r="O154" i="13"/>
  <c r="P154" i="13"/>
  <c r="Q154" i="13"/>
  <c r="R154" i="13"/>
  <c r="S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AZ154" i="13"/>
  <c r="BA154" i="13"/>
  <c r="F2" i="25"/>
  <c r="G2" i="25"/>
  <c r="H2" i="25"/>
  <c r="I2" i="25"/>
  <c r="J2" i="25"/>
  <c r="K2" i="25"/>
  <c r="L2" i="25"/>
  <c r="M2" i="25"/>
  <c r="N2" i="25"/>
  <c r="O2" i="25"/>
  <c r="P2" i="25"/>
  <c r="Q2" i="25"/>
  <c r="R2" i="25"/>
  <c r="S2" i="25"/>
  <c r="T2" i="25"/>
  <c r="F3" i="25"/>
  <c r="G3" i="25"/>
  <c r="H3" i="25"/>
  <c r="I3" i="25"/>
  <c r="J3" i="25"/>
  <c r="K3" i="25"/>
  <c r="L3" i="25"/>
  <c r="M3" i="25"/>
  <c r="N3" i="25"/>
  <c r="O3" i="25"/>
  <c r="P3" i="25"/>
  <c r="Q3" i="25"/>
  <c r="R3" i="25"/>
  <c r="S3" i="25"/>
  <c r="T3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D24" i="25"/>
  <c r="D25" i="25"/>
  <c r="CE39" i="25"/>
  <c r="CF39" i="25"/>
  <c r="CG39" i="25"/>
  <c r="CH39" i="25"/>
  <c r="CI39" i="25"/>
  <c r="CJ39" i="25"/>
  <c r="CK39" i="25"/>
  <c r="CL39" i="25"/>
  <c r="CM39" i="25"/>
  <c r="CN39" i="25"/>
  <c r="CO39" i="25"/>
  <c r="CP39" i="25"/>
  <c r="CQ39" i="25"/>
  <c r="CR39" i="25"/>
  <c r="CS39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AS40" i="25"/>
  <c r="BN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AS41" i="25"/>
  <c r="BN41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AS42" i="25"/>
  <c r="BN42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AS43" i="25"/>
  <c r="BN43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AS44" i="25"/>
  <c r="BN44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AS45" i="25"/>
  <c r="BN45" i="25"/>
  <c r="F46" i="25"/>
  <c r="G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AS46" i="25"/>
  <c r="BN46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AS47" i="25"/>
  <c r="BN47" i="25"/>
  <c r="F48" i="25"/>
  <c r="G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AS48" i="25"/>
  <c r="BN48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AS49" i="25"/>
  <c r="BN49" i="25"/>
  <c r="F50" i="25"/>
  <c r="G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AS50" i="25"/>
  <c r="BN50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AS51" i="25"/>
  <c r="BN51" i="25"/>
  <c r="F52" i="25"/>
  <c r="G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AS52" i="25"/>
  <c r="BN52" i="25"/>
  <c r="F53" i="25"/>
  <c r="G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AS53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AS54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F57" i="25"/>
  <c r="G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F58" i="25"/>
  <c r="G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F62" i="25"/>
  <c r="G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F63" i="25"/>
  <c r="G63" i="25"/>
  <c r="H63" i="25"/>
  <c r="I63" i="25"/>
  <c r="J63" i="25"/>
  <c r="K63" i="25"/>
  <c r="L63" i="25"/>
  <c r="M63" i="25"/>
  <c r="N63" i="25"/>
  <c r="O63" i="25"/>
  <c r="P63" i="25"/>
  <c r="Q63" i="25"/>
  <c r="R63" i="25"/>
  <c r="S63" i="25"/>
  <c r="T63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F67" i="25"/>
  <c r="G67" i="25"/>
  <c r="H67" i="25"/>
  <c r="I67" i="25"/>
  <c r="J67" i="25"/>
  <c r="K67" i="25"/>
  <c r="L67" i="25"/>
  <c r="M67" i="25"/>
  <c r="N67" i="25"/>
  <c r="O67" i="25"/>
  <c r="P67" i="25"/>
  <c r="Q67" i="25"/>
  <c r="R67" i="25"/>
  <c r="S67" i="25"/>
  <c r="T67" i="25"/>
  <c r="U136" i="25"/>
  <c r="AF136" i="25"/>
  <c r="V137" i="25"/>
  <c r="W137" i="25"/>
  <c r="X137" i="25"/>
  <c r="Y137" i="25"/>
  <c r="Z137" i="25"/>
  <c r="AA137" i="25"/>
  <c r="AB137" i="25"/>
  <c r="AC137" i="25"/>
  <c r="AD137" i="25"/>
  <c r="AE137" i="25"/>
  <c r="AF137" i="25"/>
  <c r="AG137" i="25"/>
  <c r="AH137" i="25"/>
  <c r="AI137" i="25"/>
  <c r="AJ137" i="25"/>
  <c r="V138" i="25"/>
  <c r="W138" i="25"/>
  <c r="X138" i="25"/>
  <c r="Y138" i="25"/>
  <c r="Z138" i="25"/>
  <c r="AA138" i="25"/>
  <c r="AB138" i="25"/>
  <c r="AC138" i="25"/>
  <c r="AD138" i="25"/>
  <c r="AE138" i="25"/>
  <c r="AF138" i="25"/>
  <c r="AG138" i="25"/>
  <c r="AH138" i="25"/>
  <c r="AI138" i="25"/>
  <c r="AJ138" i="25"/>
  <c r="V139" i="25"/>
  <c r="W139" i="25"/>
  <c r="X139" i="25"/>
  <c r="Y139" i="25"/>
  <c r="Z139" i="25"/>
  <c r="AA139" i="25"/>
  <c r="AB139" i="25"/>
  <c r="AC139" i="25"/>
  <c r="AD139" i="25"/>
  <c r="AE139" i="25"/>
  <c r="AF139" i="25"/>
  <c r="AG139" i="25"/>
  <c r="AH139" i="25"/>
  <c r="AI139" i="25"/>
  <c r="AJ139" i="25"/>
  <c r="V140" i="25"/>
  <c r="W140" i="25"/>
  <c r="X140" i="25"/>
  <c r="Y140" i="25"/>
  <c r="Z140" i="25"/>
  <c r="AA140" i="25"/>
  <c r="AB140" i="25"/>
  <c r="AC140" i="25"/>
  <c r="AD140" i="25"/>
  <c r="AE140" i="25"/>
  <c r="AF140" i="25"/>
  <c r="AG140" i="25"/>
  <c r="AH140" i="25"/>
  <c r="AI140" i="25"/>
  <c r="AJ140" i="25"/>
  <c r="V141" i="25"/>
  <c r="W141" i="25"/>
  <c r="X141" i="25"/>
  <c r="Y141" i="25"/>
  <c r="Z141" i="25"/>
  <c r="AA141" i="25"/>
  <c r="AB141" i="25"/>
  <c r="AC141" i="25"/>
  <c r="AD141" i="25"/>
  <c r="AE141" i="25"/>
  <c r="AF141" i="25"/>
  <c r="AG141" i="25"/>
  <c r="AH141" i="25"/>
  <c r="AI141" i="25"/>
  <c r="AJ141" i="25"/>
  <c r="V142" i="25"/>
  <c r="W142" i="25"/>
  <c r="X142" i="25"/>
  <c r="Y142" i="25"/>
  <c r="Z142" i="25"/>
  <c r="AA142" i="25"/>
  <c r="AB142" i="25"/>
  <c r="AC142" i="25"/>
  <c r="AD142" i="25"/>
  <c r="AE142" i="25"/>
  <c r="AF142" i="25"/>
  <c r="AG142" i="25"/>
  <c r="AH142" i="25"/>
  <c r="AI142" i="25"/>
  <c r="AJ142" i="25"/>
  <c r="V143" i="25"/>
  <c r="W143" i="25"/>
  <c r="X143" i="25"/>
  <c r="Y143" i="25"/>
  <c r="Z143" i="25"/>
  <c r="AA143" i="25"/>
  <c r="AB143" i="25"/>
  <c r="AC143" i="25"/>
  <c r="AD143" i="25"/>
  <c r="AE143" i="25"/>
  <c r="AF143" i="25"/>
  <c r="AG143" i="25"/>
  <c r="AH143" i="25"/>
  <c r="AI143" i="25"/>
  <c r="AJ143" i="25"/>
  <c r="V144" i="25"/>
  <c r="W144" i="25"/>
  <c r="X144" i="25"/>
  <c r="Y144" i="25"/>
  <c r="Z144" i="25"/>
  <c r="AA144" i="25"/>
  <c r="AB144" i="25"/>
  <c r="AC144" i="25"/>
  <c r="AD144" i="25"/>
  <c r="AE144" i="25"/>
  <c r="AF144" i="25"/>
  <c r="AG144" i="25"/>
  <c r="AH144" i="25"/>
  <c r="AI144" i="25"/>
  <c r="AJ144" i="25"/>
  <c r="V145" i="25"/>
  <c r="W145" i="25"/>
  <c r="X145" i="25"/>
  <c r="Y145" i="25"/>
  <c r="Z145" i="25"/>
  <c r="AA145" i="25"/>
  <c r="AB145" i="25"/>
  <c r="AC145" i="25"/>
  <c r="AD145" i="25"/>
  <c r="AE145" i="25"/>
  <c r="AF145" i="25"/>
  <c r="AG145" i="25"/>
  <c r="AH145" i="25"/>
  <c r="AI145" i="25"/>
  <c r="AJ145" i="25"/>
  <c r="V146" i="25"/>
  <c r="W146" i="25"/>
  <c r="X146" i="25"/>
  <c r="Y146" i="25"/>
  <c r="Z146" i="25"/>
  <c r="AA146" i="25"/>
  <c r="AB146" i="25"/>
  <c r="AC146" i="25"/>
  <c r="AD146" i="25"/>
  <c r="AE146" i="25"/>
  <c r="AF146" i="25"/>
  <c r="AG146" i="25"/>
  <c r="AH146" i="25"/>
  <c r="AI146" i="25"/>
  <c r="AJ146" i="25"/>
  <c r="V147" i="25"/>
  <c r="W147" i="25"/>
  <c r="X147" i="25"/>
  <c r="Y147" i="25"/>
  <c r="Z147" i="25"/>
  <c r="AA147" i="25"/>
  <c r="AB147" i="25"/>
  <c r="AC147" i="25"/>
  <c r="AD147" i="25"/>
  <c r="AE147" i="25"/>
  <c r="AF147" i="25"/>
  <c r="AG147" i="25"/>
  <c r="AH147" i="25"/>
  <c r="AI147" i="25"/>
  <c r="AJ147" i="25"/>
  <c r="V148" i="25"/>
  <c r="W148" i="25"/>
  <c r="X148" i="25"/>
  <c r="Y148" i="25"/>
  <c r="Z148" i="25"/>
  <c r="AA148" i="25"/>
  <c r="AB148" i="25"/>
  <c r="AC148" i="25"/>
  <c r="AD148" i="25"/>
  <c r="AE148" i="25"/>
  <c r="AF148" i="25"/>
  <c r="AG148" i="25"/>
  <c r="AH148" i="25"/>
  <c r="AI148" i="25"/>
  <c r="AJ148" i="25"/>
  <c r="V149" i="25"/>
  <c r="W149" i="25"/>
  <c r="X149" i="25"/>
  <c r="Y149" i="25"/>
  <c r="Z149" i="25"/>
  <c r="AA149" i="25"/>
  <c r="AB149" i="25"/>
  <c r="AC149" i="25"/>
  <c r="AD149" i="25"/>
  <c r="AE149" i="25"/>
  <c r="AF149" i="25"/>
  <c r="AG149" i="25"/>
  <c r="AH149" i="25"/>
  <c r="AI149" i="25"/>
  <c r="AJ149" i="25"/>
  <c r="V150" i="25"/>
  <c r="W150" i="25"/>
  <c r="X150" i="25"/>
  <c r="Y150" i="25"/>
  <c r="Z150" i="25"/>
  <c r="AA150" i="25"/>
  <c r="AB150" i="25"/>
  <c r="AC150" i="25"/>
  <c r="AD150" i="25"/>
  <c r="AE150" i="25"/>
  <c r="AF150" i="25"/>
  <c r="AG150" i="25"/>
  <c r="AH150" i="25"/>
  <c r="AI150" i="25"/>
  <c r="AJ150" i="25"/>
  <c r="V151" i="25"/>
  <c r="W151" i="25"/>
  <c r="X151" i="25"/>
  <c r="Y151" i="25"/>
  <c r="Z151" i="25"/>
  <c r="AA151" i="25"/>
  <c r="AB151" i="25"/>
  <c r="AC151" i="25"/>
  <c r="AD151" i="25"/>
  <c r="AE151" i="25"/>
  <c r="AF151" i="25"/>
  <c r="AG151" i="25"/>
  <c r="AH151" i="25"/>
  <c r="AI151" i="25"/>
  <c r="AJ151" i="25"/>
  <c r="V152" i="25"/>
  <c r="W152" i="25"/>
  <c r="X152" i="25"/>
  <c r="Y152" i="25"/>
  <c r="Z152" i="25"/>
  <c r="AA152" i="25"/>
  <c r="AB152" i="25"/>
  <c r="AC152" i="25"/>
  <c r="AD152" i="25"/>
  <c r="AE152" i="25"/>
  <c r="AF152" i="25"/>
  <c r="AG152" i="25"/>
  <c r="AH152" i="25"/>
  <c r="AI152" i="25"/>
  <c r="AJ152" i="25"/>
  <c r="V153" i="25"/>
  <c r="W153" i="25"/>
  <c r="X153" i="25"/>
  <c r="Y153" i="25"/>
  <c r="Z153" i="25"/>
  <c r="AA153" i="25"/>
  <c r="AB153" i="25"/>
  <c r="AC153" i="25"/>
  <c r="AD153" i="25"/>
  <c r="AE153" i="25"/>
  <c r="AF153" i="25"/>
  <c r="AG153" i="25"/>
  <c r="AH153" i="25"/>
  <c r="AI153" i="25"/>
  <c r="AJ153" i="25"/>
  <c r="V154" i="25"/>
  <c r="W154" i="25"/>
  <c r="X154" i="25"/>
  <c r="Y154" i="25"/>
  <c r="Z154" i="25"/>
  <c r="AA154" i="25"/>
  <c r="AB154" i="25"/>
  <c r="AC154" i="25"/>
  <c r="AD154" i="25"/>
  <c r="AE154" i="25"/>
  <c r="AF154" i="25"/>
  <c r="AG154" i="25"/>
  <c r="AH154" i="25"/>
  <c r="AI154" i="25"/>
  <c r="AJ154" i="25"/>
  <c r="V155" i="25"/>
  <c r="W155" i="25"/>
  <c r="X155" i="25"/>
  <c r="Y155" i="25"/>
  <c r="Z155" i="25"/>
  <c r="AA155" i="25"/>
  <c r="AB155" i="25"/>
  <c r="AC155" i="25"/>
  <c r="AD155" i="25"/>
  <c r="AE155" i="25"/>
  <c r="AF155" i="25"/>
  <c r="AG155" i="25"/>
  <c r="AH155" i="25"/>
  <c r="AI155" i="25"/>
  <c r="AJ155" i="25"/>
  <c r="V156" i="25"/>
  <c r="W156" i="25"/>
  <c r="X156" i="25"/>
  <c r="Y156" i="25"/>
  <c r="Z156" i="25"/>
  <c r="AA156" i="25"/>
  <c r="AB156" i="25"/>
  <c r="AC156" i="25"/>
  <c r="AD156" i="25"/>
  <c r="AE156" i="25"/>
  <c r="AF156" i="25"/>
  <c r="AG156" i="25"/>
  <c r="AH156" i="25"/>
  <c r="AI156" i="25"/>
  <c r="AJ156" i="25"/>
  <c r="V157" i="25"/>
  <c r="W157" i="25"/>
  <c r="X157" i="25"/>
  <c r="Y157" i="25"/>
  <c r="Z157" i="25"/>
  <c r="AA157" i="25"/>
  <c r="AB157" i="25"/>
  <c r="AC157" i="25"/>
  <c r="AD157" i="25"/>
  <c r="AE157" i="25"/>
  <c r="AF157" i="25"/>
  <c r="AG157" i="25"/>
  <c r="AH157" i="25"/>
  <c r="AI157" i="25"/>
  <c r="AJ157" i="25"/>
  <c r="V158" i="25"/>
  <c r="W158" i="25"/>
  <c r="X158" i="25"/>
  <c r="Y158" i="25"/>
  <c r="Z158" i="25"/>
  <c r="AA158" i="25"/>
  <c r="AB158" i="25"/>
  <c r="AC158" i="25"/>
  <c r="AD158" i="25"/>
  <c r="AE158" i="25"/>
  <c r="AF158" i="25"/>
  <c r="AG158" i="25"/>
  <c r="AH158" i="25"/>
  <c r="AI158" i="25"/>
  <c r="AJ158" i="25"/>
  <c r="V159" i="25"/>
  <c r="W159" i="25"/>
  <c r="X159" i="25"/>
  <c r="Y159" i="25"/>
  <c r="Z159" i="25"/>
  <c r="AA159" i="25"/>
  <c r="AB159" i="25"/>
  <c r="AC159" i="25"/>
  <c r="AD159" i="25"/>
  <c r="AE159" i="25"/>
  <c r="AF159" i="25"/>
  <c r="AG159" i="25"/>
  <c r="AH159" i="25"/>
  <c r="AI159" i="25"/>
  <c r="AJ159" i="25"/>
  <c r="V160" i="25"/>
  <c r="W160" i="25"/>
  <c r="X160" i="25"/>
  <c r="Y160" i="25"/>
  <c r="Z160" i="25"/>
  <c r="AA160" i="25"/>
  <c r="AB160" i="25"/>
  <c r="AC160" i="25"/>
  <c r="AD160" i="25"/>
  <c r="AE160" i="25"/>
  <c r="AF160" i="25"/>
  <c r="AG160" i="25"/>
  <c r="AH160" i="25"/>
  <c r="AI160" i="25"/>
  <c r="AJ160" i="25"/>
  <c r="V161" i="25"/>
  <c r="W161" i="25"/>
  <c r="X161" i="25"/>
  <c r="Y161" i="25"/>
  <c r="Z161" i="25"/>
  <c r="AA161" i="25"/>
  <c r="AB161" i="25"/>
  <c r="AC161" i="25"/>
  <c r="AD161" i="25"/>
  <c r="AE161" i="25"/>
  <c r="AF161" i="25"/>
  <c r="AG161" i="25"/>
  <c r="AH161" i="25"/>
  <c r="AI161" i="25"/>
  <c r="AJ161" i="25"/>
  <c r="V162" i="25"/>
  <c r="W162" i="25"/>
  <c r="X162" i="25"/>
  <c r="Y162" i="25"/>
  <c r="Z162" i="25"/>
  <c r="AA162" i="25"/>
  <c r="AB162" i="25"/>
  <c r="AC162" i="25"/>
  <c r="AD162" i="25"/>
  <c r="AE162" i="25"/>
  <c r="AF162" i="25"/>
  <c r="AG162" i="25"/>
  <c r="AH162" i="25"/>
  <c r="AI162" i="25"/>
  <c r="AJ162" i="25"/>
  <c r="V163" i="25"/>
  <c r="W163" i="25"/>
  <c r="X163" i="25"/>
  <c r="Y163" i="25"/>
  <c r="Z163" i="25"/>
  <c r="AA163" i="25"/>
  <c r="AB163" i="25"/>
  <c r="AC163" i="25"/>
  <c r="AD163" i="25"/>
  <c r="AE163" i="25"/>
  <c r="AF163" i="25"/>
  <c r="AG163" i="25"/>
  <c r="AH163" i="25"/>
  <c r="AI163" i="25"/>
  <c r="AJ163" i="25"/>
  <c r="U167" i="25"/>
  <c r="AH167" i="25"/>
  <c r="U168" i="25"/>
  <c r="X168" i="25"/>
  <c r="U169" i="25"/>
  <c r="AC169" i="25"/>
  <c r="U170" i="25"/>
  <c r="W170" i="25"/>
  <c r="U171" i="25"/>
  <c r="AA171" i="25"/>
  <c r="U172" i="25"/>
  <c r="U173" i="25"/>
  <c r="U174" i="25"/>
  <c r="AJ174" i="25"/>
  <c r="U175" i="25"/>
  <c r="AE175" i="25"/>
  <c r="U176" i="25"/>
  <c r="AJ176" i="25"/>
  <c r="U177" i="25"/>
  <c r="U178" i="25"/>
  <c r="U179" i="25"/>
  <c r="Y179" i="25"/>
  <c r="U180" i="25"/>
  <c r="U181" i="25"/>
  <c r="AD181" i="25"/>
  <c r="U182" i="25"/>
  <c r="AJ182" i="25"/>
  <c r="U183" i="25"/>
  <c r="Y183" i="25"/>
  <c r="U184" i="25"/>
  <c r="U185" i="25"/>
  <c r="W185" i="25"/>
  <c r="U186" i="25"/>
  <c r="U187" i="25"/>
  <c r="AB187" i="25"/>
  <c r="U188" i="25"/>
  <c r="Z188" i="25"/>
  <c r="U189" i="25"/>
  <c r="U190" i="25"/>
  <c r="AA190" i="25"/>
  <c r="U191" i="25"/>
  <c r="AA191" i="25"/>
  <c r="U192" i="25"/>
  <c r="AJ192" i="25"/>
  <c r="U193" i="25"/>
  <c r="V193" i="25"/>
  <c r="U194" i="25"/>
  <c r="W307" i="25"/>
  <c r="W308" i="25"/>
  <c r="W309" i="25"/>
  <c r="W310" i="25"/>
  <c r="W311" i="25"/>
  <c r="W312" i="25"/>
  <c r="W313" i="25"/>
  <c r="W314" i="25"/>
  <c r="W315" i="25"/>
  <c r="W316" i="25"/>
  <c r="W317" i="25"/>
  <c r="W318" i="25"/>
  <c r="W319" i="25"/>
  <c r="W320" i="25"/>
  <c r="W321" i="25"/>
  <c r="W322" i="25"/>
  <c r="W323" i="25"/>
  <c r="W324" i="25"/>
  <c r="W325" i="25"/>
  <c r="W326" i="25"/>
  <c r="W327" i="25"/>
  <c r="W328" i="25"/>
  <c r="W329" i="25"/>
  <c r="W330" i="25"/>
  <c r="W331" i="25"/>
  <c r="W332" i="25"/>
  <c r="W333" i="25"/>
  <c r="W334" i="25"/>
  <c r="F337" i="25"/>
  <c r="G337" i="25"/>
  <c r="H337" i="25"/>
  <c r="I337" i="25"/>
  <c r="J337" i="25"/>
  <c r="K337" i="25"/>
  <c r="L337" i="25"/>
  <c r="M337" i="25"/>
  <c r="N337" i="25"/>
  <c r="O337" i="25"/>
  <c r="P337" i="25"/>
  <c r="Q337" i="25"/>
  <c r="R337" i="25"/>
  <c r="S337" i="25"/>
  <c r="T337" i="25"/>
  <c r="F338" i="25"/>
  <c r="G338" i="25"/>
  <c r="H338" i="25"/>
  <c r="I338" i="25"/>
  <c r="J338" i="25"/>
  <c r="K338" i="25"/>
  <c r="L338" i="25"/>
  <c r="M338" i="25"/>
  <c r="N338" i="25"/>
  <c r="O338" i="25"/>
  <c r="P338" i="25"/>
  <c r="Q338" i="25"/>
  <c r="R338" i="25"/>
  <c r="S338" i="25"/>
  <c r="T338" i="25"/>
  <c r="F339" i="25"/>
  <c r="G339" i="25"/>
  <c r="H339" i="25"/>
  <c r="I339" i="25"/>
  <c r="J339" i="25"/>
  <c r="K339" i="25"/>
  <c r="L339" i="25"/>
  <c r="M339" i="25"/>
  <c r="N339" i="25"/>
  <c r="O339" i="25"/>
  <c r="P339" i="25"/>
  <c r="Q339" i="25"/>
  <c r="R339" i="25"/>
  <c r="S339" i="25"/>
  <c r="T339" i="25"/>
  <c r="F340" i="25"/>
  <c r="G340" i="25"/>
  <c r="H340" i="25"/>
  <c r="I340" i="25"/>
  <c r="J340" i="25"/>
  <c r="K340" i="25"/>
  <c r="L340" i="25"/>
  <c r="M340" i="25"/>
  <c r="N340" i="25"/>
  <c r="O340" i="25"/>
  <c r="P340" i="25"/>
  <c r="Q340" i="25"/>
  <c r="R340" i="25"/>
  <c r="S340" i="25"/>
  <c r="T340" i="25"/>
  <c r="F341" i="25"/>
  <c r="G341" i="25"/>
  <c r="H341" i="25"/>
  <c r="I341" i="25"/>
  <c r="J341" i="25"/>
  <c r="K341" i="25"/>
  <c r="L341" i="25"/>
  <c r="M341" i="25"/>
  <c r="N341" i="25"/>
  <c r="O341" i="25"/>
  <c r="P341" i="25"/>
  <c r="Q341" i="25"/>
  <c r="R341" i="25"/>
  <c r="S341" i="25"/>
  <c r="T341" i="25"/>
  <c r="F342" i="25"/>
  <c r="G342" i="25"/>
  <c r="H342" i="25"/>
  <c r="I342" i="25"/>
  <c r="J342" i="25"/>
  <c r="K342" i="25"/>
  <c r="L342" i="25"/>
  <c r="M342" i="25"/>
  <c r="N342" i="25"/>
  <c r="O342" i="25"/>
  <c r="P342" i="25"/>
  <c r="Q342" i="25"/>
  <c r="R342" i="25"/>
  <c r="S342" i="25"/>
  <c r="T342" i="25"/>
  <c r="F343" i="25"/>
  <c r="G343" i="25"/>
  <c r="H343" i="25"/>
  <c r="I343" i="25"/>
  <c r="J343" i="25"/>
  <c r="K343" i="25"/>
  <c r="L343" i="25"/>
  <c r="M343" i="25"/>
  <c r="N343" i="25"/>
  <c r="O343" i="25"/>
  <c r="P343" i="25"/>
  <c r="Q343" i="25"/>
  <c r="R343" i="25"/>
  <c r="S343" i="25"/>
  <c r="T343" i="25"/>
  <c r="F344" i="25"/>
  <c r="G344" i="25"/>
  <c r="H344" i="25"/>
  <c r="I344" i="25"/>
  <c r="J344" i="25"/>
  <c r="K344" i="25"/>
  <c r="L344" i="25"/>
  <c r="M344" i="25"/>
  <c r="N344" i="25"/>
  <c r="O344" i="25"/>
  <c r="P344" i="25"/>
  <c r="Q344" i="25"/>
  <c r="R344" i="25"/>
  <c r="S344" i="25"/>
  <c r="T344" i="25"/>
  <c r="F345" i="25"/>
  <c r="G345" i="25"/>
  <c r="H345" i="25"/>
  <c r="I345" i="25"/>
  <c r="J345" i="25"/>
  <c r="K345" i="25"/>
  <c r="L345" i="25"/>
  <c r="M345" i="25"/>
  <c r="N345" i="25"/>
  <c r="O345" i="25"/>
  <c r="P345" i="25"/>
  <c r="Q345" i="25"/>
  <c r="R345" i="25"/>
  <c r="S345" i="25"/>
  <c r="T345" i="25"/>
  <c r="F346" i="25"/>
  <c r="G346" i="25"/>
  <c r="H346" i="25"/>
  <c r="I346" i="25"/>
  <c r="J346" i="25"/>
  <c r="K346" i="25"/>
  <c r="L346" i="25"/>
  <c r="M346" i="25"/>
  <c r="N346" i="25"/>
  <c r="O346" i="25"/>
  <c r="P346" i="25"/>
  <c r="Q346" i="25"/>
  <c r="R346" i="25"/>
  <c r="S346" i="25"/>
  <c r="T346" i="25"/>
  <c r="F347" i="25"/>
  <c r="G347" i="25"/>
  <c r="H347" i="25"/>
  <c r="I347" i="25"/>
  <c r="J347" i="25"/>
  <c r="K347" i="25"/>
  <c r="L347" i="25"/>
  <c r="M347" i="25"/>
  <c r="N347" i="25"/>
  <c r="O347" i="25"/>
  <c r="P347" i="25"/>
  <c r="Q347" i="25"/>
  <c r="R347" i="25"/>
  <c r="S347" i="25"/>
  <c r="T347" i="25"/>
  <c r="F348" i="25"/>
  <c r="G348" i="25"/>
  <c r="H348" i="25"/>
  <c r="I348" i="25"/>
  <c r="J348" i="25"/>
  <c r="K348" i="25"/>
  <c r="L348" i="25"/>
  <c r="M348" i="25"/>
  <c r="N348" i="25"/>
  <c r="O348" i="25"/>
  <c r="P348" i="25"/>
  <c r="Q348" i="25"/>
  <c r="R348" i="25"/>
  <c r="S348" i="25"/>
  <c r="T348" i="25"/>
  <c r="F349" i="25"/>
  <c r="G349" i="25"/>
  <c r="H349" i="25"/>
  <c r="I349" i="25"/>
  <c r="J349" i="25"/>
  <c r="K349" i="25"/>
  <c r="L349" i="25"/>
  <c r="M349" i="25"/>
  <c r="N349" i="25"/>
  <c r="O349" i="25"/>
  <c r="P349" i="25"/>
  <c r="Q349" i="25"/>
  <c r="R349" i="25"/>
  <c r="S349" i="25"/>
  <c r="T349" i="25"/>
  <c r="F350" i="25"/>
  <c r="G350" i="25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F351" i="25"/>
  <c r="G351" i="25"/>
  <c r="H351" i="25"/>
  <c r="I351" i="25"/>
  <c r="J351" i="25"/>
  <c r="K351" i="25"/>
  <c r="L351" i="25"/>
  <c r="M351" i="25"/>
  <c r="N351" i="25"/>
  <c r="O351" i="25"/>
  <c r="P351" i="25"/>
  <c r="Q351" i="25"/>
  <c r="R351" i="25"/>
  <c r="S351" i="25"/>
  <c r="T351" i="25"/>
  <c r="F352" i="25"/>
  <c r="G352" i="25"/>
  <c r="H352" i="25"/>
  <c r="I352" i="25"/>
  <c r="J352" i="25"/>
  <c r="K352" i="25"/>
  <c r="L352" i="25"/>
  <c r="M352" i="25"/>
  <c r="N352" i="25"/>
  <c r="O352" i="25"/>
  <c r="P352" i="25"/>
  <c r="Q352" i="25"/>
  <c r="R352" i="25"/>
  <c r="S352" i="25"/>
  <c r="T352" i="25"/>
  <c r="F353" i="25"/>
  <c r="G353" i="25"/>
  <c r="H353" i="25"/>
  <c r="I353" i="25"/>
  <c r="J353" i="25"/>
  <c r="K353" i="25"/>
  <c r="L353" i="25"/>
  <c r="M353" i="25"/>
  <c r="N353" i="25"/>
  <c r="O353" i="25"/>
  <c r="P353" i="25"/>
  <c r="Q353" i="25"/>
  <c r="R353" i="25"/>
  <c r="S353" i="25"/>
  <c r="T353" i="25"/>
  <c r="F354" i="25"/>
  <c r="G354" i="25"/>
  <c r="H354" i="25"/>
  <c r="I354" i="25"/>
  <c r="J354" i="25"/>
  <c r="K354" i="25"/>
  <c r="L354" i="25"/>
  <c r="M354" i="25"/>
  <c r="N354" i="25"/>
  <c r="O354" i="25"/>
  <c r="P354" i="25"/>
  <c r="Q354" i="25"/>
  <c r="R354" i="25"/>
  <c r="S354" i="25"/>
  <c r="T354" i="25"/>
  <c r="F355" i="25"/>
  <c r="G355" i="25"/>
  <c r="H355" i="25"/>
  <c r="I355" i="25"/>
  <c r="J355" i="25"/>
  <c r="K355" i="25"/>
  <c r="L355" i="25"/>
  <c r="M355" i="25"/>
  <c r="N355" i="25"/>
  <c r="O355" i="25"/>
  <c r="P355" i="25"/>
  <c r="Q355" i="25"/>
  <c r="R355" i="25"/>
  <c r="S355" i="25"/>
  <c r="T355" i="25"/>
  <c r="F356" i="25"/>
  <c r="G356" i="25"/>
  <c r="H356" i="25"/>
  <c r="I356" i="25"/>
  <c r="J356" i="25"/>
  <c r="K356" i="25"/>
  <c r="L356" i="25"/>
  <c r="M356" i="25"/>
  <c r="N356" i="25"/>
  <c r="O356" i="25"/>
  <c r="P356" i="25"/>
  <c r="Q356" i="25"/>
  <c r="R356" i="25"/>
  <c r="S356" i="25"/>
  <c r="T356" i="25"/>
  <c r="F357" i="25"/>
  <c r="G357" i="25"/>
  <c r="H357" i="25"/>
  <c r="I357" i="25"/>
  <c r="J357" i="25"/>
  <c r="K357" i="25"/>
  <c r="L357" i="25"/>
  <c r="M357" i="25"/>
  <c r="N357" i="25"/>
  <c r="O357" i="25"/>
  <c r="P357" i="25"/>
  <c r="Q357" i="25"/>
  <c r="R357" i="25"/>
  <c r="S357" i="25"/>
  <c r="T357" i="25"/>
  <c r="F358" i="25"/>
  <c r="G358" i="25"/>
  <c r="H358" i="25"/>
  <c r="I358" i="25"/>
  <c r="J358" i="25"/>
  <c r="K358" i="25"/>
  <c r="L358" i="25"/>
  <c r="M358" i="25"/>
  <c r="N358" i="25"/>
  <c r="O358" i="25"/>
  <c r="P358" i="25"/>
  <c r="Q358" i="25"/>
  <c r="R358" i="25"/>
  <c r="S358" i="25"/>
  <c r="T358" i="25"/>
  <c r="F359" i="25"/>
  <c r="G359" i="25"/>
  <c r="H359" i="25"/>
  <c r="I359" i="25"/>
  <c r="J359" i="25"/>
  <c r="K359" i="25"/>
  <c r="L359" i="25"/>
  <c r="M359" i="25"/>
  <c r="N359" i="25"/>
  <c r="O359" i="25"/>
  <c r="P359" i="25"/>
  <c r="Q359" i="25"/>
  <c r="R359" i="25"/>
  <c r="S359" i="25"/>
  <c r="T359" i="25"/>
  <c r="F360" i="25"/>
  <c r="G360" i="25"/>
  <c r="H360" i="25"/>
  <c r="I360" i="25"/>
  <c r="J360" i="25"/>
  <c r="K360" i="25"/>
  <c r="L360" i="25"/>
  <c r="M360" i="25"/>
  <c r="N360" i="25"/>
  <c r="O360" i="25"/>
  <c r="P360" i="25"/>
  <c r="Q360" i="25"/>
  <c r="R360" i="25"/>
  <c r="S360" i="25"/>
  <c r="T360" i="25"/>
  <c r="F361" i="25"/>
  <c r="G361" i="25"/>
  <c r="H361" i="25"/>
  <c r="I361" i="25"/>
  <c r="J361" i="25"/>
  <c r="K361" i="25"/>
  <c r="L361" i="25"/>
  <c r="M361" i="25"/>
  <c r="N361" i="25"/>
  <c r="O361" i="25"/>
  <c r="P361" i="25"/>
  <c r="Q361" i="25"/>
  <c r="R361" i="25"/>
  <c r="S361" i="25"/>
  <c r="T361" i="25"/>
  <c r="F362" i="25"/>
  <c r="G362" i="25"/>
  <c r="H362" i="25"/>
  <c r="I362" i="25"/>
  <c r="J362" i="25"/>
  <c r="K362" i="25"/>
  <c r="L362" i="25"/>
  <c r="M362" i="25"/>
  <c r="N362" i="25"/>
  <c r="O362" i="25"/>
  <c r="P362" i="25"/>
  <c r="Q362" i="25"/>
  <c r="R362" i="25"/>
  <c r="S362" i="25"/>
  <c r="T362" i="25"/>
  <c r="F363" i="25"/>
  <c r="G363" i="25"/>
  <c r="H363" i="25"/>
  <c r="I363" i="25"/>
  <c r="J363" i="25"/>
  <c r="K363" i="25"/>
  <c r="L363" i="25"/>
  <c r="M363" i="25"/>
  <c r="N363" i="25"/>
  <c r="O363" i="25"/>
  <c r="P363" i="25"/>
  <c r="Q363" i="25"/>
  <c r="R363" i="25"/>
  <c r="S363" i="25"/>
  <c r="T363" i="25"/>
  <c r="F364" i="25"/>
  <c r="G364" i="25"/>
  <c r="H364" i="25"/>
  <c r="I364" i="25"/>
  <c r="J364" i="25"/>
  <c r="K364" i="25"/>
  <c r="L364" i="25"/>
  <c r="M364" i="25"/>
  <c r="N364" i="25"/>
  <c r="O364" i="25"/>
  <c r="P364" i="25"/>
  <c r="Q364" i="25"/>
  <c r="R364" i="25"/>
  <c r="S364" i="25"/>
  <c r="T364" i="25"/>
  <c r="U368" i="25"/>
  <c r="W368" i="25"/>
  <c r="AA368" i="25"/>
  <c r="AC368" i="25"/>
  <c r="AE368" i="25"/>
  <c r="AI368" i="25"/>
  <c r="U369" i="25"/>
  <c r="Y369" i="25"/>
  <c r="W369" i="25"/>
  <c r="AA369" i="25"/>
  <c r="AC369" i="25"/>
  <c r="AE369" i="25"/>
  <c r="AI369" i="25"/>
  <c r="U370" i="25"/>
  <c r="W370" i="25"/>
  <c r="V370" i="25"/>
  <c r="X370" i="25"/>
  <c r="Y370" i="25"/>
  <c r="Z370" i="25"/>
  <c r="AB370" i="25"/>
  <c r="AC370" i="25"/>
  <c r="AD370" i="25"/>
  <c r="AF370" i="25"/>
  <c r="AG370" i="25"/>
  <c r="AH370" i="25"/>
  <c r="AJ370" i="25"/>
  <c r="U371" i="25"/>
  <c r="AC371" i="25"/>
  <c r="Y371" i="25"/>
  <c r="AG371" i="25"/>
  <c r="U372" i="25"/>
  <c r="W372" i="25"/>
  <c r="V372" i="25"/>
  <c r="X372" i="25"/>
  <c r="Y372" i="25"/>
  <c r="Z372" i="25"/>
  <c r="AB372" i="25"/>
  <c r="AC372" i="25"/>
  <c r="AD372" i="25"/>
  <c r="AF372" i="25"/>
  <c r="AG372" i="25"/>
  <c r="AH372" i="25"/>
  <c r="AJ372" i="25"/>
  <c r="U373" i="25"/>
  <c r="Y373" i="25"/>
  <c r="W373" i="25"/>
  <c r="AA373" i="25"/>
  <c r="AC373" i="25"/>
  <c r="AE373" i="25"/>
  <c r="AI373" i="25"/>
  <c r="U374" i="25"/>
  <c r="W374" i="25"/>
  <c r="V374" i="25"/>
  <c r="X374" i="25"/>
  <c r="Y374" i="25"/>
  <c r="Z374" i="25"/>
  <c r="AB374" i="25"/>
  <c r="AC374" i="25"/>
  <c r="AD374" i="25"/>
  <c r="AF374" i="25"/>
  <c r="AG374" i="25"/>
  <c r="AH374" i="25"/>
  <c r="AJ374" i="25"/>
  <c r="U375" i="25"/>
  <c r="AC375" i="25"/>
  <c r="U376" i="25"/>
  <c r="U377" i="25"/>
  <c r="V377" i="25"/>
  <c r="U378" i="25"/>
  <c r="V378" i="25"/>
  <c r="AC378" i="25"/>
  <c r="U379" i="25"/>
  <c r="Y379" i="25"/>
  <c r="U380" i="25"/>
  <c r="V380" i="25"/>
  <c r="Y380" i="25"/>
  <c r="AC380" i="25"/>
  <c r="AG380" i="25"/>
  <c r="AH380" i="25"/>
  <c r="U381" i="25"/>
  <c r="W381" i="25"/>
  <c r="AC381" i="25"/>
  <c r="AE381" i="25"/>
  <c r="U382" i="25"/>
  <c r="V382" i="25"/>
  <c r="Z382" i="25"/>
  <c r="AG382" i="25"/>
  <c r="U383" i="25"/>
  <c r="AC383" i="25"/>
  <c r="U384" i="25"/>
  <c r="W384" i="25"/>
  <c r="V384" i="25"/>
  <c r="X384" i="25"/>
  <c r="Y384" i="25"/>
  <c r="Z384" i="25"/>
  <c r="AB384" i="25"/>
  <c r="AC384" i="25"/>
  <c r="AD384" i="25"/>
  <c r="AF384" i="25"/>
  <c r="AG384" i="25"/>
  <c r="AH384" i="25"/>
  <c r="AJ384" i="25"/>
  <c r="U385" i="25"/>
  <c r="Y385" i="25"/>
  <c r="W385" i="25"/>
  <c r="AA385" i="25"/>
  <c r="AC385" i="25"/>
  <c r="AE385" i="25"/>
  <c r="AI385" i="25"/>
  <c r="U386" i="25"/>
  <c r="W386" i="25"/>
  <c r="V386" i="25"/>
  <c r="X386" i="25"/>
  <c r="Y386" i="25"/>
  <c r="Z386" i="25"/>
  <c r="AB386" i="25"/>
  <c r="AC386" i="25"/>
  <c r="AD386" i="25"/>
  <c r="AF386" i="25"/>
  <c r="AG386" i="25"/>
  <c r="AH386" i="25"/>
  <c r="AJ386" i="25"/>
  <c r="U387" i="25"/>
  <c r="AC387" i="25"/>
  <c r="Y387" i="25"/>
  <c r="AG387" i="25"/>
  <c r="U388" i="25"/>
  <c r="W388" i="25"/>
  <c r="V388" i="25"/>
  <c r="X388" i="25"/>
  <c r="Y388" i="25"/>
  <c r="Z388" i="25"/>
  <c r="AB388" i="25"/>
  <c r="AC388" i="25"/>
  <c r="AD388" i="25"/>
  <c r="AF388" i="25"/>
  <c r="AG388" i="25"/>
  <c r="AH388" i="25"/>
  <c r="AJ388" i="25"/>
  <c r="U389" i="25"/>
  <c r="Y389" i="25"/>
  <c r="W389" i="25"/>
  <c r="AA389" i="25"/>
  <c r="AC389" i="25"/>
  <c r="AE389" i="25"/>
  <c r="AI389" i="25"/>
  <c r="U390" i="25"/>
  <c r="W390" i="25"/>
  <c r="V390" i="25"/>
  <c r="X390" i="25"/>
  <c r="Y390" i="25"/>
  <c r="Z390" i="25"/>
  <c r="AB390" i="25"/>
  <c r="AC390" i="25"/>
  <c r="AD390" i="25"/>
  <c r="AF390" i="25"/>
  <c r="AG390" i="25"/>
  <c r="AH390" i="25"/>
  <c r="AJ390" i="25"/>
  <c r="U391" i="25"/>
  <c r="AC391" i="25"/>
  <c r="U392" i="25"/>
  <c r="V392" i="25"/>
  <c r="Y392" i="25"/>
  <c r="Z392" i="25"/>
  <c r="AC392" i="25"/>
  <c r="AG392" i="25"/>
  <c r="AH392" i="25"/>
  <c r="U393" i="25"/>
  <c r="W393" i="25"/>
  <c r="AC393" i="25"/>
  <c r="U394" i="25"/>
  <c r="V394" i="25"/>
  <c r="AG394" i="25"/>
  <c r="U395" i="25"/>
  <c r="Y395" i="25"/>
  <c r="G438" i="25"/>
  <c r="H438" i="25"/>
  <c r="G439" i="25"/>
  <c r="H439" i="25"/>
  <c r="G440" i="25"/>
  <c r="H440" i="25"/>
  <c r="G441" i="25"/>
  <c r="H441" i="25"/>
  <c r="G442" i="25"/>
  <c r="H442" i="25"/>
  <c r="G443" i="25"/>
  <c r="H443" i="25"/>
  <c r="G444" i="25"/>
  <c r="H444" i="25"/>
  <c r="G445" i="25"/>
  <c r="H445" i="25"/>
  <c r="G446" i="25"/>
  <c r="H446" i="25"/>
  <c r="G447" i="25"/>
  <c r="H447" i="25"/>
  <c r="G448" i="25"/>
  <c r="H448" i="25"/>
  <c r="G449" i="25"/>
  <c r="H449" i="25"/>
  <c r="G450" i="25"/>
  <c r="H450" i="25"/>
  <c r="G451" i="25"/>
  <c r="H451" i="25"/>
  <c r="G452" i="25"/>
  <c r="H452" i="25"/>
  <c r="G453" i="25"/>
  <c r="H453" i="25"/>
  <c r="G454" i="25"/>
  <c r="H454" i="25"/>
  <c r="G455" i="25"/>
  <c r="H455" i="25"/>
  <c r="G456" i="25"/>
  <c r="H456" i="25"/>
  <c r="G457" i="25"/>
  <c r="H457" i="25"/>
  <c r="G458" i="25"/>
  <c r="H458" i="25"/>
  <c r="G459" i="25"/>
  <c r="H459" i="25"/>
  <c r="G460" i="25"/>
  <c r="H460" i="25"/>
  <c r="G461" i="25"/>
  <c r="H461" i="25"/>
  <c r="G462" i="25"/>
  <c r="H462" i="25"/>
  <c r="G463" i="25"/>
  <c r="H463" i="25"/>
  <c r="G464" i="25"/>
  <c r="H464" i="25"/>
  <c r="G465" i="25"/>
  <c r="H465" i="25"/>
  <c r="M466" i="25"/>
  <c r="N466" i="25"/>
  <c r="O466" i="25"/>
  <c r="M467" i="25"/>
  <c r="N467" i="25"/>
  <c r="O467" i="25"/>
  <c r="M468" i="25"/>
  <c r="N468" i="25"/>
  <c r="O468" i="25"/>
  <c r="M469" i="25"/>
  <c r="N469" i="25"/>
  <c r="O469" i="25"/>
  <c r="M470" i="25"/>
  <c r="N470" i="25"/>
  <c r="O470" i="25"/>
  <c r="M471" i="25"/>
  <c r="N471" i="25"/>
  <c r="O471" i="25"/>
  <c r="M472" i="25"/>
  <c r="N472" i="25"/>
  <c r="O472" i="25"/>
  <c r="M473" i="25"/>
  <c r="N473" i="25"/>
  <c r="O473" i="25"/>
  <c r="M474" i="25"/>
  <c r="N474" i="25"/>
  <c r="O474" i="25"/>
  <c r="M475" i="25"/>
  <c r="N475" i="25"/>
  <c r="O475" i="25"/>
  <c r="M476" i="25"/>
  <c r="N476" i="25"/>
  <c r="O476" i="25"/>
  <c r="M477" i="25"/>
  <c r="N477" i="25"/>
  <c r="O477" i="25"/>
  <c r="M478" i="25"/>
  <c r="N478" i="25"/>
  <c r="O478" i="25"/>
  <c r="M479" i="25"/>
  <c r="F479" i="25"/>
  <c r="N479" i="25"/>
  <c r="G479" i="25"/>
  <c r="O479" i="25"/>
  <c r="M480" i="25"/>
  <c r="N480" i="25"/>
  <c r="O480" i="25"/>
  <c r="M481" i="25"/>
  <c r="N481" i="25"/>
  <c r="O481" i="25"/>
  <c r="M482" i="25"/>
  <c r="N482" i="25"/>
  <c r="O482" i="25"/>
  <c r="M483" i="25"/>
  <c r="F483" i="25"/>
  <c r="N483" i="25"/>
  <c r="G483" i="25"/>
  <c r="O483" i="25"/>
  <c r="M484" i="25"/>
  <c r="N484" i="25"/>
  <c r="O484" i="25"/>
  <c r="M485" i="25"/>
  <c r="N485" i="25"/>
  <c r="O485" i="25"/>
  <c r="M486" i="25"/>
  <c r="N486" i="25"/>
  <c r="O486" i="25"/>
  <c r="M487" i="25"/>
  <c r="F487" i="25"/>
  <c r="N487" i="25"/>
  <c r="G487" i="25"/>
  <c r="O487" i="25"/>
  <c r="M488" i="25"/>
  <c r="N488" i="25"/>
  <c r="O488" i="25"/>
  <c r="M489" i="25"/>
  <c r="N489" i="25"/>
  <c r="O489" i="25"/>
  <c r="M490" i="25"/>
  <c r="N490" i="25"/>
  <c r="O490" i="25"/>
  <c r="M491" i="25"/>
  <c r="F491" i="25"/>
  <c r="N491" i="25"/>
  <c r="G491" i="25"/>
  <c r="O491" i="25"/>
  <c r="M492" i="25"/>
  <c r="N492" i="25"/>
  <c r="O492" i="25"/>
  <c r="M493" i="25"/>
  <c r="N493" i="25"/>
  <c r="O493" i="25"/>
  <c r="M494" i="25"/>
  <c r="N494" i="25"/>
  <c r="O494" i="25"/>
  <c r="M495" i="25"/>
  <c r="F495" i="25"/>
  <c r="N495" i="25"/>
  <c r="G495" i="25"/>
  <c r="O495" i="25"/>
  <c r="M496" i="25"/>
  <c r="N496" i="25"/>
  <c r="O496" i="25"/>
  <c r="M497" i="25"/>
  <c r="N497" i="25"/>
  <c r="O497" i="25"/>
  <c r="M498" i="25"/>
  <c r="N498" i="25"/>
  <c r="O498" i="25"/>
  <c r="M499" i="25"/>
  <c r="F499" i="25"/>
  <c r="N499" i="25"/>
  <c r="G499" i="25"/>
  <c r="O499" i="25"/>
  <c r="M500" i="25"/>
  <c r="N500" i="25"/>
  <c r="O500" i="25"/>
  <c r="M501" i="25"/>
  <c r="N501" i="25"/>
  <c r="O501" i="25"/>
  <c r="M502" i="25"/>
  <c r="N502" i="25"/>
  <c r="O502" i="25"/>
  <c r="M503" i="25"/>
  <c r="F503" i="25"/>
  <c r="N503" i="25"/>
  <c r="G503" i="25"/>
  <c r="O503" i="25"/>
  <c r="M504" i="25"/>
  <c r="N504" i="25"/>
  <c r="O504" i="25"/>
  <c r="M505" i="25"/>
  <c r="N505" i="25"/>
  <c r="O505" i="25"/>
  <c r="M506" i="25"/>
  <c r="N506" i="25"/>
  <c r="O506" i="25"/>
  <c r="M507" i="25"/>
  <c r="F507" i="25"/>
  <c r="N507" i="25"/>
  <c r="G507" i="25"/>
  <c r="O507" i="25"/>
  <c r="M508" i="25"/>
  <c r="N508" i="25"/>
  <c r="O508" i="25"/>
  <c r="M509" i="25"/>
  <c r="N509" i="25"/>
  <c r="O509" i="25"/>
  <c r="M510" i="25"/>
  <c r="N510" i="25"/>
  <c r="O510" i="25"/>
  <c r="M511" i="25"/>
  <c r="F511" i="25"/>
  <c r="N511" i="25"/>
  <c r="G511" i="25"/>
  <c r="O511" i="25"/>
  <c r="M512" i="25"/>
  <c r="N512" i="25"/>
  <c r="O512" i="25"/>
  <c r="M513" i="25"/>
  <c r="N513" i="25"/>
  <c r="O513" i="25"/>
  <c r="AZ58" i="23"/>
  <c r="BA58" i="23"/>
  <c r="E6" i="13"/>
  <c r="F6" i="13"/>
  <c r="G6" i="13"/>
  <c r="H6" i="13"/>
  <c r="I6" i="13"/>
  <c r="J6" i="13"/>
  <c r="K6" i="13"/>
  <c r="L6" i="13"/>
  <c r="M6" i="13"/>
  <c r="N6" i="13"/>
  <c r="O6" i="13"/>
  <c r="P6" i="13"/>
  <c r="E7" i="13"/>
  <c r="F7" i="13"/>
  <c r="G7" i="13"/>
  <c r="H7" i="13"/>
  <c r="I7" i="13"/>
  <c r="J7" i="13"/>
  <c r="K7" i="13"/>
  <c r="L7" i="13"/>
  <c r="M7" i="13"/>
  <c r="N7" i="13"/>
  <c r="O7" i="13"/>
  <c r="P7" i="13"/>
  <c r="D10" i="13"/>
  <c r="D11" i="13"/>
  <c r="D12" i="13"/>
  <c r="D13" i="13"/>
  <c r="AB19" i="13"/>
  <c r="AE19" i="13"/>
  <c r="AJ19" i="13"/>
  <c r="AK19" i="13"/>
  <c r="AR19" i="13"/>
  <c r="AT19" i="13"/>
  <c r="AW19" i="13"/>
  <c r="AM19" i="13"/>
  <c r="D29" i="13" a="1"/>
  <c r="Q29" i="13"/>
  <c r="AP29" i="13"/>
  <c r="AQ29" i="13"/>
  <c r="AR29" i="13"/>
  <c r="AS29" i="13"/>
  <c r="AT29" i="13"/>
  <c r="AU29" i="13"/>
  <c r="AV29" i="13"/>
  <c r="AW29" i="13"/>
  <c r="T33" i="13"/>
  <c r="D33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B40" i="13"/>
  <c r="W40" i="13" a="1"/>
  <c r="W40" i="13"/>
  <c r="I44" i="13"/>
  <c r="J44" i="13"/>
  <c r="J45" i="13"/>
  <c r="J46" i="13"/>
  <c r="Q47" i="13"/>
  <c r="P47" i="13"/>
  <c r="O47" i="13"/>
  <c r="N47" i="13"/>
  <c r="M47" i="13"/>
  <c r="L47" i="13"/>
  <c r="D48" i="13"/>
  <c r="E48" i="13"/>
  <c r="G48" i="13"/>
  <c r="H48" i="13"/>
  <c r="C341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D49" i="13"/>
  <c r="E49" i="13"/>
  <c r="G49" i="13"/>
  <c r="H49" i="13"/>
  <c r="C342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S49" i="13"/>
  <c r="D50" i="13"/>
  <c r="E50" i="13"/>
  <c r="G50" i="13"/>
  <c r="H50" i="13"/>
  <c r="C343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D51" i="13"/>
  <c r="E51" i="13"/>
  <c r="G51" i="13"/>
  <c r="H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B52" i="13"/>
  <c r="D52" i="13"/>
  <c r="E52" i="13"/>
  <c r="G52" i="13"/>
  <c r="H52" i="13"/>
  <c r="C345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D53" i="13"/>
  <c r="E53" i="13"/>
  <c r="G53" i="13"/>
  <c r="H53" i="13"/>
  <c r="C346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B54" i="13"/>
  <c r="D54" i="13"/>
  <c r="E54" i="13"/>
  <c r="G54" i="13"/>
  <c r="H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D55" i="13"/>
  <c r="E55" i="13"/>
  <c r="G55" i="13"/>
  <c r="H55" i="13"/>
  <c r="C348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D56" i="13"/>
  <c r="E56" i="13"/>
  <c r="G56" i="13"/>
  <c r="H56" i="13"/>
  <c r="C349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D57" i="13"/>
  <c r="E57" i="13"/>
  <c r="G57" i="13"/>
  <c r="H57" i="13"/>
  <c r="C350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D58" i="13"/>
  <c r="E58" i="13"/>
  <c r="G58" i="13"/>
  <c r="H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D59" i="13"/>
  <c r="E59" i="13"/>
  <c r="G59" i="13"/>
  <c r="H59" i="13"/>
  <c r="C352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D60" i="13"/>
  <c r="E60" i="13"/>
  <c r="G60" i="13"/>
  <c r="H60" i="13"/>
  <c r="C353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D61" i="13"/>
  <c r="E61" i="13"/>
  <c r="G61" i="13"/>
  <c r="H61" i="13"/>
  <c r="C354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D62" i="13"/>
  <c r="E62" i="13"/>
  <c r="K62" i="13"/>
  <c r="F106" i="13"/>
  <c r="G62" i="13"/>
  <c r="H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D63" i="13"/>
  <c r="E63" i="13"/>
  <c r="G63" i="13"/>
  <c r="H63" i="13"/>
  <c r="C356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D64" i="13"/>
  <c r="E64" i="13"/>
  <c r="G64" i="13"/>
  <c r="H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D65" i="13"/>
  <c r="E65" i="13"/>
  <c r="G65" i="13"/>
  <c r="H65" i="13"/>
  <c r="C358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D66" i="13"/>
  <c r="E66" i="13"/>
  <c r="G66" i="13"/>
  <c r="H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D67" i="13"/>
  <c r="E67" i="13"/>
  <c r="G67" i="13"/>
  <c r="H67" i="13"/>
  <c r="C360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D68" i="13"/>
  <c r="E68" i="13"/>
  <c r="G68" i="13"/>
  <c r="H68" i="13"/>
  <c r="C361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D69" i="13"/>
  <c r="E69" i="13"/>
  <c r="G69" i="13"/>
  <c r="H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D70" i="13"/>
  <c r="E70" i="13"/>
  <c r="G70" i="13"/>
  <c r="H70" i="13"/>
  <c r="C363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D71" i="13"/>
  <c r="E71" i="13"/>
  <c r="G71" i="13"/>
  <c r="H71" i="13"/>
  <c r="C364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D72" i="13"/>
  <c r="E72" i="13"/>
  <c r="G72" i="13"/>
  <c r="H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D73" i="13"/>
  <c r="E73" i="13"/>
  <c r="G73" i="13"/>
  <c r="H73" i="13"/>
  <c r="C366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D74" i="13"/>
  <c r="E74" i="13"/>
  <c r="G74" i="13"/>
  <c r="H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D75" i="13"/>
  <c r="E75" i="13"/>
  <c r="G75" i="13"/>
  <c r="H75" i="13"/>
  <c r="C368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D76" i="13"/>
  <c r="E76" i="13"/>
  <c r="G76" i="13"/>
  <c r="H76" i="13"/>
  <c r="C369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D77" i="13"/>
  <c r="E77" i="13"/>
  <c r="G77" i="13"/>
  <c r="H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D78" i="13"/>
  <c r="E78" i="13"/>
  <c r="G78" i="13"/>
  <c r="H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D79" i="13"/>
  <c r="E79" i="13"/>
  <c r="G79" i="13"/>
  <c r="H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D80" i="13"/>
  <c r="E80" i="13"/>
  <c r="G80" i="13"/>
  <c r="H80" i="13"/>
  <c r="C373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K80" i="13"/>
  <c r="D81" i="13"/>
  <c r="E81" i="13"/>
  <c r="G81" i="13"/>
  <c r="H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K81" i="13"/>
  <c r="D82" i="13"/>
  <c r="E82" i="13"/>
  <c r="G82" i="13"/>
  <c r="H82" i="13"/>
  <c r="C375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K82" i="13"/>
  <c r="D83" i="13"/>
  <c r="E83" i="13"/>
  <c r="G83" i="13"/>
  <c r="H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K83" i="13"/>
  <c r="D84" i="13"/>
  <c r="E84" i="13"/>
  <c r="G84" i="13"/>
  <c r="H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K84" i="13"/>
  <c r="D85" i="13"/>
  <c r="E85" i="13"/>
  <c r="G85" i="13"/>
  <c r="H85" i="13"/>
  <c r="C378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K85" i="13"/>
  <c r="D86" i="13"/>
  <c r="E86" i="13"/>
  <c r="G86" i="13"/>
  <c r="H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D87" i="13"/>
  <c r="E87" i="13"/>
  <c r="G87" i="13"/>
  <c r="H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D88" i="13"/>
  <c r="E88" i="13"/>
  <c r="G88" i="13"/>
  <c r="H88" i="13"/>
  <c r="C381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D89" i="13"/>
  <c r="E89" i="13"/>
  <c r="G89" i="13"/>
  <c r="H89" i="13"/>
  <c r="C382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D90" i="13"/>
  <c r="E90" i="13"/>
  <c r="G90" i="13"/>
  <c r="H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D91" i="13"/>
  <c r="E91" i="13"/>
  <c r="G91" i="13"/>
  <c r="H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D92" i="13"/>
  <c r="E92" i="13"/>
  <c r="G92" i="13"/>
  <c r="H92" i="13"/>
  <c r="C385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D93" i="13"/>
  <c r="G93" i="13"/>
  <c r="H93" i="13"/>
  <c r="C386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D106" i="13"/>
  <c r="E106" i="13"/>
  <c r="C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P168" i="13"/>
  <c r="Q108" i="13"/>
  <c r="R108" i="13"/>
  <c r="S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C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C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C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C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C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C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C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C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C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C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P178" i="13"/>
  <c r="Q118" i="13"/>
  <c r="R118" i="13"/>
  <c r="S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C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P179" i="13"/>
  <c r="Q119" i="13"/>
  <c r="R119" i="13"/>
  <c r="S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C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C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P181" i="13"/>
  <c r="Q121" i="13"/>
  <c r="R121" i="13"/>
  <c r="S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C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C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M123" i="13" a="1"/>
  <c r="C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C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P185" i="13"/>
  <c r="Q125" i="13"/>
  <c r="R125" i="13"/>
  <c r="S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C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M126" i="13" a="1"/>
  <c r="C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C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C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M129" i="13" a="1"/>
  <c r="C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C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C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M132" i="13" a="1"/>
  <c r="AW132" i="13"/>
  <c r="C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C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C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M135" i="13" a="1"/>
  <c r="AO135" i="13"/>
  <c r="C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C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C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M138" i="13" a="1"/>
  <c r="AY138" i="13"/>
  <c r="C139" i="13"/>
  <c r="E139" i="13"/>
  <c r="F139" i="13"/>
  <c r="G139" i="13"/>
  <c r="H139" i="13"/>
  <c r="I139" i="13"/>
  <c r="J139" i="13"/>
  <c r="K139" i="13"/>
  <c r="L139" i="13"/>
  <c r="L199" i="13"/>
  <c r="M139" i="13"/>
  <c r="N139" i="13"/>
  <c r="O139" i="13"/>
  <c r="P139" i="13"/>
  <c r="Q139" i="13"/>
  <c r="R139" i="13"/>
  <c r="S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C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M140" i="13" a="1"/>
  <c r="C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C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C143" i="13"/>
  <c r="E143" i="13"/>
  <c r="F143" i="13"/>
  <c r="G143" i="13"/>
  <c r="H143" i="13"/>
  <c r="I143" i="13"/>
  <c r="J143" i="13"/>
  <c r="K143" i="13"/>
  <c r="L143" i="13"/>
  <c r="L203" i="13"/>
  <c r="M143" i="13"/>
  <c r="N143" i="13"/>
  <c r="O143" i="13"/>
  <c r="P143" i="13"/>
  <c r="P203" i="13"/>
  <c r="Q143" i="13"/>
  <c r="R143" i="13"/>
  <c r="S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AZ151" i="13"/>
  <c r="BA151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AZ152" i="13"/>
  <c r="BA152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AZ153" i="13"/>
  <c r="BA15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H169" i="13"/>
  <c r="U226" i="13"/>
  <c r="V226" i="13"/>
  <c r="U227" i="13"/>
  <c r="V227" i="13"/>
  <c r="U228" i="13"/>
  <c r="V228" i="13"/>
  <c r="U229" i="13"/>
  <c r="V229" i="13"/>
  <c r="U230" i="13"/>
  <c r="V230" i="13"/>
  <c r="U231" i="13"/>
  <c r="V231" i="13"/>
  <c r="U232" i="13"/>
  <c r="V232" i="13"/>
  <c r="U233" i="13"/>
  <c r="V233" i="13"/>
  <c r="U234" i="13"/>
  <c r="V234" i="13"/>
  <c r="U235" i="13"/>
  <c r="V235" i="13"/>
  <c r="U236" i="13"/>
  <c r="V236" i="13"/>
  <c r="U237" i="13"/>
  <c r="V237" i="13"/>
  <c r="U238" i="13"/>
  <c r="V238" i="13"/>
  <c r="U239" i="13"/>
  <c r="V239" i="13"/>
  <c r="U240" i="13"/>
  <c r="V240" i="13"/>
  <c r="U241" i="13"/>
  <c r="V241" i="13"/>
  <c r="U242" i="13"/>
  <c r="V242" i="13"/>
  <c r="U243" i="13"/>
  <c r="V243" i="13"/>
  <c r="U244" i="13"/>
  <c r="V244" i="13"/>
  <c r="U245" i="13"/>
  <c r="V245" i="13"/>
  <c r="U246" i="13"/>
  <c r="V246" i="13"/>
  <c r="U247" i="13"/>
  <c r="V247" i="13"/>
  <c r="U248" i="13"/>
  <c r="V248" i="13"/>
  <c r="U249" i="13"/>
  <c r="V249" i="13"/>
  <c r="U250" i="13"/>
  <c r="V250" i="13"/>
  <c r="U251" i="13"/>
  <c r="V251" i="13"/>
  <c r="U252" i="13"/>
  <c r="V252" i="13"/>
  <c r="U253" i="13"/>
  <c r="V253" i="13"/>
  <c r="U254" i="13"/>
  <c r="V254" i="13"/>
  <c r="U255" i="13"/>
  <c r="V255" i="13"/>
  <c r="U256" i="13"/>
  <c r="V256" i="13"/>
  <c r="U257" i="13"/>
  <c r="V257" i="13"/>
  <c r="U258" i="13"/>
  <c r="V258" i="13"/>
  <c r="U259" i="13"/>
  <c r="V259" i="13"/>
  <c r="U260" i="13"/>
  <c r="V260" i="13"/>
  <c r="U261" i="13"/>
  <c r="V261" i="13"/>
  <c r="U262" i="13"/>
  <c r="V262" i="13"/>
  <c r="U263" i="13"/>
  <c r="V263" i="13"/>
  <c r="U264" i="13"/>
  <c r="V264" i="13"/>
  <c r="U265" i="13"/>
  <c r="V265" i="13"/>
  <c r="U266" i="13"/>
  <c r="V266" i="13"/>
  <c r="U267" i="13"/>
  <c r="V267" i="13"/>
  <c r="U268" i="13"/>
  <c r="V268" i="13"/>
  <c r="U269" i="13"/>
  <c r="V269" i="13"/>
  <c r="U270" i="13"/>
  <c r="V270" i="13"/>
  <c r="U271" i="13"/>
  <c r="V271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E284" i="13"/>
  <c r="E341" i="13"/>
  <c r="F342" i="13"/>
  <c r="G343" i="13"/>
  <c r="H344" i="13"/>
  <c r="I345" i="13"/>
  <c r="J346" i="13"/>
  <c r="K347" i="13"/>
  <c r="L348" i="13"/>
  <c r="M349" i="13"/>
  <c r="N350" i="13"/>
  <c r="O351" i="13"/>
  <c r="P352" i="13"/>
  <c r="Q353" i="13"/>
  <c r="R354" i="13"/>
  <c r="F284" i="13"/>
  <c r="F341" i="13"/>
  <c r="G284" i="13"/>
  <c r="G341" i="13"/>
  <c r="H342" i="13"/>
  <c r="I343" i="13"/>
  <c r="J344" i="13"/>
  <c r="K345" i="13"/>
  <c r="L346" i="13"/>
  <c r="M347" i="13"/>
  <c r="N348" i="13"/>
  <c r="O349" i="13"/>
  <c r="P350" i="13"/>
  <c r="Q351" i="13"/>
  <c r="R352" i="13"/>
  <c r="H284" i="13"/>
  <c r="H341" i="13"/>
  <c r="I342" i="13"/>
  <c r="J343" i="13"/>
  <c r="I284" i="13"/>
  <c r="I341" i="13"/>
  <c r="J342" i="13"/>
  <c r="J284" i="13"/>
  <c r="J341" i="13"/>
  <c r="K342" i="13"/>
  <c r="L343" i="13"/>
  <c r="M344" i="13"/>
  <c r="N345" i="13"/>
  <c r="O346" i="13"/>
  <c r="P347" i="13"/>
  <c r="Q348" i="13"/>
  <c r="R349" i="13"/>
  <c r="K284" i="13"/>
  <c r="K341" i="13"/>
  <c r="L342" i="13"/>
  <c r="M343" i="13"/>
  <c r="N344" i="13"/>
  <c r="O345" i="13"/>
  <c r="P346" i="13"/>
  <c r="Q347" i="13"/>
  <c r="R348" i="13"/>
  <c r="L284" i="13"/>
  <c r="L341" i="13"/>
  <c r="M342" i="13"/>
  <c r="N343" i="13"/>
  <c r="O344" i="13"/>
  <c r="P345" i="13"/>
  <c r="Q346" i="13"/>
  <c r="R347" i="13"/>
  <c r="M284" i="13"/>
  <c r="M341" i="13"/>
  <c r="N342" i="13"/>
  <c r="O343" i="13"/>
  <c r="P344" i="13"/>
  <c r="Q345" i="13"/>
  <c r="R346" i="13"/>
  <c r="N284" i="13"/>
  <c r="N341" i="13"/>
  <c r="O342" i="13"/>
  <c r="P343" i="13"/>
  <c r="Q344" i="13"/>
  <c r="R345" i="13"/>
  <c r="O284" i="13"/>
  <c r="O341" i="13"/>
  <c r="P342" i="13"/>
  <c r="Q343" i="13"/>
  <c r="R344" i="13"/>
  <c r="P284" i="13"/>
  <c r="P341" i="13"/>
  <c r="Q342" i="13"/>
  <c r="R343" i="13"/>
  <c r="Q284" i="13"/>
  <c r="Q341" i="13"/>
  <c r="R342" i="13"/>
  <c r="R284" i="13"/>
  <c r="R341" i="13"/>
  <c r="S284" i="13"/>
  <c r="S341" i="13"/>
  <c r="E285" i="13"/>
  <c r="E342" i="13"/>
  <c r="F343" i="13"/>
  <c r="G344" i="13"/>
  <c r="H345" i="13"/>
  <c r="I346" i="13"/>
  <c r="J347" i="13"/>
  <c r="K348" i="13"/>
  <c r="L349" i="13"/>
  <c r="M350" i="13"/>
  <c r="N351" i="13"/>
  <c r="O352" i="13"/>
  <c r="P353" i="13"/>
  <c r="Q354" i="13"/>
  <c r="R35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E286" i="13"/>
  <c r="E343" i="13"/>
  <c r="F344" i="13"/>
  <c r="G345" i="13"/>
  <c r="H346" i="13"/>
  <c r="I347" i="13"/>
  <c r="J348" i="13"/>
  <c r="K349" i="13"/>
  <c r="L350" i="13"/>
  <c r="M351" i="13"/>
  <c r="N352" i="13"/>
  <c r="O353" i="13"/>
  <c r="P354" i="13"/>
  <c r="Q355" i="13"/>
  <c r="R356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E287" i="13"/>
  <c r="E344" i="13"/>
  <c r="F345" i="13"/>
  <c r="G346" i="13"/>
  <c r="H347" i="13"/>
  <c r="I348" i="13"/>
  <c r="J349" i="13"/>
  <c r="K350" i="13"/>
  <c r="L351" i="13"/>
  <c r="M352" i="13"/>
  <c r="N353" i="13"/>
  <c r="O354" i="13"/>
  <c r="P355" i="13"/>
  <c r="Q356" i="13"/>
  <c r="R35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E288" i="13"/>
  <c r="E345" i="13"/>
  <c r="F346" i="13"/>
  <c r="G347" i="13"/>
  <c r="H348" i="13"/>
  <c r="I349" i="13"/>
  <c r="J350" i="13"/>
  <c r="K351" i="13"/>
  <c r="L352" i="13"/>
  <c r="M353" i="13"/>
  <c r="N354" i="13"/>
  <c r="O355" i="13"/>
  <c r="P356" i="13"/>
  <c r="Q357" i="13"/>
  <c r="R358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E289" i="13"/>
  <c r="E346" i="13"/>
  <c r="F347" i="13"/>
  <c r="G348" i="13"/>
  <c r="H349" i="13"/>
  <c r="I350" i="13"/>
  <c r="J351" i="13"/>
  <c r="K352" i="13"/>
  <c r="L353" i="13"/>
  <c r="M354" i="13"/>
  <c r="N355" i="13"/>
  <c r="O356" i="13"/>
  <c r="P357" i="13"/>
  <c r="Q358" i="13"/>
  <c r="R359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E290" i="13"/>
  <c r="E347" i="13"/>
  <c r="F348" i="13"/>
  <c r="G349" i="13"/>
  <c r="H350" i="13"/>
  <c r="I351" i="13"/>
  <c r="J352" i="13"/>
  <c r="K353" i="13"/>
  <c r="L354" i="13"/>
  <c r="M355" i="13"/>
  <c r="N356" i="13"/>
  <c r="O357" i="13"/>
  <c r="P358" i="13"/>
  <c r="Q359" i="13"/>
  <c r="R360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E291" i="13"/>
  <c r="E348" i="13"/>
  <c r="F349" i="13"/>
  <c r="G350" i="13"/>
  <c r="H351" i="13"/>
  <c r="I352" i="13"/>
  <c r="J353" i="13"/>
  <c r="K354" i="13"/>
  <c r="L355" i="13"/>
  <c r="M356" i="13"/>
  <c r="N357" i="13"/>
  <c r="O358" i="13"/>
  <c r="P359" i="13"/>
  <c r="Q360" i="13"/>
  <c r="R36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E292" i="13"/>
  <c r="E349" i="13"/>
  <c r="F350" i="13"/>
  <c r="G351" i="13"/>
  <c r="H352" i="13"/>
  <c r="I353" i="13"/>
  <c r="J354" i="13"/>
  <c r="K355" i="13"/>
  <c r="L356" i="13"/>
  <c r="M357" i="13"/>
  <c r="N358" i="13"/>
  <c r="O359" i="13"/>
  <c r="P360" i="13"/>
  <c r="Q361" i="13"/>
  <c r="R36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E293" i="13"/>
  <c r="E350" i="13"/>
  <c r="F351" i="13"/>
  <c r="G352" i="13"/>
  <c r="H353" i="13"/>
  <c r="I354" i="13"/>
  <c r="J355" i="13"/>
  <c r="K356" i="13"/>
  <c r="L357" i="13"/>
  <c r="M358" i="13"/>
  <c r="N359" i="13"/>
  <c r="O360" i="13"/>
  <c r="P361" i="13"/>
  <c r="Q362" i="13"/>
  <c r="R363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E294" i="13"/>
  <c r="E351" i="13"/>
  <c r="F352" i="13"/>
  <c r="G353" i="13"/>
  <c r="H354" i="13"/>
  <c r="I355" i="13"/>
  <c r="J356" i="13"/>
  <c r="K357" i="13"/>
  <c r="L358" i="13"/>
  <c r="M359" i="13"/>
  <c r="N360" i="13"/>
  <c r="O361" i="13"/>
  <c r="P362" i="13"/>
  <c r="Q363" i="13"/>
  <c r="R36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E295" i="13"/>
  <c r="E352" i="13"/>
  <c r="F353" i="13"/>
  <c r="G354" i="13"/>
  <c r="H355" i="13"/>
  <c r="I356" i="13"/>
  <c r="J357" i="13"/>
  <c r="K358" i="13"/>
  <c r="L359" i="13"/>
  <c r="M360" i="13"/>
  <c r="N361" i="13"/>
  <c r="O362" i="13"/>
  <c r="P363" i="13"/>
  <c r="Q364" i="13"/>
  <c r="R365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E296" i="13"/>
  <c r="E353" i="13"/>
  <c r="F354" i="13"/>
  <c r="G355" i="13"/>
  <c r="H356" i="13"/>
  <c r="I357" i="13"/>
  <c r="J358" i="13"/>
  <c r="K359" i="13"/>
  <c r="L360" i="13"/>
  <c r="M361" i="13"/>
  <c r="N362" i="13"/>
  <c r="O363" i="13"/>
  <c r="P364" i="13"/>
  <c r="Q365" i="13"/>
  <c r="R366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E297" i="13"/>
  <c r="E354" i="13"/>
  <c r="F355" i="13"/>
  <c r="G356" i="13"/>
  <c r="H357" i="13"/>
  <c r="I358" i="13"/>
  <c r="J359" i="13"/>
  <c r="K360" i="13"/>
  <c r="L361" i="13"/>
  <c r="M362" i="13"/>
  <c r="N363" i="13"/>
  <c r="O364" i="13"/>
  <c r="P365" i="13"/>
  <c r="Q366" i="13"/>
  <c r="R367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E298" i="13"/>
  <c r="E355" i="13"/>
  <c r="F356" i="13"/>
  <c r="G357" i="13"/>
  <c r="H358" i="13"/>
  <c r="I359" i="13"/>
  <c r="J360" i="13"/>
  <c r="K361" i="13"/>
  <c r="L362" i="13"/>
  <c r="M363" i="13"/>
  <c r="N364" i="13"/>
  <c r="O365" i="13"/>
  <c r="P366" i="13"/>
  <c r="Q367" i="13"/>
  <c r="R368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E299" i="13"/>
  <c r="E356" i="13"/>
  <c r="F357" i="13"/>
  <c r="G358" i="13"/>
  <c r="H359" i="13"/>
  <c r="I360" i="13"/>
  <c r="J361" i="13"/>
  <c r="K362" i="13"/>
  <c r="L363" i="13"/>
  <c r="M364" i="13"/>
  <c r="N365" i="13"/>
  <c r="O366" i="13"/>
  <c r="P367" i="13"/>
  <c r="Q368" i="13"/>
  <c r="R36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E300" i="13"/>
  <c r="E357" i="13"/>
  <c r="F358" i="13"/>
  <c r="G359" i="13"/>
  <c r="H360" i="13"/>
  <c r="I361" i="13"/>
  <c r="J362" i="13"/>
  <c r="K363" i="13"/>
  <c r="L364" i="13"/>
  <c r="M365" i="13"/>
  <c r="N366" i="13"/>
  <c r="O367" i="13"/>
  <c r="P368" i="13"/>
  <c r="Q369" i="13"/>
  <c r="R37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E301" i="13"/>
  <c r="E358" i="13"/>
  <c r="F359" i="13"/>
  <c r="G360" i="13"/>
  <c r="H361" i="13"/>
  <c r="I362" i="13"/>
  <c r="J363" i="13"/>
  <c r="K364" i="13"/>
  <c r="L365" i="13"/>
  <c r="M366" i="13"/>
  <c r="N367" i="13"/>
  <c r="O368" i="13"/>
  <c r="P369" i="13"/>
  <c r="Q370" i="13"/>
  <c r="R371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E302" i="13"/>
  <c r="E359" i="13"/>
  <c r="F360" i="13"/>
  <c r="G361" i="13"/>
  <c r="H362" i="13"/>
  <c r="I363" i="13"/>
  <c r="J364" i="13"/>
  <c r="K365" i="13"/>
  <c r="L366" i="13"/>
  <c r="M367" i="13"/>
  <c r="N368" i="13"/>
  <c r="O369" i="13"/>
  <c r="P370" i="13"/>
  <c r="Q371" i="13"/>
  <c r="R372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E303" i="13"/>
  <c r="E360" i="13"/>
  <c r="F361" i="13"/>
  <c r="G362" i="13"/>
  <c r="H363" i="13"/>
  <c r="I364" i="13"/>
  <c r="J365" i="13"/>
  <c r="K366" i="13"/>
  <c r="L367" i="13"/>
  <c r="M368" i="13"/>
  <c r="N369" i="13"/>
  <c r="O370" i="13"/>
  <c r="P371" i="13"/>
  <c r="Q372" i="13"/>
  <c r="R373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E304" i="13"/>
  <c r="E361" i="13"/>
  <c r="F362" i="13"/>
  <c r="G363" i="13"/>
  <c r="H364" i="13"/>
  <c r="I365" i="13"/>
  <c r="J366" i="13"/>
  <c r="K367" i="13"/>
  <c r="L368" i="13"/>
  <c r="M369" i="13"/>
  <c r="N370" i="13"/>
  <c r="O371" i="13"/>
  <c r="P372" i="13"/>
  <c r="Q373" i="13"/>
  <c r="R37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E305" i="13"/>
  <c r="E362" i="13"/>
  <c r="F363" i="13"/>
  <c r="G364" i="13"/>
  <c r="H365" i="13"/>
  <c r="I366" i="13"/>
  <c r="J367" i="13"/>
  <c r="K368" i="13"/>
  <c r="L369" i="13"/>
  <c r="M370" i="13"/>
  <c r="N371" i="13"/>
  <c r="O372" i="13"/>
  <c r="P373" i="13"/>
  <c r="Q374" i="13"/>
  <c r="R375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E306" i="13"/>
  <c r="E363" i="13"/>
  <c r="F364" i="13"/>
  <c r="G365" i="13"/>
  <c r="H366" i="13"/>
  <c r="I367" i="13"/>
  <c r="J368" i="13"/>
  <c r="K369" i="13"/>
  <c r="L370" i="13"/>
  <c r="M371" i="13"/>
  <c r="N372" i="13"/>
  <c r="O373" i="13"/>
  <c r="P374" i="13"/>
  <c r="Q375" i="13"/>
  <c r="R376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E307" i="13"/>
  <c r="E364" i="13"/>
  <c r="F365" i="13"/>
  <c r="G366" i="13"/>
  <c r="H367" i="13"/>
  <c r="I368" i="13"/>
  <c r="J369" i="13"/>
  <c r="K370" i="13"/>
  <c r="L371" i="13"/>
  <c r="M372" i="13"/>
  <c r="N373" i="13"/>
  <c r="O374" i="13"/>
  <c r="P375" i="13"/>
  <c r="Q376" i="13"/>
  <c r="R37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E308" i="13"/>
  <c r="E365" i="13"/>
  <c r="F366" i="13"/>
  <c r="G367" i="13"/>
  <c r="H368" i="13"/>
  <c r="I369" i="13"/>
  <c r="J370" i="13"/>
  <c r="K371" i="13"/>
  <c r="L372" i="13"/>
  <c r="M373" i="13"/>
  <c r="N374" i="13"/>
  <c r="O375" i="13"/>
  <c r="P376" i="13"/>
  <c r="Q377" i="13"/>
  <c r="R37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E309" i="13"/>
  <c r="E366" i="13"/>
  <c r="F367" i="13"/>
  <c r="G368" i="13"/>
  <c r="H369" i="13"/>
  <c r="I370" i="13"/>
  <c r="J371" i="13"/>
  <c r="K372" i="13"/>
  <c r="L373" i="13"/>
  <c r="M374" i="13"/>
  <c r="N375" i="13"/>
  <c r="O376" i="13"/>
  <c r="P377" i="13"/>
  <c r="Q378" i="13"/>
  <c r="R379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E310" i="13"/>
  <c r="E367" i="13"/>
  <c r="F368" i="13"/>
  <c r="G369" i="13"/>
  <c r="H370" i="13"/>
  <c r="I371" i="13"/>
  <c r="J372" i="13"/>
  <c r="K373" i="13"/>
  <c r="L374" i="13"/>
  <c r="M375" i="13"/>
  <c r="N376" i="13"/>
  <c r="O377" i="13"/>
  <c r="P378" i="13"/>
  <c r="Q379" i="13"/>
  <c r="R380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E311" i="13"/>
  <c r="E368" i="13"/>
  <c r="F369" i="13"/>
  <c r="G370" i="13"/>
  <c r="H371" i="13"/>
  <c r="I372" i="13"/>
  <c r="J373" i="13"/>
  <c r="K374" i="13"/>
  <c r="L375" i="13"/>
  <c r="M376" i="13"/>
  <c r="N377" i="13"/>
  <c r="O378" i="13"/>
  <c r="P379" i="13"/>
  <c r="Q380" i="13"/>
  <c r="R381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E312" i="13"/>
  <c r="E369" i="13"/>
  <c r="F370" i="13"/>
  <c r="G371" i="13"/>
  <c r="H372" i="13"/>
  <c r="I373" i="13"/>
  <c r="J374" i="13"/>
  <c r="K375" i="13"/>
  <c r="L376" i="13"/>
  <c r="M377" i="13"/>
  <c r="N378" i="13"/>
  <c r="O379" i="13"/>
  <c r="P380" i="13"/>
  <c r="Q381" i="13"/>
  <c r="R382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E313" i="13"/>
  <c r="E370" i="13"/>
  <c r="F371" i="13"/>
  <c r="G372" i="13"/>
  <c r="H373" i="13"/>
  <c r="I374" i="13"/>
  <c r="J375" i="13"/>
  <c r="K376" i="13"/>
  <c r="L377" i="13"/>
  <c r="M378" i="13"/>
  <c r="N379" i="13"/>
  <c r="O380" i="13"/>
  <c r="P381" i="13"/>
  <c r="Q382" i="13"/>
  <c r="R383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E314" i="13"/>
  <c r="E371" i="13"/>
  <c r="F372" i="13"/>
  <c r="G373" i="13"/>
  <c r="H374" i="13"/>
  <c r="I375" i="13"/>
  <c r="J376" i="13"/>
  <c r="K377" i="13"/>
  <c r="L378" i="13"/>
  <c r="M379" i="13"/>
  <c r="N380" i="13"/>
  <c r="O381" i="13"/>
  <c r="P382" i="13"/>
  <c r="Q383" i="13"/>
  <c r="R38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E315" i="13"/>
  <c r="E372" i="13"/>
  <c r="F373" i="13"/>
  <c r="G374" i="13"/>
  <c r="H375" i="13"/>
  <c r="I376" i="13"/>
  <c r="J377" i="13"/>
  <c r="K378" i="13"/>
  <c r="L379" i="13"/>
  <c r="M380" i="13"/>
  <c r="N381" i="13"/>
  <c r="O382" i="13"/>
  <c r="P383" i="13"/>
  <c r="Q384" i="13"/>
  <c r="R38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E316" i="13"/>
  <c r="E373" i="13"/>
  <c r="F374" i="13"/>
  <c r="G375" i="13"/>
  <c r="H376" i="13"/>
  <c r="I377" i="13"/>
  <c r="J378" i="13"/>
  <c r="K379" i="13"/>
  <c r="L380" i="13"/>
  <c r="M381" i="13"/>
  <c r="N382" i="13"/>
  <c r="O383" i="13"/>
  <c r="P384" i="13"/>
  <c r="Q385" i="13"/>
  <c r="R38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E317" i="13"/>
  <c r="E374" i="13"/>
  <c r="F375" i="13"/>
  <c r="G376" i="13"/>
  <c r="H377" i="13"/>
  <c r="I378" i="13"/>
  <c r="J379" i="13"/>
  <c r="K380" i="13"/>
  <c r="L381" i="13"/>
  <c r="M382" i="13"/>
  <c r="N383" i="13"/>
  <c r="O384" i="13"/>
  <c r="P385" i="13"/>
  <c r="Q386" i="13"/>
  <c r="R387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E318" i="13"/>
  <c r="E375" i="13"/>
  <c r="F376" i="13"/>
  <c r="G377" i="13"/>
  <c r="H378" i="13"/>
  <c r="I379" i="13"/>
  <c r="J380" i="13"/>
  <c r="K381" i="13"/>
  <c r="L382" i="13"/>
  <c r="M383" i="13"/>
  <c r="N384" i="13"/>
  <c r="O385" i="13"/>
  <c r="P386" i="13"/>
  <c r="Q387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E319" i="13"/>
  <c r="E376" i="13"/>
  <c r="F377" i="13"/>
  <c r="G378" i="13"/>
  <c r="H379" i="13"/>
  <c r="I380" i="13"/>
  <c r="J381" i="13"/>
  <c r="K382" i="13"/>
  <c r="L383" i="13"/>
  <c r="M384" i="13"/>
  <c r="N385" i="13"/>
  <c r="O386" i="13"/>
  <c r="P387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E320" i="13"/>
  <c r="E377" i="13"/>
  <c r="F378" i="13"/>
  <c r="G379" i="13"/>
  <c r="H380" i="13"/>
  <c r="I381" i="13"/>
  <c r="J382" i="13"/>
  <c r="K383" i="13"/>
  <c r="L384" i="13"/>
  <c r="M385" i="13"/>
  <c r="N386" i="13"/>
  <c r="O387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E321" i="13"/>
  <c r="E378" i="13"/>
  <c r="F379" i="13"/>
  <c r="G380" i="13"/>
  <c r="H381" i="13"/>
  <c r="I382" i="13"/>
  <c r="J383" i="13"/>
  <c r="K384" i="13"/>
  <c r="L385" i="13"/>
  <c r="M386" i="13"/>
  <c r="N387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E322" i="13"/>
  <c r="E379" i="13"/>
  <c r="F380" i="13"/>
  <c r="G381" i="13"/>
  <c r="H382" i="13"/>
  <c r="I383" i="13"/>
  <c r="J384" i="13"/>
  <c r="K385" i="13"/>
  <c r="L386" i="13"/>
  <c r="M387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E323" i="13"/>
  <c r="E380" i="13"/>
  <c r="F381" i="13"/>
  <c r="G382" i="13"/>
  <c r="H383" i="13"/>
  <c r="I384" i="13"/>
  <c r="J385" i="13"/>
  <c r="K386" i="13"/>
  <c r="L387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E324" i="13"/>
  <c r="E381" i="13"/>
  <c r="F382" i="13"/>
  <c r="G383" i="13"/>
  <c r="H384" i="13"/>
  <c r="I385" i="13"/>
  <c r="J386" i="13"/>
  <c r="K387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E325" i="13"/>
  <c r="E382" i="13"/>
  <c r="F383" i="13"/>
  <c r="G384" i="13"/>
  <c r="H385" i="13"/>
  <c r="I386" i="13"/>
  <c r="J387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B326" i="13"/>
  <c r="E326" i="13"/>
  <c r="E383" i="13"/>
  <c r="F384" i="13"/>
  <c r="G385" i="13"/>
  <c r="H386" i="13"/>
  <c r="I387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B327" i="13"/>
  <c r="E327" i="13"/>
  <c r="E384" i="13"/>
  <c r="F385" i="13"/>
  <c r="G386" i="13"/>
  <c r="H387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E396" i="13"/>
  <c r="F396" i="13"/>
  <c r="G396" i="13"/>
  <c r="H396" i="13"/>
  <c r="I396" i="13"/>
  <c r="J396" i="13"/>
  <c r="K396" i="13"/>
  <c r="L396" i="13"/>
  <c r="M396" i="13"/>
  <c r="N396" i="13"/>
  <c r="O396" i="13"/>
  <c r="P396" i="13"/>
  <c r="Q396" i="13"/>
  <c r="R396" i="13"/>
  <c r="S396" i="13"/>
  <c r="D398" i="13"/>
  <c r="E398" i="13"/>
  <c r="F398" i="13"/>
  <c r="G398" i="13"/>
  <c r="H398" i="13"/>
  <c r="I398" i="13"/>
  <c r="J398" i="13"/>
  <c r="K398" i="13"/>
  <c r="L398" i="13"/>
  <c r="M398" i="13"/>
  <c r="N398" i="13"/>
  <c r="O398" i="13"/>
  <c r="P398" i="13"/>
  <c r="Q398" i="13"/>
  <c r="R398" i="13"/>
  <c r="S398" i="13"/>
  <c r="E399" i="13"/>
  <c r="F399" i="13"/>
  <c r="G399" i="13"/>
  <c r="H399" i="13"/>
  <c r="I399" i="13"/>
  <c r="J399" i="13"/>
  <c r="K399" i="13"/>
  <c r="L399" i="13"/>
  <c r="M399" i="13"/>
  <c r="N399" i="13"/>
  <c r="O399" i="13"/>
  <c r="P399" i="13"/>
  <c r="Q399" i="13"/>
  <c r="R399" i="13"/>
  <c r="S399" i="13"/>
  <c r="C454" i="13"/>
  <c r="F443" i="13"/>
  <c r="G443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E449" i="13"/>
  <c r="F450" i="13"/>
  <c r="F449" i="13"/>
  <c r="G450" i="13"/>
  <c r="G449" i="13"/>
  <c r="H450" i="13"/>
  <c r="H449" i="13"/>
  <c r="I450" i="13"/>
  <c r="I449" i="13"/>
  <c r="J450" i="13"/>
  <c r="J449" i="13"/>
  <c r="K450" i="13"/>
  <c r="K449" i="13"/>
  <c r="L450" i="13"/>
  <c r="L449" i="13"/>
  <c r="M450" i="13"/>
  <c r="M449" i="13"/>
  <c r="N450" i="13"/>
  <c r="N449" i="13"/>
  <c r="O450" i="13"/>
  <c r="O449" i="13"/>
  <c r="P450" i="13"/>
  <c r="P449" i="13"/>
  <c r="Q450" i="13"/>
  <c r="Q449" i="13"/>
  <c r="R450" i="13"/>
  <c r="R449" i="13"/>
  <c r="S449" i="13"/>
  <c r="E450" i="13"/>
  <c r="E452" i="13" a="1"/>
  <c r="H452" i="13"/>
  <c r="E456" i="13"/>
  <c r="G456" i="13"/>
  <c r="H456" i="13"/>
  <c r="I456" i="13"/>
  <c r="K456" i="13"/>
  <c r="L456" i="13"/>
  <c r="M456" i="13"/>
  <c r="O456" i="13"/>
  <c r="P456" i="13"/>
  <c r="Q456" i="13"/>
  <c r="S456" i="13"/>
  <c r="F456" i="13"/>
  <c r="J456" i="13"/>
  <c r="N456" i="13"/>
  <c r="R456" i="13"/>
  <c r="E459" i="13"/>
  <c r="F459" i="13"/>
  <c r="G459" i="13"/>
  <c r="C461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C463" i="13"/>
  <c r="E465" i="13"/>
  <c r="E466" i="13"/>
  <c r="F465" i="13"/>
  <c r="F466" i="13"/>
  <c r="G465" i="13"/>
  <c r="G466" i="13"/>
  <c r="H465" i="13"/>
  <c r="I465" i="13"/>
  <c r="J465" i="13"/>
  <c r="J466" i="13"/>
  <c r="K465" i="13"/>
  <c r="K466" i="13"/>
  <c r="L465" i="13"/>
  <c r="L466" i="13"/>
  <c r="M465" i="13"/>
  <c r="M466" i="13"/>
  <c r="N465" i="13"/>
  <c r="N466" i="13"/>
  <c r="O465" i="13"/>
  <c r="O466" i="13"/>
  <c r="P465" i="13"/>
  <c r="P466" i="13"/>
  <c r="Q465" i="13"/>
  <c r="Q466" i="13"/>
  <c r="R465" i="13"/>
  <c r="R466" i="13"/>
  <c r="S465" i="13"/>
  <c r="S466" i="13"/>
  <c r="I466" i="13"/>
  <c r="G467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G468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E474" i="13"/>
  <c r="F474" i="13"/>
  <c r="G474" i="13"/>
  <c r="G482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U476" i="13"/>
  <c r="E477" i="13"/>
  <c r="F477" i="13"/>
  <c r="G477" i="13"/>
  <c r="G469" i="13"/>
  <c r="H477" i="13"/>
  <c r="I477" i="13"/>
  <c r="J477" i="13"/>
  <c r="K477" i="13"/>
  <c r="K478" i="13"/>
  <c r="L477" i="13"/>
  <c r="M477" i="13"/>
  <c r="M478" i="13"/>
  <c r="N477" i="13"/>
  <c r="O477" i="13"/>
  <c r="O478" i="13"/>
  <c r="P477" i="13"/>
  <c r="P478" i="13"/>
  <c r="Q477" i="13"/>
  <c r="R477" i="13"/>
  <c r="S477" i="13"/>
  <c r="S478" i="13"/>
  <c r="E486" i="13"/>
  <c r="F486" i="13"/>
  <c r="G486" i="13"/>
  <c r="G492" i="13"/>
  <c r="H486" i="13"/>
  <c r="H492" i="13"/>
  <c r="I486" i="13"/>
  <c r="I492" i="13"/>
  <c r="J486" i="13"/>
  <c r="J492" i="13"/>
  <c r="K486" i="13"/>
  <c r="K489" i="13"/>
  <c r="K490" i="13"/>
  <c r="L486" i="13"/>
  <c r="L492" i="13"/>
  <c r="M486" i="13"/>
  <c r="M492" i="13"/>
  <c r="N486" i="13"/>
  <c r="N492" i="13"/>
  <c r="O486" i="13"/>
  <c r="O492" i="13"/>
  <c r="P486" i="13"/>
  <c r="P492" i="13"/>
  <c r="Q486" i="13"/>
  <c r="R486" i="13"/>
  <c r="R492" i="13"/>
  <c r="S486" i="13"/>
  <c r="E489" i="13"/>
  <c r="E490" i="13"/>
  <c r="F489" i="13"/>
  <c r="F490" i="13"/>
  <c r="G489" i="13"/>
  <c r="H489" i="13"/>
  <c r="I489" i="13"/>
  <c r="I490" i="13"/>
  <c r="J489" i="13"/>
  <c r="J490" i="13"/>
  <c r="L489" i="13"/>
  <c r="L490" i="13"/>
  <c r="M489" i="13"/>
  <c r="N489" i="13"/>
  <c r="N490" i="13"/>
  <c r="O489" i="13"/>
  <c r="P489" i="13"/>
  <c r="P490" i="13"/>
  <c r="Q489" i="13"/>
  <c r="R489" i="13"/>
  <c r="S489" i="13"/>
  <c r="S490" i="13"/>
  <c r="Q490" i="13"/>
  <c r="Q492" i="13"/>
  <c r="S49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M548" i="13"/>
  <c r="N548" i="13"/>
  <c r="S548" i="13"/>
  <c r="T548" i="13"/>
  <c r="G549" i="13"/>
  <c r="M549" i="13"/>
  <c r="N549" i="13"/>
  <c r="M550" i="13"/>
  <c r="N550" i="13"/>
  <c r="M551" i="13"/>
  <c r="N551" i="13"/>
  <c r="M552" i="13"/>
  <c r="N552" i="13"/>
  <c r="AG14" i="16"/>
  <c r="AK23" i="16"/>
  <c r="AL23" i="16"/>
  <c r="AM23" i="16"/>
  <c r="AL14" i="16"/>
  <c r="AL32" i="16"/>
  <c r="AN23" i="16"/>
  <c r="AO23" i="16"/>
  <c r="AN14" i="16"/>
  <c r="AN32" i="16"/>
  <c r="AP23" i="16"/>
  <c r="AQ23" i="16"/>
  <c r="AP14" i="16"/>
  <c r="AP32" i="16"/>
  <c r="AR23" i="16"/>
  <c r="AS23" i="16"/>
  <c r="AT23" i="16"/>
  <c r="AS14" i="16"/>
  <c r="AS32" i="16"/>
  <c r="AU23" i="16"/>
  <c r="AT14" i="16"/>
  <c r="AT32" i="16"/>
  <c r="AV23" i="16"/>
  <c r="AW23" i="16"/>
  <c r="AV14" i="16"/>
  <c r="AV32" i="16"/>
  <c r="AX23" i="16"/>
  <c r="AY23" i="16"/>
  <c r="AZ23" i="16"/>
  <c r="BA23" i="16"/>
  <c r="BB23" i="16"/>
  <c r="BA14" i="16"/>
  <c r="BA32" i="16"/>
  <c r="BC23" i="16"/>
  <c r="BD23" i="16"/>
  <c r="BC14" i="16"/>
  <c r="BC32" i="16"/>
  <c r="BE23" i="16"/>
  <c r="BF23" i="16"/>
  <c r="BG23" i="16"/>
  <c r="BF14" i="16"/>
  <c r="BF32" i="16"/>
  <c r="BH23" i="16"/>
  <c r="BI23" i="16"/>
  <c r="BJ23" i="16"/>
  <c r="BK23" i="16"/>
  <c r="BL23" i="16"/>
  <c r="BM23" i="16"/>
  <c r="BL14" i="16"/>
  <c r="BL32" i="16"/>
  <c r="BN23" i="16"/>
  <c r="BO23" i="16"/>
  <c r="BP23" i="16"/>
  <c r="BQ23" i="16"/>
  <c r="BR23" i="16"/>
  <c r="BQ14" i="16"/>
  <c r="BQ32" i="16"/>
  <c r="BS23" i="16"/>
  <c r="BT23" i="16"/>
  <c r="BS14" i="16"/>
  <c r="BS32" i="16"/>
  <c r="BU23" i="16"/>
  <c r="BT14" i="16"/>
  <c r="BT32" i="16"/>
  <c r="BV23" i="16"/>
  <c r="BW23" i="16"/>
  <c r="BV14" i="16"/>
  <c r="BV32" i="16"/>
  <c r="BX23" i="16"/>
  <c r="BY23" i="16"/>
  <c r="BZ23" i="16"/>
  <c r="CA23" i="16"/>
  <c r="CB23" i="16"/>
  <c r="CC23" i="16"/>
  <c r="CB14" i="16"/>
  <c r="CB32" i="16"/>
  <c r="CD23" i="16"/>
  <c r="CE23" i="16"/>
  <c r="CD14" i="16"/>
  <c r="CD32" i="16"/>
  <c r="CF23" i="16"/>
  <c r="CE14" i="16"/>
  <c r="CE32" i="16"/>
  <c r="CG23" i="16"/>
  <c r="CH23" i="16"/>
  <c r="CI23" i="16"/>
  <c r="CJ23" i="16"/>
  <c r="CI14" i="16"/>
  <c r="CI32" i="16"/>
  <c r="CK23" i="16"/>
  <c r="CL23" i="16"/>
  <c r="CM23" i="16"/>
  <c r="CN23" i="16"/>
  <c r="CO23" i="16"/>
  <c r="CP23" i="16"/>
  <c r="CQ23" i="16"/>
  <c r="CR23" i="16"/>
  <c r="CR14" i="16"/>
  <c r="AX24" i="16"/>
  <c r="O25" i="16"/>
  <c r="BE25" i="16"/>
  <c r="BP25" i="16"/>
  <c r="AX26" i="16"/>
  <c r="O26" i="16"/>
  <c r="AW26" i="16"/>
  <c r="O27" i="16"/>
  <c r="AJ27" i="16"/>
  <c r="O28" i="16"/>
  <c r="AJ28" i="16"/>
  <c r="O29" i="16"/>
  <c r="AJ29" i="16"/>
  <c r="O30" i="16"/>
  <c r="AJ30" i="16"/>
  <c r="O31" i="16"/>
  <c r="AJ31" i="16"/>
  <c r="O32" i="16"/>
  <c r="O33" i="16"/>
  <c r="O34" i="16"/>
  <c r="O35" i="16"/>
  <c r="O36" i="16"/>
  <c r="O37" i="16"/>
  <c r="O38" i="16"/>
  <c r="O39" i="16"/>
  <c r="O40" i="16"/>
  <c r="AN40" i="16"/>
  <c r="O41" i="16"/>
  <c r="O42" i="16"/>
  <c r="O43" i="16"/>
  <c r="AF43" i="16"/>
  <c r="O44" i="16"/>
  <c r="O45" i="16"/>
  <c r="O46" i="16"/>
  <c r="O47" i="16"/>
  <c r="O48" i="16"/>
  <c r="AL68" i="16"/>
  <c r="AL70" i="16"/>
  <c r="C94" i="16"/>
  <c r="D94" i="16"/>
  <c r="E94" i="16"/>
  <c r="F94" i="16"/>
  <c r="C95" i="16"/>
  <c r="D95" i="16"/>
  <c r="E95" i="16"/>
  <c r="C3" i="25"/>
  <c r="F95" i="16"/>
  <c r="C97" i="16"/>
  <c r="D97" i="16"/>
  <c r="E97" i="16"/>
  <c r="F97" i="16"/>
  <c r="C98" i="16"/>
  <c r="D98" i="16"/>
  <c r="E98" i="16"/>
  <c r="F98" i="16"/>
  <c r="C99" i="16"/>
  <c r="D99" i="16"/>
  <c r="E99" i="16"/>
  <c r="F99" i="16"/>
  <c r="I100" i="16"/>
  <c r="J100" i="16"/>
  <c r="C174" i="16"/>
  <c r="AB174" i="16"/>
  <c r="AB175" i="16"/>
  <c r="AB176" i="16"/>
  <c r="AB177" i="16"/>
  <c r="AB178" i="16"/>
  <c r="AB179" i="16"/>
  <c r="AB180" i="16"/>
  <c r="AB181" i="16"/>
  <c r="AB182" i="16"/>
  <c r="AB183" i="16"/>
  <c r="AB184" i="16"/>
  <c r="AB185" i="16"/>
  <c r="AB186" i="16"/>
  <c r="AB187" i="16"/>
  <c r="AB188" i="16"/>
  <c r="AB189" i="16"/>
  <c r="AB190" i="16"/>
  <c r="AB191" i="16"/>
  <c r="AB192" i="16"/>
  <c r="AB193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G174" i="16"/>
  <c r="AL174" i="16"/>
  <c r="AL175" i="16"/>
  <c r="AL176" i="16"/>
  <c r="AL177" i="16"/>
  <c r="AL178" i="16"/>
  <c r="AL179" i="16"/>
  <c r="AL180" i="16"/>
  <c r="AL181" i="16"/>
  <c r="AL182" i="16"/>
  <c r="AL183" i="16"/>
  <c r="AL184" i="16"/>
  <c r="AL185" i="16"/>
  <c r="AL186" i="16"/>
  <c r="AL187" i="16"/>
  <c r="AL188" i="16"/>
  <c r="AL189" i="16"/>
  <c r="AL190" i="16"/>
  <c r="AL191" i="16"/>
  <c r="AL192" i="16"/>
  <c r="AL193" i="16"/>
  <c r="AL194" i="16"/>
  <c r="AL195" i="16"/>
  <c r="AL196" i="16"/>
  <c r="AL197" i="16"/>
  <c r="AL198" i="16"/>
  <c r="AL199" i="16"/>
  <c r="AL200" i="16"/>
  <c r="AL201" i="16"/>
  <c r="AL202" i="16"/>
  <c r="AL203" i="16"/>
  <c r="AL204" i="16"/>
  <c r="AL205" i="16"/>
  <c r="AL206" i="16"/>
  <c r="AL207" i="16"/>
  <c r="AL208" i="16"/>
  <c r="AL209" i="16"/>
  <c r="AL210" i="16"/>
  <c r="AL211" i="16"/>
  <c r="AL212" i="16"/>
  <c r="AL213" i="16"/>
  <c r="AL214" i="16"/>
  <c r="AQ174" i="16"/>
  <c r="AQ175" i="16"/>
  <c r="AQ176" i="16"/>
  <c r="AQ177" i="16"/>
  <c r="AQ178" i="16"/>
  <c r="AQ179" i="16"/>
  <c r="AQ180" i="16"/>
  <c r="AQ181" i="16"/>
  <c r="AQ182" i="16"/>
  <c r="AQ183" i="16"/>
  <c r="AQ184" i="16"/>
  <c r="AQ185" i="16"/>
  <c r="AQ186" i="16"/>
  <c r="AQ187" i="16"/>
  <c r="AQ188" i="16"/>
  <c r="AQ189" i="16"/>
  <c r="AQ190" i="16"/>
  <c r="AQ191" i="16"/>
  <c r="AQ192" i="16"/>
  <c r="AQ193" i="16"/>
  <c r="AQ194" i="16"/>
  <c r="AQ195" i="16"/>
  <c r="AQ196" i="16"/>
  <c r="AQ197" i="16"/>
  <c r="AQ198" i="16"/>
  <c r="AQ199" i="16"/>
  <c r="AQ200" i="16"/>
  <c r="AQ201" i="16"/>
  <c r="AQ202" i="16"/>
  <c r="AQ203" i="16"/>
  <c r="AQ204" i="16"/>
  <c r="AQ205" i="16"/>
  <c r="AQ206" i="16"/>
  <c r="AQ207" i="16"/>
  <c r="AQ208" i="16"/>
  <c r="AQ209" i="16"/>
  <c r="AQ210" i="16"/>
  <c r="AQ211" i="16"/>
  <c r="AQ212" i="16"/>
  <c r="AQ213" i="16"/>
  <c r="AQ214" i="16"/>
  <c r="C175" i="16"/>
  <c r="AG175" i="16"/>
  <c r="AG176" i="16"/>
  <c r="AG177" i="16"/>
  <c r="AG178" i="16"/>
  <c r="AG179" i="16"/>
  <c r="AG180" i="16"/>
  <c r="AG181" i="16"/>
  <c r="AG182" i="16"/>
  <c r="AG183" i="16"/>
  <c r="AG184" i="16"/>
  <c r="AG185" i="16"/>
  <c r="AG186" i="16"/>
  <c r="AG187" i="16"/>
  <c r="AG188" i="16"/>
  <c r="AG189" i="16"/>
  <c r="AG190" i="16"/>
  <c r="AG191" i="16"/>
  <c r="AG192" i="16"/>
  <c r="AG193" i="16"/>
  <c r="AG194" i="16"/>
  <c r="AG195" i="16"/>
  <c r="AG196" i="16"/>
  <c r="AG197" i="16"/>
  <c r="AG198" i="16"/>
  <c r="AG199" i="16"/>
  <c r="AG200" i="16"/>
  <c r="AG201" i="16"/>
  <c r="AG202" i="16"/>
  <c r="AG203" i="16"/>
  <c r="AG204" i="16"/>
  <c r="AG205" i="16"/>
  <c r="AG206" i="16"/>
  <c r="AG207" i="16"/>
  <c r="AG208" i="16"/>
  <c r="AG209" i="16"/>
  <c r="AG210" i="16"/>
  <c r="AG211" i="16"/>
  <c r="AG212" i="16"/>
  <c r="AG213" i="16"/>
  <c r="AG214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E228" i="16"/>
  <c r="C233" i="16"/>
  <c r="D233" i="16"/>
  <c r="E233" i="16"/>
  <c r="F233" i="16"/>
  <c r="C234" i="16"/>
  <c r="D234" i="16"/>
  <c r="E234" i="16"/>
  <c r="F234" i="16"/>
  <c r="C235" i="16"/>
  <c r="D235" i="16"/>
  <c r="E235" i="16"/>
  <c r="F235" i="16"/>
  <c r="C236" i="16"/>
  <c r="D236" i="16"/>
  <c r="E236" i="16"/>
  <c r="F236" i="16"/>
  <c r="C238" i="16"/>
  <c r="C239" i="16"/>
  <c r="C240" i="16"/>
  <c r="C241" i="16"/>
  <c r="C242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I266" i="16"/>
  <c r="I267" i="16"/>
  <c r="J273" i="16"/>
  <c r="K274" i="16"/>
  <c r="L275" i="16"/>
  <c r="M276" i="16"/>
  <c r="I268" i="16"/>
  <c r="I269" i="16"/>
  <c r="J274" i="16"/>
  <c r="K275" i="16"/>
  <c r="L276" i="16"/>
  <c r="J275" i="16"/>
  <c r="K276" i="16"/>
  <c r="J276" i="16"/>
  <c r="C303" i="16"/>
  <c r="D303" i="16"/>
  <c r="E303" i="16"/>
  <c r="F303" i="16"/>
  <c r="C304" i="16"/>
  <c r="D304" i="16"/>
  <c r="E304" i="16"/>
  <c r="F304" i="16"/>
  <c r="C305" i="16"/>
  <c r="D305" i="16"/>
  <c r="E305" i="16"/>
  <c r="F305" i="16"/>
  <c r="C306" i="16"/>
  <c r="D306" i="16"/>
  <c r="E306" i="16"/>
  <c r="F306" i="16"/>
  <c r="C307" i="16"/>
  <c r="D307" i="16"/>
  <c r="E307" i="16"/>
  <c r="F307" i="16"/>
  <c r="C308" i="16"/>
  <c r="D308" i="16"/>
  <c r="E308" i="16"/>
  <c r="F308" i="16"/>
  <c r="C309" i="16"/>
  <c r="D309" i="16"/>
  <c r="E309" i="16"/>
  <c r="F309" i="16"/>
  <c r="C310" i="16"/>
  <c r="D310" i="16"/>
  <c r="E310" i="16"/>
  <c r="F310" i="16"/>
  <c r="C311" i="16"/>
  <c r="D311" i="16"/>
  <c r="E311" i="16"/>
  <c r="F311" i="16"/>
  <c r="C312" i="16"/>
  <c r="D312" i="16"/>
  <c r="E312" i="16"/>
  <c r="F312" i="16"/>
  <c r="C313" i="16"/>
  <c r="D313" i="16"/>
  <c r="E313" i="16"/>
  <c r="F313" i="16"/>
  <c r="C314" i="16"/>
  <c r="D314" i="16"/>
  <c r="E314" i="16"/>
  <c r="F314" i="16"/>
  <c r="C315" i="16"/>
  <c r="D315" i="16"/>
  <c r="E315" i="16"/>
  <c r="F315" i="16"/>
  <c r="C316" i="16"/>
  <c r="D316" i="16"/>
  <c r="E316" i="16"/>
  <c r="F316" i="16"/>
  <c r="C317" i="16"/>
  <c r="D317" i="16"/>
  <c r="E317" i="16"/>
  <c r="F317" i="16"/>
  <c r="C318" i="16"/>
  <c r="D318" i="16"/>
  <c r="E318" i="16"/>
  <c r="F318" i="16"/>
  <c r="C319" i="16"/>
  <c r="D319" i="16"/>
  <c r="E319" i="16"/>
  <c r="F319" i="16"/>
  <c r="C320" i="16"/>
  <c r="D320" i="16"/>
  <c r="E320" i="16"/>
  <c r="F320" i="16"/>
  <c r="C321" i="16"/>
  <c r="D321" i="16"/>
  <c r="E321" i="16"/>
  <c r="F321" i="16"/>
  <c r="C322" i="16"/>
  <c r="D322" i="16"/>
  <c r="E322" i="16"/>
  <c r="F322" i="16"/>
  <c r="C323" i="16"/>
  <c r="D323" i="16"/>
  <c r="E323" i="16"/>
  <c r="F323" i="16"/>
  <c r="C324" i="16"/>
  <c r="D324" i="16"/>
  <c r="E324" i="16"/>
  <c r="F324" i="16"/>
  <c r="C325" i="16"/>
  <c r="D325" i="16"/>
  <c r="E325" i="16"/>
  <c r="F325" i="16"/>
  <c r="C326" i="16"/>
  <c r="D326" i="16"/>
  <c r="E326" i="16"/>
  <c r="F326" i="16"/>
  <c r="C327" i="16"/>
  <c r="D327" i="16"/>
  <c r="E327" i="16"/>
  <c r="F327" i="16"/>
  <c r="C328" i="16"/>
  <c r="D328" i="16"/>
  <c r="E328" i="16"/>
  <c r="F328" i="16"/>
  <c r="C329" i="16"/>
  <c r="D329" i="16"/>
  <c r="E329" i="16"/>
  <c r="F329" i="16"/>
  <c r="C330" i="16"/>
  <c r="D330" i="16"/>
  <c r="E330" i="16"/>
  <c r="F330" i="16"/>
  <c r="C331" i="16"/>
  <c r="D331" i="16"/>
  <c r="E331" i="16"/>
  <c r="F331" i="16"/>
  <c r="C332" i="16"/>
  <c r="D332" i="16"/>
  <c r="E332" i="16"/>
  <c r="F332" i="16"/>
  <c r="C333" i="16"/>
  <c r="D333" i="16"/>
  <c r="E333" i="16"/>
  <c r="F333" i="16"/>
  <c r="C334" i="16"/>
  <c r="D334" i="16"/>
  <c r="E334" i="16"/>
  <c r="F334" i="16"/>
  <c r="C335" i="16"/>
  <c r="D335" i="16"/>
  <c r="E335" i="16"/>
  <c r="F335" i="16"/>
  <c r="C336" i="16"/>
  <c r="D336" i="16"/>
  <c r="E336" i="16"/>
  <c r="F336" i="16"/>
  <c r="C337" i="16"/>
  <c r="D337" i="16"/>
  <c r="E337" i="16"/>
  <c r="F337" i="16"/>
  <c r="C339" i="16"/>
  <c r="D339" i="16"/>
  <c r="E339" i="16"/>
  <c r="F33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C340" i="16"/>
  <c r="D340" i="16"/>
  <c r="E340" i="16"/>
  <c r="F340" i="16"/>
  <c r="C342" i="16"/>
  <c r="C343" i="16"/>
  <c r="C344" i="16"/>
  <c r="C345" i="16"/>
  <c r="A77" i="52"/>
  <c r="D349" i="16"/>
  <c r="D350" i="16"/>
  <c r="I350" i="16"/>
  <c r="J350" i="16"/>
  <c r="J351" i="16"/>
  <c r="D351" i="16"/>
  <c r="D352" i="16"/>
  <c r="D353" i="16"/>
  <c r="F355" i="16"/>
  <c r="F356" i="16"/>
  <c r="AB355" i="16"/>
  <c r="AB356" i="16"/>
  <c r="AB357" i="16"/>
  <c r="AB358" i="16"/>
  <c r="AB359" i="16"/>
  <c r="AB360" i="16"/>
  <c r="AB361" i="16"/>
  <c r="AB362" i="16"/>
  <c r="AB363" i="16"/>
  <c r="AB364" i="16"/>
  <c r="AB365" i="16"/>
  <c r="AB366" i="16"/>
  <c r="AB367" i="16"/>
  <c r="AB368" i="16"/>
  <c r="AB369" i="16"/>
  <c r="AB370" i="16"/>
  <c r="AB371" i="16"/>
  <c r="AB372" i="16"/>
  <c r="AB373" i="16"/>
  <c r="AB374" i="16"/>
  <c r="AB375" i="16"/>
  <c r="AB376" i="16"/>
  <c r="AB377" i="16"/>
  <c r="AB378" i="16"/>
  <c r="AB379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P470" i="16"/>
  <c r="P472" i="16"/>
  <c r="R472" i="16"/>
  <c r="Q478" i="16"/>
  <c r="S472" i="16"/>
  <c r="T472" i="16"/>
  <c r="U472" i="16"/>
  <c r="V472" i="16"/>
  <c r="X472" i="16"/>
  <c r="Y472" i="16"/>
  <c r="Z472" i="16"/>
  <c r="AA472" i="16"/>
  <c r="AB472" i="16"/>
  <c r="P473" i="16"/>
  <c r="R473" i="16"/>
  <c r="Q479" i="16"/>
  <c r="S473" i="16"/>
  <c r="T473" i="16"/>
  <c r="U473" i="16"/>
  <c r="V473" i="16"/>
  <c r="X473" i="16"/>
  <c r="Y473" i="16"/>
  <c r="Z473" i="16"/>
  <c r="AA473" i="16"/>
  <c r="AB473" i="16"/>
  <c r="P474" i="16"/>
  <c r="R474" i="16"/>
  <c r="Q480" i="16"/>
  <c r="S474" i="16"/>
  <c r="T474" i="16"/>
  <c r="U474" i="16"/>
  <c r="V474" i="16"/>
  <c r="X474" i="16"/>
  <c r="Y474" i="16"/>
  <c r="Z474" i="16"/>
  <c r="AA474" i="16"/>
  <c r="AB474" i="16"/>
  <c r="P475" i="16"/>
  <c r="R475" i="16"/>
  <c r="Q481" i="16"/>
  <c r="S475" i="16"/>
  <c r="T475" i="16"/>
  <c r="U475" i="16"/>
  <c r="V475" i="16"/>
  <c r="X475" i="16"/>
  <c r="Y475" i="16"/>
  <c r="Z475" i="16"/>
  <c r="AA475" i="16"/>
  <c r="AB475" i="16"/>
  <c r="P476" i="16"/>
  <c r="R476" i="16"/>
  <c r="Q482" i="16"/>
  <c r="S476" i="16"/>
  <c r="T476" i="16"/>
  <c r="U476" i="16"/>
  <c r="V476" i="16"/>
  <c r="X476" i="16"/>
  <c r="Y476" i="16"/>
  <c r="Z476" i="16"/>
  <c r="AA476" i="16"/>
  <c r="AB476" i="16"/>
  <c r="B477" i="16"/>
  <c r="B476" i="16"/>
  <c r="B475" i="16"/>
  <c r="B474" i="16"/>
  <c r="B473" i="16"/>
  <c r="B472" i="16"/>
  <c r="B471" i="16"/>
  <c r="B470" i="16"/>
  <c r="B469" i="16"/>
  <c r="R478" i="16"/>
  <c r="R479" i="16"/>
  <c r="R480" i="16"/>
  <c r="R481" i="16"/>
  <c r="R482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C615" i="16"/>
  <c r="D615" i="16"/>
  <c r="E615" i="16"/>
  <c r="F615" i="16"/>
  <c r="C616" i="16"/>
  <c r="D616" i="16"/>
  <c r="E616" i="16"/>
  <c r="F616" i="16"/>
  <c r="C617" i="16"/>
  <c r="D617" i="16"/>
  <c r="E617" i="16"/>
  <c r="F617" i="16"/>
  <c r="C618" i="16"/>
  <c r="D618" i="16"/>
  <c r="E618" i="16"/>
  <c r="F618" i="16"/>
  <c r="C619" i="16"/>
  <c r="D619" i="16"/>
  <c r="E619" i="16"/>
  <c r="F619" i="16"/>
  <c r="C620" i="16"/>
  <c r="D620" i="16"/>
  <c r="E620" i="16"/>
  <c r="F620" i="16"/>
  <c r="B626" i="16"/>
  <c r="C626" i="16"/>
  <c r="D626" i="16"/>
  <c r="E626" i="16"/>
  <c r="F626" i="16"/>
  <c r="G626" i="16"/>
  <c r="H626" i="16"/>
  <c r="I626" i="16"/>
  <c r="J626" i="16"/>
  <c r="K626" i="16"/>
  <c r="L626" i="16"/>
  <c r="M626" i="16"/>
  <c r="N626" i="16"/>
  <c r="O626" i="16"/>
  <c r="P626" i="16"/>
  <c r="B627" i="16"/>
  <c r="C627" i="16"/>
  <c r="D627" i="16"/>
  <c r="E627" i="16"/>
  <c r="F627" i="16"/>
  <c r="G627" i="16"/>
  <c r="H627" i="16"/>
  <c r="I627" i="16"/>
  <c r="J627" i="16"/>
  <c r="K627" i="16"/>
  <c r="L627" i="16"/>
  <c r="M627" i="16"/>
  <c r="N627" i="16"/>
  <c r="O627" i="16"/>
  <c r="P627" i="16"/>
  <c r="D629" i="16"/>
  <c r="A633" i="16"/>
  <c r="B633" i="16"/>
  <c r="C633" i="16"/>
  <c r="D633" i="16"/>
  <c r="E633" i="16"/>
  <c r="F633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634" i="16"/>
  <c r="C638" i="16"/>
  <c r="B634" i="16"/>
  <c r="D634" i="16"/>
  <c r="D635" i="16"/>
  <c r="E634" i="16"/>
  <c r="F634" i="16"/>
  <c r="G634" i="16"/>
  <c r="H634" i="16"/>
  <c r="I634" i="16"/>
  <c r="J634" i="16"/>
  <c r="C640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B637" i="16"/>
  <c r="C637" i="16"/>
  <c r="B638" i="16"/>
  <c r="B639" i="16"/>
  <c r="B640" i="16"/>
  <c r="B673" i="16"/>
  <c r="C673" i="16"/>
  <c r="D673" i="16"/>
  <c r="E673" i="16"/>
  <c r="F673" i="16"/>
  <c r="G673" i="16"/>
  <c r="H673" i="16"/>
  <c r="I673" i="16"/>
  <c r="J673" i="16"/>
  <c r="K673" i="16"/>
  <c r="L673" i="16"/>
  <c r="M673" i="16"/>
  <c r="N673" i="16"/>
  <c r="O673" i="16"/>
  <c r="P673" i="16"/>
  <c r="B675" i="16"/>
  <c r="C675" i="16"/>
  <c r="D675" i="16"/>
  <c r="E675" i="16"/>
  <c r="F675" i="16"/>
  <c r="G675" i="16"/>
  <c r="H675" i="16"/>
  <c r="I675" i="16"/>
  <c r="J675" i="16"/>
  <c r="K675" i="16"/>
  <c r="L675" i="16"/>
  <c r="M675" i="16"/>
  <c r="N675" i="16"/>
  <c r="O675" i="16"/>
  <c r="P675" i="16"/>
  <c r="A199" i="52"/>
  <c r="A36" i="52"/>
  <c r="A48" i="52"/>
  <c r="A49" i="52" a="1"/>
  <c r="A49" i="52"/>
  <c r="A50" i="52" a="1"/>
  <c r="A50" i="52"/>
  <c r="A51" i="52" a="1"/>
  <c r="A51" i="52"/>
  <c r="A52" i="52" a="1"/>
  <c r="A52" i="52"/>
  <c r="A53" i="52"/>
  <c r="A54" i="52"/>
  <c r="A55" i="52"/>
  <c r="A74" i="52"/>
  <c r="A81" i="52"/>
  <c r="A82" i="52"/>
  <c r="A91" i="52"/>
  <c r="A99" i="52"/>
  <c r="B99" i="52"/>
  <c r="A100" i="52"/>
  <c r="A101" i="52"/>
  <c r="A102" i="52"/>
  <c r="A200" i="52"/>
  <c r="D4" i="118"/>
  <c r="D59" i="118"/>
  <c r="E4" i="118"/>
  <c r="E59" i="118"/>
  <c r="U4" i="118"/>
  <c r="BB4" i="118"/>
  <c r="V4" i="118"/>
  <c r="W4" i="118"/>
  <c r="X4" i="118"/>
  <c r="BE4" i="118"/>
  <c r="Y4" i="118"/>
  <c r="BF4" i="118"/>
  <c r="Z4" i="118"/>
  <c r="AA4" i="118"/>
  <c r="AB4" i="118"/>
  <c r="BI4" i="118"/>
  <c r="AC4" i="118"/>
  <c r="BJ4" i="118"/>
  <c r="AD4" i="118"/>
  <c r="AE4" i="118"/>
  <c r="AF4" i="118"/>
  <c r="BM4" i="118"/>
  <c r="AG4" i="118"/>
  <c r="AH4" i="118"/>
  <c r="AI4" i="118"/>
  <c r="D5" i="118"/>
  <c r="D60" i="118"/>
  <c r="E5" i="118"/>
  <c r="E60" i="118"/>
  <c r="U5" i="118"/>
  <c r="BA4" i="118"/>
  <c r="V5" i="118"/>
  <c r="W5" i="118"/>
  <c r="BD5" i="118"/>
  <c r="X5" i="118"/>
  <c r="BE5" i="118"/>
  <c r="Y5" i="118"/>
  <c r="BF5" i="118"/>
  <c r="Z5" i="118"/>
  <c r="AA5" i="118"/>
  <c r="AB5" i="118"/>
  <c r="BI5" i="118"/>
  <c r="AC5" i="118"/>
  <c r="BJ5" i="118"/>
  <c r="AD5" i="118"/>
  <c r="BK5" i="118"/>
  <c r="AE5" i="118"/>
  <c r="AF5" i="118"/>
  <c r="AG5" i="118"/>
  <c r="BN5" i="118"/>
  <c r="AH5" i="118"/>
  <c r="AI5" i="118"/>
  <c r="D6" i="118"/>
  <c r="D61" i="118"/>
  <c r="E6" i="118"/>
  <c r="E61" i="118"/>
  <c r="U6" i="118"/>
  <c r="AK5" i="118"/>
  <c r="V6" i="118"/>
  <c r="BC6" i="118"/>
  <c r="W6" i="118"/>
  <c r="BD6" i="118"/>
  <c r="X6" i="118"/>
  <c r="BE6" i="118"/>
  <c r="Y6" i="118"/>
  <c r="Z6" i="118"/>
  <c r="AA6" i="118"/>
  <c r="AB6" i="118"/>
  <c r="BI6" i="118"/>
  <c r="AC6" i="118"/>
  <c r="AD6" i="118"/>
  <c r="AE6" i="118"/>
  <c r="BL6" i="118"/>
  <c r="AF6" i="118"/>
  <c r="BM6" i="118"/>
  <c r="AG6" i="118"/>
  <c r="AH6" i="118"/>
  <c r="AI6" i="118"/>
  <c r="D7" i="118"/>
  <c r="D62" i="118"/>
  <c r="E7" i="118"/>
  <c r="E62" i="118"/>
  <c r="U7" i="118"/>
  <c r="AK6" i="118"/>
  <c r="V7" i="118"/>
  <c r="BC7" i="118"/>
  <c r="W7" i="118"/>
  <c r="BD7" i="118"/>
  <c r="X7" i="118"/>
  <c r="BE7" i="118"/>
  <c r="Y7" i="118"/>
  <c r="BF7" i="118"/>
  <c r="Z7" i="118"/>
  <c r="AA7" i="118"/>
  <c r="BH7" i="118"/>
  <c r="AB7" i="118"/>
  <c r="BI7" i="118"/>
  <c r="AC7" i="118"/>
  <c r="BJ7" i="118"/>
  <c r="AD7" i="118"/>
  <c r="BK7" i="118"/>
  <c r="AE7" i="118"/>
  <c r="AF7" i="118"/>
  <c r="BM7" i="118"/>
  <c r="AG7" i="118"/>
  <c r="AH7" i="118"/>
  <c r="AI7" i="118"/>
  <c r="D8" i="118"/>
  <c r="D63" i="118"/>
  <c r="E8" i="118"/>
  <c r="E63" i="118"/>
  <c r="U8" i="118"/>
  <c r="BB8" i="118"/>
  <c r="V8" i="118"/>
  <c r="BC8" i="118"/>
  <c r="W8" i="118"/>
  <c r="X8" i="118"/>
  <c r="BE8" i="118"/>
  <c r="Y8" i="118"/>
  <c r="Z8" i="118"/>
  <c r="AA8" i="118"/>
  <c r="BH8" i="118"/>
  <c r="AB8" i="118"/>
  <c r="BI8" i="118"/>
  <c r="AC8" i="118"/>
  <c r="AD8" i="118"/>
  <c r="AE8" i="118"/>
  <c r="AF8" i="118"/>
  <c r="AG8" i="118"/>
  <c r="BN8" i="118"/>
  <c r="AH8" i="118"/>
  <c r="AI8" i="118"/>
  <c r="D9" i="118"/>
  <c r="D64" i="118"/>
  <c r="E9" i="118"/>
  <c r="E64" i="118"/>
  <c r="U9" i="118"/>
  <c r="V9" i="118"/>
  <c r="BC9" i="118"/>
  <c r="W9" i="118"/>
  <c r="X9" i="118"/>
  <c r="BE9" i="118"/>
  <c r="Y9" i="118"/>
  <c r="BF9" i="118"/>
  <c r="Z9" i="118"/>
  <c r="AA9" i="118"/>
  <c r="AB9" i="118"/>
  <c r="BI9" i="118"/>
  <c r="AC9" i="118"/>
  <c r="AD9" i="118"/>
  <c r="AE9" i="118"/>
  <c r="BL9" i="118"/>
  <c r="AF9" i="118"/>
  <c r="BM9" i="118"/>
  <c r="AG9" i="118"/>
  <c r="BN9" i="118"/>
  <c r="AH9" i="118"/>
  <c r="AI9" i="118"/>
  <c r="D10" i="118"/>
  <c r="D65" i="118"/>
  <c r="E10" i="118"/>
  <c r="E65" i="118"/>
  <c r="U10" i="118"/>
  <c r="BA9" i="118"/>
  <c r="V10" i="118"/>
  <c r="W10" i="118"/>
  <c r="BD10" i="118"/>
  <c r="X10" i="118"/>
  <c r="Y10" i="118"/>
  <c r="BF10" i="118"/>
  <c r="Z10" i="118"/>
  <c r="BG10" i="118"/>
  <c r="AA10" i="118"/>
  <c r="AB10" i="118"/>
  <c r="BI10" i="118"/>
  <c r="AC10" i="118"/>
  <c r="BJ10" i="118"/>
  <c r="AD10" i="118"/>
  <c r="AE10" i="118"/>
  <c r="BL10" i="118"/>
  <c r="AF10" i="118"/>
  <c r="AG10" i="118"/>
  <c r="BN10" i="118"/>
  <c r="AH10" i="118"/>
  <c r="AI10" i="118"/>
  <c r="D11" i="118"/>
  <c r="D66" i="118"/>
  <c r="E11" i="118"/>
  <c r="E66" i="118"/>
  <c r="U11" i="118"/>
  <c r="V11" i="118"/>
  <c r="BC11" i="118"/>
  <c r="W11" i="118"/>
  <c r="BD11" i="118"/>
  <c r="X11" i="118"/>
  <c r="Y11" i="118"/>
  <c r="BF11" i="118"/>
  <c r="Z11" i="118"/>
  <c r="BG11" i="118"/>
  <c r="AA11" i="118"/>
  <c r="BH11" i="118"/>
  <c r="AB11" i="118"/>
  <c r="AC11" i="118"/>
  <c r="AD11" i="118"/>
  <c r="BK11" i="118"/>
  <c r="AE11" i="118"/>
  <c r="AF11" i="118"/>
  <c r="AG11" i="118"/>
  <c r="BN11" i="118"/>
  <c r="AH11" i="118"/>
  <c r="AI11" i="118"/>
  <c r="D12" i="118"/>
  <c r="D67" i="118"/>
  <c r="E12" i="118"/>
  <c r="E67" i="118"/>
  <c r="U12" i="118"/>
  <c r="V12" i="118"/>
  <c r="W12" i="118"/>
  <c r="X12" i="118"/>
  <c r="BE12" i="118"/>
  <c r="Y12" i="118"/>
  <c r="BF12" i="118"/>
  <c r="Z12" i="118"/>
  <c r="AA12" i="118"/>
  <c r="AB12" i="118"/>
  <c r="BI12" i="118"/>
  <c r="AC12" i="118"/>
  <c r="AD12" i="118"/>
  <c r="AE12" i="118"/>
  <c r="AF12" i="118"/>
  <c r="BM12" i="118"/>
  <c r="AG12" i="118"/>
  <c r="AH12" i="118"/>
  <c r="AI12" i="118"/>
  <c r="D13" i="118"/>
  <c r="D68" i="118"/>
  <c r="E13" i="118"/>
  <c r="E68" i="118"/>
  <c r="U13" i="118"/>
  <c r="BA12" i="118"/>
  <c r="V13" i="118"/>
  <c r="W13" i="118"/>
  <c r="BD13" i="118"/>
  <c r="X13" i="118"/>
  <c r="Y13" i="118"/>
  <c r="Z13" i="118"/>
  <c r="AA13" i="118"/>
  <c r="AB13" i="118"/>
  <c r="AC13" i="118"/>
  <c r="AD13" i="118"/>
  <c r="AE13" i="118"/>
  <c r="BL13" i="118"/>
  <c r="AF13" i="118"/>
  <c r="AG13" i="118"/>
  <c r="AH13" i="118"/>
  <c r="AI13" i="118"/>
  <c r="D14" i="118"/>
  <c r="D69" i="118"/>
  <c r="E14" i="118"/>
  <c r="E69" i="118"/>
  <c r="U14" i="118"/>
  <c r="AK13" i="118"/>
  <c r="V14" i="118"/>
  <c r="W14" i="118"/>
  <c r="BD14" i="118"/>
  <c r="X14" i="118"/>
  <c r="BE14" i="118"/>
  <c r="Y14" i="118"/>
  <c r="BF14" i="118"/>
  <c r="Z14" i="118"/>
  <c r="AA14" i="118"/>
  <c r="AB14" i="118"/>
  <c r="BI14" i="118"/>
  <c r="AC14" i="118"/>
  <c r="AD14" i="118"/>
  <c r="BK14" i="118"/>
  <c r="AE14" i="118"/>
  <c r="AF14" i="118"/>
  <c r="BM14" i="118"/>
  <c r="AG14" i="118"/>
  <c r="BN14" i="118"/>
  <c r="AH14" i="118"/>
  <c r="AI14" i="118"/>
  <c r="D15" i="118"/>
  <c r="D70" i="118"/>
  <c r="E15" i="118"/>
  <c r="E70" i="118"/>
  <c r="U15" i="118"/>
  <c r="BB15" i="118"/>
  <c r="V15" i="118"/>
  <c r="W15" i="118"/>
  <c r="BD15" i="118"/>
  <c r="X15" i="118"/>
  <c r="Y15" i="118"/>
  <c r="BF15" i="118"/>
  <c r="Z15" i="118"/>
  <c r="BG15" i="118"/>
  <c r="AA15" i="118"/>
  <c r="AB15" i="118"/>
  <c r="BI15" i="118"/>
  <c r="AC15" i="118"/>
  <c r="BJ15" i="118"/>
  <c r="AD15" i="118"/>
  <c r="AE15" i="118"/>
  <c r="BL15" i="118"/>
  <c r="AF15" i="118"/>
  <c r="BM15" i="118"/>
  <c r="AG15" i="118"/>
  <c r="BN15" i="118"/>
  <c r="AH15" i="118"/>
  <c r="AI15" i="118"/>
  <c r="D16" i="118"/>
  <c r="D71" i="118"/>
  <c r="E16" i="118"/>
  <c r="E71" i="118"/>
  <c r="U16" i="118"/>
  <c r="AK15" i="118"/>
  <c r="V16" i="118"/>
  <c r="BC16" i="118"/>
  <c r="W16" i="118"/>
  <c r="X16" i="118"/>
  <c r="Y16" i="118"/>
  <c r="Z16" i="118"/>
  <c r="BG16" i="118"/>
  <c r="AA16" i="118"/>
  <c r="AB16" i="118"/>
  <c r="BI16" i="118"/>
  <c r="AC16" i="118"/>
  <c r="AD16" i="118"/>
  <c r="BK16" i="118"/>
  <c r="AE16" i="118"/>
  <c r="AF16" i="118"/>
  <c r="BM16" i="118"/>
  <c r="AG16" i="118"/>
  <c r="AH16" i="118"/>
  <c r="AI16" i="118"/>
  <c r="D17" i="118"/>
  <c r="D72" i="118"/>
  <c r="E17" i="118"/>
  <c r="E72" i="118"/>
  <c r="U17" i="118"/>
  <c r="AK16" i="118"/>
  <c r="V17" i="118"/>
  <c r="BC17" i="118"/>
  <c r="W17" i="118"/>
  <c r="X17" i="118"/>
  <c r="Y17" i="118"/>
  <c r="BF17" i="118"/>
  <c r="Z17" i="118"/>
  <c r="BG17" i="118"/>
  <c r="AA17" i="118"/>
  <c r="AB17" i="118"/>
  <c r="BI17" i="118"/>
  <c r="AC17" i="118"/>
  <c r="AD17" i="118"/>
  <c r="AE17" i="118"/>
  <c r="AF17" i="118"/>
  <c r="BM17" i="118"/>
  <c r="AG17" i="118"/>
  <c r="AH17" i="118"/>
  <c r="AI17" i="118"/>
  <c r="D18" i="118"/>
  <c r="D73" i="118"/>
  <c r="E18" i="118"/>
  <c r="E73" i="118"/>
  <c r="U18" i="118"/>
  <c r="V18" i="118"/>
  <c r="BC18" i="118"/>
  <c r="W18" i="118"/>
  <c r="BD18" i="118"/>
  <c r="X18" i="118"/>
  <c r="Y18" i="118"/>
  <c r="BF18" i="118"/>
  <c r="Z18" i="118"/>
  <c r="AA18" i="118"/>
  <c r="BH18" i="118"/>
  <c r="AB18" i="118"/>
  <c r="AC18" i="118"/>
  <c r="BJ18" i="118"/>
  <c r="AD18" i="118"/>
  <c r="BK18" i="118"/>
  <c r="AE18" i="118"/>
  <c r="BL18" i="118"/>
  <c r="AF18" i="118"/>
  <c r="BM18" i="118"/>
  <c r="AG18" i="118"/>
  <c r="BN18" i="118"/>
  <c r="AH18" i="118"/>
  <c r="AI18" i="118"/>
  <c r="D19" i="118"/>
  <c r="D74" i="118"/>
  <c r="E19" i="118"/>
  <c r="E74" i="118"/>
  <c r="U19" i="118"/>
  <c r="AK18" i="118"/>
  <c r="V19" i="118"/>
  <c r="W19" i="118"/>
  <c r="BD19" i="118"/>
  <c r="X19" i="118"/>
  <c r="Y19" i="118"/>
  <c r="Z19" i="118"/>
  <c r="AA19" i="118"/>
  <c r="BH19" i="118"/>
  <c r="AB19" i="118"/>
  <c r="BI19" i="118"/>
  <c r="AC19" i="118"/>
  <c r="AD19" i="118"/>
  <c r="AE19" i="118"/>
  <c r="AF19" i="118"/>
  <c r="AG19" i="118"/>
  <c r="BN19" i="118"/>
  <c r="AH19" i="118"/>
  <c r="AI19" i="118"/>
  <c r="D20" i="118"/>
  <c r="D75" i="118"/>
  <c r="E20" i="118"/>
  <c r="E75" i="118"/>
  <c r="U20" i="118"/>
  <c r="V20" i="118"/>
  <c r="W20" i="118"/>
  <c r="X20" i="118"/>
  <c r="BE20" i="118"/>
  <c r="Y20" i="118"/>
  <c r="BF20" i="118"/>
  <c r="Z20" i="118"/>
  <c r="BG20" i="118"/>
  <c r="AA20" i="118"/>
  <c r="AB20" i="118"/>
  <c r="BI20" i="118"/>
  <c r="AC20" i="118"/>
  <c r="AD20" i="118"/>
  <c r="BK20" i="118"/>
  <c r="AE20" i="118"/>
  <c r="AF20" i="118"/>
  <c r="BM20" i="118"/>
  <c r="AG20" i="118"/>
  <c r="AH20" i="118"/>
  <c r="AI20" i="118"/>
  <c r="D21" i="118"/>
  <c r="D76" i="118"/>
  <c r="E21" i="118"/>
  <c r="E76" i="118"/>
  <c r="U21" i="118"/>
  <c r="AK20" i="118"/>
  <c r="V21" i="118"/>
  <c r="BC21" i="118"/>
  <c r="W21" i="118"/>
  <c r="X21" i="118"/>
  <c r="BE21" i="118"/>
  <c r="Y21" i="118"/>
  <c r="Z21" i="118"/>
  <c r="BG21" i="118"/>
  <c r="AA21" i="118"/>
  <c r="BH21" i="118"/>
  <c r="AB21" i="118"/>
  <c r="AC21" i="118"/>
  <c r="BJ21" i="118"/>
  <c r="AD21" i="118"/>
  <c r="BK21" i="118"/>
  <c r="AE21" i="118"/>
  <c r="BL21" i="118"/>
  <c r="AF21" i="118"/>
  <c r="AG21" i="118"/>
  <c r="BN21" i="118"/>
  <c r="AH21" i="118"/>
  <c r="AI21" i="118"/>
  <c r="D22" i="118"/>
  <c r="D77" i="118"/>
  <c r="E22" i="118"/>
  <c r="E77" i="118"/>
  <c r="U22" i="118"/>
  <c r="V22" i="118"/>
  <c r="W22" i="118"/>
  <c r="BD22" i="118"/>
  <c r="X22" i="118"/>
  <c r="BE22" i="118"/>
  <c r="Y22" i="118"/>
  <c r="BF22" i="118"/>
  <c r="Z22" i="118"/>
  <c r="AA22" i="118"/>
  <c r="BH22" i="118"/>
  <c r="AB22" i="118"/>
  <c r="AC22" i="118"/>
  <c r="BJ22" i="118"/>
  <c r="AD22" i="118"/>
  <c r="AE22" i="118"/>
  <c r="BL22" i="118"/>
  <c r="AF22" i="118"/>
  <c r="AG22" i="118"/>
  <c r="BN22" i="118"/>
  <c r="AH22" i="118"/>
  <c r="AI22" i="118"/>
  <c r="D23" i="118"/>
  <c r="D78" i="118"/>
  <c r="E23" i="118"/>
  <c r="E78" i="118"/>
  <c r="U23" i="118"/>
  <c r="BA22" i="118"/>
  <c r="V23" i="118"/>
  <c r="BC23" i="118"/>
  <c r="W23" i="118"/>
  <c r="X23" i="118"/>
  <c r="BE23" i="118"/>
  <c r="Y23" i="118"/>
  <c r="BF23" i="118"/>
  <c r="Z23" i="118"/>
  <c r="AA23" i="118"/>
  <c r="AB23" i="118"/>
  <c r="BI23" i="118"/>
  <c r="AC23" i="118"/>
  <c r="AD23" i="118"/>
  <c r="BK23" i="118"/>
  <c r="AE23" i="118"/>
  <c r="AF23" i="118"/>
  <c r="AG23" i="118"/>
  <c r="BN23" i="118"/>
  <c r="AH23" i="118"/>
  <c r="AI23" i="118"/>
  <c r="D24" i="118"/>
  <c r="D79" i="118"/>
  <c r="E24" i="118"/>
  <c r="E79" i="118"/>
  <c r="U24" i="118"/>
  <c r="BB24" i="118"/>
  <c r="V24" i="118"/>
  <c r="BC24" i="118"/>
  <c r="W24" i="118"/>
  <c r="X24" i="118"/>
  <c r="BE24" i="118"/>
  <c r="Y24" i="118"/>
  <c r="BF24" i="118"/>
  <c r="Z24" i="118"/>
  <c r="BG24" i="118"/>
  <c r="AA24" i="118"/>
  <c r="BH24" i="118"/>
  <c r="AB24" i="118"/>
  <c r="AC24" i="118"/>
  <c r="BJ24" i="118"/>
  <c r="AD24" i="118"/>
  <c r="AE24" i="118"/>
  <c r="BL24" i="118"/>
  <c r="AF24" i="118"/>
  <c r="BM24" i="118"/>
  <c r="AG24" i="118"/>
  <c r="AH24" i="118"/>
  <c r="AI24" i="118"/>
  <c r="D25" i="118"/>
  <c r="D80" i="118"/>
  <c r="E25" i="118"/>
  <c r="E80" i="118"/>
  <c r="U25" i="118"/>
  <c r="BA24" i="118"/>
  <c r="V25" i="118"/>
  <c r="BC25" i="118"/>
  <c r="W25" i="118"/>
  <c r="BD25" i="118"/>
  <c r="X25" i="118"/>
  <c r="BE25" i="118"/>
  <c r="Y25" i="118"/>
  <c r="Z25" i="118"/>
  <c r="AA25" i="118"/>
  <c r="BH25" i="118"/>
  <c r="AB25" i="118"/>
  <c r="AC25" i="118"/>
  <c r="BJ25" i="118"/>
  <c r="AD25" i="118"/>
  <c r="BK25" i="118"/>
  <c r="AE25" i="118"/>
  <c r="BL25" i="118"/>
  <c r="AF25" i="118"/>
  <c r="AG25" i="118"/>
  <c r="BN25" i="118"/>
  <c r="AH25" i="118"/>
  <c r="AI25" i="118"/>
  <c r="D26" i="118"/>
  <c r="D81" i="118"/>
  <c r="E26" i="118"/>
  <c r="E81" i="118"/>
  <c r="U26" i="118"/>
  <c r="V26" i="118"/>
  <c r="BC26" i="118"/>
  <c r="W26" i="118"/>
  <c r="BD26" i="118"/>
  <c r="X26" i="118"/>
  <c r="BE26" i="118"/>
  <c r="Y26" i="118"/>
  <c r="Z26" i="118"/>
  <c r="AA26" i="118"/>
  <c r="AB26" i="118"/>
  <c r="BI26" i="118"/>
  <c r="AC26" i="118"/>
  <c r="BJ26" i="118"/>
  <c r="AD26" i="118"/>
  <c r="AE26" i="118"/>
  <c r="AF26" i="118"/>
  <c r="BM26" i="118"/>
  <c r="AG26" i="118"/>
  <c r="AH26" i="118"/>
  <c r="AI26" i="118"/>
  <c r="D27" i="118"/>
  <c r="D82" i="118"/>
  <c r="E27" i="118"/>
  <c r="E82" i="118"/>
  <c r="U27" i="118"/>
  <c r="AK26" i="118"/>
  <c r="V27" i="118"/>
  <c r="W27" i="118"/>
  <c r="BD27" i="118"/>
  <c r="X27" i="118"/>
  <c r="Y27" i="118"/>
  <c r="Z27" i="118"/>
  <c r="BG27" i="118"/>
  <c r="AA27" i="118"/>
  <c r="AB27" i="118"/>
  <c r="BI27" i="118"/>
  <c r="AC27" i="118"/>
  <c r="AD27" i="118"/>
  <c r="BK27" i="118"/>
  <c r="AE27" i="118"/>
  <c r="AF27" i="118"/>
  <c r="BM27" i="118"/>
  <c r="AG27" i="118"/>
  <c r="AH27" i="118"/>
  <c r="AI27" i="118"/>
  <c r="D28" i="118"/>
  <c r="D83" i="118"/>
  <c r="E28" i="118"/>
  <c r="E83" i="118"/>
  <c r="U28" i="118"/>
  <c r="BB28" i="118"/>
  <c r="V28" i="118"/>
  <c r="W28" i="118"/>
  <c r="BD28" i="118"/>
  <c r="X28" i="118"/>
  <c r="BE28" i="118"/>
  <c r="Y28" i="118"/>
  <c r="BF28" i="118"/>
  <c r="Z28" i="118"/>
  <c r="AA28" i="118"/>
  <c r="AB28" i="118"/>
  <c r="AC28" i="118"/>
  <c r="BJ28" i="118"/>
  <c r="AD28" i="118"/>
  <c r="BK28" i="118"/>
  <c r="AE28" i="118"/>
  <c r="BL28" i="118"/>
  <c r="AF28" i="118"/>
  <c r="AG28" i="118"/>
  <c r="BN28" i="118"/>
  <c r="AH28" i="118"/>
  <c r="AI28" i="118"/>
  <c r="D29" i="118"/>
  <c r="D84" i="118"/>
  <c r="E29" i="118"/>
  <c r="E84" i="118"/>
  <c r="U29" i="118"/>
  <c r="AK28" i="118"/>
  <c r="V29" i="118"/>
  <c r="W29" i="118"/>
  <c r="BD29" i="118"/>
  <c r="X29" i="118"/>
  <c r="Y29" i="118"/>
  <c r="Z29" i="118"/>
  <c r="AA29" i="118"/>
  <c r="BH29" i="118"/>
  <c r="AB29" i="118"/>
  <c r="BI29" i="118"/>
  <c r="AC29" i="118"/>
  <c r="AD29" i="118"/>
  <c r="BK29" i="118"/>
  <c r="AE29" i="118"/>
  <c r="BL29" i="118"/>
  <c r="AF29" i="118"/>
  <c r="BM29" i="118"/>
  <c r="AG29" i="118"/>
  <c r="AH29" i="118"/>
  <c r="AI29" i="118"/>
  <c r="D30" i="118"/>
  <c r="D85" i="118"/>
  <c r="E30" i="118"/>
  <c r="E85" i="118"/>
  <c r="U30" i="118"/>
  <c r="BB30" i="118"/>
  <c r="V30" i="118"/>
  <c r="W30" i="118"/>
  <c r="BD30" i="118"/>
  <c r="X30" i="118"/>
  <c r="BE30" i="118"/>
  <c r="Y30" i="118"/>
  <c r="BF30" i="118"/>
  <c r="Z30" i="118"/>
  <c r="BG30" i="118"/>
  <c r="AA30" i="118"/>
  <c r="AB30" i="118"/>
  <c r="BI30" i="118"/>
  <c r="AC30" i="118"/>
  <c r="BJ30" i="118"/>
  <c r="AD30" i="118"/>
  <c r="AE30" i="118"/>
  <c r="AF30" i="118"/>
  <c r="BM30" i="118"/>
  <c r="AG30" i="118"/>
  <c r="AH30" i="118"/>
  <c r="AI30" i="118"/>
  <c r="D31" i="118"/>
  <c r="D86" i="118"/>
  <c r="E31" i="118"/>
  <c r="E86" i="118"/>
  <c r="U31" i="118"/>
  <c r="BA30" i="118"/>
  <c r="V31" i="118"/>
  <c r="BC31" i="118"/>
  <c r="W31" i="118"/>
  <c r="X31" i="118"/>
  <c r="Y31" i="118"/>
  <c r="Z31" i="118"/>
  <c r="BG31" i="118"/>
  <c r="AA31" i="118"/>
  <c r="AB31" i="118"/>
  <c r="AC31" i="118"/>
  <c r="AD31" i="118"/>
  <c r="AE31" i="118"/>
  <c r="BL31" i="118"/>
  <c r="AF31" i="118"/>
  <c r="AG31" i="118"/>
  <c r="BN31" i="118"/>
  <c r="AH31" i="118"/>
  <c r="AI31" i="118"/>
  <c r="D32" i="118"/>
  <c r="D87" i="118"/>
  <c r="E32" i="118"/>
  <c r="E87" i="118"/>
  <c r="U32" i="118"/>
  <c r="V32" i="118"/>
  <c r="BC32" i="118"/>
  <c r="W32" i="118"/>
  <c r="X32" i="118"/>
  <c r="BE32" i="118"/>
  <c r="Y32" i="118"/>
  <c r="Z32" i="118"/>
  <c r="BG32" i="118"/>
  <c r="AA32" i="118"/>
  <c r="AB32" i="118"/>
  <c r="BI32" i="118"/>
  <c r="AC32" i="118"/>
  <c r="AD32" i="118"/>
  <c r="AE32" i="118"/>
  <c r="AF32" i="118"/>
  <c r="AG32" i="118"/>
  <c r="AH32" i="118"/>
  <c r="AI32" i="118"/>
  <c r="D33" i="118"/>
  <c r="D88" i="118"/>
  <c r="E33" i="118"/>
  <c r="E88" i="118"/>
  <c r="U33" i="118"/>
  <c r="V33" i="118"/>
  <c r="BC33" i="118"/>
  <c r="W33" i="118"/>
  <c r="X33" i="118"/>
  <c r="Y33" i="118"/>
  <c r="Z33" i="118"/>
  <c r="AA33" i="118"/>
  <c r="BH33" i="118"/>
  <c r="AB33" i="118"/>
  <c r="AC33" i="118"/>
  <c r="AD33" i="118"/>
  <c r="BK33" i="118"/>
  <c r="AE33" i="118"/>
  <c r="AF33" i="118"/>
  <c r="AG33" i="118"/>
  <c r="AH33" i="118"/>
  <c r="AI33" i="118"/>
  <c r="D34" i="118"/>
  <c r="D89" i="118"/>
  <c r="E34" i="118"/>
  <c r="E89" i="118"/>
  <c r="U34" i="118"/>
  <c r="BB34" i="118"/>
  <c r="V34" i="118"/>
  <c r="BC34" i="118"/>
  <c r="W34" i="118"/>
  <c r="X34" i="118"/>
  <c r="BE34" i="118"/>
  <c r="Y34" i="118"/>
  <c r="BF34" i="118"/>
  <c r="Z34" i="118"/>
  <c r="BG34" i="118"/>
  <c r="AA34" i="118"/>
  <c r="AB34" i="118"/>
  <c r="AC34" i="118"/>
  <c r="AD34" i="118"/>
  <c r="AE34" i="118"/>
  <c r="BL34" i="118"/>
  <c r="AF34" i="118"/>
  <c r="AG34" i="118"/>
  <c r="BN34" i="118"/>
  <c r="AH34" i="118"/>
  <c r="AI34" i="118"/>
  <c r="D35" i="118"/>
  <c r="D90" i="118"/>
  <c r="E35" i="118"/>
  <c r="E90" i="118"/>
  <c r="U35" i="118"/>
  <c r="AK34" i="118"/>
  <c r="V35" i="118"/>
  <c r="BC35" i="118"/>
  <c r="W35" i="118"/>
  <c r="BD35" i="118"/>
  <c r="X35" i="118"/>
  <c r="Y35" i="118"/>
  <c r="BF35" i="118"/>
  <c r="Z35" i="118"/>
  <c r="AA35" i="118"/>
  <c r="BH35" i="118"/>
  <c r="AB35" i="118"/>
  <c r="AC35" i="118"/>
  <c r="BJ35" i="118"/>
  <c r="AD35" i="118"/>
  <c r="AE35" i="118"/>
  <c r="BL35" i="118"/>
  <c r="AF35" i="118"/>
  <c r="AG35" i="118"/>
  <c r="BN35" i="118"/>
  <c r="AH35" i="118"/>
  <c r="AI35" i="118"/>
  <c r="D36" i="118"/>
  <c r="D91" i="118"/>
  <c r="E36" i="118"/>
  <c r="E91" i="118"/>
  <c r="U36" i="118"/>
  <c r="V36" i="118"/>
  <c r="BC36" i="118"/>
  <c r="W36" i="118"/>
  <c r="X36" i="118"/>
  <c r="BE36" i="118"/>
  <c r="Y36" i="118"/>
  <c r="Z36" i="118"/>
  <c r="BG36" i="118"/>
  <c r="AA36" i="118"/>
  <c r="BH36" i="118"/>
  <c r="AB36" i="118"/>
  <c r="BI36" i="118"/>
  <c r="AC36" i="118"/>
  <c r="BJ36" i="118"/>
  <c r="AD36" i="118"/>
  <c r="AE36" i="118"/>
  <c r="BL36" i="118"/>
  <c r="AF36" i="118"/>
  <c r="BM36" i="118"/>
  <c r="AG36" i="118"/>
  <c r="AH36" i="118"/>
  <c r="AI36" i="118"/>
  <c r="D37" i="118"/>
  <c r="D92" i="118"/>
  <c r="E37" i="118"/>
  <c r="E92" i="118"/>
  <c r="U37" i="118"/>
  <c r="V37" i="118"/>
  <c r="BC37" i="118"/>
  <c r="W37" i="118"/>
  <c r="BD37" i="118"/>
  <c r="X37" i="118"/>
  <c r="Y37" i="118"/>
  <c r="BF37" i="118"/>
  <c r="Z37" i="118"/>
  <c r="BG37" i="118"/>
  <c r="AA37" i="118"/>
  <c r="AB37" i="118"/>
  <c r="BI37" i="118"/>
  <c r="AC37" i="118"/>
  <c r="AD37" i="118"/>
  <c r="BK37" i="118"/>
  <c r="AE37" i="118"/>
  <c r="AF37" i="118"/>
  <c r="BM37" i="118"/>
  <c r="AG37" i="118"/>
  <c r="AH37" i="118"/>
  <c r="AI37" i="118"/>
  <c r="D38" i="118"/>
  <c r="D93" i="118"/>
  <c r="E38" i="118"/>
  <c r="E93" i="118"/>
  <c r="U38" i="118"/>
  <c r="AK37" i="118"/>
  <c r="V38" i="118"/>
  <c r="BC38" i="118"/>
  <c r="W38" i="118"/>
  <c r="BD38" i="118"/>
  <c r="X38" i="118"/>
  <c r="Y38" i="118"/>
  <c r="Z38" i="118"/>
  <c r="BG38" i="118"/>
  <c r="AA38" i="118"/>
  <c r="AB38" i="118"/>
  <c r="AC38" i="118"/>
  <c r="AD38" i="118"/>
  <c r="BK38" i="118"/>
  <c r="AE38" i="118"/>
  <c r="AF38" i="118"/>
  <c r="AG38" i="118"/>
  <c r="AH38" i="118"/>
  <c r="AI38" i="118"/>
  <c r="D39" i="118"/>
  <c r="D94" i="118"/>
  <c r="E39" i="118"/>
  <c r="E94" i="118"/>
  <c r="U39" i="118"/>
  <c r="V39" i="118"/>
  <c r="W39" i="118"/>
  <c r="BD39" i="118"/>
  <c r="X39" i="118"/>
  <c r="Y39" i="118"/>
  <c r="BF39" i="118"/>
  <c r="Z39" i="118"/>
  <c r="AA39" i="118"/>
  <c r="BH39" i="118"/>
  <c r="AB39" i="118"/>
  <c r="BI39" i="118"/>
  <c r="AC39" i="118"/>
  <c r="BJ39" i="118"/>
  <c r="AD39" i="118"/>
  <c r="BK39" i="118"/>
  <c r="AE39" i="118"/>
  <c r="BL39" i="118"/>
  <c r="AF39" i="118"/>
  <c r="BM39" i="118"/>
  <c r="AG39" i="118"/>
  <c r="AH39" i="118"/>
  <c r="AI39" i="118"/>
  <c r="D40" i="118"/>
  <c r="D95" i="118"/>
  <c r="BQ40" i="118"/>
  <c r="E40" i="118"/>
  <c r="E95" i="118"/>
  <c r="U40" i="118"/>
  <c r="V40" i="118"/>
  <c r="BC40" i="118"/>
  <c r="W40" i="118"/>
  <c r="X40" i="118"/>
  <c r="BE40" i="118"/>
  <c r="Y40" i="118"/>
  <c r="Z40" i="118"/>
  <c r="AA40" i="118"/>
  <c r="BH40" i="118"/>
  <c r="AB40" i="118"/>
  <c r="AC40" i="118"/>
  <c r="AD40" i="118"/>
  <c r="AE40" i="118"/>
  <c r="AF40" i="118"/>
  <c r="AG40" i="118"/>
  <c r="BN40" i="118"/>
  <c r="AH40" i="118"/>
  <c r="AI40" i="118"/>
  <c r="D41" i="118"/>
  <c r="D96" i="118"/>
  <c r="E41" i="118"/>
  <c r="E96" i="118"/>
  <c r="U41" i="118"/>
  <c r="V41" i="118"/>
  <c r="W41" i="118"/>
  <c r="X41" i="118"/>
  <c r="BE41" i="118"/>
  <c r="Y41" i="118"/>
  <c r="Z41" i="118"/>
  <c r="AA41" i="118"/>
  <c r="BH41" i="118"/>
  <c r="AB41" i="118"/>
  <c r="BI41" i="118"/>
  <c r="AC41" i="118"/>
  <c r="BJ41" i="118"/>
  <c r="AD41" i="118"/>
  <c r="BK41" i="118"/>
  <c r="AE41" i="118"/>
  <c r="BL41" i="118"/>
  <c r="AF41" i="118"/>
  <c r="BM41" i="118"/>
  <c r="AG41" i="118"/>
  <c r="BN41" i="118"/>
  <c r="AH41" i="118"/>
  <c r="AI41" i="118"/>
  <c r="D42" i="118"/>
  <c r="D97" i="118"/>
  <c r="E42" i="118"/>
  <c r="E97" i="118"/>
  <c r="U42" i="118"/>
  <c r="BA41" i="118"/>
  <c r="V42" i="118"/>
  <c r="BC42" i="118"/>
  <c r="W42" i="118"/>
  <c r="X42" i="118"/>
  <c r="Y42" i="118"/>
  <c r="Z42" i="118"/>
  <c r="AA42" i="118"/>
  <c r="AB42" i="118"/>
  <c r="BI42" i="118"/>
  <c r="AC42" i="118"/>
  <c r="AD42" i="118"/>
  <c r="BK42" i="118"/>
  <c r="AE42" i="118"/>
  <c r="AF42" i="118"/>
  <c r="AG42" i="118"/>
  <c r="AH42" i="118"/>
  <c r="AI42" i="118"/>
  <c r="D43" i="118"/>
  <c r="D98" i="118"/>
  <c r="BQ43" i="118"/>
  <c r="E43" i="118"/>
  <c r="E98" i="118"/>
  <c r="U43" i="118"/>
  <c r="BB43" i="118"/>
  <c r="V43" i="118"/>
  <c r="BC43" i="118"/>
  <c r="W43" i="118"/>
  <c r="X43" i="118"/>
  <c r="BE43" i="118"/>
  <c r="Y43" i="118"/>
  <c r="BF43" i="118"/>
  <c r="Z43" i="118"/>
  <c r="BG43" i="118"/>
  <c r="AA43" i="118"/>
  <c r="BH43" i="118"/>
  <c r="AB43" i="118"/>
  <c r="AC43" i="118"/>
  <c r="AD43" i="118"/>
  <c r="BK43" i="118"/>
  <c r="AE43" i="118"/>
  <c r="BL43" i="118"/>
  <c r="AF43" i="118"/>
  <c r="AG43" i="118"/>
  <c r="BN43" i="118"/>
  <c r="AH43" i="118"/>
  <c r="AI43" i="118"/>
  <c r="D44" i="118"/>
  <c r="D99" i="118"/>
  <c r="E44" i="118"/>
  <c r="E99" i="118"/>
  <c r="U44" i="118"/>
  <c r="V44" i="118"/>
  <c r="BC44" i="118"/>
  <c r="W44" i="118"/>
  <c r="X44" i="118"/>
  <c r="Y44" i="118"/>
  <c r="Z44" i="118"/>
  <c r="BG44" i="118"/>
  <c r="AA44" i="118"/>
  <c r="BH44" i="118"/>
  <c r="AB44" i="118"/>
  <c r="AC44" i="118"/>
  <c r="BJ44" i="118"/>
  <c r="AD44" i="118"/>
  <c r="AE44" i="118"/>
  <c r="AF44" i="118"/>
  <c r="BM44" i="118"/>
  <c r="AG44" i="118"/>
  <c r="AH44" i="118"/>
  <c r="AI44" i="118"/>
  <c r="D45" i="118"/>
  <c r="D100" i="118"/>
  <c r="E45" i="118"/>
  <c r="E100" i="118"/>
  <c r="U45" i="118"/>
  <c r="V45" i="118"/>
  <c r="BC45" i="118"/>
  <c r="W45" i="118"/>
  <c r="X45" i="118"/>
  <c r="BE45" i="118"/>
  <c r="Y45" i="118"/>
  <c r="Z45" i="118"/>
  <c r="BG45" i="118"/>
  <c r="AA45" i="118"/>
  <c r="AB45" i="118"/>
  <c r="BI45" i="118"/>
  <c r="AC45" i="118"/>
  <c r="AD45" i="118"/>
  <c r="BK45" i="118"/>
  <c r="AE45" i="118"/>
  <c r="AF45" i="118"/>
  <c r="BM45" i="118"/>
  <c r="AG45" i="118"/>
  <c r="AH45" i="118"/>
  <c r="AI45" i="118"/>
  <c r="D46" i="118"/>
  <c r="D101" i="118"/>
  <c r="E46" i="118"/>
  <c r="E101" i="118"/>
  <c r="U46" i="118"/>
  <c r="V46" i="118"/>
  <c r="BC46" i="118"/>
  <c r="W46" i="118"/>
  <c r="BD46" i="118"/>
  <c r="X46" i="118"/>
  <c r="Y46" i="118"/>
  <c r="BF46" i="118"/>
  <c r="Z46" i="118"/>
  <c r="BG46" i="118"/>
  <c r="AA46" i="118"/>
  <c r="BH46" i="118"/>
  <c r="AB46" i="118"/>
  <c r="AC46" i="118"/>
  <c r="BJ46" i="118"/>
  <c r="AD46" i="118"/>
  <c r="AE46" i="118"/>
  <c r="BL46" i="118"/>
  <c r="AF46" i="118"/>
  <c r="AG46" i="118"/>
  <c r="BN46" i="118"/>
  <c r="AH46" i="118"/>
  <c r="AI46" i="118"/>
  <c r="D47" i="118"/>
  <c r="D102" i="118"/>
  <c r="E47" i="118"/>
  <c r="E102" i="118"/>
  <c r="U47" i="118"/>
  <c r="BA46" i="118"/>
  <c r="V47" i="118"/>
  <c r="BC47" i="118"/>
  <c r="W47" i="118"/>
  <c r="BD47" i="118"/>
  <c r="X47" i="118"/>
  <c r="BE47" i="118"/>
  <c r="Y47" i="118"/>
  <c r="Z47" i="118"/>
  <c r="BG47" i="118"/>
  <c r="AA47" i="118"/>
  <c r="AB47" i="118"/>
  <c r="BI47" i="118"/>
  <c r="AC47" i="118"/>
  <c r="BJ47" i="118"/>
  <c r="AD47" i="118"/>
  <c r="BK47" i="118"/>
  <c r="AE47" i="118"/>
  <c r="AF47" i="118"/>
  <c r="AG47" i="118"/>
  <c r="BN47" i="118"/>
  <c r="AH47" i="118"/>
  <c r="AI47" i="118"/>
  <c r="D48" i="118"/>
  <c r="D103" i="118"/>
  <c r="E48" i="118"/>
  <c r="E103" i="118"/>
  <c r="U48" i="118"/>
  <c r="BB48" i="118"/>
  <c r="V48" i="118"/>
  <c r="W48" i="118"/>
  <c r="BD48" i="118"/>
  <c r="X48" i="118"/>
  <c r="Y48" i="118"/>
  <c r="BF48" i="118"/>
  <c r="Z48" i="118"/>
  <c r="AA48" i="118"/>
  <c r="BH48" i="118"/>
  <c r="AB48" i="118"/>
  <c r="AC48" i="118"/>
  <c r="BJ48" i="118"/>
  <c r="AD48" i="118"/>
  <c r="AE48" i="118"/>
  <c r="AF48" i="118"/>
  <c r="BM48" i="118"/>
  <c r="AG48" i="118"/>
  <c r="AH48" i="118"/>
  <c r="AI48" i="118"/>
  <c r="D49" i="118"/>
  <c r="D104" i="118"/>
  <c r="E49" i="118"/>
  <c r="E104" i="118"/>
  <c r="U49" i="118"/>
  <c r="BA48" i="118"/>
  <c r="BA49" i="118"/>
  <c r="BA50" i="118"/>
  <c r="BA51" i="118"/>
  <c r="V49" i="118"/>
  <c r="W49" i="118"/>
  <c r="BD49" i="118"/>
  <c r="X49" i="118"/>
  <c r="BE49" i="118"/>
  <c r="Y49" i="118"/>
  <c r="Z49" i="118"/>
  <c r="AA49" i="118"/>
  <c r="BH49" i="118"/>
  <c r="AB49" i="118"/>
  <c r="BI49" i="118"/>
  <c r="AC49" i="118"/>
  <c r="BJ49" i="118"/>
  <c r="AD49" i="118"/>
  <c r="AE49" i="118"/>
  <c r="BL49" i="118"/>
  <c r="AF49" i="118"/>
  <c r="BM49" i="118"/>
  <c r="AG49" i="118"/>
  <c r="AH49" i="118"/>
  <c r="AI49" i="118"/>
  <c r="A1" i="10"/>
  <c r="A3" i="74"/>
  <c r="A4" i="74"/>
  <c r="A5" i="74"/>
  <c r="A6" i="74"/>
  <c r="A7" i="74"/>
  <c r="A8" i="74"/>
  <c r="B2" i="74"/>
  <c r="B13" i="74"/>
  <c r="C13" i="74"/>
  <c r="D13" i="74"/>
  <c r="E13" i="74"/>
  <c r="F13" i="74"/>
  <c r="G13" i="74"/>
  <c r="H13" i="74"/>
  <c r="I13" i="74"/>
  <c r="J13" i="74"/>
  <c r="K13" i="74"/>
  <c r="L13" i="74"/>
  <c r="M13" i="74"/>
  <c r="N13" i="74"/>
  <c r="O13" i="74"/>
  <c r="P13" i="74"/>
  <c r="Q13" i="74"/>
  <c r="B14" i="74"/>
  <c r="B17" i="74"/>
  <c r="C14" i="74"/>
  <c r="C17" i="74"/>
  <c r="D14" i="74"/>
  <c r="D17" i="74"/>
  <c r="E14" i="74"/>
  <c r="E16" i="74"/>
  <c r="F14" i="74"/>
  <c r="F16" i="74"/>
  <c r="G14" i="74"/>
  <c r="G16" i="74"/>
  <c r="H14" i="74"/>
  <c r="H16" i="74"/>
  <c r="I14" i="74"/>
  <c r="I17" i="74"/>
  <c r="J14" i="74"/>
  <c r="J17" i="74"/>
  <c r="K14" i="74"/>
  <c r="K16" i="74"/>
  <c r="L14" i="74"/>
  <c r="L16" i="74"/>
  <c r="M14" i="74"/>
  <c r="M17" i="74"/>
  <c r="N14" i="74"/>
  <c r="N16" i="74"/>
  <c r="O14" i="74"/>
  <c r="O17" i="74"/>
  <c r="P14" i="74"/>
  <c r="P16" i="74"/>
  <c r="Q14" i="74"/>
  <c r="Q17" i="74"/>
  <c r="B15" i="74"/>
  <c r="C15" i="74"/>
  <c r="D15" i="74"/>
  <c r="E15" i="74"/>
  <c r="F15" i="74"/>
  <c r="G15" i="74"/>
  <c r="H15" i="74"/>
  <c r="I15" i="74"/>
  <c r="J15" i="74"/>
  <c r="K15" i="74"/>
  <c r="L15" i="74"/>
  <c r="M15" i="74"/>
  <c r="N15" i="74"/>
  <c r="O15" i="74"/>
  <c r="P15" i="74"/>
  <c r="Q15" i="74"/>
  <c r="B16" i="74"/>
  <c r="C16" i="74"/>
  <c r="D16" i="74"/>
  <c r="A6" i="2"/>
  <c r="A10" i="2"/>
  <c r="B5" i="2"/>
  <c r="B9" i="2"/>
  <c r="C4" i="2"/>
  <c r="S3" i="51"/>
  <c r="T3" i="51"/>
  <c r="S4" i="51"/>
  <c r="T4" i="51"/>
  <c r="S5" i="51"/>
  <c r="T5" i="51"/>
  <c r="S6" i="51"/>
  <c r="T6" i="51"/>
  <c r="S7" i="51"/>
  <c r="T7" i="51"/>
  <c r="S8" i="51"/>
  <c r="T8" i="51"/>
  <c r="S9" i="51"/>
  <c r="T9" i="51"/>
  <c r="S10" i="51"/>
  <c r="T10" i="51"/>
  <c r="S11" i="51"/>
  <c r="T11" i="51"/>
  <c r="S12" i="51"/>
  <c r="T12" i="51"/>
  <c r="S13" i="51"/>
  <c r="T13" i="51"/>
  <c r="S14" i="51"/>
  <c r="T14" i="51"/>
  <c r="S15" i="51"/>
  <c r="T15" i="51"/>
  <c r="S16" i="51"/>
  <c r="T16" i="51"/>
  <c r="S17" i="51"/>
  <c r="T17" i="51"/>
  <c r="S18" i="51"/>
  <c r="T18" i="51"/>
  <c r="S19" i="51"/>
  <c r="T19" i="51"/>
  <c r="S20" i="51"/>
  <c r="T20" i="51"/>
  <c r="S21" i="51"/>
  <c r="T21" i="51"/>
  <c r="S22" i="51"/>
  <c r="T22" i="51"/>
  <c r="S23" i="51"/>
  <c r="T23" i="51"/>
  <c r="S24" i="51"/>
  <c r="T24" i="51"/>
  <c r="S25" i="51"/>
  <c r="T25" i="51"/>
  <c r="S26" i="51"/>
  <c r="T26" i="51"/>
  <c r="S27" i="51"/>
  <c r="T27" i="51"/>
  <c r="S28" i="51"/>
  <c r="T28" i="51"/>
  <c r="S29" i="51"/>
  <c r="T29" i="51"/>
  <c r="S30" i="51"/>
  <c r="T30" i="51"/>
  <c r="S31" i="51"/>
  <c r="T31" i="51"/>
  <c r="S32" i="51"/>
  <c r="T32" i="51"/>
  <c r="S33" i="51"/>
  <c r="T33" i="51"/>
  <c r="S34" i="51"/>
  <c r="T34" i="51"/>
  <c r="S35" i="51"/>
  <c r="T35" i="51"/>
  <c r="S36" i="51"/>
  <c r="T36" i="51"/>
  <c r="S37" i="51"/>
  <c r="T37" i="51"/>
  <c r="S38" i="51"/>
  <c r="T38" i="51"/>
  <c r="S39" i="51"/>
  <c r="T39" i="51"/>
  <c r="A40" i="51"/>
  <c r="S40" i="51"/>
  <c r="T40" i="51"/>
  <c r="A41" i="51"/>
  <c r="S41" i="51"/>
  <c r="T41" i="51"/>
  <c r="S42" i="51"/>
  <c r="T42" i="51"/>
  <c r="S43" i="51"/>
  <c r="T43" i="51"/>
  <c r="S44" i="51"/>
  <c r="T44" i="51"/>
  <c r="S45" i="51"/>
  <c r="T45" i="51"/>
  <c r="S46" i="51"/>
  <c r="T46" i="51"/>
  <c r="S47" i="51"/>
  <c r="T47" i="51"/>
  <c r="S48" i="51"/>
  <c r="T48" i="51"/>
  <c r="A3" i="4"/>
  <c r="A4" i="4"/>
  <c r="A5" i="4"/>
  <c r="A6" i="4"/>
  <c r="B2" i="4"/>
  <c r="B3" i="4"/>
  <c r="B4" i="4"/>
  <c r="B5" i="4"/>
  <c r="B6" i="4"/>
  <c r="C2" i="4"/>
  <c r="C3" i="4"/>
  <c r="C4" i="4"/>
  <c r="C5" i="4"/>
  <c r="C6" i="4"/>
  <c r="R2" i="31"/>
  <c r="R3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25" i="31"/>
  <c r="R26" i="31"/>
  <c r="R27" i="31"/>
  <c r="R30" i="31"/>
  <c r="R31" i="31"/>
  <c r="R32" i="31"/>
  <c r="R33" i="31"/>
  <c r="H4" i="29" a="1"/>
  <c r="H10" i="29"/>
  <c r="I4" i="29" a="1"/>
  <c r="I7" i="29"/>
  <c r="Z4" i="29"/>
  <c r="AA4" i="29"/>
  <c r="O5" i="29"/>
  <c r="Z5" i="29"/>
  <c r="AA5" i="29"/>
  <c r="O6" i="29"/>
  <c r="Z6" i="29"/>
  <c r="AA6" i="29"/>
  <c r="O7" i="29"/>
  <c r="Z7" i="29"/>
  <c r="AA7" i="29"/>
  <c r="O8" i="29"/>
  <c r="Z8" i="29"/>
  <c r="AA8" i="29"/>
  <c r="O9" i="29"/>
  <c r="Z9" i="29"/>
  <c r="AA9" i="29"/>
  <c r="O10" i="29"/>
  <c r="Z10" i="29"/>
  <c r="AA10" i="29"/>
  <c r="O11" i="29"/>
  <c r="Z11" i="29"/>
  <c r="AA11" i="29"/>
  <c r="O12" i="29"/>
  <c r="Z12" i="29"/>
  <c r="AA12" i="29"/>
  <c r="O13" i="29"/>
  <c r="Z13" i="29"/>
  <c r="AA13" i="29"/>
  <c r="O14" i="29"/>
  <c r="Z14" i="29"/>
  <c r="AA14" i="29"/>
  <c r="O15" i="29"/>
  <c r="Z15" i="29"/>
  <c r="AA15" i="29"/>
  <c r="O16" i="29"/>
  <c r="Z16" i="29"/>
  <c r="AA16" i="29"/>
  <c r="O17" i="29"/>
  <c r="Z17" i="29"/>
  <c r="AA17" i="29"/>
  <c r="O18" i="29"/>
  <c r="Z18" i="29"/>
  <c r="AA18" i="29"/>
  <c r="O19" i="29"/>
  <c r="Z19" i="29"/>
  <c r="AA19" i="29"/>
  <c r="O20" i="29"/>
  <c r="Z20" i="29"/>
  <c r="AA20" i="29"/>
  <c r="O21" i="29"/>
  <c r="Z21" i="29"/>
  <c r="AA21" i="29"/>
  <c r="O22" i="29"/>
  <c r="Z22" i="29"/>
  <c r="AA22" i="29"/>
  <c r="O23" i="29"/>
  <c r="Z23" i="29"/>
  <c r="AA23" i="29"/>
  <c r="Z24" i="29"/>
  <c r="AA24" i="29"/>
  <c r="C25" i="29"/>
  <c r="Q25" i="29"/>
  <c r="E25" i="29"/>
  <c r="Z25" i="29"/>
  <c r="AA25" i="29"/>
  <c r="Q26" i="29"/>
  <c r="R26" i="29"/>
  <c r="T26" i="29"/>
  <c r="W26" i="29"/>
  <c r="Z26" i="29"/>
  <c r="AA26" i="29"/>
  <c r="Z27" i="29"/>
  <c r="AA27" i="29"/>
  <c r="Z28" i="29"/>
  <c r="AA28" i="29"/>
  <c r="T29" i="29"/>
  <c r="W29" i="29"/>
  <c r="B83" i="29"/>
  <c r="C83" i="29"/>
  <c r="D83" i="29"/>
  <c r="E83" i="29"/>
  <c r="F83" i="29"/>
  <c r="G83" i="29"/>
  <c r="H83" i="29"/>
  <c r="I83" i="29"/>
  <c r="J83" i="29"/>
  <c r="K83" i="29"/>
  <c r="L83" i="29"/>
  <c r="M83" i="29"/>
  <c r="N83" i="29"/>
  <c r="O83" i="29"/>
  <c r="P85" i="29"/>
  <c r="P86" i="29"/>
  <c r="P87" i="29"/>
  <c r="P88" i="29"/>
  <c r="P90" i="29"/>
  <c r="P89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B107" i="29"/>
  <c r="C107" i="29"/>
  <c r="D107" i="29"/>
  <c r="E107" i="29"/>
  <c r="F107" i="29"/>
  <c r="G107" i="29"/>
  <c r="H107" i="29"/>
  <c r="I107" i="29"/>
  <c r="J107" i="29"/>
  <c r="K107" i="29"/>
  <c r="L107" i="29"/>
  <c r="M107" i="29"/>
  <c r="N107" i="29"/>
  <c r="O107" i="29"/>
  <c r="P107" i="29"/>
  <c r="B108" i="29"/>
  <c r="C108" i="29"/>
  <c r="D108" i="29"/>
  <c r="E108" i="29"/>
  <c r="F108" i="29"/>
  <c r="G108" i="29"/>
  <c r="H108" i="29"/>
  <c r="I108" i="29"/>
  <c r="J108" i="29"/>
  <c r="K108" i="29"/>
  <c r="L108" i="29"/>
  <c r="M108" i="29"/>
  <c r="N108" i="29"/>
  <c r="O108" i="29"/>
  <c r="P108" i="29"/>
  <c r="B109" i="29"/>
  <c r="C109" i="29"/>
  <c r="D109" i="29"/>
  <c r="E109" i="29"/>
  <c r="F109" i="29"/>
  <c r="G109" i="29"/>
  <c r="H109" i="29"/>
  <c r="I109" i="29"/>
  <c r="J109" i="29"/>
  <c r="K109" i="29"/>
  <c r="L109" i="29"/>
  <c r="M109" i="29"/>
  <c r="N109" i="29"/>
  <c r="O109" i="29"/>
  <c r="P109" i="29"/>
  <c r="B110" i="29"/>
  <c r="C110" i="29"/>
  <c r="D110" i="29"/>
  <c r="E110" i="29"/>
  <c r="F110" i="29"/>
  <c r="G110" i="29"/>
  <c r="H110" i="29"/>
  <c r="I110" i="29"/>
  <c r="J110" i="29"/>
  <c r="K110" i="29"/>
  <c r="L110" i="29"/>
  <c r="M110" i="29"/>
  <c r="N110" i="29"/>
  <c r="O110" i="29"/>
  <c r="P110" i="29"/>
  <c r="B111" i="29"/>
  <c r="C111" i="29"/>
  <c r="D111" i="29"/>
  <c r="E111" i="29"/>
  <c r="F111" i="29"/>
  <c r="G111" i="29"/>
  <c r="H111" i="29"/>
  <c r="I111" i="29"/>
  <c r="J111" i="29"/>
  <c r="K111" i="29"/>
  <c r="L111" i="29"/>
  <c r="M111" i="29"/>
  <c r="N111" i="29"/>
  <c r="O111" i="29"/>
  <c r="P111" i="29"/>
  <c r="B112" i="29"/>
  <c r="C112" i="29"/>
  <c r="D112" i="29"/>
  <c r="E112" i="29"/>
  <c r="F112" i="29"/>
  <c r="G112" i="29"/>
  <c r="H112" i="29"/>
  <c r="I112" i="29"/>
  <c r="J112" i="29"/>
  <c r="K112" i="29"/>
  <c r="L112" i="29"/>
  <c r="M112" i="29"/>
  <c r="N112" i="29"/>
  <c r="O112" i="29"/>
  <c r="P112" i="29"/>
  <c r="B113" i="29"/>
  <c r="C113" i="29"/>
  <c r="D113" i="29"/>
  <c r="E113" i="29"/>
  <c r="F113" i="29"/>
  <c r="G113" i="29"/>
  <c r="H113" i="29"/>
  <c r="I113" i="29"/>
  <c r="J113" i="29"/>
  <c r="K113" i="29"/>
  <c r="L113" i="29"/>
  <c r="M113" i="29"/>
  <c r="N113" i="29"/>
  <c r="O113" i="29"/>
  <c r="P113" i="29"/>
  <c r="B114" i="29"/>
  <c r="C114" i="29"/>
  <c r="D114" i="29"/>
  <c r="E114" i="29"/>
  <c r="F114" i="29"/>
  <c r="G114" i="29"/>
  <c r="H114" i="29"/>
  <c r="I114" i="29"/>
  <c r="J114" i="29"/>
  <c r="K114" i="29"/>
  <c r="L114" i="29"/>
  <c r="M114" i="29"/>
  <c r="N114" i="29"/>
  <c r="O114" i="29"/>
  <c r="P114" i="29"/>
  <c r="B115" i="29"/>
  <c r="C115" i="29"/>
  <c r="D115" i="29"/>
  <c r="E115" i="29"/>
  <c r="F115" i="29"/>
  <c r="G115" i="29"/>
  <c r="H115" i="29"/>
  <c r="I115" i="29"/>
  <c r="J115" i="29"/>
  <c r="K115" i="29"/>
  <c r="L115" i="29"/>
  <c r="M115" i="29"/>
  <c r="N115" i="29"/>
  <c r="O115" i="29"/>
  <c r="P115" i="29"/>
  <c r="B116" i="29"/>
  <c r="C116" i="29"/>
  <c r="D116" i="29"/>
  <c r="E116" i="29"/>
  <c r="F116" i="29"/>
  <c r="G116" i="29"/>
  <c r="H116" i="29"/>
  <c r="I116" i="29"/>
  <c r="J116" i="29"/>
  <c r="K116" i="29"/>
  <c r="L116" i="29"/>
  <c r="M116" i="29"/>
  <c r="N116" i="29"/>
  <c r="O116" i="29"/>
  <c r="P116" i="29"/>
  <c r="B117" i="29"/>
  <c r="C117" i="29"/>
  <c r="D117" i="29"/>
  <c r="E117" i="29"/>
  <c r="F117" i="29"/>
  <c r="G117" i="29"/>
  <c r="H117" i="29"/>
  <c r="I117" i="29"/>
  <c r="J117" i="29"/>
  <c r="K117" i="29"/>
  <c r="L117" i="29"/>
  <c r="M117" i="29"/>
  <c r="N117" i="29"/>
  <c r="O117" i="29"/>
  <c r="P117" i="29"/>
  <c r="B118" i="29"/>
  <c r="C118" i="29"/>
  <c r="D118" i="29"/>
  <c r="E118" i="29"/>
  <c r="F118" i="29"/>
  <c r="G118" i="29"/>
  <c r="H118" i="29"/>
  <c r="I118" i="29"/>
  <c r="J118" i="29"/>
  <c r="K118" i="29"/>
  <c r="L118" i="29"/>
  <c r="M118" i="29"/>
  <c r="N118" i="29"/>
  <c r="O118" i="29"/>
  <c r="P118" i="29"/>
  <c r="B119" i="29"/>
  <c r="C119" i="29"/>
  <c r="D119" i="29"/>
  <c r="E119" i="29"/>
  <c r="F119" i="29"/>
  <c r="G119" i="29"/>
  <c r="H119" i="29"/>
  <c r="I119" i="29"/>
  <c r="J119" i="29"/>
  <c r="K119" i="29"/>
  <c r="L119" i="29"/>
  <c r="M119" i="29"/>
  <c r="N119" i="29"/>
  <c r="O119" i="29"/>
  <c r="P119" i="29"/>
  <c r="B120" i="29"/>
  <c r="C120" i="29"/>
  <c r="D120" i="29"/>
  <c r="E120" i="29"/>
  <c r="F120" i="29"/>
  <c r="G120" i="29"/>
  <c r="H120" i="29"/>
  <c r="I120" i="29"/>
  <c r="J120" i="29"/>
  <c r="K120" i="29"/>
  <c r="L120" i="29"/>
  <c r="M120" i="29"/>
  <c r="N120" i="29"/>
  <c r="O120" i="29"/>
  <c r="P120" i="29"/>
  <c r="B121" i="29"/>
  <c r="C121" i="29"/>
  <c r="D121" i="29"/>
  <c r="E121" i="29"/>
  <c r="F121" i="29"/>
  <c r="G121" i="29"/>
  <c r="H121" i="29"/>
  <c r="I121" i="29"/>
  <c r="J121" i="29"/>
  <c r="K121" i="29"/>
  <c r="L121" i="29"/>
  <c r="M121" i="29"/>
  <c r="N121" i="29"/>
  <c r="O121" i="29"/>
  <c r="P121" i="29"/>
  <c r="B122" i="29"/>
  <c r="C122" i="29"/>
  <c r="D122" i="29"/>
  <c r="E122" i="29"/>
  <c r="F122" i="29"/>
  <c r="G122" i="29"/>
  <c r="H122" i="29"/>
  <c r="I122" i="29"/>
  <c r="J122" i="29"/>
  <c r="K122" i="29"/>
  <c r="L122" i="29"/>
  <c r="M122" i="29"/>
  <c r="N122" i="29"/>
  <c r="O122" i="29"/>
  <c r="P122" i="29"/>
  <c r="B123" i="29"/>
  <c r="C123" i="29"/>
  <c r="D123" i="29"/>
  <c r="E123" i="29"/>
  <c r="F123" i="29"/>
  <c r="G123" i="29"/>
  <c r="H123" i="29"/>
  <c r="I123" i="29"/>
  <c r="J123" i="29"/>
  <c r="K123" i="29"/>
  <c r="L123" i="29"/>
  <c r="M123" i="29"/>
  <c r="N123" i="29"/>
  <c r="O123" i="29"/>
  <c r="P123" i="29"/>
  <c r="B124" i="29"/>
  <c r="C124" i="29"/>
  <c r="D124" i="29"/>
  <c r="E124" i="29"/>
  <c r="F124" i="29"/>
  <c r="G124" i="29"/>
  <c r="H124" i="29"/>
  <c r="I124" i="29"/>
  <c r="J124" i="29"/>
  <c r="K124" i="29"/>
  <c r="L124" i="29"/>
  <c r="M124" i="29"/>
  <c r="N124" i="29"/>
  <c r="O124" i="29"/>
  <c r="P124" i="29"/>
  <c r="B125" i="29"/>
  <c r="C125" i="29"/>
  <c r="D125" i="29"/>
  <c r="E125" i="29"/>
  <c r="F125" i="29"/>
  <c r="G125" i="29"/>
  <c r="H125" i="29"/>
  <c r="I125" i="29"/>
  <c r="J125" i="29"/>
  <c r="K125" i="29"/>
  <c r="L125" i="29"/>
  <c r="M125" i="29"/>
  <c r="N125" i="29"/>
  <c r="O125" i="29"/>
  <c r="P125" i="29"/>
  <c r="B126" i="29"/>
  <c r="C126" i="29"/>
  <c r="D126" i="29"/>
  <c r="E126" i="29"/>
  <c r="F126" i="29"/>
  <c r="G126" i="29"/>
  <c r="H126" i="29"/>
  <c r="I126" i="29"/>
  <c r="J126" i="29"/>
  <c r="K126" i="29"/>
  <c r="L126" i="29"/>
  <c r="M126" i="29"/>
  <c r="N126" i="29"/>
  <c r="O126" i="29"/>
  <c r="P126" i="29"/>
  <c r="B127" i="29"/>
  <c r="C127" i="29"/>
  <c r="D127" i="29"/>
  <c r="E127" i="29"/>
  <c r="F127" i="29"/>
  <c r="G127" i="29"/>
  <c r="H127" i="29"/>
  <c r="I127" i="29"/>
  <c r="J127" i="29"/>
  <c r="K127" i="29"/>
  <c r="L127" i="29"/>
  <c r="M127" i="29"/>
  <c r="N127" i="29"/>
  <c r="O127" i="29"/>
  <c r="P127" i="29"/>
  <c r="B129" i="29"/>
  <c r="C129" i="29"/>
  <c r="D129" i="29"/>
  <c r="E129" i="29"/>
  <c r="F129" i="29"/>
  <c r="G129" i="29"/>
  <c r="H129" i="29"/>
  <c r="I129" i="29"/>
  <c r="J129" i="29"/>
  <c r="K129" i="29"/>
  <c r="L129" i="29"/>
  <c r="M129" i="29"/>
  <c r="N129" i="29"/>
  <c r="O129" i="29"/>
  <c r="P129" i="29"/>
  <c r="B130" i="29"/>
  <c r="C130" i="29"/>
  <c r="D130" i="29"/>
  <c r="E130" i="29"/>
  <c r="F130" i="29"/>
  <c r="G130" i="29"/>
  <c r="H130" i="29"/>
  <c r="I130" i="29"/>
  <c r="J130" i="29"/>
  <c r="K130" i="29"/>
  <c r="L130" i="29"/>
  <c r="M130" i="29"/>
  <c r="N130" i="29"/>
  <c r="O130" i="29"/>
  <c r="P130" i="29"/>
  <c r="B131" i="29"/>
  <c r="C131" i="29"/>
  <c r="D131" i="29"/>
  <c r="E131" i="29"/>
  <c r="F131" i="29"/>
  <c r="G131" i="29"/>
  <c r="H131" i="29"/>
  <c r="I131" i="29"/>
  <c r="J131" i="29"/>
  <c r="K131" i="29"/>
  <c r="L131" i="29"/>
  <c r="M131" i="29"/>
  <c r="N131" i="29"/>
  <c r="O131" i="29"/>
  <c r="P131" i="29"/>
  <c r="B132" i="29"/>
  <c r="C132" i="29"/>
  <c r="D132" i="29"/>
  <c r="E132" i="29"/>
  <c r="F132" i="29"/>
  <c r="G132" i="29"/>
  <c r="H132" i="29"/>
  <c r="I132" i="29"/>
  <c r="J132" i="29"/>
  <c r="K132" i="29"/>
  <c r="L132" i="29"/>
  <c r="M132" i="29"/>
  <c r="N132" i="29"/>
  <c r="O132" i="29"/>
  <c r="P132" i="29"/>
  <c r="B133" i="29"/>
  <c r="C133" i="29"/>
  <c r="D133" i="29"/>
  <c r="E133" i="29"/>
  <c r="F133" i="29"/>
  <c r="G133" i="29"/>
  <c r="H133" i="29"/>
  <c r="I133" i="29"/>
  <c r="J133" i="29"/>
  <c r="K133" i="29"/>
  <c r="L133" i="29"/>
  <c r="M133" i="29"/>
  <c r="N133" i="29"/>
  <c r="O133" i="29"/>
  <c r="P133" i="29"/>
  <c r="B134" i="29"/>
  <c r="C134" i="29"/>
  <c r="D134" i="29"/>
  <c r="E134" i="29"/>
  <c r="F134" i="29"/>
  <c r="G134" i="29"/>
  <c r="H134" i="29"/>
  <c r="I134" i="29"/>
  <c r="J134" i="29"/>
  <c r="K134" i="29"/>
  <c r="L134" i="29"/>
  <c r="M134" i="29"/>
  <c r="N134" i="29"/>
  <c r="O134" i="29"/>
  <c r="P134" i="29"/>
  <c r="B135" i="29"/>
  <c r="C135" i="29"/>
  <c r="D135" i="29"/>
  <c r="E135" i="29"/>
  <c r="F135" i="29"/>
  <c r="G135" i="29"/>
  <c r="H135" i="29"/>
  <c r="I135" i="29"/>
  <c r="J135" i="29"/>
  <c r="K135" i="29"/>
  <c r="L135" i="29"/>
  <c r="M135" i="29"/>
  <c r="N135" i="29"/>
  <c r="O135" i="29"/>
  <c r="P135" i="29"/>
  <c r="B136" i="29"/>
  <c r="C136" i="29"/>
  <c r="D136" i="29"/>
  <c r="E136" i="29"/>
  <c r="F136" i="29"/>
  <c r="G136" i="29"/>
  <c r="H136" i="29"/>
  <c r="I136" i="29"/>
  <c r="J136" i="29"/>
  <c r="K136" i="29"/>
  <c r="L136" i="29"/>
  <c r="M136" i="29"/>
  <c r="N136" i="29"/>
  <c r="O136" i="29"/>
  <c r="P136" i="29"/>
  <c r="B137" i="29"/>
  <c r="C137" i="29"/>
  <c r="D137" i="29"/>
  <c r="E137" i="29"/>
  <c r="F137" i="29"/>
  <c r="G137" i="29"/>
  <c r="H137" i="29"/>
  <c r="I137" i="29"/>
  <c r="J137" i="29"/>
  <c r="K137" i="29"/>
  <c r="L137" i="29"/>
  <c r="M137" i="29"/>
  <c r="N137" i="29"/>
  <c r="O137" i="29"/>
  <c r="P137" i="29"/>
  <c r="B138" i="29"/>
  <c r="C138" i="29"/>
  <c r="D138" i="29"/>
  <c r="E138" i="29"/>
  <c r="F138" i="29"/>
  <c r="G138" i="29"/>
  <c r="H138" i="29"/>
  <c r="I138" i="29"/>
  <c r="J138" i="29"/>
  <c r="K138" i="29"/>
  <c r="L138" i="29"/>
  <c r="M138" i="29"/>
  <c r="N138" i="29"/>
  <c r="O138" i="29"/>
  <c r="P138" i="29"/>
  <c r="B139" i="29"/>
  <c r="C139" i="29"/>
  <c r="D139" i="29"/>
  <c r="E139" i="29"/>
  <c r="F139" i="29"/>
  <c r="G139" i="29"/>
  <c r="H139" i="29"/>
  <c r="I139" i="29"/>
  <c r="J139" i="29"/>
  <c r="K139" i="29"/>
  <c r="L139" i="29"/>
  <c r="M139" i="29"/>
  <c r="N139" i="29"/>
  <c r="O139" i="29"/>
  <c r="P139" i="29"/>
  <c r="B140" i="29"/>
  <c r="C140" i="29"/>
  <c r="D140" i="29"/>
  <c r="E140" i="29"/>
  <c r="F140" i="29"/>
  <c r="G140" i="29"/>
  <c r="H140" i="29"/>
  <c r="I140" i="29"/>
  <c r="J140" i="29"/>
  <c r="K140" i="29"/>
  <c r="L140" i="29"/>
  <c r="M140" i="29"/>
  <c r="N140" i="29"/>
  <c r="O140" i="29"/>
  <c r="P140" i="29"/>
  <c r="B141" i="29"/>
  <c r="C141" i="29"/>
  <c r="D141" i="29"/>
  <c r="E141" i="29"/>
  <c r="F141" i="29"/>
  <c r="G141" i="29"/>
  <c r="H141" i="29"/>
  <c r="I141" i="29"/>
  <c r="J141" i="29"/>
  <c r="K141" i="29"/>
  <c r="L141" i="29"/>
  <c r="M141" i="29"/>
  <c r="N141" i="29"/>
  <c r="O141" i="29"/>
  <c r="P141" i="29"/>
  <c r="B142" i="29"/>
  <c r="C142" i="29"/>
  <c r="D142" i="29"/>
  <c r="E142" i="29"/>
  <c r="F142" i="29"/>
  <c r="G142" i="29"/>
  <c r="H142" i="29"/>
  <c r="I142" i="29"/>
  <c r="J142" i="29"/>
  <c r="K142" i="29"/>
  <c r="L142" i="29"/>
  <c r="M142" i="29"/>
  <c r="N142" i="29"/>
  <c r="O142" i="29"/>
  <c r="P142" i="29"/>
  <c r="B143" i="29"/>
  <c r="C143" i="29"/>
  <c r="D143" i="29"/>
  <c r="E143" i="29"/>
  <c r="F143" i="29"/>
  <c r="G143" i="29"/>
  <c r="H143" i="29"/>
  <c r="I143" i="29"/>
  <c r="J143" i="29"/>
  <c r="K143" i="29"/>
  <c r="L143" i="29"/>
  <c r="M143" i="29"/>
  <c r="N143" i="29"/>
  <c r="O143" i="29"/>
  <c r="P143" i="29"/>
  <c r="B144" i="29"/>
  <c r="C144" i="29"/>
  <c r="D144" i="29"/>
  <c r="E144" i="29"/>
  <c r="F144" i="29"/>
  <c r="G144" i="29"/>
  <c r="H144" i="29"/>
  <c r="I144" i="29"/>
  <c r="J144" i="29"/>
  <c r="K144" i="29"/>
  <c r="L144" i="29"/>
  <c r="M144" i="29"/>
  <c r="N144" i="29"/>
  <c r="O144" i="29"/>
  <c r="P144" i="29"/>
  <c r="B145" i="29"/>
  <c r="C145" i="29"/>
  <c r="D145" i="29"/>
  <c r="E145" i="29"/>
  <c r="F145" i="29"/>
  <c r="G145" i="29"/>
  <c r="H145" i="29"/>
  <c r="I145" i="29"/>
  <c r="J145" i="29"/>
  <c r="K145" i="29"/>
  <c r="L145" i="29"/>
  <c r="M145" i="29"/>
  <c r="N145" i="29"/>
  <c r="O145" i="29"/>
  <c r="P145" i="29"/>
  <c r="B146" i="29"/>
  <c r="C146" i="29"/>
  <c r="D146" i="29"/>
  <c r="E146" i="29"/>
  <c r="F146" i="29"/>
  <c r="G146" i="29"/>
  <c r="H146" i="29"/>
  <c r="I146" i="29"/>
  <c r="J146" i="29"/>
  <c r="K146" i="29"/>
  <c r="L146" i="29"/>
  <c r="M146" i="29"/>
  <c r="N146" i="29"/>
  <c r="O146" i="29"/>
  <c r="P146" i="29"/>
  <c r="B147" i="29"/>
  <c r="C147" i="29"/>
  <c r="D147" i="29"/>
  <c r="E147" i="29"/>
  <c r="F147" i="29"/>
  <c r="G147" i="29"/>
  <c r="H147" i="29"/>
  <c r="I147" i="29"/>
  <c r="J147" i="29"/>
  <c r="K147" i="29"/>
  <c r="L147" i="29"/>
  <c r="M147" i="29"/>
  <c r="N147" i="29"/>
  <c r="O147" i="29"/>
  <c r="P147" i="29"/>
  <c r="B148" i="29"/>
  <c r="C148" i="29"/>
  <c r="D148" i="29"/>
  <c r="E148" i="29"/>
  <c r="F148" i="29"/>
  <c r="G148" i="29"/>
  <c r="H148" i="29"/>
  <c r="I148" i="29"/>
  <c r="J148" i="29"/>
  <c r="K148" i="29"/>
  <c r="L148" i="29"/>
  <c r="M148" i="29"/>
  <c r="N148" i="29"/>
  <c r="O148" i="29"/>
  <c r="P148" i="29"/>
  <c r="B149" i="29"/>
  <c r="C149" i="29"/>
  <c r="D149" i="29"/>
  <c r="E149" i="29"/>
  <c r="F149" i="29"/>
  <c r="G149" i="29"/>
  <c r="H149" i="29"/>
  <c r="I149" i="29"/>
  <c r="J149" i="29"/>
  <c r="K149" i="29"/>
  <c r="L149" i="29"/>
  <c r="M149" i="29"/>
  <c r="N149" i="29"/>
  <c r="O149" i="29"/>
  <c r="P149" i="29"/>
  <c r="D2" i="78"/>
  <c r="H2" i="78"/>
  <c r="I2" i="78"/>
  <c r="J2" i="78"/>
  <c r="K2" i="78"/>
  <c r="G2" i="78"/>
  <c r="F2" i="78"/>
  <c r="B88" i="87"/>
  <c r="C88" i="87"/>
  <c r="D88" i="87"/>
  <c r="E88" i="87"/>
  <c r="F88" i="87"/>
  <c r="G88" i="87"/>
  <c r="H88" i="87"/>
  <c r="I88" i="87"/>
  <c r="J88" i="87"/>
  <c r="K88" i="87"/>
  <c r="L88" i="87"/>
  <c r="M88" i="87"/>
  <c r="N88" i="87"/>
  <c r="O88" i="87"/>
  <c r="P88" i="87"/>
  <c r="B91" i="87"/>
  <c r="C91" i="87"/>
  <c r="D91" i="87"/>
  <c r="E91" i="87"/>
  <c r="F91" i="87"/>
  <c r="G91" i="87"/>
  <c r="H91" i="87"/>
  <c r="I91" i="87"/>
  <c r="J91" i="87"/>
  <c r="K91" i="87"/>
  <c r="L91" i="87"/>
  <c r="M91" i="87"/>
  <c r="N91" i="87"/>
  <c r="O91" i="87"/>
  <c r="P91" i="87"/>
  <c r="B95" i="87"/>
  <c r="C95" i="87"/>
  <c r="D95" i="87"/>
  <c r="E95" i="87"/>
  <c r="B98" i="87"/>
  <c r="F95" i="87"/>
  <c r="G95" i="87"/>
  <c r="H95" i="87"/>
  <c r="E98" i="87"/>
  <c r="I95" i="87"/>
  <c r="J95" i="87"/>
  <c r="K95" i="87"/>
  <c r="L95" i="87"/>
  <c r="M95" i="87"/>
  <c r="J98" i="87"/>
  <c r="N95" i="87"/>
  <c r="O95" i="87"/>
  <c r="P95" i="87"/>
  <c r="M98" i="87"/>
  <c r="A1012" i="87"/>
  <c r="B1012" i="87"/>
  <c r="B1013" i="87"/>
  <c r="E443" i="13"/>
  <c r="C453" i="13"/>
  <c r="F534" i="16" a="1"/>
  <c r="F532" i="16" a="1"/>
  <c r="F530" i="16" a="1"/>
  <c r="F528" i="16" a="1"/>
  <c r="Q33" i="13"/>
  <c r="O33" i="13"/>
  <c r="M33" i="13"/>
  <c r="K33" i="13"/>
  <c r="I33" i="13"/>
  <c r="G33" i="13"/>
  <c r="E33" i="13"/>
  <c r="X40" i="13"/>
  <c r="R33" i="13"/>
  <c r="P33" i="13"/>
  <c r="N33" i="13"/>
  <c r="L33" i="13"/>
  <c r="J33" i="13"/>
  <c r="H33" i="13"/>
  <c r="F33" i="13"/>
  <c r="V391" i="25"/>
  <c r="X391" i="25"/>
  <c r="Z391" i="25"/>
  <c r="AB391" i="25"/>
  <c r="AD391" i="25"/>
  <c r="AF391" i="25"/>
  <c r="AH391" i="25"/>
  <c r="AJ391" i="25"/>
  <c r="W391" i="25"/>
  <c r="AA391" i="25"/>
  <c r="AE391" i="25"/>
  <c r="AI391" i="25"/>
  <c r="X383" i="25"/>
  <c r="AF383" i="25"/>
  <c r="AA383" i="25"/>
  <c r="V375" i="25"/>
  <c r="X375" i="25"/>
  <c r="Z375" i="25"/>
  <c r="AB375" i="25"/>
  <c r="AD375" i="25"/>
  <c r="AF375" i="25"/>
  <c r="AH375" i="25"/>
  <c r="AJ375" i="25"/>
  <c r="W375" i="25"/>
  <c r="AA375" i="25"/>
  <c r="AE375" i="25"/>
  <c r="AI375" i="25"/>
  <c r="V395" i="25"/>
  <c r="X395" i="25"/>
  <c r="Z395" i="25"/>
  <c r="AB395" i="25"/>
  <c r="AD395" i="25"/>
  <c r="AF395" i="25"/>
  <c r="AH395" i="25"/>
  <c r="AJ395" i="25"/>
  <c r="W395" i="25"/>
  <c r="AA395" i="25"/>
  <c r="AE395" i="25"/>
  <c r="AI395" i="25"/>
  <c r="AG391" i="25"/>
  <c r="Y391" i="25"/>
  <c r="V387" i="25"/>
  <c r="X387" i="25"/>
  <c r="Z387" i="25"/>
  <c r="AB387" i="25"/>
  <c r="AD387" i="25"/>
  <c r="AF387" i="25"/>
  <c r="AH387" i="25"/>
  <c r="AJ387" i="25"/>
  <c r="W387" i="25"/>
  <c r="AA387" i="25"/>
  <c r="AE387" i="25"/>
  <c r="AI387" i="25"/>
  <c r="X379" i="25"/>
  <c r="AF379" i="25"/>
  <c r="AA379" i="25"/>
  <c r="AG375" i="25"/>
  <c r="Y375" i="25"/>
  <c r="V371" i="25"/>
  <c r="X371" i="25"/>
  <c r="Z371" i="25"/>
  <c r="AB371" i="25"/>
  <c r="AD371" i="25"/>
  <c r="AF371" i="25"/>
  <c r="AH371" i="25"/>
  <c r="AJ371" i="25"/>
  <c r="W371" i="25"/>
  <c r="AA371" i="25"/>
  <c r="AE371" i="25"/>
  <c r="AI371" i="25"/>
  <c r="V393" i="25"/>
  <c r="X393" i="25"/>
  <c r="Z393" i="25"/>
  <c r="AB393" i="25"/>
  <c r="AD393" i="25"/>
  <c r="AF393" i="25"/>
  <c r="AH393" i="25"/>
  <c r="AJ393" i="25"/>
  <c r="V389" i="25"/>
  <c r="X389" i="25"/>
  <c r="Z389" i="25"/>
  <c r="AB389" i="25"/>
  <c r="AD389" i="25"/>
  <c r="AF389" i="25"/>
  <c r="AH389" i="25"/>
  <c r="AJ389" i="25"/>
  <c r="V385" i="25"/>
  <c r="X385" i="25"/>
  <c r="Z385" i="25"/>
  <c r="AB385" i="25"/>
  <c r="AD385" i="25"/>
  <c r="AF385" i="25"/>
  <c r="AH385" i="25"/>
  <c r="AJ385" i="25"/>
  <c r="V381" i="25"/>
  <c r="X381" i="25"/>
  <c r="Z381" i="25"/>
  <c r="AB381" i="25"/>
  <c r="AD381" i="25"/>
  <c r="AF381" i="25"/>
  <c r="AH381" i="25"/>
  <c r="AJ381" i="25"/>
  <c r="V373" i="25"/>
  <c r="X373" i="25"/>
  <c r="Z373" i="25"/>
  <c r="AB373" i="25"/>
  <c r="AD373" i="25"/>
  <c r="AF373" i="25"/>
  <c r="AH373" i="25"/>
  <c r="AJ373" i="25"/>
  <c r="V369" i="25"/>
  <c r="X369" i="25"/>
  <c r="Z369" i="25"/>
  <c r="AB369" i="25"/>
  <c r="AD369" i="25"/>
  <c r="AF369" i="25"/>
  <c r="AH369" i="25"/>
  <c r="AJ369" i="25"/>
  <c r="V368" i="25"/>
  <c r="X368" i="25"/>
  <c r="Z368" i="25"/>
  <c r="AB368" i="25"/>
  <c r="AD368" i="25"/>
  <c r="AF368" i="25"/>
  <c r="AH368" i="25"/>
  <c r="AJ368" i="25"/>
  <c r="B297" i="13"/>
  <c r="B310" i="13"/>
  <c r="B301" i="13"/>
  <c r="B295" i="13"/>
  <c r="B307" i="13"/>
  <c r="B311" i="13"/>
  <c r="B309" i="13"/>
  <c r="B302" i="13"/>
  <c r="B300" i="13"/>
  <c r="B298" i="13"/>
  <c r="B294" i="13"/>
  <c r="B288" i="13"/>
  <c r="B286" i="13"/>
  <c r="B293" i="13"/>
  <c r="B291" i="13"/>
  <c r="B289" i="13"/>
  <c r="B285" i="13"/>
  <c r="B322" i="13"/>
  <c r="B318" i="13"/>
  <c r="B315" i="13"/>
  <c r="B308" i="13"/>
  <c r="B299" i="13"/>
  <c r="B305" i="13"/>
  <c r="B303" i="13"/>
  <c r="B287" i="13"/>
  <c r="B323" i="13"/>
  <c r="B314" i="13"/>
  <c r="B290" i="13"/>
  <c r="B325" i="13"/>
  <c r="B313" i="13"/>
  <c r="B292" i="13"/>
  <c r="B306" i="13"/>
  <c r="B321" i="13"/>
  <c r="B319" i="13"/>
  <c r="B317" i="13"/>
  <c r="L478" i="13"/>
  <c r="P182" i="13"/>
  <c r="AM154" i="165"/>
  <c r="AU154" i="165"/>
  <c r="BA154" i="165"/>
  <c r="AQ154" i="165"/>
  <c r="AV154" i="165"/>
  <c r="AR154" i="165"/>
  <c r="AO49" i="23"/>
  <c r="AO93" i="23"/>
  <c r="H407" i="16"/>
  <c r="H409" i="16"/>
  <c r="H408" i="16"/>
  <c r="AH98" i="13"/>
  <c r="A93" i="13"/>
  <c r="A92" i="13"/>
  <c r="R215" i="13"/>
  <c r="L215" i="13"/>
  <c r="I215" i="13"/>
  <c r="F215" i="13"/>
  <c r="O215" i="13"/>
  <c r="P215" i="13"/>
  <c r="M215" i="13"/>
  <c r="J215" i="13"/>
  <c r="S215" i="13"/>
  <c r="K215" i="13"/>
  <c r="Q215" i="13"/>
  <c r="N215" i="13"/>
  <c r="H215" i="13"/>
  <c r="E215" i="13"/>
  <c r="F478" i="13"/>
  <c r="P197" i="13"/>
  <c r="H511" i="25"/>
  <c r="H507" i="25"/>
  <c r="H503" i="25"/>
  <c r="H499" i="25"/>
  <c r="H495" i="25"/>
  <c r="H491" i="25"/>
  <c r="H487" i="25"/>
  <c r="H483" i="25"/>
  <c r="H479" i="25"/>
  <c r="P196" i="13"/>
  <c r="L197" i="13"/>
  <c r="W59" i="118"/>
  <c r="W61" i="118"/>
  <c r="W63" i="118"/>
  <c r="W65" i="118"/>
  <c r="W67" i="118"/>
  <c r="W69" i="118"/>
  <c r="W71" i="118"/>
  <c r="W73" i="118"/>
  <c r="W75" i="118"/>
  <c r="W77" i="118"/>
  <c r="W79" i="118"/>
  <c r="W81" i="118"/>
  <c r="W83" i="118"/>
  <c r="W85" i="118"/>
  <c r="W87" i="118"/>
  <c r="W89" i="118"/>
  <c r="W91" i="118"/>
  <c r="W93" i="118"/>
  <c r="W95" i="118"/>
  <c r="W97" i="118"/>
  <c r="W99" i="118"/>
  <c r="W101" i="118"/>
  <c r="W103" i="118"/>
  <c r="AD377" i="25"/>
  <c r="AI379" i="25"/>
  <c r="AJ379" i="25"/>
  <c r="AB379" i="25"/>
  <c r="Y383" i="25"/>
  <c r="AI383" i="25"/>
  <c r="AJ383" i="25"/>
  <c r="AB383" i="25"/>
  <c r="G98" i="87"/>
  <c r="BR14" i="16"/>
  <c r="BR32" i="16"/>
  <c r="AU14" i="16"/>
  <c r="AU32" i="16"/>
  <c r="Z394" i="25"/>
  <c r="AH396" i="25"/>
  <c r="AC396" i="25"/>
  <c r="W396" i="25"/>
  <c r="W60" i="118"/>
  <c r="W62" i="118"/>
  <c r="W64" i="118"/>
  <c r="W66" i="118"/>
  <c r="W68" i="118"/>
  <c r="W70" i="118"/>
  <c r="W72" i="118"/>
  <c r="W74" i="118"/>
  <c r="W76" i="118"/>
  <c r="W78" i="118"/>
  <c r="W80" i="118"/>
  <c r="W82" i="118"/>
  <c r="W84" i="118"/>
  <c r="W86" i="118"/>
  <c r="W88" i="118"/>
  <c r="W90" i="118"/>
  <c r="W92" i="118"/>
  <c r="W94" i="118"/>
  <c r="W96" i="118"/>
  <c r="W98" i="118"/>
  <c r="W100" i="118"/>
  <c r="W102" i="118"/>
  <c r="W104" i="118"/>
  <c r="AE396" i="25"/>
  <c r="AE379" i="25"/>
  <c r="AH379" i="25"/>
  <c r="Z379" i="25"/>
  <c r="AG383" i="25"/>
  <c r="AE383" i="25"/>
  <c r="AH383" i="25"/>
  <c r="Z383" i="25"/>
  <c r="A4" i="2"/>
  <c r="A5" i="2"/>
  <c r="A9" i="2"/>
  <c r="B4" i="2"/>
  <c r="B8" i="2"/>
  <c r="C3" i="2"/>
  <c r="A33" i="52"/>
  <c r="A34" i="52"/>
  <c r="CG14" i="16"/>
  <c r="CG32" i="16"/>
  <c r="BY14" i="16"/>
  <c r="BY32" i="16"/>
  <c r="BN14" i="16"/>
  <c r="BN32" i="16"/>
  <c r="AX14" i="16"/>
  <c r="AX32" i="16"/>
  <c r="G490" i="13"/>
  <c r="AH394" i="25"/>
  <c r="Y394" i="25"/>
  <c r="AC382" i="25"/>
  <c r="AG396" i="25"/>
  <c r="AA396" i="25"/>
  <c r="V396" i="25"/>
  <c r="I73" i="145"/>
  <c r="Z396" i="25"/>
  <c r="W379" i="25"/>
  <c r="AD379" i="25"/>
  <c r="V379" i="25"/>
  <c r="W383" i="25"/>
  <c r="AD383" i="25"/>
  <c r="V383" i="25"/>
  <c r="I98" i="87"/>
  <c r="K492" i="13"/>
  <c r="H490" i="13"/>
  <c r="AC394" i="25"/>
  <c r="AE393" i="25"/>
  <c r="AI390" i="25"/>
  <c r="AE390" i="25"/>
  <c r="AA390" i="25"/>
  <c r="AG389" i="25"/>
  <c r="AI388" i="25"/>
  <c r="AE388" i="25"/>
  <c r="AA388" i="25"/>
  <c r="AI386" i="25"/>
  <c r="AE386" i="25"/>
  <c r="AA386" i="25"/>
  <c r="AG385" i="25"/>
  <c r="AI384" i="25"/>
  <c r="AE384" i="25"/>
  <c r="AA384" i="25"/>
  <c r="AH382" i="25"/>
  <c r="Y382" i="25"/>
  <c r="Z380" i="25"/>
  <c r="AD378" i="25"/>
  <c r="AI374" i="25"/>
  <c r="AE374" i="25"/>
  <c r="AA374" i="25"/>
  <c r="AG373" i="25"/>
  <c r="AI372" i="25"/>
  <c r="AE372" i="25"/>
  <c r="AA372" i="25"/>
  <c r="AI370" i="25"/>
  <c r="AE370" i="25"/>
  <c r="AA370" i="25"/>
  <c r="AG369" i="25"/>
  <c r="AG368" i="25"/>
  <c r="Y368" i="25"/>
  <c r="AI396" i="25"/>
  <c r="AD396" i="25"/>
  <c r="Y396" i="25"/>
  <c r="A250" i="52"/>
  <c r="H65" i="128"/>
  <c r="G65" i="128"/>
  <c r="P192" i="13"/>
  <c r="P187" i="13"/>
  <c r="H478" i="13"/>
  <c r="L202" i="13"/>
  <c r="D614" i="16"/>
  <c r="W7" i="145"/>
  <c r="S7" i="145"/>
  <c r="O7" i="145"/>
  <c r="J7" i="145"/>
  <c r="U7" i="145"/>
  <c r="Q7" i="145"/>
  <c r="L7" i="145"/>
  <c r="V7" i="145"/>
  <c r="N7" i="145"/>
  <c r="C107" i="135"/>
  <c r="C115" i="135"/>
  <c r="C122" i="135"/>
  <c r="C27" i="135"/>
  <c r="C34" i="135"/>
  <c r="T23" i="135"/>
  <c r="AK23" i="135"/>
  <c r="A57" i="145"/>
  <c r="I58" i="145"/>
  <c r="A58" i="145"/>
  <c r="T24" i="135"/>
  <c r="AK24" i="135"/>
  <c r="I61" i="145"/>
  <c r="A61" i="145"/>
  <c r="I62" i="145"/>
  <c r="T21" i="135"/>
  <c r="AK21" i="135"/>
  <c r="C106" i="135"/>
  <c r="C114" i="135"/>
  <c r="C121" i="135"/>
  <c r="I59" i="145"/>
  <c r="BZ14" i="16"/>
  <c r="BZ32" i="16"/>
  <c r="BW14" i="16"/>
  <c r="BW32" i="16"/>
  <c r="AY14" i="16"/>
  <c r="AY32" i="16"/>
  <c r="F529" i="16" a="1"/>
  <c r="F529" i="16"/>
  <c r="F533" i="16" a="1"/>
  <c r="D640" i="16"/>
  <c r="CF14" i="16"/>
  <c r="CF32" i="16"/>
  <c r="AO14" i="16"/>
  <c r="AO32" i="16"/>
  <c r="AQ14" i="16"/>
  <c r="AQ32" i="16"/>
  <c r="CA14" i="16"/>
  <c r="CA32" i="16"/>
  <c r="BU14" i="16"/>
  <c r="BU32" i="16"/>
  <c r="BK14" i="16"/>
  <c r="BK32" i="16"/>
  <c r="BG14" i="16"/>
  <c r="BG32" i="16"/>
  <c r="BD14" i="16"/>
  <c r="BD32" i="16"/>
  <c r="AZ14" i="16"/>
  <c r="AZ32" i="16"/>
  <c r="AM14" i="16"/>
  <c r="AM32" i="16"/>
  <c r="AK14" i="16"/>
  <c r="AK32" i="16"/>
  <c r="P188" i="13"/>
  <c r="P193" i="13"/>
  <c r="Q478" i="13"/>
  <c r="P190" i="13"/>
  <c r="P176" i="13"/>
  <c r="L168" i="13"/>
  <c r="L196" i="13"/>
  <c r="H197" i="13"/>
  <c r="H185" i="13"/>
  <c r="P200" i="13"/>
  <c r="BJ3" i="13"/>
  <c r="L186" i="13"/>
  <c r="AD10" i="145"/>
  <c r="C29" i="135"/>
  <c r="C36" i="135"/>
  <c r="A60" i="145"/>
  <c r="C109" i="135"/>
  <c r="C117" i="135"/>
  <c r="C124" i="135"/>
  <c r="T25" i="135"/>
  <c r="AK25" i="135"/>
  <c r="C26" i="135"/>
  <c r="C33" i="135"/>
  <c r="C110" i="135"/>
  <c r="C118" i="135"/>
  <c r="C125" i="135"/>
  <c r="L193" i="13"/>
  <c r="L181" i="13"/>
  <c r="P169" i="13"/>
  <c r="I478" i="13"/>
  <c r="BA65" i="16"/>
  <c r="BB65" i="16"/>
  <c r="H168" i="13"/>
  <c r="AS155" i="165"/>
  <c r="AX155" i="165"/>
  <c r="AP155" i="165"/>
  <c r="AR155" i="165"/>
  <c r="K126" i="165"/>
  <c r="J158" i="165"/>
  <c r="L169" i="13"/>
  <c r="AZ155" i="165"/>
  <c r="AV155" i="165"/>
  <c r="AN155" i="165"/>
  <c r="AZ154" i="165"/>
  <c r="AU155" i="165"/>
  <c r="AM155" i="165"/>
  <c r="BB155" i="165"/>
  <c r="AT155" i="165"/>
  <c r="AA155" i="165"/>
  <c r="AX154" i="165"/>
  <c r="AT154" i="165"/>
  <c r="AP154" i="165"/>
  <c r="BB154" i="165"/>
  <c r="AN154" i="165"/>
  <c r="AY155" i="165"/>
  <c r="AQ155" i="165"/>
  <c r="AY154" i="165"/>
  <c r="K17" i="74"/>
  <c r="BA155" i="165"/>
  <c r="AW155" i="165"/>
  <c r="AO155" i="165"/>
  <c r="AW154" i="165"/>
  <c r="AS154" i="165"/>
  <c r="AO154" i="165"/>
  <c r="K145" i="165"/>
  <c r="J177" i="165"/>
  <c r="M129" i="165"/>
  <c r="L161" i="165"/>
  <c r="L131" i="165"/>
  <c r="K163" i="165"/>
  <c r="L124" i="165"/>
  <c r="K156" i="165"/>
  <c r="K140" i="165"/>
  <c r="J172" i="165"/>
  <c r="K134" i="165"/>
  <c r="J166" i="165"/>
  <c r="K146" i="165"/>
  <c r="J178" i="165"/>
  <c r="L127" i="165"/>
  <c r="K159" i="165"/>
  <c r="K176" i="165"/>
  <c r="L80" i="165"/>
  <c r="K123" i="165"/>
  <c r="J155" i="165"/>
  <c r="L125" i="165"/>
  <c r="K157" i="165"/>
  <c r="L132" i="165"/>
  <c r="K164" i="165"/>
  <c r="K143" i="165"/>
  <c r="J175" i="165"/>
  <c r="L135" i="165"/>
  <c r="K167" i="165"/>
  <c r="I181" i="165"/>
  <c r="J85" i="165"/>
  <c r="P63" i="165"/>
  <c r="L147" i="165"/>
  <c r="K179" i="165"/>
  <c r="L133" i="165"/>
  <c r="K165" i="165"/>
  <c r="L136" i="165"/>
  <c r="K168" i="165"/>
  <c r="M122" i="165"/>
  <c r="L154" i="165"/>
  <c r="K128" i="165"/>
  <c r="J160" i="165"/>
  <c r="K139" i="165"/>
  <c r="J171" i="165"/>
  <c r="K138" i="165"/>
  <c r="J170" i="165"/>
  <c r="L137" i="165"/>
  <c r="K169" i="165"/>
  <c r="L130" i="165"/>
  <c r="K162" i="165"/>
  <c r="K173" i="165"/>
  <c r="L77" i="165"/>
  <c r="M78" i="165"/>
  <c r="L174" i="165"/>
  <c r="N79" i="165"/>
  <c r="P73" i="165"/>
  <c r="P66" i="165"/>
  <c r="O83" i="165"/>
  <c r="P59" i="165"/>
  <c r="O74" i="165"/>
  <c r="P75" i="165"/>
  <c r="N81" i="165"/>
  <c r="M84" i="165"/>
  <c r="L180" i="165"/>
  <c r="P62" i="165"/>
  <c r="M82" i="165"/>
  <c r="P68" i="165"/>
  <c r="O64" i="165"/>
  <c r="O72" i="165"/>
  <c r="P70" i="165"/>
  <c r="O67" i="165"/>
  <c r="P61" i="165"/>
  <c r="P65" i="165"/>
  <c r="P69" i="165"/>
  <c r="L86" i="165"/>
  <c r="K182" i="165"/>
  <c r="P60" i="165"/>
  <c r="P58" i="165"/>
  <c r="M76" i="165"/>
  <c r="P171" i="13"/>
  <c r="AI88" i="13"/>
  <c r="AI95" i="13"/>
  <c r="P201" i="13"/>
  <c r="L194" i="13"/>
  <c r="H188" i="13"/>
  <c r="L188" i="13"/>
  <c r="G475" i="25"/>
  <c r="L17" i="74"/>
  <c r="H182" i="13"/>
  <c r="H170" i="13"/>
  <c r="H200" i="13"/>
  <c r="P170" i="13"/>
  <c r="L201" i="13"/>
  <c r="L200" i="13"/>
  <c r="L182" i="13"/>
  <c r="L170" i="13"/>
  <c r="O16" i="74"/>
  <c r="H17" i="74"/>
  <c r="P17" i="74"/>
  <c r="H2" i="128"/>
  <c r="G17" i="74"/>
  <c r="AV30" i="118"/>
  <c r="AR30" i="118"/>
  <c r="AT9" i="118"/>
  <c r="J16" i="74"/>
  <c r="N17" i="74"/>
  <c r="F17" i="74"/>
  <c r="Q16" i="74"/>
  <c r="M16" i="74"/>
  <c r="I16" i="74"/>
  <c r="E17" i="74"/>
  <c r="P174" i="13"/>
  <c r="E478" i="13"/>
  <c r="P183" i="13"/>
  <c r="H201" i="13"/>
  <c r="AE171" i="25"/>
  <c r="L174" i="13"/>
  <c r="Z187" i="25"/>
  <c r="BJ49" i="23"/>
  <c r="BH49" i="23"/>
  <c r="AI72" i="13"/>
  <c r="J516" i="16"/>
  <c r="E604" i="16"/>
  <c r="R144" i="135"/>
  <c r="AE10" i="145"/>
  <c r="I10" i="29"/>
  <c r="W10" i="29"/>
  <c r="BS51" i="118"/>
  <c r="P173" i="13"/>
  <c r="V31" i="16"/>
  <c r="V27" i="16"/>
  <c r="L191" i="13"/>
  <c r="L172" i="13"/>
  <c r="P191" i="13"/>
  <c r="P172" i="13"/>
  <c r="H203" i="13"/>
  <c r="O166" i="13"/>
  <c r="K166" i="13"/>
  <c r="R166" i="13"/>
  <c r="J166" i="13"/>
  <c r="L187" i="13"/>
  <c r="H173" i="13"/>
  <c r="Q166" i="13"/>
  <c r="M166" i="13"/>
  <c r="I166" i="13"/>
  <c r="E166" i="13"/>
  <c r="S166" i="13"/>
  <c r="G166" i="13"/>
  <c r="N166" i="13"/>
  <c r="F166" i="13"/>
  <c r="H192" i="13"/>
  <c r="H186" i="13"/>
  <c r="H181" i="13"/>
  <c r="P166" i="13"/>
  <c r="L166" i="13"/>
  <c r="H166" i="13"/>
  <c r="V29" i="135"/>
  <c r="W29" i="135"/>
  <c r="X29" i="135"/>
  <c r="Y29" i="135"/>
  <c r="Z29" i="135"/>
  <c r="AA29" i="135"/>
  <c r="AB29" i="135"/>
  <c r="AC29" i="135"/>
  <c r="AD29" i="135"/>
  <c r="AE29" i="135"/>
  <c r="AF29" i="135"/>
  <c r="AG29" i="135"/>
  <c r="AH29" i="135"/>
  <c r="AI29" i="135"/>
  <c r="AJ29" i="135"/>
  <c r="AK29" i="135"/>
  <c r="X179" i="25"/>
  <c r="I204" i="16"/>
  <c r="AJ167" i="25"/>
  <c r="AO64" i="16"/>
  <c r="AD191" i="25"/>
  <c r="BE48" i="23"/>
  <c r="BA48" i="23"/>
  <c r="BI49" i="23"/>
  <c r="BC48" i="23"/>
  <c r="BD48" i="23"/>
  <c r="AZ48" i="23"/>
  <c r="BF48" i="23"/>
  <c r="BB48" i="23"/>
  <c r="K7" i="145"/>
  <c r="H178" i="13"/>
  <c r="I116" i="16"/>
  <c r="H370" i="16"/>
  <c r="P370" i="16"/>
  <c r="J370" i="16"/>
  <c r="H174" i="13"/>
  <c r="AV6" i="118"/>
  <c r="H191" i="13"/>
  <c r="AJ29" i="13"/>
  <c r="H172" i="13"/>
  <c r="AX24" i="118"/>
  <c r="V19" i="16"/>
  <c r="AI41" i="145"/>
  <c r="P175" i="13"/>
  <c r="L176" i="13"/>
  <c r="H380" i="16"/>
  <c r="O380" i="16"/>
  <c r="I380" i="16"/>
  <c r="I129" i="16"/>
  <c r="I103" i="16"/>
  <c r="P180" i="13"/>
  <c r="AY26" i="118"/>
  <c r="AB60" i="16"/>
  <c r="AM25" i="145"/>
  <c r="AS7" i="118"/>
  <c r="AX132" i="13"/>
  <c r="AO21" i="118"/>
  <c r="V182" i="25"/>
  <c r="AL28" i="118"/>
  <c r="AN30" i="118"/>
  <c r="H369" i="16"/>
  <c r="P369" i="16"/>
  <c r="J369" i="16"/>
  <c r="AT28" i="118"/>
  <c r="AO44" i="118"/>
  <c r="AS40" i="118"/>
  <c r="AW9" i="118"/>
  <c r="I201" i="16"/>
  <c r="AI80" i="13"/>
  <c r="AI76" i="13"/>
  <c r="AI60" i="13"/>
  <c r="G505" i="25"/>
  <c r="G501" i="25"/>
  <c r="G477" i="25"/>
  <c r="BA7" i="118"/>
  <c r="F605" i="16"/>
  <c r="AN132" i="13"/>
  <c r="AS49" i="118"/>
  <c r="Z192" i="25"/>
  <c r="AW19" i="118"/>
  <c r="AW11" i="118"/>
  <c r="AS11" i="118"/>
  <c r="K543" i="16"/>
  <c r="I189" i="16"/>
  <c r="I177" i="16"/>
  <c r="T50" i="16"/>
  <c r="U47" i="16"/>
  <c r="U45" i="16"/>
  <c r="T44" i="16"/>
  <c r="U30" i="16"/>
  <c r="U25" i="16"/>
  <c r="X175" i="25"/>
  <c r="AH191" i="25"/>
  <c r="AK47" i="118"/>
  <c r="H176" i="13"/>
  <c r="F512" i="25"/>
  <c r="F472" i="25"/>
  <c r="AH17" i="145"/>
  <c r="BN24" i="118"/>
  <c r="J110" i="16"/>
  <c r="V191" i="25"/>
  <c r="AD171" i="25"/>
  <c r="Y175" i="25"/>
  <c r="X191" i="25"/>
  <c r="G142" i="16"/>
  <c r="AO66" i="16"/>
  <c r="BB5" i="118"/>
  <c r="AO49" i="118"/>
  <c r="AO68" i="16"/>
  <c r="AO45" i="118"/>
  <c r="AI58" i="13"/>
  <c r="AV20" i="118"/>
  <c r="V32" i="16"/>
  <c r="V14" i="16"/>
  <c r="V8" i="16"/>
  <c r="I174" i="13"/>
  <c r="J148" i="16"/>
  <c r="I146" i="16"/>
  <c r="AA38" i="16"/>
  <c r="AB34" i="16"/>
  <c r="J130" i="16"/>
  <c r="I126" i="16"/>
  <c r="I124" i="16"/>
  <c r="AA24" i="16"/>
  <c r="I120" i="16"/>
  <c r="AA20" i="16"/>
  <c r="J116" i="16"/>
  <c r="I114" i="16"/>
  <c r="I112" i="16"/>
  <c r="J108" i="16"/>
  <c r="J106" i="16"/>
  <c r="I104" i="16"/>
  <c r="I102" i="16"/>
  <c r="AB25" i="145"/>
  <c r="AC41" i="145"/>
  <c r="P184" i="13"/>
  <c r="L183" i="13"/>
  <c r="F471" i="25"/>
  <c r="AR10" i="118"/>
  <c r="AM23" i="118"/>
  <c r="AT24" i="118"/>
  <c r="AN15" i="118"/>
  <c r="J112" i="16"/>
  <c r="J118" i="16"/>
  <c r="AR22" i="118"/>
  <c r="AL9" i="118"/>
  <c r="AR6" i="118"/>
  <c r="AF33" i="145"/>
  <c r="AN10" i="118"/>
  <c r="AU47" i="118"/>
  <c r="AQ16" i="118"/>
  <c r="I108" i="16"/>
  <c r="J136" i="16"/>
  <c r="H141" i="16"/>
  <c r="AP4" i="118"/>
  <c r="BA47" i="118"/>
  <c r="Y182" i="25"/>
  <c r="Z31" i="16"/>
  <c r="AB31" i="16"/>
  <c r="AX19" i="118"/>
  <c r="AT19" i="118"/>
  <c r="U28" i="16"/>
  <c r="U23" i="16"/>
  <c r="U22" i="16"/>
  <c r="AI17" i="145"/>
  <c r="Q46" i="87"/>
  <c r="N178" i="13"/>
  <c r="R172" i="13"/>
  <c r="AO9" i="118"/>
  <c r="AS9" i="118"/>
  <c r="AS17" i="118"/>
  <c r="BI11" i="118"/>
  <c r="AT35" i="118"/>
  <c r="AN6" i="118"/>
  <c r="AJ188" i="25"/>
  <c r="AB190" i="25"/>
  <c r="Q202" i="13"/>
  <c r="I202" i="13"/>
  <c r="Q197" i="13"/>
  <c r="K189" i="13"/>
  <c r="I185" i="13"/>
  <c r="I180" i="13"/>
  <c r="S179" i="13"/>
  <c r="Q176" i="13"/>
  <c r="Q172" i="13"/>
  <c r="M168" i="13"/>
  <c r="I168" i="13"/>
  <c r="BB116" i="23"/>
  <c r="BA115" i="23"/>
  <c r="BD114" i="23"/>
  <c r="BF112" i="23"/>
  <c r="BB112" i="23"/>
  <c r="BA111" i="23"/>
  <c r="BC109" i="23"/>
  <c r="AZ88" i="23"/>
  <c r="BE85" i="23"/>
  <c r="G489" i="25"/>
  <c r="G485" i="25"/>
  <c r="AM26" i="118"/>
  <c r="W176" i="25"/>
  <c r="AL34" i="118"/>
  <c r="Q201" i="13"/>
  <c r="Q199" i="13"/>
  <c r="E194" i="13"/>
  <c r="Q188" i="13"/>
  <c r="Q182" i="13"/>
  <c r="K177" i="13"/>
  <c r="G176" i="13"/>
  <c r="Q174" i="13"/>
  <c r="M174" i="13"/>
  <c r="E174" i="13"/>
  <c r="Q170" i="13"/>
  <c r="M170" i="13"/>
  <c r="I170" i="13"/>
  <c r="E170" i="13"/>
  <c r="O169" i="13"/>
  <c r="H199" i="13"/>
  <c r="H198" i="13"/>
  <c r="H193" i="13"/>
  <c r="H187" i="13"/>
  <c r="H177" i="13"/>
  <c r="L173" i="13"/>
  <c r="X186" i="25"/>
  <c r="V186" i="25"/>
  <c r="AC186" i="25"/>
  <c r="V178" i="25"/>
  <c r="Y178" i="25"/>
  <c r="X178" i="25"/>
  <c r="AI170" i="25"/>
  <c r="V170" i="25"/>
  <c r="AG170" i="25"/>
  <c r="AH170" i="25"/>
  <c r="AE170" i="25"/>
  <c r="AX34" i="118"/>
  <c r="AT22" i="118"/>
  <c r="AO43" i="118"/>
  <c r="AI174" i="25"/>
  <c r="Y186" i="25"/>
  <c r="AH178" i="25"/>
  <c r="AJ190" i="25"/>
  <c r="AG182" i="25"/>
  <c r="W190" i="25"/>
  <c r="AL22" i="118"/>
  <c r="S478" i="16"/>
  <c r="AV138" i="13"/>
  <c r="AQ138" i="13"/>
  <c r="AW126" i="13"/>
  <c r="AY126" i="13"/>
  <c r="AM126" i="13"/>
  <c r="O177" i="13"/>
  <c r="AS126" i="13"/>
  <c r="AU45" i="118"/>
  <c r="AS27" i="118"/>
  <c r="AR8" i="118"/>
  <c r="AC174" i="25"/>
  <c r="AH190" i="25"/>
  <c r="V174" i="25"/>
  <c r="Y190" i="25"/>
  <c r="AF186" i="25"/>
  <c r="AO126" i="13"/>
  <c r="AP126" i="13"/>
  <c r="AR126" i="13"/>
  <c r="AG178" i="25"/>
  <c r="AH186" i="25"/>
  <c r="AH174" i="25"/>
  <c r="BQ44" i="118"/>
  <c r="D159" i="118"/>
  <c r="AK29" i="118"/>
  <c r="BA29" i="118"/>
  <c r="BF19" i="118"/>
  <c r="AP19" i="118"/>
  <c r="AC190" i="25"/>
  <c r="AF190" i="25"/>
  <c r="V190" i="25"/>
  <c r="AI190" i="25"/>
  <c r="AB182" i="25"/>
  <c r="AE182" i="25"/>
  <c r="AH182" i="25"/>
  <c r="AC182" i="25"/>
  <c r="W174" i="25"/>
  <c r="AB174" i="25"/>
  <c r="BJ13" i="118"/>
  <c r="AT13" i="118"/>
  <c r="C149" i="13"/>
  <c r="Q209" i="13"/>
  <c r="J203" i="13"/>
  <c r="K201" i="13"/>
  <c r="S200" i="13"/>
  <c r="O200" i="13"/>
  <c r="E196" i="13"/>
  <c r="K194" i="13"/>
  <c r="R192" i="13"/>
  <c r="M190" i="13"/>
  <c r="S188" i="13"/>
  <c r="I110" i="16"/>
  <c r="Z12" i="16"/>
  <c r="AA12" i="16"/>
  <c r="H390" i="16"/>
  <c r="P390" i="16"/>
  <c r="J390" i="16"/>
  <c r="H362" i="16"/>
  <c r="P362" i="16"/>
  <c r="J362" i="16"/>
  <c r="AM16" i="118"/>
  <c r="AO23" i="118"/>
  <c r="AW27" i="118"/>
  <c r="AT48" i="118"/>
  <c r="AC472" i="16"/>
  <c r="BC37" i="23"/>
  <c r="AO53" i="145"/>
  <c r="AI53" i="145"/>
  <c r="AG49" i="145"/>
  <c r="AH49" i="145"/>
  <c r="AK45" i="145"/>
  <c r="AE45" i="145"/>
  <c r="AG37" i="145"/>
  <c r="AB37" i="145"/>
  <c r="AA37" i="145"/>
  <c r="AO29" i="145"/>
  <c r="AN29" i="145"/>
  <c r="AD29" i="145"/>
  <c r="AK21" i="145"/>
  <c r="AJ21" i="145"/>
  <c r="AG13" i="145"/>
  <c r="AM13" i="145"/>
  <c r="AF13" i="145"/>
  <c r="R187" i="13"/>
  <c r="I184" i="13"/>
  <c r="M183" i="13"/>
  <c r="G182" i="13"/>
  <c r="O178" i="13"/>
  <c r="K178" i="13"/>
  <c r="R177" i="13"/>
  <c r="F177" i="13"/>
  <c r="M175" i="13"/>
  <c r="S174" i="13"/>
  <c r="O174" i="13"/>
  <c r="K174" i="13"/>
  <c r="G174" i="13"/>
  <c r="R173" i="13"/>
  <c r="N173" i="13"/>
  <c r="F173" i="13"/>
  <c r="O170" i="13"/>
  <c r="K170" i="13"/>
  <c r="G170" i="13"/>
  <c r="R169" i="13"/>
  <c r="N169" i="13"/>
  <c r="J169" i="13"/>
  <c r="F169" i="13"/>
  <c r="N102" i="13"/>
  <c r="A76" i="13"/>
  <c r="BC47" i="23"/>
  <c r="BF46" i="23"/>
  <c r="BA44" i="23"/>
  <c r="BB41" i="23"/>
  <c r="BE40" i="23"/>
  <c r="AZ39" i="23"/>
  <c r="BF37" i="23"/>
  <c r="BE36" i="23"/>
  <c r="BA36" i="23"/>
  <c r="F505" i="25"/>
  <c r="F489" i="25"/>
  <c r="F473" i="25"/>
  <c r="D50" i="25"/>
  <c r="F585" i="16"/>
  <c r="E575" i="16"/>
  <c r="H399" i="16"/>
  <c r="P399" i="16"/>
  <c r="AW26" i="118"/>
  <c r="AQ27" i="118"/>
  <c r="AU27" i="118"/>
  <c r="AU29" i="118"/>
  <c r="AQ37" i="118"/>
  <c r="AR44" i="118"/>
  <c r="AV46" i="118"/>
  <c r="AT47" i="118"/>
  <c r="J191" i="13"/>
  <c r="J176" i="13"/>
  <c r="R174" i="13"/>
  <c r="N174" i="13"/>
  <c r="J170" i="13"/>
  <c r="F170" i="13"/>
  <c r="AI82" i="13"/>
  <c r="H196" i="13"/>
  <c r="L184" i="13"/>
  <c r="H179" i="13"/>
  <c r="H486" i="25"/>
  <c r="H510" i="25"/>
  <c r="Z39" i="16"/>
  <c r="I137" i="16"/>
  <c r="Z33" i="16"/>
  <c r="I131" i="16"/>
  <c r="Z21" i="16"/>
  <c r="AB21" i="16"/>
  <c r="J119" i="16"/>
  <c r="I119" i="16"/>
  <c r="J117" i="16"/>
  <c r="Z19" i="16"/>
  <c r="Z9" i="16"/>
  <c r="AA9" i="16"/>
  <c r="I107" i="16"/>
  <c r="Z5" i="16"/>
  <c r="AA5" i="16"/>
  <c r="J103" i="16"/>
  <c r="J129" i="16"/>
  <c r="J190" i="13"/>
  <c r="J480" i="16"/>
  <c r="BU29" i="118"/>
  <c r="AP49" i="118"/>
  <c r="BF49" i="118"/>
  <c r="BK48" i="118"/>
  <c r="AU48" i="118"/>
  <c r="BI46" i="118"/>
  <c r="AS46" i="118"/>
  <c r="BE46" i="118"/>
  <c r="AO46" i="118"/>
  <c r="BM42" i="118"/>
  <c r="AW42" i="118"/>
  <c r="BF41" i="118"/>
  <c r="AP41" i="118"/>
  <c r="BB41" i="118"/>
  <c r="BA40" i="118"/>
  <c r="BE38" i="118"/>
  <c r="AO38" i="118"/>
  <c r="BN37" i="118"/>
  <c r="AX37" i="118"/>
  <c r="BJ37" i="118"/>
  <c r="AT37" i="118"/>
  <c r="BF33" i="118"/>
  <c r="AP33" i="118"/>
  <c r="AU32" i="118"/>
  <c r="BK32" i="118"/>
  <c r="BH31" i="118"/>
  <c r="AR31" i="118"/>
  <c r="BD31" i="118"/>
  <c r="AN31" i="118"/>
  <c r="BN29" i="118"/>
  <c r="AX29" i="118"/>
  <c r="BF29" i="118"/>
  <c r="AP29" i="118"/>
  <c r="BL8" i="118"/>
  <c r="AV8" i="118"/>
  <c r="BD8" i="118"/>
  <c r="AN8" i="118"/>
  <c r="L452" i="13"/>
  <c r="O452" i="13"/>
  <c r="Q452" i="13"/>
  <c r="L195" i="13"/>
  <c r="H189" i="13"/>
  <c r="L171" i="13"/>
  <c r="Z49" i="16"/>
  <c r="H147" i="16"/>
  <c r="Z45" i="16"/>
  <c r="J143" i="16"/>
  <c r="Z27" i="16"/>
  <c r="I125" i="16"/>
  <c r="J125" i="16"/>
  <c r="Z17" i="16"/>
  <c r="I115" i="16"/>
  <c r="O173" i="13"/>
  <c r="S173" i="13"/>
  <c r="G169" i="13"/>
  <c r="K169" i="13"/>
  <c r="F474" i="25"/>
  <c r="F478" i="25"/>
  <c r="F500" i="25"/>
  <c r="F496" i="25"/>
  <c r="Y191" i="25"/>
  <c r="AF191" i="25"/>
  <c r="AG191" i="25"/>
  <c r="X187" i="25"/>
  <c r="Y187" i="25"/>
  <c r="AH187" i="25"/>
  <c r="AE187" i="25"/>
  <c r="AI187" i="25"/>
  <c r="X183" i="25"/>
  <c r="Z183" i="25"/>
  <c r="AF183" i="25"/>
  <c r="AA183" i="25"/>
  <c r="W183" i="25"/>
  <c r="AB183" i="25"/>
  <c r="AH179" i="25"/>
  <c r="W179" i="25"/>
  <c r="AF179" i="25"/>
  <c r="AG179" i="25"/>
  <c r="AD179" i="25"/>
  <c r="AI175" i="25"/>
  <c r="AA175" i="25"/>
  <c r="W175" i="25"/>
  <c r="Z175" i="25"/>
  <c r="AF175" i="25"/>
  <c r="AC171" i="25"/>
  <c r="AI171" i="25"/>
  <c r="V171" i="25"/>
  <c r="AJ171" i="25"/>
  <c r="AF167" i="25"/>
  <c r="AC167" i="25"/>
  <c r="Z167" i="25"/>
  <c r="AG167" i="25"/>
  <c r="X167" i="25"/>
  <c r="E563" i="16"/>
  <c r="E593" i="16"/>
  <c r="J511" i="16"/>
  <c r="AM36" i="118"/>
  <c r="AQ36" i="118"/>
  <c r="J114" i="16"/>
  <c r="H365" i="16"/>
  <c r="H398" i="16"/>
  <c r="Z22" i="16"/>
  <c r="AC22" i="16"/>
  <c r="J144" i="16"/>
  <c r="AI167" i="25"/>
  <c r="AH175" i="25"/>
  <c r="AA179" i="25"/>
  <c r="AH183" i="25"/>
  <c r="AG187" i="25"/>
  <c r="F470" i="25"/>
  <c r="S169" i="13"/>
  <c r="K173" i="13"/>
  <c r="AF171" i="25"/>
  <c r="BI24" i="118"/>
  <c r="AS24" i="118"/>
  <c r="BE13" i="118"/>
  <c r="AO13" i="118"/>
  <c r="BO35" i="118"/>
  <c r="S481" i="16"/>
  <c r="AC475" i="16"/>
  <c r="S480" i="16"/>
  <c r="AQ33" i="118"/>
  <c r="AD472" i="16"/>
  <c r="I217" i="16"/>
  <c r="I181" i="16"/>
  <c r="U31" i="16"/>
  <c r="T27" i="16"/>
  <c r="Q203" i="13"/>
  <c r="I203" i="13"/>
  <c r="E203" i="13"/>
  <c r="Q187" i="13"/>
  <c r="M187" i="13"/>
  <c r="I173" i="13"/>
  <c r="G172" i="13"/>
  <c r="M169" i="13"/>
  <c r="BE82" i="23"/>
  <c r="F510" i="25"/>
  <c r="J147" i="16"/>
  <c r="I139" i="16"/>
  <c r="J127" i="16"/>
  <c r="J123" i="16"/>
  <c r="I113" i="16"/>
  <c r="I109" i="16"/>
  <c r="H376" i="16"/>
  <c r="O376" i="16"/>
  <c r="I376" i="16"/>
  <c r="F528" i="16"/>
  <c r="AX8" i="118"/>
  <c r="AP24" i="118"/>
  <c r="AT26" i="118"/>
  <c r="AV31" i="118"/>
  <c r="AM47" i="118"/>
  <c r="BM40" i="118"/>
  <c r="AW40" i="118"/>
  <c r="H190" i="13"/>
  <c r="H184" i="13"/>
  <c r="AG193" i="25"/>
  <c r="AF193" i="25"/>
  <c r="AD193" i="25"/>
  <c r="AH193" i="25"/>
  <c r="AH189" i="25"/>
  <c r="AJ189" i="25"/>
  <c r="AA189" i="25"/>
  <c r="AJ181" i="25"/>
  <c r="AA181" i="25"/>
  <c r="AE181" i="25"/>
  <c r="AC177" i="25"/>
  <c r="X177" i="25"/>
  <c r="AA177" i="25"/>
  <c r="AB177" i="25"/>
  <c r="AA173" i="25"/>
  <c r="AG173" i="25"/>
  <c r="AH136" i="25"/>
  <c r="AC136" i="25"/>
  <c r="AQ30" i="118"/>
  <c r="AX35" i="118"/>
  <c r="AA136" i="25"/>
  <c r="AG189" i="25"/>
  <c r="BL48" i="118"/>
  <c r="AV48" i="118"/>
  <c r="K202" i="13"/>
  <c r="O202" i="13"/>
  <c r="S202" i="13"/>
  <c r="BA135" i="13"/>
  <c r="AQ135" i="13"/>
  <c r="AZ129" i="13"/>
  <c r="AY129" i="13"/>
  <c r="AN129" i="13"/>
  <c r="AU129" i="13"/>
  <c r="AU123" i="13"/>
  <c r="AY123" i="13"/>
  <c r="J172" i="13"/>
  <c r="BB35" i="118"/>
  <c r="AW36" i="118"/>
  <c r="AU42" i="118"/>
  <c r="V136" i="25"/>
  <c r="AE169" i="25"/>
  <c r="X173" i="25"/>
  <c r="AB185" i="25"/>
  <c r="X189" i="25"/>
  <c r="AO123" i="13"/>
  <c r="BB45" i="23"/>
  <c r="AP35" i="118"/>
  <c r="AX43" i="118"/>
  <c r="AP39" i="118"/>
  <c r="AM45" i="118"/>
  <c r="AO40" i="118"/>
  <c r="AS47" i="118"/>
  <c r="J107" i="16"/>
  <c r="I117" i="16"/>
  <c r="K172" i="13"/>
  <c r="AJ173" i="25"/>
  <c r="AG177" i="25"/>
  <c r="AH181" i="25"/>
  <c r="AP129" i="13"/>
  <c r="G147" i="16"/>
  <c r="AO47" i="118"/>
  <c r="BJ43" i="118"/>
  <c r="AT43" i="118"/>
  <c r="AK42" i="118"/>
  <c r="BA42" i="118"/>
  <c r="BG42" i="118"/>
  <c r="AQ42" i="118"/>
  <c r="BB39" i="118"/>
  <c r="BA38" i="118"/>
  <c r="AK38" i="118"/>
  <c r="BJ31" i="118"/>
  <c r="AT31" i="118"/>
  <c r="H195" i="13"/>
  <c r="Q171" i="13"/>
  <c r="N171" i="13"/>
  <c r="BE69" i="23"/>
  <c r="BC38" i="23"/>
  <c r="AZ35" i="23"/>
  <c r="H484" i="25"/>
  <c r="H478" i="25"/>
  <c r="AA185" i="25"/>
  <c r="AG185" i="25"/>
  <c r="AD185" i="25"/>
  <c r="AH169" i="25"/>
  <c r="AD169" i="25"/>
  <c r="AF169" i="25"/>
  <c r="R191" i="13"/>
  <c r="S191" i="13"/>
  <c r="K183" i="13"/>
  <c r="L180" i="13"/>
  <c r="H180" i="13"/>
  <c r="S168" i="13"/>
  <c r="O168" i="13"/>
  <c r="BC113" i="23"/>
  <c r="BD110" i="23"/>
  <c r="BF90" i="23"/>
  <c r="BB90" i="23"/>
  <c r="BE81" i="23"/>
  <c r="H145" i="16"/>
  <c r="J145" i="16"/>
  <c r="I143" i="16"/>
  <c r="H143" i="16"/>
  <c r="J141" i="16"/>
  <c r="I141" i="16"/>
  <c r="Y39" i="16"/>
  <c r="V39" i="16"/>
  <c r="J137" i="16"/>
  <c r="Y37" i="16"/>
  <c r="V37" i="16"/>
  <c r="I135" i="16"/>
  <c r="Y33" i="16"/>
  <c r="V33" i="16"/>
  <c r="J131" i="16"/>
  <c r="Y25" i="16"/>
  <c r="V25" i="16"/>
  <c r="I123" i="16"/>
  <c r="Y23" i="16"/>
  <c r="V23" i="16"/>
  <c r="I121" i="16"/>
  <c r="J121" i="16"/>
  <c r="Y15" i="16"/>
  <c r="AC15" i="16"/>
  <c r="J113" i="16"/>
  <c r="Y13" i="16"/>
  <c r="AC13" i="16"/>
  <c r="J111" i="16"/>
  <c r="I111" i="16"/>
  <c r="Y7" i="16"/>
  <c r="AC7" i="16"/>
  <c r="I105" i="16"/>
  <c r="J105" i="16"/>
  <c r="J509" i="16"/>
  <c r="J501" i="16"/>
  <c r="AO67" i="16"/>
  <c r="AH30" i="16"/>
  <c r="AI30" i="16"/>
  <c r="V84" i="118"/>
  <c r="AN29" i="118"/>
  <c r="I138" i="16"/>
  <c r="Z40" i="16"/>
  <c r="AB40" i="16"/>
  <c r="J503" i="16"/>
  <c r="J498" i="16"/>
  <c r="AN65" i="16"/>
  <c r="AG28" i="16"/>
  <c r="BU44" i="118"/>
  <c r="AW7" i="118"/>
  <c r="AP10" i="118"/>
  <c r="I106" i="16"/>
  <c r="H405" i="16"/>
  <c r="P405" i="16"/>
  <c r="J405" i="16"/>
  <c r="H367" i="16"/>
  <c r="Z18" i="16"/>
  <c r="AC18" i="16"/>
  <c r="I118" i="16"/>
  <c r="Z28" i="16"/>
  <c r="AW21" i="118"/>
  <c r="T5" i="87"/>
  <c r="AY42" i="118"/>
  <c r="AY30" i="118"/>
  <c r="AY27" i="118"/>
  <c r="AY18" i="118"/>
  <c r="AU18" i="118"/>
  <c r="AQ18" i="118"/>
  <c r="BO9" i="118"/>
  <c r="AV9" i="118"/>
  <c r="AN9" i="118"/>
  <c r="AQ6" i="118"/>
  <c r="T482" i="16"/>
  <c r="X190" i="25"/>
  <c r="AD190" i="25"/>
  <c r="AG190" i="25"/>
  <c r="AE190" i="25"/>
  <c r="Z190" i="25"/>
  <c r="AE186" i="25"/>
  <c r="W186" i="25"/>
  <c r="AJ186" i="25"/>
  <c r="AD186" i="25"/>
  <c r="AA186" i="25"/>
  <c r="AG186" i="25"/>
  <c r="AB186" i="25"/>
  <c r="Z186" i="25"/>
  <c r="AI186" i="25"/>
  <c r="X182" i="25"/>
  <c r="AF182" i="25"/>
  <c r="W182" i="25"/>
  <c r="AD182" i="25"/>
  <c r="AA182" i="25"/>
  <c r="Z182" i="25"/>
  <c r="AI182" i="25"/>
  <c r="AI178" i="25"/>
  <c r="AA178" i="25"/>
  <c r="AJ178" i="25"/>
  <c r="AD178" i="25"/>
  <c r="W178" i="25"/>
  <c r="AF178" i="25"/>
  <c r="AC178" i="25"/>
  <c r="AB178" i="25"/>
  <c r="Z178" i="25"/>
  <c r="AE178" i="25"/>
  <c r="AG174" i="25"/>
  <c r="AD174" i="25"/>
  <c r="AE174" i="25"/>
  <c r="AA174" i="25"/>
  <c r="Y174" i="25"/>
  <c r="AF174" i="25"/>
  <c r="X174" i="25"/>
  <c r="Z174" i="25"/>
  <c r="Y170" i="25"/>
  <c r="AF170" i="25"/>
  <c r="X170" i="25"/>
  <c r="AJ170" i="25"/>
  <c r="AD170" i="25"/>
  <c r="AA170" i="25"/>
  <c r="AB170" i="25"/>
  <c r="Z170" i="25"/>
  <c r="AC170" i="25"/>
  <c r="AX30" i="118"/>
  <c r="AP30" i="118"/>
  <c r="I185" i="16"/>
  <c r="A70" i="13"/>
  <c r="BA91" i="23"/>
  <c r="BE90" i="23"/>
  <c r="BA46" i="23"/>
  <c r="BD44" i="23"/>
  <c r="BC43" i="23"/>
  <c r="H500" i="25"/>
  <c r="E570" i="16"/>
  <c r="F584" i="16"/>
  <c r="AS42" i="118"/>
  <c r="AV39" i="118"/>
  <c r="AN39" i="118"/>
  <c r="AS23" i="118"/>
  <c r="I212" i="16"/>
  <c r="I197" i="16"/>
  <c r="I193" i="16"/>
  <c r="I176" i="16"/>
  <c r="R180" i="13"/>
  <c r="N180" i="13"/>
  <c r="F178" i="13"/>
  <c r="G173" i="13"/>
  <c r="A57" i="13"/>
  <c r="F546" i="16" a="1"/>
  <c r="AH4" i="16"/>
  <c r="BA21" i="16"/>
  <c r="AS6" i="118"/>
  <c r="AU7" i="118"/>
  <c r="BU8" i="118"/>
  <c r="AM9" i="118"/>
  <c r="AM11" i="118"/>
  <c r="AQ11" i="118"/>
  <c r="AU11" i="118"/>
  <c r="AM17" i="118"/>
  <c r="BU18" i="118"/>
  <c r="AW18" i="118"/>
  <c r="BU20" i="118"/>
  <c r="AW20" i="118"/>
  <c r="BU21" i="118"/>
  <c r="BU22" i="118"/>
  <c r="V78" i="118"/>
  <c r="AY25" i="118"/>
  <c r="A289" i="13"/>
  <c r="A305" i="13"/>
  <c r="A287" i="13"/>
  <c r="A285" i="13"/>
  <c r="A315" i="13"/>
  <c r="A300" i="13"/>
  <c r="A288" i="13"/>
  <c r="A297" i="13"/>
  <c r="A314" i="13"/>
  <c r="AR140" i="13"/>
  <c r="AU140" i="13"/>
  <c r="AV140" i="13"/>
  <c r="AY140" i="13"/>
  <c r="AP140" i="13"/>
  <c r="AM140" i="13"/>
  <c r="L179" i="13"/>
  <c r="K175" i="13"/>
  <c r="J175" i="13"/>
  <c r="O175" i="13"/>
  <c r="H171" i="13"/>
  <c r="P106" i="13"/>
  <c r="C367" i="13"/>
  <c r="A74" i="13"/>
  <c r="R175" i="13"/>
  <c r="R190" i="13"/>
  <c r="H383" i="16"/>
  <c r="G478" i="13"/>
  <c r="G481" i="13"/>
  <c r="H397" i="16"/>
  <c r="AC392" i="16"/>
  <c r="H374" i="16"/>
  <c r="H395" i="16"/>
  <c r="H366" i="16"/>
  <c r="Z8" i="16"/>
  <c r="Z10" i="16"/>
  <c r="AC10" i="16"/>
  <c r="Z16" i="16"/>
  <c r="Z26" i="16"/>
  <c r="AA26" i="16"/>
  <c r="Z50" i="16"/>
  <c r="AW140" i="13"/>
  <c r="BM33" i="118"/>
  <c r="AW33" i="118"/>
  <c r="BH27" i="118"/>
  <c r="AR27" i="118"/>
  <c r="BF25" i="118"/>
  <c r="AP25" i="118"/>
  <c r="AY23" i="118"/>
  <c r="BH20" i="118"/>
  <c r="AR20" i="118"/>
  <c r="BJ11" i="118"/>
  <c r="AT11" i="118"/>
  <c r="BA10" i="118"/>
  <c r="AK10" i="118"/>
  <c r="BH5" i="118"/>
  <c r="AR5" i="118"/>
  <c r="D637" i="16"/>
  <c r="D632" i="16"/>
  <c r="AC476" i="16"/>
  <c r="AD476" i="16"/>
  <c r="BD9" i="118"/>
  <c r="AS16" i="118"/>
  <c r="H360" i="16"/>
  <c r="H385" i="16"/>
  <c r="P385" i="16"/>
  <c r="J385" i="16"/>
  <c r="H389" i="16"/>
  <c r="P389" i="16"/>
  <c r="J389" i="16"/>
  <c r="H403" i="16"/>
  <c r="P403" i="16"/>
  <c r="J403" i="16"/>
  <c r="H387" i="16"/>
  <c r="Z6" i="16"/>
  <c r="AB6" i="16"/>
  <c r="Z14" i="16"/>
  <c r="AB14" i="16"/>
  <c r="M196" i="13"/>
  <c r="J140" i="16"/>
  <c r="V63" i="118"/>
  <c r="BA140" i="13"/>
  <c r="E18" i="29"/>
  <c r="AU23" i="118"/>
  <c r="AQ17" i="118"/>
  <c r="D142" i="135"/>
  <c r="L189" i="13"/>
  <c r="H183" i="13"/>
  <c r="H175" i="13"/>
  <c r="F171" i="13"/>
  <c r="I171" i="13"/>
  <c r="Z44" i="16"/>
  <c r="AA44" i="16"/>
  <c r="H142" i="16"/>
  <c r="J142" i="16"/>
  <c r="Z30" i="16"/>
  <c r="J128" i="16"/>
  <c r="Z4" i="16"/>
  <c r="AA4" i="16"/>
  <c r="J102" i="16"/>
  <c r="H377" i="16"/>
  <c r="H378" i="16"/>
  <c r="H361" i="16"/>
  <c r="H371" i="16"/>
  <c r="O371" i="16"/>
  <c r="I371" i="16"/>
  <c r="H401" i="16"/>
  <c r="H392" i="16"/>
  <c r="O392" i="16"/>
  <c r="I392" i="16"/>
  <c r="H375" i="16"/>
  <c r="H373" i="16"/>
  <c r="H363" i="16"/>
  <c r="H402" i="16"/>
  <c r="H393" i="16"/>
  <c r="H382" i="16"/>
  <c r="P382" i="16"/>
  <c r="J382" i="16"/>
  <c r="H394" i="16"/>
  <c r="H386" i="16"/>
  <c r="O386" i="16"/>
  <c r="I386" i="16"/>
  <c r="H379" i="16"/>
  <c r="P379" i="16"/>
  <c r="J379" i="16"/>
  <c r="H364" i="16"/>
  <c r="H396" i="16"/>
  <c r="H391" i="16"/>
  <c r="H381" i="16"/>
  <c r="J514" i="16"/>
  <c r="F530" i="16"/>
  <c r="J508" i="16"/>
  <c r="J504" i="16"/>
  <c r="J499" i="16"/>
  <c r="J494" i="16"/>
  <c r="H469" i="16"/>
  <c r="G469" i="16"/>
  <c r="AB49" i="13"/>
  <c r="AK48" i="13"/>
  <c r="AK49" i="13"/>
  <c r="I146" i="135"/>
  <c r="Q146" i="135"/>
  <c r="E146" i="135"/>
  <c r="D146" i="135"/>
  <c r="M146" i="135"/>
  <c r="K146" i="135"/>
  <c r="H146" i="135"/>
  <c r="L146" i="135"/>
  <c r="AO65" i="16"/>
  <c r="AH28" i="16"/>
  <c r="E602" i="16"/>
  <c r="F602" i="16"/>
  <c r="V76" i="118"/>
  <c r="BL33" i="118"/>
  <c r="AV33" i="118"/>
  <c r="BH26" i="118"/>
  <c r="AR26" i="118"/>
  <c r="AT10" i="118"/>
  <c r="BF6" i="118"/>
  <c r="AP6" i="118"/>
  <c r="BH4" i="118"/>
  <c r="AR4" i="118"/>
  <c r="G676" i="16"/>
  <c r="S482" i="16"/>
  <c r="AC473" i="16"/>
  <c r="AB184" i="25"/>
  <c r="AH184" i="25"/>
  <c r="AI180" i="25"/>
  <c r="V180" i="25"/>
  <c r="AA172" i="25"/>
  <c r="AE172" i="25"/>
  <c r="G11" i="128"/>
  <c r="H11" i="128"/>
  <c r="R47" i="128"/>
  <c r="S49" i="128"/>
  <c r="M3" i="128"/>
  <c r="AY34" i="118"/>
  <c r="AQ38" i="118"/>
  <c r="AR41" i="118"/>
  <c r="AV41" i="118"/>
  <c r="AT46" i="118"/>
  <c r="AP28" i="118"/>
  <c r="AL31" i="118"/>
  <c r="AX31" i="118"/>
  <c r="AP43" i="118"/>
  <c r="BA34" i="118"/>
  <c r="AS19" i="118"/>
  <c r="AL35" i="118"/>
  <c r="AK30" i="118"/>
  <c r="AD473" i="16"/>
  <c r="I199" i="16"/>
  <c r="P476" i="13"/>
  <c r="P475" i="13"/>
  <c r="P479" i="13"/>
  <c r="J476" i="13"/>
  <c r="AN138" i="13"/>
  <c r="AW138" i="13"/>
  <c r="I196" i="13"/>
  <c r="AO132" i="13"/>
  <c r="AM132" i="13"/>
  <c r="I183" i="13"/>
  <c r="C370" i="13"/>
  <c r="A77" i="13"/>
  <c r="BE45" i="23"/>
  <c r="AZ40" i="23"/>
  <c r="BA37" i="23"/>
  <c r="Y17" i="16"/>
  <c r="V17" i="16"/>
  <c r="J115" i="16"/>
  <c r="Y11" i="16"/>
  <c r="V11" i="16"/>
  <c r="J109" i="16"/>
  <c r="H368" i="16"/>
  <c r="H372" i="16"/>
  <c r="H384" i="16"/>
  <c r="H388" i="16"/>
  <c r="P388" i="16"/>
  <c r="J388" i="16"/>
  <c r="H400" i="16"/>
  <c r="P400" i="16"/>
  <c r="J400" i="16"/>
  <c r="H404" i="16"/>
  <c r="J513" i="16"/>
  <c r="AT27" i="118"/>
  <c r="AX20" i="118"/>
  <c r="AT20" i="118"/>
  <c r="AP20" i="118"/>
  <c r="AS18" i="118"/>
  <c r="AS14" i="118"/>
  <c r="AO6" i="118"/>
  <c r="I676" i="16"/>
  <c r="AC474" i="16"/>
  <c r="I200" i="16"/>
  <c r="I196" i="16"/>
  <c r="I192" i="16"/>
  <c r="T33" i="16"/>
  <c r="V9" i="16"/>
  <c r="V5" i="16"/>
  <c r="V3" i="16"/>
  <c r="C148" i="13"/>
  <c r="L208" i="13"/>
  <c r="N200" i="13"/>
  <c r="J200" i="13"/>
  <c r="F200" i="13"/>
  <c r="I197" i="13"/>
  <c r="S196" i="13"/>
  <c r="O196" i="13"/>
  <c r="K196" i="13"/>
  <c r="K195" i="13"/>
  <c r="Q191" i="13"/>
  <c r="O190" i="13"/>
  <c r="K190" i="13"/>
  <c r="S189" i="13"/>
  <c r="O189" i="13"/>
  <c r="G189" i="13"/>
  <c r="N188" i="13"/>
  <c r="J188" i="13"/>
  <c r="F188" i="13"/>
  <c r="R185" i="13"/>
  <c r="S184" i="13"/>
  <c r="O184" i="13"/>
  <c r="G184" i="13"/>
  <c r="S183" i="13"/>
  <c r="BF115" i="23"/>
  <c r="BD113" i="23"/>
  <c r="BD109" i="23"/>
  <c r="BF91" i="23"/>
  <c r="BE89" i="23"/>
  <c r="AZ87" i="23"/>
  <c r="BC87" i="23"/>
  <c r="BB86" i="23"/>
  <c r="BA85" i="23"/>
  <c r="BA84" i="23"/>
  <c r="AZ84" i="23"/>
  <c r="BB82" i="23"/>
  <c r="BD80" i="23"/>
  <c r="BC79" i="23"/>
  <c r="BF78" i="23"/>
  <c r="BA38" i="23"/>
  <c r="H505" i="25"/>
  <c r="H501" i="25"/>
  <c r="H489" i="25"/>
  <c r="H485" i="25"/>
  <c r="H473" i="25"/>
  <c r="F494" i="25"/>
  <c r="D62" i="25"/>
  <c r="D43" i="25"/>
  <c r="I210" i="16"/>
  <c r="E601" i="16"/>
  <c r="F597" i="16"/>
  <c r="F593" i="16"/>
  <c r="F589" i="16"/>
  <c r="E585" i="16"/>
  <c r="F581" i="16"/>
  <c r="F577" i="16"/>
  <c r="E595" i="16"/>
  <c r="E571" i="16"/>
  <c r="F567" i="16"/>
  <c r="F559" i="16"/>
  <c r="J146" i="16"/>
  <c r="I144" i="16"/>
  <c r="J134" i="16"/>
  <c r="H514" i="16"/>
  <c r="AU12" i="16"/>
  <c r="AI89" i="13"/>
  <c r="AI85" i="13"/>
  <c r="AI73" i="13"/>
  <c r="AI69" i="13"/>
  <c r="AI61" i="13"/>
  <c r="AI57" i="13"/>
  <c r="AI53" i="13"/>
  <c r="T32" i="13"/>
  <c r="L32" i="13"/>
  <c r="AB3" i="16"/>
  <c r="AO27" i="118"/>
  <c r="AS20" i="118"/>
  <c r="AT12" i="118"/>
  <c r="G177" i="13"/>
  <c r="BF109" i="23"/>
  <c r="BD89" i="23"/>
  <c r="BB87" i="23"/>
  <c r="BA86" i="23"/>
  <c r="BC84" i="23"/>
  <c r="BB83" i="23"/>
  <c r="BD81" i="23"/>
  <c r="BF79" i="23"/>
  <c r="AI94" i="13"/>
  <c r="AP5" i="118"/>
  <c r="BH45" i="118"/>
  <c r="AR45" i="118"/>
  <c r="A49" i="13"/>
  <c r="AN49" i="118"/>
  <c r="AR49" i="118"/>
  <c r="AV49" i="118"/>
  <c r="AB58" i="16"/>
  <c r="BG6" i="118"/>
  <c r="BG18" i="118"/>
  <c r="AP9" i="118"/>
  <c r="AX47" i="118"/>
  <c r="AW41" i="118"/>
  <c r="E197" i="13"/>
  <c r="M202" i="13"/>
  <c r="AW14" i="118"/>
  <c r="AX15" i="118"/>
  <c r="BJ19" i="118"/>
  <c r="J132" i="16"/>
  <c r="J126" i="16"/>
  <c r="I136" i="16"/>
  <c r="J138" i="16"/>
  <c r="H144" i="16"/>
  <c r="H148" i="16"/>
  <c r="AG183" i="25"/>
  <c r="I140" i="16"/>
  <c r="W191" i="25"/>
  <c r="AX135" i="13"/>
  <c r="AB167" i="25"/>
  <c r="AD167" i="25"/>
  <c r="AA167" i="25"/>
  <c r="V167" i="25"/>
  <c r="AB171" i="25"/>
  <c r="AH171" i="25"/>
  <c r="AG171" i="25"/>
  <c r="AD175" i="25"/>
  <c r="AB175" i="25"/>
  <c r="V175" i="25"/>
  <c r="AC175" i="25"/>
  <c r="V179" i="25"/>
  <c r="AB179" i="25"/>
  <c r="AE179" i="25"/>
  <c r="AJ183" i="25"/>
  <c r="AD183" i="25"/>
  <c r="AE183" i="25"/>
  <c r="AJ187" i="25"/>
  <c r="AD187" i="25"/>
  <c r="AA187" i="25"/>
  <c r="AE191" i="25"/>
  <c r="AI191" i="25"/>
  <c r="AB191" i="25"/>
  <c r="F484" i="25"/>
  <c r="F488" i="25"/>
  <c r="F476" i="25"/>
  <c r="F480" i="25"/>
  <c r="AV123" i="13"/>
  <c r="BA129" i="13"/>
  <c r="AV135" i="13"/>
  <c r="G202" i="13"/>
  <c r="V44" i="16"/>
  <c r="E581" i="16"/>
  <c r="AK4" i="118"/>
  <c r="AP7" i="118"/>
  <c r="AO8" i="118"/>
  <c r="Y171" i="25"/>
  <c r="F492" i="25"/>
  <c r="AT7" i="118"/>
  <c r="H146" i="16"/>
  <c r="A294" i="13"/>
  <c r="A302" i="13"/>
  <c r="A307" i="13"/>
  <c r="A319" i="13"/>
  <c r="A298" i="13"/>
  <c r="A293" i="13"/>
  <c r="A299" i="13"/>
  <c r="A318" i="13"/>
  <c r="A306" i="13"/>
  <c r="AO140" i="13"/>
  <c r="AS140" i="13"/>
  <c r="AZ140" i="13"/>
  <c r="AQ140" i="13"/>
  <c r="AN140" i="13"/>
  <c r="AX140" i="13"/>
  <c r="AT140" i="13"/>
  <c r="G171" i="13"/>
  <c r="E171" i="13"/>
  <c r="AA34" i="16"/>
  <c r="BJ9" i="118"/>
  <c r="BL20" i="118"/>
  <c r="AL29" i="118"/>
  <c r="R43" i="87"/>
  <c r="AO22" i="118"/>
  <c r="AL21" i="118"/>
  <c r="AM8" i="118"/>
  <c r="E202" i="13"/>
  <c r="AX25" i="118"/>
  <c r="AP15" i="118"/>
  <c r="AU16" i="118"/>
  <c r="J122" i="16"/>
  <c r="J124" i="16"/>
  <c r="I132" i="16"/>
  <c r="I148" i="16"/>
  <c r="F477" i="25"/>
  <c r="F493" i="25"/>
  <c r="F509" i="25"/>
  <c r="F508" i="25"/>
  <c r="AM123" i="13"/>
  <c r="AF187" i="25"/>
  <c r="AE167" i="25"/>
  <c r="W167" i="25"/>
  <c r="Y167" i="25"/>
  <c r="X171" i="25"/>
  <c r="Z171" i="25"/>
  <c r="W171" i="25"/>
  <c r="AG175" i="25"/>
  <c r="AJ175" i="25"/>
  <c r="Z179" i="25"/>
  <c r="AJ179" i="25"/>
  <c r="AI179" i="25"/>
  <c r="AC179" i="25"/>
  <c r="AI183" i="25"/>
  <c r="V183" i="25"/>
  <c r="AC183" i="25"/>
  <c r="W187" i="25"/>
  <c r="V187" i="25"/>
  <c r="AC187" i="25"/>
  <c r="Z191" i="25"/>
  <c r="AJ191" i="25"/>
  <c r="AC191" i="25"/>
  <c r="F468" i="25"/>
  <c r="F504" i="25"/>
  <c r="AX123" i="13"/>
  <c r="S197" i="13"/>
  <c r="I199" i="13"/>
  <c r="I142" i="16"/>
  <c r="E589" i="16"/>
  <c r="AN5" i="118"/>
  <c r="AT5" i="118"/>
  <c r="D638" i="16"/>
  <c r="AQ32" i="118"/>
  <c r="BG19" i="118"/>
  <c r="AQ19" i="118"/>
  <c r="AM7" i="118"/>
  <c r="AI24" i="135"/>
  <c r="AZ24" i="135"/>
  <c r="BP24" i="135"/>
  <c r="AJ38" i="135"/>
  <c r="J120" i="16"/>
  <c r="BL37" i="118"/>
  <c r="AV37" i="118"/>
  <c r="K452" i="13"/>
  <c r="N452" i="13"/>
  <c r="R196" i="13"/>
  <c r="J195" i="13"/>
  <c r="F195" i="13"/>
  <c r="N190" i="13"/>
  <c r="F190" i="13"/>
  <c r="N189" i="13"/>
  <c r="F189" i="13"/>
  <c r="N184" i="13"/>
  <c r="F184" i="13"/>
  <c r="R183" i="13"/>
  <c r="N183" i="13"/>
  <c r="R179" i="13"/>
  <c r="N179" i="13"/>
  <c r="J179" i="13"/>
  <c r="F179" i="13"/>
  <c r="AF89" i="13"/>
  <c r="AD66" i="13"/>
  <c r="AI84" i="13"/>
  <c r="AI52" i="13"/>
  <c r="T38" i="87"/>
  <c r="T35" i="87"/>
  <c r="Q17" i="87"/>
  <c r="T16" i="87"/>
  <c r="C20" i="29"/>
  <c r="Q20" i="29"/>
  <c r="AL39" i="118"/>
  <c r="BO22" i="118"/>
  <c r="BO21" i="118"/>
  <c r="I218" i="16"/>
  <c r="I214" i="16"/>
  <c r="I182" i="16"/>
  <c r="U50" i="16"/>
  <c r="U48" i="16"/>
  <c r="T47" i="16"/>
  <c r="T46" i="16"/>
  <c r="T45" i="16"/>
  <c r="U41" i="16"/>
  <c r="T30" i="16"/>
  <c r="T29" i="16"/>
  <c r="T25" i="16"/>
  <c r="T18" i="16"/>
  <c r="T15" i="16"/>
  <c r="Q200" i="13"/>
  <c r="O199" i="13"/>
  <c r="Q195" i="13"/>
  <c r="M195" i="13"/>
  <c r="I195" i="13"/>
  <c r="E195" i="13"/>
  <c r="S194" i="13"/>
  <c r="K192" i="13"/>
  <c r="Q189" i="13"/>
  <c r="M189" i="13"/>
  <c r="I189" i="13"/>
  <c r="G188" i="13"/>
  <c r="S187" i="13"/>
  <c r="M184" i="13"/>
  <c r="Q183" i="13"/>
  <c r="E183" i="13"/>
  <c r="Q179" i="13"/>
  <c r="M179" i="13"/>
  <c r="I179" i="13"/>
  <c r="G178" i="13"/>
  <c r="S177" i="13"/>
  <c r="AI70" i="13"/>
  <c r="AF10" i="145"/>
  <c r="AL10" i="145"/>
  <c r="AC10" i="145"/>
  <c r="AN10" i="145"/>
  <c r="AH53" i="145"/>
  <c r="AG53" i="145"/>
  <c r="AB53" i="145"/>
  <c r="AA53" i="145"/>
  <c r="AF49" i="145"/>
  <c r="AE49" i="145"/>
  <c r="AO49" i="145"/>
  <c r="AN49" i="145"/>
  <c r="AD45" i="145"/>
  <c r="AC45" i="145"/>
  <c r="AN45" i="145"/>
  <c r="AM45" i="145"/>
  <c r="AL45" i="145"/>
  <c r="AB41" i="145"/>
  <c r="AA41" i="145"/>
  <c r="AL41" i="145"/>
  <c r="AK41" i="145"/>
  <c r="AJ41" i="145"/>
  <c r="AO37" i="145"/>
  <c r="AJ37" i="145"/>
  <c r="AI37" i="145"/>
  <c r="AH37" i="145"/>
  <c r="AO33" i="145"/>
  <c r="AN33" i="145"/>
  <c r="AI33" i="145"/>
  <c r="AH33" i="145"/>
  <c r="AG33" i="145"/>
  <c r="AM29" i="145"/>
  <c r="AL29" i="145"/>
  <c r="AG29" i="145"/>
  <c r="AF29" i="145"/>
  <c r="AE29" i="145"/>
  <c r="AK25" i="145"/>
  <c r="AJ25" i="145"/>
  <c r="AE25" i="145"/>
  <c r="AD25" i="145"/>
  <c r="AC25" i="145"/>
  <c r="AI21" i="145"/>
  <c r="AH21" i="145"/>
  <c r="AC21" i="145"/>
  <c r="AB21" i="145"/>
  <c r="AA21" i="145"/>
  <c r="AG17" i="145"/>
  <c r="AF17" i="145"/>
  <c r="AA17" i="145"/>
  <c r="AN17" i="145"/>
  <c r="AE13" i="145"/>
  <c r="AD13" i="145"/>
  <c r="AO13" i="145"/>
  <c r="AN13" i="145"/>
  <c r="AL13" i="145"/>
  <c r="O183" i="13"/>
  <c r="R182" i="13"/>
  <c r="J182" i="13"/>
  <c r="M180" i="13"/>
  <c r="O179" i="13"/>
  <c r="Q177" i="13"/>
  <c r="M177" i="13"/>
  <c r="I177" i="13"/>
  <c r="F174" i="13"/>
  <c r="R170" i="13"/>
  <c r="N170" i="13"/>
  <c r="BF117" i="23"/>
  <c r="BB117" i="23"/>
  <c r="BF116" i="23"/>
  <c r="BE115" i="23"/>
  <c r="AZ115" i="23"/>
  <c r="AZ114" i="23"/>
  <c r="BC114" i="23"/>
  <c r="BE111" i="23"/>
  <c r="AZ110" i="23"/>
  <c r="BB91" i="23"/>
  <c r="BA89" i="23"/>
  <c r="BD88" i="23"/>
  <c r="BF86" i="23"/>
  <c r="BD84" i="23"/>
  <c r="BC83" i="23"/>
  <c r="BF82" i="23"/>
  <c r="BA81" i="23"/>
  <c r="AZ80" i="23"/>
  <c r="BB78" i="23"/>
  <c r="I209" i="16"/>
  <c r="V68" i="118"/>
  <c r="BU15" i="118"/>
  <c r="AV15" i="118"/>
  <c r="BU16" i="118"/>
  <c r="V72" i="118"/>
  <c r="AP18" i="118"/>
  <c r="V74" i="118"/>
  <c r="BU19" i="118"/>
  <c r="AU25" i="118"/>
  <c r="V83" i="118"/>
  <c r="BB46" i="23"/>
  <c r="BF45" i="23"/>
  <c r="BE44" i="23"/>
  <c r="BD43" i="23"/>
  <c r="BC42" i="23"/>
  <c r="BF41" i="23"/>
  <c r="BA40" i="23"/>
  <c r="BB37" i="23"/>
  <c r="F513" i="25"/>
  <c r="F501" i="25"/>
  <c r="F497" i="25"/>
  <c r="F485" i="25"/>
  <c r="F481" i="25"/>
  <c r="AI91" i="13"/>
  <c r="AI87" i="13"/>
  <c r="AI79" i="13"/>
  <c r="AI75" i="13"/>
  <c r="AI71" i="13"/>
  <c r="AI67" i="13"/>
  <c r="F547" i="16" a="1"/>
  <c r="G547" i="16"/>
  <c r="AH5" i="16"/>
  <c r="AR22" i="16"/>
  <c r="AO12" i="118"/>
  <c r="AS12" i="118"/>
  <c r="AW12" i="118"/>
  <c r="AO14" i="118"/>
  <c r="V73" i="118"/>
  <c r="V75" i="118"/>
  <c r="BU23" i="118"/>
  <c r="BU27" i="118"/>
  <c r="AX28" i="118"/>
  <c r="F594" i="16"/>
  <c r="AI86" i="13"/>
  <c r="AM21" i="118"/>
  <c r="AU21" i="118"/>
  <c r="Q36" i="87"/>
  <c r="R20" i="87"/>
  <c r="AK48" i="118"/>
  <c r="AK49" i="118"/>
  <c r="AK50" i="118"/>
  <c r="AK51" i="118"/>
  <c r="BR51" i="118"/>
  <c r="BB49" i="118"/>
  <c r="BH47" i="118"/>
  <c r="AR47" i="118"/>
  <c r="BN45" i="118"/>
  <c r="AX45" i="118"/>
  <c r="BJ45" i="118"/>
  <c r="AT45" i="118"/>
  <c r="BN42" i="118"/>
  <c r="AX42" i="118"/>
  <c r="BD40" i="118"/>
  <c r="AN40" i="118"/>
  <c r="AX38" i="118"/>
  <c r="BN38" i="118"/>
  <c r="BJ38" i="118"/>
  <c r="AT38" i="118"/>
  <c r="AP38" i="118"/>
  <c r="BF38" i="118"/>
  <c r="BA33" i="118"/>
  <c r="AK33" i="118"/>
  <c r="BQ32" i="118"/>
  <c r="D147" i="118"/>
  <c r="D144" i="118"/>
  <c r="BQ29" i="118"/>
  <c r="BN27" i="118"/>
  <c r="AX27" i="118"/>
  <c r="BC22" i="118"/>
  <c r="AM22" i="118"/>
  <c r="BL19" i="118"/>
  <c r="AV19" i="118"/>
  <c r="BE18" i="118"/>
  <c r="AO18" i="118"/>
  <c r="BO16" i="118"/>
  <c r="AY16" i="118"/>
  <c r="BG13" i="118"/>
  <c r="AQ13" i="118"/>
  <c r="AP135" i="13"/>
  <c r="AY135" i="13"/>
  <c r="AW135" i="13"/>
  <c r="AN135" i="13"/>
  <c r="AT135" i="13"/>
  <c r="AS135" i="13"/>
  <c r="I191" i="13"/>
  <c r="G191" i="13"/>
  <c r="AO129" i="13"/>
  <c r="AM129" i="13"/>
  <c r="AT129" i="13"/>
  <c r="AR129" i="13"/>
  <c r="AV129" i="13"/>
  <c r="R188" i="13"/>
  <c r="G185" i="13"/>
  <c r="M185" i="13"/>
  <c r="BA123" i="13"/>
  <c r="AW123" i="13"/>
  <c r="AN123" i="13"/>
  <c r="AP123" i="13"/>
  <c r="I145" i="135"/>
  <c r="P145" i="135"/>
  <c r="K133" i="135"/>
  <c r="F133" i="135"/>
  <c r="P133" i="135"/>
  <c r="O129" i="135"/>
  <c r="L129" i="135"/>
  <c r="G59" i="135"/>
  <c r="M59" i="135"/>
  <c r="N51" i="135"/>
  <c r="K51" i="135"/>
  <c r="AG33" i="16"/>
  <c r="A68" i="52"/>
  <c r="A69" i="52"/>
  <c r="AY15" i="118"/>
  <c r="AQ34" i="118"/>
  <c r="AY38" i="118"/>
  <c r="AS39" i="118"/>
  <c r="AW39" i="118"/>
  <c r="AX40" i="118"/>
  <c r="BM11" i="118"/>
  <c r="BJ20" i="118"/>
  <c r="AH3" i="16"/>
  <c r="BX20" i="16"/>
  <c r="AM18" i="118"/>
  <c r="AV29" i="118"/>
  <c r="AO26" i="118"/>
  <c r="AN18" i="118"/>
  <c r="AM33" i="118"/>
  <c r="AT21" i="118"/>
  <c r="AL25" i="118"/>
  <c r="AL47" i="118"/>
  <c r="Q185" i="13"/>
  <c r="K191" i="13"/>
  <c r="AS138" i="13"/>
  <c r="AN38" i="118"/>
  <c r="AV34" i="118"/>
  <c r="BU28" i="118"/>
  <c r="AU132" i="13"/>
  <c r="F542" i="16" a="1"/>
  <c r="G542" i="16"/>
  <c r="BU17" i="118"/>
  <c r="AR123" i="13"/>
  <c r="AQ123" i="13"/>
  <c r="AX129" i="13"/>
  <c r="AQ129" i="13"/>
  <c r="E191" i="13"/>
  <c r="AP132" i="13"/>
  <c r="G194" i="13"/>
  <c r="AR135" i="13"/>
  <c r="AU135" i="13"/>
  <c r="AX138" i="13"/>
  <c r="AD474" i="16"/>
  <c r="T480" i="16"/>
  <c r="BG33" i="118"/>
  <c r="AK24" i="118"/>
  <c r="AQ46" i="118"/>
  <c r="BB42" i="118"/>
  <c r="AN67" i="16"/>
  <c r="T45" i="87"/>
  <c r="AV11" i="118"/>
  <c r="BL11" i="118"/>
  <c r="BE10" i="118"/>
  <c r="AO10" i="118"/>
  <c r="BK8" i="118"/>
  <c r="AU8" i="118"/>
  <c r="D122" i="118"/>
  <c r="BQ7" i="118"/>
  <c r="BG4" i="118"/>
  <c r="AQ4" i="118"/>
  <c r="AZ43" i="23"/>
  <c r="BD39" i="23"/>
  <c r="BE37" i="23"/>
  <c r="BD35" i="23"/>
  <c r="H498" i="25"/>
  <c r="H474" i="25"/>
  <c r="AB193" i="25"/>
  <c r="AC193" i="25"/>
  <c r="AJ193" i="25"/>
  <c r="W189" i="25"/>
  <c r="AC189" i="25"/>
  <c r="Z189" i="25"/>
  <c r="X185" i="25"/>
  <c r="Z185" i="25"/>
  <c r="W181" i="25"/>
  <c r="Y181" i="25"/>
  <c r="AF181" i="25"/>
  <c r="AE177" i="25"/>
  <c r="Y177" i="25"/>
  <c r="Z177" i="25"/>
  <c r="Y173" i="25"/>
  <c r="AC173" i="25"/>
  <c r="AI173" i="25"/>
  <c r="AH173" i="25"/>
  <c r="AB169" i="25"/>
  <c r="W169" i="25"/>
  <c r="X169" i="25"/>
  <c r="X136" i="25"/>
  <c r="Y136" i="25"/>
  <c r="AJ136" i="25"/>
  <c r="AI136" i="25"/>
  <c r="D64" i="25"/>
  <c r="I213" i="16"/>
  <c r="F556" i="16"/>
  <c r="I139" i="135"/>
  <c r="BF47" i="118"/>
  <c r="AP47" i="118"/>
  <c r="BL42" i="118"/>
  <c r="AV42" i="118"/>
  <c r="BH42" i="118"/>
  <c r="AR42" i="118"/>
  <c r="BN32" i="118"/>
  <c r="AX32" i="118"/>
  <c r="AM28" i="118"/>
  <c r="BC28" i="118"/>
  <c r="BH23" i="118"/>
  <c r="AR23" i="118"/>
  <c r="BB21" i="118"/>
  <c r="BA20" i="118"/>
  <c r="BL14" i="118"/>
  <c r="AV14" i="118"/>
  <c r="AX12" i="118"/>
  <c r="BN12" i="118"/>
  <c r="BA11" i="118"/>
  <c r="AK11" i="118"/>
  <c r="BB12" i="118"/>
  <c r="G200" i="13"/>
  <c r="K200" i="13"/>
  <c r="AM138" i="13"/>
  <c r="AR138" i="13"/>
  <c r="AP138" i="13"/>
  <c r="AT138" i="13"/>
  <c r="BA138" i="13"/>
  <c r="AZ132" i="13"/>
  <c r="AQ132" i="13"/>
  <c r="AT132" i="13"/>
  <c r="AV132" i="13"/>
  <c r="AZ126" i="13"/>
  <c r="AQ126" i="13"/>
  <c r="S182" i="13"/>
  <c r="O182" i="13"/>
  <c r="A531" i="16"/>
  <c r="F553" i="16" a="1"/>
  <c r="AG25" i="135"/>
  <c r="AX25" i="135"/>
  <c r="BN25" i="135"/>
  <c r="AG23" i="135"/>
  <c r="AX23" i="135"/>
  <c r="BN23" i="135"/>
  <c r="AC25" i="135"/>
  <c r="AT25" i="135"/>
  <c r="BJ25" i="135"/>
  <c r="AD43" i="135"/>
  <c r="AC24" i="135"/>
  <c r="AT24" i="135"/>
  <c r="BJ24" i="135"/>
  <c r="AC21" i="135"/>
  <c r="AT21" i="135"/>
  <c r="BJ21" i="135"/>
  <c r="M20" i="135"/>
  <c r="S58" i="145"/>
  <c r="U24" i="135"/>
  <c r="AL24" i="135"/>
  <c r="BB24" i="135"/>
  <c r="D109" i="135"/>
  <c r="U23" i="135"/>
  <c r="U25" i="135"/>
  <c r="AL25" i="135"/>
  <c r="BB25" i="135"/>
  <c r="U21" i="135"/>
  <c r="AL21" i="135"/>
  <c r="BB21" i="135"/>
  <c r="E20" i="135"/>
  <c r="K58" i="145"/>
  <c r="U22" i="135"/>
  <c r="AL22" i="135"/>
  <c r="BB22" i="135"/>
  <c r="E21" i="135"/>
  <c r="K59" i="145"/>
  <c r="V35" i="135"/>
  <c r="W35" i="135"/>
  <c r="X35" i="135"/>
  <c r="Y35" i="135"/>
  <c r="Z35" i="135"/>
  <c r="AA35" i="135"/>
  <c r="AB35" i="135"/>
  <c r="AC35" i="135"/>
  <c r="AD35" i="135"/>
  <c r="AE35" i="135"/>
  <c r="AF35" i="135"/>
  <c r="AG35" i="135"/>
  <c r="AH35" i="135"/>
  <c r="AI35" i="135"/>
  <c r="AJ35" i="135"/>
  <c r="O143" i="135"/>
  <c r="H143" i="135"/>
  <c r="E135" i="135"/>
  <c r="R135" i="135"/>
  <c r="K135" i="135"/>
  <c r="J53" i="135"/>
  <c r="R53" i="135"/>
  <c r="AG31" i="16"/>
  <c r="AN68" i="16"/>
  <c r="AG29" i="16"/>
  <c r="AN66" i="16"/>
  <c r="I342" i="16"/>
  <c r="A73" i="52"/>
  <c r="I339" i="16"/>
  <c r="AM24" i="118"/>
  <c r="BU24" i="118"/>
  <c r="BU25" i="118"/>
  <c r="AU26" i="118"/>
  <c r="V82" i="118"/>
  <c r="BI18" i="118"/>
  <c r="I18" i="29"/>
  <c r="W18" i="29"/>
  <c r="AN25" i="118"/>
  <c r="BB25" i="118"/>
  <c r="AQ24" i="118"/>
  <c r="AW16" i="118"/>
  <c r="E185" i="13"/>
  <c r="BA126" i="13"/>
  <c r="M197" i="13"/>
  <c r="AO138" i="13"/>
  <c r="AP34" i="118"/>
  <c r="AT25" i="118"/>
  <c r="BN30" i="118"/>
  <c r="AU33" i="118"/>
  <c r="AU39" i="118"/>
  <c r="U46" i="16"/>
  <c r="AS132" i="13"/>
  <c r="AR132" i="13"/>
  <c r="AT123" i="13"/>
  <c r="Q180" i="13"/>
  <c r="K182" i="13"/>
  <c r="AS123" i="13"/>
  <c r="AZ123" i="13"/>
  <c r="S185" i="13"/>
  <c r="AN126" i="13"/>
  <c r="O188" i="13"/>
  <c r="AW129" i="13"/>
  <c r="AS129" i="13"/>
  <c r="M191" i="13"/>
  <c r="AY132" i="13"/>
  <c r="BA132" i="13"/>
  <c r="O194" i="13"/>
  <c r="AM135" i="13"/>
  <c r="AZ135" i="13"/>
  <c r="K197" i="13"/>
  <c r="AZ138" i="13"/>
  <c r="AU138" i="13"/>
  <c r="I200" i="13"/>
  <c r="R200" i="13"/>
  <c r="F545" i="16" a="1"/>
  <c r="F545" i="16"/>
  <c r="AN28" i="118"/>
  <c r="BH30" i="118"/>
  <c r="AR40" i="118"/>
  <c r="AN14" i="118"/>
  <c r="C676" i="16"/>
  <c r="AG27" i="16"/>
  <c r="I211" i="16"/>
  <c r="H15" i="29"/>
  <c r="B15" i="29"/>
  <c r="AX18" i="118"/>
  <c r="AT15" i="118"/>
  <c r="AQ12" i="118"/>
  <c r="AY11" i="118"/>
  <c r="AY8" i="118"/>
  <c r="BJ6" i="118"/>
  <c r="AT6" i="118"/>
  <c r="I203" i="16"/>
  <c r="A89" i="13"/>
  <c r="A73" i="13"/>
  <c r="A286" i="13"/>
  <c r="A303" i="13"/>
  <c r="A310" i="13"/>
  <c r="BI50" i="118"/>
  <c r="AS50" i="118"/>
  <c r="Y48" i="16"/>
  <c r="V48" i="16"/>
  <c r="G146" i="16"/>
  <c r="Y46" i="16"/>
  <c r="G144" i="16"/>
  <c r="Y30" i="16"/>
  <c r="I128" i="16"/>
  <c r="AX21" i="118"/>
  <c r="AV22" i="118"/>
  <c r="AY22" i="118"/>
  <c r="AV28" i="118"/>
  <c r="A146" i="52"/>
  <c r="I215" i="16"/>
  <c r="I207" i="16"/>
  <c r="I198" i="16"/>
  <c r="I194" i="16"/>
  <c r="U43" i="16"/>
  <c r="U42" i="16"/>
  <c r="T41" i="16"/>
  <c r="U29" i="16"/>
  <c r="T26" i="16"/>
  <c r="U21" i="16"/>
  <c r="U20" i="16"/>
  <c r="T17" i="16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K203" i="13"/>
  <c r="M200" i="13"/>
  <c r="E200" i="13"/>
  <c r="O197" i="13"/>
  <c r="G197" i="13"/>
  <c r="Q194" i="13"/>
  <c r="O191" i="13"/>
  <c r="M188" i="13"/>
  <c r="I188" i="13"/>
  <c r="E188" i="13"/>
  <c r="O185" i="13"/>
  <c r="K185" i="13"/>
  <c r="M182" i="13"/>
  <c r="I182" i="13"/>
  <c r="E182" i="13"/>
  <c r="S180" i="13"/>
  <c r="O180" i="13"/>
  <c r="K180" i="13"/>
  <c r="G180" i="13"/>
  <c r="Q178" i="13"/>
  <c r="M178" i="13"/>
  <c r="I178" i="13"/>
  <c r="E178" i="13"/>
  <c r="P177" i="13"/>
  <c r="L177" i="13"/>
  <c r="E177" i="13"/>
  <c r="M173" i="13"/>
  <c r="E173" i="13"/>
  <c r="S171" i="13"/>
  <c r="I169" i="13"/>
  <c r="A52" i="13"/>
  <c r="BE117" i="23"/>
  <c r="BA117" i="23"/>
  <c r="BE116" i="23"/>
  <c r="BA116" i="23"/>
  <c r="BD115" i="23"/>
  <c r="BF113" i="23"/>
  <c r="BB113" i="23"/>
  <c r="BE112" i="23"/>
  <c r="BA112" i="23"/>
  <c r="BD111" i="23"/>
  <c r="AZ111" i="23"/>
  <c r="BC110" i="23"/>
  <c r="Q20" i="87"/>
  <c r="Q12" i="87"/>
  <c r="S11" i="87"/>
  <c r="E21" i="29"/>
  <c r="C7" i="29"/>
  <c r="Q7" i="29"/>
  <c r="C5" i="29"/>
  <c r="Q5" i="29"/>
  <c r="BO46" i="118"/>
  <c r="AY37" i="118"/>
  <c r="AM37" i="118"/>
  <c r="AY33" i="118"/>
  <c r="BO15" i="118"/>
  <c r="AL5" i="118"/>
  <c r="M676" i="16"/>
  <c r="I340" i="16"/>
  <c r="S342" i="13"/>
  <c r="S343" i="13"/>
  <c r="S344" i="13"/>
  <c r="S345" i="13"/>
  <c r="S346" i="13"/>
  <c r="S347" i="13"/>
  <c r="S348" i="13"/>
  <c r="S349" i="13"/>
  <c r="S350" i="13"/>
  <c r="A53" i="13"/>
  <c r="A48" i="13"/>
  <c r="F531" i="16"/>
  <c r="J512" i="16"/>
  <c r="J507" i="16"/>
  <c r="J505" i="16"/>
  <c r="J500" i="16"/>
  <c r="J496" i="16"/>
  <c r="J486" i="16"/>
  <c r="AQ12" i="16"/>
  <c r="AO4" i="118"/>
  <c r="AW4" i="118"/>
  <c r="BU9" i="118"/>
  <c r="AY9" i="118"/>
  <c r="AV10" i="118"/>
  <c r="AY10" i="118"/>
  <c r="AP11" i="118"/>
  <c r="AW30" i="118"/>
  <c r="BB109" i="23"/>
  <c r="BE91" i="23"/>
  <c r="BA90" i="23"/>
  <c r="AZ89" i="23"/>
  <c r="BC88" i="23"/>
  <c r="BF87" i="23"/>
  <c r="BE86" i="23"/>
  <c r="BD85" i="23"/>
  <c r="AZ85" i="23"/>
  <c r="BF83" i="23"/>
  <c r="BA82" i="23"/>
  <c r="AZ81" i="23"/>
  <c r="BC80" i="23"/>
  <c r="BB79" i="23"/>
  <c r="BE78" i="23"/>
  <c r="BA78" i="23"/>
  <c r="BF47" i="23"/>
  <c r="BB47" i="23"/>
  <c r="BE46" i="23"/>
  <c r="BA45" i="23"/>
  <c r="AZ44" i="23"/>
  <c r="BF42" i="23"/>
  <c r="BA41" i="23"/>
  <c r="BF38" i="23"/>
  <c r="AZ36" i="23"/>
  <c r="F506" i="25"/>
  <c r="F502" i="25"/>
  <c r="F498" i="25"/>
  <c r="F490" i="25"/>
  <c r="F486" i="25"/>
  <c r="F482" i="25"/>
  <c r="H159" i="16"/>
  <c r="AI74" i="13"/>
  <c r="AI54" i="13"/>
  <c r="BF8" i="118"/>
  <c r="AP8" i="118"/>
  <c r="AE48" i="145"/>
  <c r="AL48" i="145"/>
  <c r="AG24" i="145"/>
  <c r="AM24" i="145"/>
  <c r="AH20" i="145"/>
  <c r="AM20" i="145"/>
  <c r="BV22" i="118"/>
  <c r="V80" i="118"/>
  <c r="AO25" i="118"/>
  <c r="V81" i="118"/>
  <c r="AU24" i="118"/>
  <c r="BU39" i="118"/>
  <c r="BH28" i="118"/>
  <c r="AR28" i="118"/>
  <c r="BO14" i="118"/>
  <c r="AY14" i="118"/>
  <c r="BG14" i="118"/>
  <c r="AQ14" i="118"/>
  <c r="BH13" i="118"/>
  <c r="AR13" i="118"/>
  <c r="BK12" i="118"/>
  <c r="AU12" i="118"/>
  <c r="AM12" i="118"/>
  <c r="BC12" i="118"/>
  <c r="BE11" i="118"/>
  <c r="AO11" i="118"/>
  <c r="BB10" i="118"/>
  <c r="AL10" i="118"/>
  <c r="AK9" i="118"/>
  <c r="AU9" i="118"/>
  <c r="BK9" i="118"/>
  <c r="BG9" i="118"/>
  <c r="AQ9" i="118"/>
  <c r="C150" i="13"/>
  <c r="Q210" i="13"/>
  <c r="C146" i="13"/>
  <c r="H206" i="13"/>
  <c r="C145" i="13"/>
  <c r="S203" i="13"/>
  <c r="R202" i="13"/>
  <c r="S201" i="13"/>
  <c r="O201" i="13"/>
  <c r="M201" i="13"/>
  <c r="R201" i="13"/>
  <c r="G201" i="13"/>
  <c r="E201" i="13"/>
  <c r="K199" i="13"/>
  <c r="S199" i="13"/>
  <c r="G199" i="13"/>
  <c r="M199" i="13"/>
  <c r="Q198" i="13"/>
  <c r="S198" i="13"/>
  <c r="I198" i="13"/>
  <c r="K198" i="13"/>
  <c r="G193" i="13"/>
  <c r="O193" i="13"/>
  <c r="M193" i="13"/>
  <c r="M192" i="13"/>
  <c r="F192" i="13"/>
  <c r="O192" i="13"/>
  <c r="I192" i="13"/>
  <c r="S192" i="13"/>
  <c r="O187" i="13"/>
  <c r="K187" i="13"/>
  <c r="N187" i="13"/>
  <c r="J187" i="13"/>
  <c r="K186" i="13"/>
  <c r="S186" i="13"/>
  <c r="Q186" i="13"/>
  <c r="I186" i="13"/>
  <c r="K181" i="13"/>
  <c r="I181" i="13"/>
  <c r="E176" i="13"/>
  <c r="O176" i="13"/>
  <c r="N176" i="13"/>
  <c r="R176" i="13"/>
  <c r="I176" i="13"/>
  <c r="K176" i="13"/>
  <c r="I172" i="13"/>
  <c r="O172" i="13"/>
  <c r="M172" i="13"/>
  <c r="N168" i="13"/>
  <c r="Q168" i="13"/>
  <c r="J168" i="13"/>
  <c r="F168" i="13"/>
  <c r="K168" i="13"/>
  <c r="G168" i="13"/>
  <c r="R168" i="13"/>
  <c r="C372" i="13"/>
  <c r="A79" i="13"/>
  <c r="C371" i="13"/>
  <c r="A78" i="13"/>
  <c r="C365" i="13"/>
  <c r="A72" i="13"/>
  <c r="AG28" i="145"/>
  <c r="AN28" i="145"/>
  <c r="F603" i="16"/>
  <c r="E603" i="16"/>
  <c r="AN22" i="118"/>
  <c r="V77" i="118"/>
  <c r="V85" i="118"/>
  <c r="AO30" i="118"/>
  <c r="BU30" i="118"/>
  <c r="AS30" i="118"/>
  <c r="V94" i="118"/>
  <c r="V64" i="118"/>
  <c r="AC34" i="16"/>
  <c r="AS8" i="118"/>
  <c r="AR15" i="118"/>
  <c r="AC20" i="16"/>
  <c r="AB20" i="16"/>
  <c r="V71" i="118"/>
  <c r="AQ21" i="118"/>
  <c r="V79" i="118"/>
  <c r="BU26" i="118"/>
  <c r="BA28" i="118"/>
  <c r="BB29" i="118"/>
  <c r="AY13" i="118"/>
  <c r="BO11" i="118"/>
  <c r="BL7" i="118"/>
  <c r="AV7" i="118"/>
  <c r="J676" i="16"/>
  <c r="U36" i="16"/>
  <c r="U10" i="16"/>
  <c r="C396" i="13"/>
  <c r="BD43" i="118"/>
  <c r="AN43" i="118"/>
  <c r="J99" i="16"/>
  <c r="E472" i="13"/>
  <c r="BN20" i="118"/>
  <c r="AS29" i="118"/>
  <c r="AS10" i="118"/>
  <c r="AU37" i="118"/>
  <c r="AW24" i="118"/>
  <c r="AO32" i="118"/>
  <c r="AR11" i="118"/>
  <c r="AN19" i="118"/>
  <c r="AK40" i="118"/>
  <c r="I101" i="16"/>
  <c r="AQ10" i="16"/>
  <c r="K469" i="16"/>
  <c r="J495" i="16"/>
  <c r="J506" i="16"/>
  <c r="F527" i="16"/>
  <c r="F533" i="16"/>
  <c r="AN27" i="118"/>
  <c r="J497" i="16"/>
  <c r="AT4" i="118"/>
  <c r="D158" i="118"/>
  <c r="AC3" i="16"/>
  <c r="T46" i="87"/>
  <c r="S20" i="87"/>
  <c r="Q19" i="87"/>
  <c r="AW47" i="118"/>
  <c r="BM47" i="118"/>
  <c r="AK46" i="118"/>
  <c r="BB47" i="118"/>
  <c r="AY46" i="118"/>
  <c r="AK43" i="118"/>
  <c r="BB44" i="118"/>
  <c r="BD42" i="118"/>
  <c r="AN42" i="118"/>
  <c r="BO39" i="118"/>
  <c r="AK27" i="118"/>
  <c r="BA27" i="118"/>
  <c r="BB22" i="118"/>
  <c r="BA21" i="118"/>
  <c r="AL20" i="118"/>
  <c r="AY19" i="118"/>
  <c r="AL17" i="118"/>
  <c r="BC39" i="23"/>
  <c r="BB38" i="23"/>
  <c r="A31" i="52"/>
  <c r="A20" i="52"/>
  <c r="F543" i="16" a="1"/>
  <c r="G543" i="16"/>
  <c r="F550" i="16" a="1"/>
  <c r="Z12" i="135"/>
  <c r="F140" i="135"/>
  <c r="Q140" i="135"/>
  <c r="H136" i="135"/>
  <c r="K136" i="135"/>
  <c r="O136" i="135"/>
  <c r="R136" i="135"/>
  <c r="Q136" i="135"/>
  <c r="J136" i="135"/>
  <c r="N132" i="135"/>
  <c r="E132" i="135"/>
  <c r="D132" i="135"/>
  <c r="L132" i="135"/>
  <c r="K132" i="135"/>
  <c r="L46" i="135"/>
  <c r="P46" i="135"/>
  <c r="BI48" i="118"/>
  <c r="AS48" i="118"/>
  <c r="BL27" i="118"/>
  <c r="AV27" i="118"/>
  <c r="BK22" i="118"/>
  <c r="AU22" i="118"/>
  <c r="BB20" i="118"/>
  <c r="AK19" i="118"/>
  <c r="BB17" i="118"/>
  <c r="BA16" i="118"/>
  <c r="BD16" i="118"/>
  <c r="AN16" i="118"/>
  <c r="AL15" i="118"/>
  <c r="L676" i="16"/>
  <c r="T49" i="16"/>
  <c r="T6" i="16"/>
  <c r="C377" i="13"/>
  <c r="A84" i="13"/>
  <c r="AS26" i="118"/>
  <c r="AR36" i="118"/>
  <c r="AW15" i="118"/>
  <c r="AS5" i="118"/>
  <c r="AN46" i="118"/>
  <c r="AO5" i="118"/>
  <c r="D676" i="16"/>
  <c r="AP12" i="118"/>
  <c r="AR43" i="118"/>
  <c r="BA19" i="118"/>
  <c r="AV21" i="118"/>
  <c r="AW29" i="118"/>
  <c r="AV43" i="118"/>
  <c r="T5" i="16"/>
  <c r="AR25" i="118"/>
  <c r="AV25" i="118"/>
  <c r="AR21" i="118"/>
  <c r="AX23" i="118"/>
  <c r="AY21" i="118"/>
  <c r="AV36" i="118"/>
  <c r="AR19" i="118"/>
  <c r="AR46" i="118"/>
  <c r="BB31" i="118"/>
  <c r="AX41" i="118"/>
  <c r="J101" i="16"/>
  <c r="U27" i="16"/>
  <c r="J502" i="16"/>
  <c r="J510" i="16"/>
  <c r="F534" i="16"/>
  <c r="H676" i="16"/>
  <c r="AS15" i="118"/>
  <c r="AK21" i="118"/>
  <c r="AR33" i="118"/>
  <c r="AP37" i="118"/>
  <c r="AT41" i="118"/>
  <c r="I26" i="29"/>
  <c r="AP17" i="118"/>
  <c r="AU43" i="118"/>
  <c r="AM46" i="118"/>
  <c r="AW48" i="118"/>
  <c r="Q27" i="87"/>
  <c r="AQ29" i="118"/>
  <c r="BG29" i="118"/>
  <c r="BH9" i="118"/>
  <c r="AR9" i="118"/>
  <c r="BO26" i="118"/>
  <c r="AL12" i="118"/>
  <c r="AY7" i="118"/>
  <c r="AD475" i="16"/>
  <c r="T481" i="16"/>
  <c r="AO11" i="16"/>
  <c r="I220" i="16"/>
  <c r="AF64" i="13"/>
  <c r="AF59" i="13"/>
  <c r="AF91" i="13"/>
  <c r="AF73" i="13"/>
  <c r="AF52" i="13"/>
  <c r="AF80" i="13"/>
  <c r="AF54" i="13"/>
  <c r="AB23" i="135"/>
  <c r="AS23" i="135"/>
  <c r="BI23" i="135"/>
  <c r="Q4" i="145"/>
  <c r="AB22" i="135"/>
  <c r="AS22" i="135"/>
  <c r="BI22" i="135"/>
  <c r="AC43" i="135"/>
  <c r="M4" i="145"/>
  <c r="X25" i="135"/>
  <c r="AO25" i="135"/>
  <c r="BE25" i="135"/>
  <c r="N142" i="135"/>
  <c r="I142" i="135"/>
  <c r="L142" i="135"/>
  <c r="R142" i="135"/>
  <c r="Q142" i="135"/>
  <c r="K44" i="135"/>
  <c r="P44" i="135"/>
  <c r="BU10" i="118"/>
  <c r="V66" i="118"/>
  <c r="V87" i="118"/>
  <c r="AU38" i="118"/>
  <c r="BO27" i="118"/>
  <c r="AL19" i="118"/>
  <c r="AL8" i="118"/>
  <c r="T478" i="16"/>
  <c r="D130" i="135"/>
  <c r="Q184" i="13"/>
  <c r="E184" i="13"/>
  <c r="A61" i="13"/>
  <c r="BC117" i="23"/>
  <c r="BC116" i="23"/>
  <c r="BB115" i="23"/>
  <c r="BE114" i="23"/>
  <c r="BA114" i="23"/>
  <c r="AZ113" i="23"/>
  <c r="BC112" i="23"/>
  <c r="BF111" i="23"/>
  <c r="BB111" i="23"/>
  <c r="BE110" i="23"/>
  <c r="BA110" i="23"/>
  <c r="AZ109" i="23"/>
  <c r="BC91" i="23"/>
  <c r="BC90" i="23"/>
  <c r="BF89" i="23"/>
  <c r="BB89" i="23"/>
  <c r="BE88" i="23"/>
  <c r="BA88" i="23"/>
  <c r="BD87" i="23"/>
  <c r="BC86" i="23"/>
  <c r="BF85" i="23"/>
  <c r="BB85" i="23"/>
  <c r="F573" i="16"/>
  <c r="F569" i="16"/>
  <c r="F565" i="16"/>
  <c r="E561" i="16"/>
  <c r="F557" i="16"/>
  <c r="F599" i="16"/>
  <c r="F595" i="16"/>
  <c r="F591" i="16"/>
  <c r="F587" i="16"/>
  <c r="F583" i="16"/>
  <c r="F579" i="16"/>
  <c r="F575" i="16"/>
  <c r="F571" i="16"/>
  <c r="E567" i="16"/>
  <c r="F563" i="16"/>
  <c r="E559" i="16"/>
  <c r="BU7" i="118"/>
  <c r="V67" i="118"/>
  <c r="BU32" i="118"/>
  <c r="V100" i="118"/>
  <c r="G183" i="13"/>
  <c r="E180" i="13"/>
  <c r="K179" i="13"/>
  <c r="G179" i="13"/>
  <c r="I175" i="13"/>
  <c r="S170" i="13"/>
  <c r="AR50" i="118"/>
  <c r="G481" i="16"/>
  <c r="G494" i="25"/>
  <c r="H506" i="25"/>
  <c r="D58" i="25"/>
  <c r="D54" i="25"/>
  <c r="D47" i="25"/>
  <c r="CE40" i="25" a="1"/>
  <c r="CE51" i="25"/>
  <c r="I145" i="16"/>
  <c r="BU13" i="118"/>
  <c r="V70" i="118"/>
  <c r="BU35" i="118"/>
  <c r="V91" i="118"/>
  <c r="AW49" i="118"/>
  <c r="AQ50" i="118"/>
  <c r="BE84" i="23"/>
  <c r="BD83" i="23"/>
  <c r="AZ83" i="23"/>
  <c r="BC82" i="23"/>
  <c r="BF81" i="23"/>
  <c r="BB81" i="23"/>
  <c r="BE80" i="23"/>
  <c r="BA80" i="23"/>
  <c r="BD79" i="23"/>
  <c r="AZ79" i="23"/>
  <c r="BC78" i="23"/>
  <c r="BD47" i="23"/>
  <c r="AZ47" i="23"/>
  <c r="BC46" i="23"/>
  <c r="BF44" i="23"/>
  <c r="BB44" i="23"/>
  <c r="BD42" i="23"/>
  <c r="BB40" i="23"/>
  <c r="BE39" i="23"/>
  <c r="E596" i="16"/>
  <c r="AU11" i="16"/>
  <c r="AI48" i="13"/>
  <c r="AI83" i="13"/>
  <c r="AI63" i="13"/>
  <c r="AI59" i="13"/>
  <c r="AI55" i="13"/>
  <c r="AI51" i="13"/>
  <c r="AW45" i="118"/>
  <c r="E557" i="16"/>
  <c r="E565" i="16"/>
  <c r="E569" i="16"/>
  <c r="E597" i="16"/>
  <c r="F601" i="16"/>
  <c r="AU19" i="118"/>
  <c r="BK19" i="118"/>
  <c r="BC19" i="118"/>
  <c r="AM19" i="118"/>
  <c r="I195" i="16"/>
  <c r="AH29" i="13"/>
  <c r="AI29" i="13"/>
  <c r="M29" i="13"/>
  <c r="X29" i="13"/>
  <c r="F29" i="13"/>
  <c r="AA29" i="13"/>
  <c r="E29" i="13"/>
  <c r="AK29" i="13"/>
  <c r="S21" i="87"/>
  <c r="S27" i="87"/>
  <c r="T29" i="13"/>
  <c r="R21" i="87"/>
  <c r="AV18" i="118"/>
  <c r="AP22" i="118"/>
  <c r="AW17" i="118"/>
  <c r="T9" i="16"/>
  <c r="T31" i="16"/>
  <c r="H477" i="25"/>
  <c r="H493" i="25"/>
  <c r="H509" i="25"/>
  <c r="AE193" i="25"/>
  <c r="AF185" i="25"/>
  <c r="AB136" i="25"/>
  <c r="AD136" i="25"/>
  <c r="AE136" i="25"/>
  <c r="AA169" i="25"/>
  <c r="AI169" i="25"/>
  <c r="AG169" i="25"/>
  <c r="Z173" i="25"/>
  <c r="AB173" i="25"/>
  <c r="AE173" i="25"/>
  <c r="V173" i="25"/>
  <c r="AD177" i="25"/>
  <c r="AF177" i="25"/>
  <c r="W177" i="25"/>
  <c r="V177" i="25"/>
  <c r="AB181" i="25"/>
  <c r="Z181" i="25"/>
  <c r="Y185" i="25"/>
  <c r="V185" i="25"/>
  <c r="AC185" i="25"/>
  <c r="Y189" i="25"/>
  <c r="AF189" i="25"/>
  <c r="AA193" i="25"/>
  <c r="W193" i="25"/>
  <c r="AI193" i="25"/>
  <c r="H470" i="25"/>
  <c r="H490" i="25"/>
  <c r="H502" i="25"/>
  <c r="F561" i="16"/>
  <c r="E573" i="16"/>
  <c r="E577" i="16"/>
  <c r="E583" i="16"/>
  <c r="E587" i="16"/>
  <c r="E591" i="16"/>
  <c r="AP14" i="118"/>
  <c r="AR18" i="118"/>
  <c r="AX14" i="118"/>
  <c r="AM25" i="118"/>
  <c r="I183" i="16"/>
  <c r="Y29" i="13"/>
  <c r="AL29" i="13"/>
  <c r="R27" i="87"/>
  <c r="BQ20" i="118"/>
  <c r="D135" i="118"/>
  <c r="I206" i="16"/>
  <c r="Z102" i="13"/>
  <c r="V102" i="13"/>
  <c r="R102" i="13"/>
  <c r="C355" i="13"/>
  <c r="A62" i="13"/>
  <c r="C347" i="13"/>
  <c r="A54" i="13"/>
  <c r="BB42" i="23"/>
  <c r="BE41" i="23"/>
  <c r="BD40" i="23"/>
  <c r="BD36" i="23"/>
  <c r="BC35" i="23"/>
  <c r="AP40" i="118"/>
  <c r="BF40" i="118"/>
  <c r="D133" i="118"/>
  <c r="BQ18" i="118"/>
  <c r="I191" i="16"/>
  <c r="AG181" i="25"/>
  <c r="X181" i="25"/>
  <c r="D65" i="25"/>
  <c r="H481" i="25"/>
  <c r="H497" i="25"/>
  <c r="H513" i="25"/>
  <c r="T40" i="87"/>
  <c r="AX22" i="118"/>
  <c r="AH177" i="25"/>
  <c r="AE185" i="25"/>
  <c r="AD189" i="25"/>
  <c r="AG136" i="25"/>
  <c r="Z136" i="25"/>
  <c r="W136" i="25"/>
  <c r="AJ169" i="25"/>
  <c r="Z169" i="25"/>
  <c r="Y169" i="25"/>
  <c r="V169" i="25"/>
  <c r="AD173" i="25"/>
  <c r="AF173" i="25"/>
  <c r="W173" i="25"/>
  <c r="AI177" i="25"/>
  <c r="AJ177" i="25"/>
  <c r="AI181" i="25"/>
  <c r="V181" i="25"/>
  <c r="AC181" i="25"/>
  <c r="AJ185" i="25"/>
  <c r="AH185" i="25"/>
  <c r="AI185" i="25"/>
  <c r="AE189" i="25"/>
  <c r="AI189" i="25"/>
  <c r="AB189" i="25"/>
  <c r="X193" i="25"/>
  <c r="Z193" i="25"/>
  <c r="Y193" i="25"/>
  <c r="H476" i="25"/>
  <c r="H482" i="25"/>
  <c r="H494" i="25"/>
  <c r="AR7" i="118"/>
  <c r="AN26" i="118"/>
  <c r="E579" i="16"/>
  <c r="T27" i="87"/>
  <c r="I187" i="16"/>
  <c r="I180" i="16"/>
  <c r="BQ31" i="118"/>
  <c r="D146" i="118"/>
  <c r="AY20" i="118"/>
  <c r="BL16" i="118"/>
  <c r="AV16" i="118"/>
  <c r="BA15" i="118"/>
  <c r="BB16" i="118"/>
  <c r="Y102" i="13"/>
  <c r="U102" i="13"/>
  <c r="Q102" i="13"/>
  <c r="M102" i="13"/>
  <c r="BD117" i="23"/>
  <c r="AZ117" i="23"/>
  <c r="BD116" i="23"/>
  <c r="AZ116" i="23"/>
  <c r="BC115" i="23"/>
  <c r="BB114" i="23"/>
  <c r="BA113" i="23"/>
  <c r="AZ112" i="23"/>
  <c r="BF110" i="23"/>
  <c r="BA109" i="23"/>
  <c r="BC85" i="23"/>
  <c r="BB80" i="23"/>
  <c r="BA79" i="23"/>
  <c r="BD78" i="23"/>
  <c r="AZ78" i="23"/>
  <c r="BE47" i="23"/>
  <c r="BD45" i="23"/>
  <c r="BF39" i="23"/>
  <c r="BB39" i="23"/>
  <c r="BD37" i="23"/>
  <c r="BC36" i="23"/>
  <c r="BE35" i="23"/>
  <c r="H512" i="25"/>
  <c r="H508" i="25"/>
  <c r="H504" i="25"/>
  <c r="H496" i="25"/>
  <c r="H492" i="25"/>
  <c r="H488" i="25"/>
  <c r="H480" i="25"/>
  <c r="H472" i="25"/>
  <c r="H468" i="25"/>
  <c r="G506" i="25"/>
  <c r="G476" i="25"/>
  <c r="AH168" i="25"/>
  <c r="AF168" i="25"/>
  <c r="AI168" i="25"/>
  <c r="D66" i="25"/>
  <c r="D61" i="25"/>
  <c r="D56" i="25"/>
  <c r="D55" i="25"/>
  <c r="D51" i="25"/>
  <c r="D48" i="25"/>
  <c r="D45" i="25"/>
  <c r="D40" i="25"/>
  <c r="AM32" i="118"/>
  <c r="AL48" i="118"/>
  <c r="BK44" i="118"/>
  <c r="AU44" i="118"/>
  <c r="BV37" i="118"/>
  <c r="BM35" i="118"/>
  <c r="AW35" i="118"/>
  <c r="AL30" i="118"/>
  <c r="BJ23" i="118"/>
  <c r="AT23" i="118"/>
  <c r="AL16" i="118"/>
  <c r="BQ8" i="118"/>
  <c r="D123" i="118"/>
  <c r="BB7" i="118"/>
  <c r="BA6" i="118"/>
  <c r="BM5" i="118"/>
  <c r="AW5" i="118"/>
  <c r="G28" i="128"/>
  <c r="H28" i="128"/>
  <c r="AI25" i="135"/>
  <c r="AZ25" i="135"/>
  <c r="BP25" i="135"/>
  <c r="X4" i="145"/>
  <c r="AJ43" i="135"/>
  <c r="AE25" i="135"/>
  <c r="AV25" i="135"/>
  <c r="BL25" i="135"/>
  <c r="AE21" i="135"/>
  <c r="AV21" i="135"/>
  <c r="BL21" i="135"/>
  <c r="O20" i="135"/>
  <c r="AE22" i="135"/>
  <c r="AV22" i="135"/>
  <c r="BL22" i="135"/>
  <c r="AE24" i="135"/>
  <c r="AV24" i="135"/>
  <c r="BL24" i="135"/>
  <c r="T4" i="145"/>
  <c r="AA24" i="135"/>
  <c r="AR24" i="135"/>
  <c r="BH24" i="135"/>
  <c r="AA21" i="135"/>
  <c r="AR21" i="135"/>
  <c r="BH21" i="135"/>
  <c r="K20" i="135"/>
  <c r="X38" i="135"/>
  <c r="L4" i="145"/>
  <c r="W23" i="135"/>
  <c r="AN23" i="135"/>
  <c r="BD23" i="135"/>
  <c r="W24" i="135"/>
  <c r="AN24" i="135"/>
  <c r="BD24" i="135"/>
  <c r="AY48" i="118"/>
  <c r="BE44" i="118"/>
  <c r="BA43" i="118"/>
  <c r="AL43" i="118"/>
  <c r="BO42" i="118"/>
  <c r="AL40" i="118"/>
  <c r="BO36" i="118"/>
  <c r="BO18" i="118"/>
  <c r="BO8" i="118"/>
  <c r="M176" i="13"/>
  <c r="E172" i="13"/>
  <c r="K171" i="13"/>
  <c r="E168" i="13"/>
  <c r="L102" i="13"/>
  <c r="AF65" i="13"/>
  <c r="X23" i="135"/>
  <c r="AO23" i="135"/>
  <c r="BE23" i="135"/>
  <c r="AS41" i="118"/>
  <c r="BU42" i="118"/>
  <c r="AM43" i="118"/>
  <c r="BO45" i="118"/>
  <c r="AY35" i="118"/>
  <c r="AY29" i="118"/>
  <c r="AO10" i="16"/>
  <c r="CQ16" i="16"/>
  <c r="I99" i="16"/>
  <c r="I98" i="16"/>
  <c r="U49" i="16"/>
  <c r="U39" i="16"/>
  <c r="U37" i="16"/>
  <c r="U35" i="16"/>
  <c r="T34" i="16"/>
  <c r="AF86" i="13"/>
  <c r="AD78" i="13"/>
  <c r="AF70" i="13"/>
  <c r="AF62" i="13"/>
  <c r="AD51" i="13"/>
  <c r="AF79" i="13"/>
  <c r="AF63" i="13"/>
  <c r="AD53" i="13"/>
  <c r="AF50" i="13"/>
  <c r="AF68" i="13"/>
  <c r="AI64" i="13"/>
  <c r="AI56" i="13"/>
  <c r="AF23" i="135"/>
  <c r="AW23" i="135"/>
  <c r="BM23" i="135"/>
  <c r="AF25" i="135"/>
  <c r="AW25" i="135"/>
  <c r="BM25" i="135"/>
  <c r="AB25" i="135"/>
  <c r="AS25" i="135"/>
  <c r="BI25" i="135"/>
  <c r="AB21" i="135"/>
  <c r="AS21" i="135"/>
  <c r="BI21" i="135"/>
  <c r="L20" i="135"/>
  <c r="Y43" i="135"/>
  <c r="X22" i="135"/>
  <c r="AO22" i="135"/>
  <c r="BE22" i="135"/>
  <c r="M136" i="135"/>
  <c r="G136" i="135"/>
  <c r="P136" i="135"/>
  <c r="D136" i="135"/>
  <c r="L136" i="135"/>
  <c r="E136" i="135"/>
  <c r="F136" i="135"/>
  <c r="N136" i="135"/>
  <c r="M132" i="135"/>
  <c r="I132" i="135"/>
  <c r="F132" i="135"/>
  <c r="G132" i="135"/>
  <c r="J132" i="135"/>
  <c r="O128" i="135"/>
  <c r="F128" i="135"/>
  <c r="N128" i="135"/>
  <c r="Q58" i="135"/>
  <c r="E58" i="135"/>
  <c r="M54" i="135"/>
  <c r="P54" i="135"/>
  <c r="F42" i="135"/>
  <c r="O42" i="135"/>
  <c r="Q42" i="135"/>
  <c r="AX10" i="118"/>
  <c r="AX11" i="118"/>
  <c r="BV12" i="118"/>
  <c r="AQ15" i="118"/>
  <c r="AV35" i="118"/>
  <c r="AN47" i="118"/>
  <c r="N185" i="13"/>
  <c r="J185" i="13"/>
  <c r="AI66" i="13"/>
  <c r="N146" i="135"/>
  <c r="J146" i="135"/>
  <c r="AO52" i="145"/>
  <c r="AM10" i="145"/>
  <c r="AO10" i="145"/>
  <c r="AH10" i="145"/>
  <c r="AG10" i="145"/>
  <c r="AB10" i="145"/>
  <c r="AJ10" i="145"/>
  <c r="AA10" i="145"/>
  <c r="AI10" i="145"/>
  <c r="AN53" i="145"/>
  <c r="AF53" i="145"/>
  <c r="AM53" i="145"/>
  <c r="AE53" i="145"/>
  <c r="AL53" i="145"/>
  <c r="AD53" i="145"/>
  <c r="AK53" i="145"/>
  <c r="AC53" i="145"/>
  <c r="AL49" i="145"/>
  <c r="AD49" i="145"/>
  <c r="AK49" i="145"/>
  <c r="AC49" i="145"/>
  <c r="AJ49" i="145"/>
  <c r="AB49" i="145"/>
  <c r="AI49" i="145"/>
  <c r="AA49" i="145"/>
  <c r="AJ45" i="145"/>
  <c r="AB45" i="145"/>
  <c r="AI45" i="145"/>
  <c r="AA45" i="145"/>
  <c r="AH45" i="145"/>
  <c r="AO45" i="145"/>
  <c r="AG45" i="145"/>
  <c r="AH41" i="145"/>
  <c r="AO41" i="145"/>
  <c r="AG41" i="145"/>
  <c r="AN41" i="145"/>
  <c r="AF41" i="145"/>
  <c r="AM41" i="145"/>
  <c r="AE41" i="145"/>
  <c r="AN37" i="145"/>
  <c r="AF37" i="145"/>
  <c r="AM37" i="145"/>
  <c r="AE37" i="145"/>
  <c r="AL37" i="145"/>
  <c r="AD37" i="145"/>
  <c r="AK37" i="145"/>
  <c r="AC37" i="145"/>
  <c r="AM33" i="145"/>
  <c r="AE33" i="145"/>
  <c r="AL33" i="145"/>
  <c r="AD33" i="145"/>
  <c r="AK33" i="145"/>
  <c r="AC33" i="145"/>
  <c r="AJ33" i="145"/>
  <c r="AB33" i="145"/>
  <c r="AK29" i="145"/>
  <c r="AC29" i="145"/>
  <c r="AJ29" i="145"/>
  <c r="AB29" i="145"/>
  <c r="AI29" i="145"/>
  <c r="AA29" i="145"/>
  <c r="AH29" i="145"/>
  <c r="AI25" i="145"/>
  <c r="AA25" i="145"/>
  <c r="AH25" i="145"/>
  <c r="AO25" i="145"/>
  <c r="AG25" i="145"/>
  <c r="AN25" i="145"/>
  <c r="AF25" i="145"/>
  <c r="AO21" i="145"/>
  <c r="AG21" i="145"/>
  <c r="AN21" i="145"/>
  <c r="AF21" i="145"/>
  <c r="AM21" i="145"/>
  <c r="AE21" i="145"/>
  <c r="AL21" i="145"/>
  <c r="AD21" i="145"/>
  <c r="AM17" i="145"/>
  <c r="AE17" i="145"/>
  <c r="AL17" i="145"/>
  <c r="AD17" i="145"/>
  <c r="AK17" i="145"/>
  <c r="AC17" i="145"/>
  <c r="AJ17" i="145"/>
  <c r="AB17" i="145"/>
  <c r="AK13" i="145"/>
  <c r="AC13" i="145"/>
  <c r="AJ13" i="145"/>
  <c r="AB13" i="145"/>
  <c r="AI13" i="145"/>
  <c r="AA13" i="145"/>
  <c r="AH13" i="145"/>
  <c r="AN7" i="118"/>
  <c r="AW37" i="118"/>
  <c r="AM38" i="118"/>
  <c r="AR39" i="118"/>
  <c r="AY39" i="118"/>
  <c r="AY44" i="118"/>
  <c r="AS45" i="118"/>
  <c r="BU46" i="118"/>
  <c r="AX46" i="118"/>
  <c r="AN48" i="118"/>
  <c r="T28" i="16"/>
  <c r="U26" i="16"/>
  <c r="T24" i="16"/>
  <c r="T23" i="16"/>
  <c r="V21" i="16"/>
  <c r="T20" i="16"/>
  <c r="T19" i="16"/>
  <c r="U17" i="16"/>
  <c r="U15" i="16"/>
  <c r="U14" i="16"/>
  <c r="U12" i="16"/>
  <c r="U11" i="16"/>
  <c r="U9" i="16"/>
  <c r="U7" i="16"/>
  <c r="U4" i="16"/>
  <c r="G196" i="13"/>
  <c r="K188" i="13"/>
  <c r="N177" i="13"/>
  <c r="J177" i="13"/>
  <c r="A85" i="13"/>
  <c r="AI78" i="13"/>
  <c r="A75" i="13"/>
  <c r="E599" i="16"/>
  <c r="H166" i="16"/>
  <c r="AI93" i="13"/>
  <c r="AI81" i="13"/>
  <c r="AI77" i="13"/>
  <c r="AI65" i="13"/>
  <c r="AI49" i="13"/>
  <c r="V38" i="135"/>
  <c r="V43" i="135"/>
  <c r="AN16" i="145"/>
  <c r="AH16" i="145"/>
  <c r="AI62" i="13"/>
  <c r="AS33" i="118"/>
  <c r="V89" i="118"/>
  <c r="BU34" i="118"/>
  <c r="AM35" i="118"/>
  <c r="BU38" i="118"/>
  <c r="BU40" i="118"/>
  <c r="V96" i="118"/>
  <c r="AU41" i="118"/>
  <c r="BU43" i="118"/>
  <c r="AM44" i="118"/>
  <c r="AT44" i="118"/>
  <c r="AW44" i="118"/>
  <c r="AP48" i="118"/>
  <c r="AN50" i="118"/>
  <c r="AU20" i="118"/>
  <c r="BO33" i="118"/>
  <c r="BN36" i="118"/>
  <c r="AX36" i="118"/>
  <c r="BA35" i="118"/>
  <c r="BB36" i="118"/>
  <c r="AK35" i="118"/>
  <c r="BH34" i="118"/>
  <c r="AR34" i="118"/>
  <c r="BN33" i="118"/>
  <c r="AX33" i="118"/>
  <c r="AV32" i="118"/>
  <c r="BL32" i="118"/>
  <c r="BE31" i="118"/>
  <c r="AO31" i="118"/>
  <c r="BE29" i="118"/>
  <c r="AO29" i="118"/>
  <c r="BE19" i="118"/>
  <c r="AO19" i="118"/>
  <c r="AT18" i="118"/>
  <c r="BV18" i="118"/>
  <c r="BB18" i="118"/>
  <c r="AK17" i="118"/>
  <c r="BJ16" i="118"/>
  <c r="AT16" i="118"/>
  <c r="BE15" i="118"/>
  <c r="AO15" i="118"/>
  <c r="V42" i="16"/>
  <c r="T42" i="16"/>
  <c r="V22" i="16"/>
  <c r="T22" i="16"/>
  <c r="V18" i="16"/>
  <c r="U18" i="16"/>
  <c r="V16" i="16"/>
  <c r="U16" i="16"/>
  <c r="E476" i="13"/>
  <c r="E488" i="13"/>
  <c r="F476" i="13"/>
  <c r="Q476" i="13"/>
  <c r="Q475" i="13"/>
  <c r="Q479" i="13"/>
  <c r="S476" i="13"/>
  <c r="S475" i="13"/>
  <c r="S479" i="13"/>
  <c r="N476" i="13"/>
  <c r="L476" i="13"/>
  <c r="H476" i="13"/>
  <c r="K476" i="13"/>
  <c r="O476" i="13"/>
  <c r="I476" i="13"/>
  <c r="I488" i="13"/>
  <c r="F472" i="13"/>
  <c r="AQ10" i="118"/>
  <c r="BU11" i="118"/>
  <c r="BV31" i="118"/>
  <c r="V86" i="118"/>
  <c r="AO36" i="118"/>
  <c r="BU36" i="118"/>
  <c r="V95" i="118"/>
  <c r="V97" i="118"/>
  <c r="AQ43" i="118"/>
  <c r="V98" i="118"/>
  <c r="V101" i="118"/>
  <c r="AQ47" i="118"/>
  <c r="AB38" i="16"/>
  <c r="AT30" i="118"/>
  <c r="AO24" i="118"/>
  <c r="AM34" i="118"/>
  <c r="BU12" i="118"/>
  <c r="AL36" i="118"/>
  <c r="AN11" i="118"/>
  <c r="AV24" i="118"/>
  <c r="Q44" i="87"/>
  <c r="G497" i="25"/>
  <c r="G509" i="25"/>
  <c r="AN13" i="118"/>
  <c r="AR29" i="118"/>
  <c r="AO20" i="118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T16" i="16"/>
  <c r="T21" i="16"/>
  <c r="J98" i="16"/>
  <c r="AR24" i="118"/>
  <c r="T43" i="16"/>
  <c r="BO20" i="118"/>
  <c r="AO28" i="118"/>
  <c r="AO34" i="118"/>
  <c r="V90" i="118"/>
  <c r="BV11" i="118"/>
  <c r="I188" i="16"/>
  <c r="AM31" i="118"/>
  <c r="M476" i="13"/>
  <c r="AZ45" i="23"/>
  <c r="AG188" i="25"/>
  <c r="AC192" i="25"/>
  <c r="R476" i="13"/>
  <c r="R488" i="13"/>
  <c r="S38" i="87"/>
  <c r="T37" i="87"/>
  <c r="BQ39" i="118"/>
  <c r="D154" i="118"/>
  <c r="BM38" i="118"/>
  <c r="AW38" i="118"/>
  <c r="BD36" i="118"/>
  <c r="AN36" i="118"/>
  <c r="BQ36" i="118"/>
  <c r="D151" i="118"/>
  <c r="BJ34" i="118"/>
  <c r="AT34" i="118"/>
  <c r="BF32" i="118"/>
  <c r="AP32" i="118"/>
  <c r="AU31" i="118"/>
  <c r="BK31" i="118"/>
  <c r="BC29" i="118"/>
  <c r="AM29" i="118"/>
  <c r="AK23" i="118"/>
  <c r="BA23" i="118"/>
  <c r="BD21" i="118"/>
  <c r="AN21" i="118"/>
  <c r="BC20" i="118"/>
  <c r="AM20" i="118"/>
  <c r="AX16" i="118"/>
  <c r="BN16" i="118"/>
  <c r="AU15" i="118"/>
  <c r="BK15" i="118"/>
  <c r="BQ13" i="118"/>
  <c r="D128" i="118"/>
  <c r="O181" i="13"/>
  <c r="S181" i="13"/>
  <c r="G181" i="13"/>
  <c r="F181" i="13"/>
  <c r="C384" i="13"/>
  <c r="A91" i="13"/>
  <c r="X102" i="13"/>
  <c r="A88" i="13"/>
  <c r="C379" i="13"/>
  <c r="A86" i="13"/>
  <c r="BC45" i="23"/>
  <c r="BE43" i="23"/>
  <c r="BA43" i="23"/>
  <c r="AZ42" i="23"/>
  <c r="BC41" i="23"/>
  <c r="BF40" i="23"/>
  <c r="AZ38" i="23"/>
  <c r="BF36" i="23"/>
  <c r="BB36" i="23"/>
  <c r="BF35" i="23"/>
  <c r="G500" i="25"/>
  <c r="G468" i="25"/>
  <c r="G508" i="25"/>
  <c r="G492" i="25"/>
  <c r="G472" i="25"/>
  <c r="G498" i="25"/>
  <c r="G482" i="25"/>
  <c r="AG192" i="25"/>
  <c r="AF192" i="25"/>
  <c r="AB192" i="25"/>
  <c r="Y192" i="25"/>
  <c r="AD192" i="25"/>
  <c r="AA192" i="25"/>
  <c r="AI192" i="25"/>
  <c r="AH192" i="25"/>
  <c r="V192" i="25"/>
  <c r="X192" i="25"/>
  <c r="W192" i="25"/>
  <c r="V188" i="25"/>
  <c r="Y188" i="25"/>
  <c r="X188" i="25"/>
  <c r="AA188" i="25"/>
  <c r="AF188" i="25"/>
  <c r="AH188" i="25"/>
  <c r="AB188" i="25"/>
  <c r="AE188" i="25"/>
  <c r="W188" i="25"/>
  <c r="AI188" i="25"/>
  <c r="Y184" i="25"/>
  <c r="AJ184" i="25"/>
  <c r="AD184" i="25"/>
  <c r="AG184" i="25"/>
  <c r="AA184" i="25"/>
  <c r="AE184" i="25"/>
  <c r="AC184" i="25"/>
  <c r="AI184" i="25"/>
  <c r="W184" i="25"/>
  <c r="V184" i="25"/>
  <c r="AF184" i="25"/>
  <c r="Z184" i="25"/>
  <c r="X180" i="25"/>
  <c r="AB180" i="25"/>
  <c r="AA180" i="25"/>
  <c r="AD180" i="25"/>
  <c r="Y180" i="25"/>
  <c r="AF180" i="25"/>
  <c r="AH180" i="25"/>
  <c r="AJ180" i="25"/>
  <c r="AG180" i="25"/>
  <c r="AE180" i="25"/>
  <c r="Z180" i="25"/>
  <c r="AE176" i="25"/>
  <c r="Z176" i="25"/>
  <c r="AC176" i="25"/>
  <c r="AI176" i="25"/>
  <c r="Y176" i="25"/>
  <c r="AF176" i="25"/>
  <c r="AH176" i="25"/>
  <c r="X172" i="25"/>
  <c r="AI172" i="25"/>
  <c r="AJ172" i="25"/>
  <c r="AC172" i="25"/>
  <c r="AH172" i="25"/>
  <c r="AB172" i="25"/>
  <c r="AF172" i="25"/>
  <c r="AD172" i="25"/>
  <c r="AG172" i="25"/>
  <c r="V172" i="25"/>
  <c r="Y172" i="25"/>
  <c r="W172" i="25"/>
  <c r="V168" i="25"/>
  <c r="AA168" i="25"/>
  <c r="AB168" i="25"/>
  <c r="W168" i="25"/>
  <c r="AC168" i="25"/>
  <c r="Z168" i="25"/>
  <c r="AG168" i="25"/>
  <c r="AD168" i="25"/>
  <c r="Y168" i="25"/>
  <c r="AJ168" i="25"/>
  <c r="AE168" i="25"/>
  <c r="D67" i="25"/>
  <c r="D63" i="25"/>
  <c r="D60" i="25"/>
  <c r="D59" i="25"/>
  <c r="D57" i="25"/>
  <c r="D53" i="25"/>
  <c r="D52" i="25"/>
  <c r="D49" i="25"/>
  <c r="D46" i="25"/>
  <c r="D44" i="25"/>
  <c r="D42" i="25"/>
  <c r="D41" i="25"/>
  <c r="U3" i="25"/>
  <c r="O6" i="25"/>
  <c r="U2" i="25"/>
  <c r="J5" i="25"/>
  <c r="C154" i="13"/>
  <c r="A330" i="13"/>
  <c r="I186" i="16"/>
  <c r="AB55" i="145"/>
  <c r="AH55" i="145"/>
  <c r="AA55" i="145"/>
  <c r="AF51" i="145"/>
  <c r="AL51" i="145"/>
  <c r="AD51" i="145"/>
  <c r="AK51" i="145"/>
  <c r="AN51" i="145"/>
  <c r="AO47" i="145"/>
  <c r="AH47" i="145"/>
  <c r="AI47" i="145"/>
  <c r="AA47" i="145"/>
  <c r="AG47" i="145"/>
  <c r="AL43" i="145"/>
  <c r="AD43" i="145"/>
  <c r="AM43" i="145"/>
  <c r="AE43" i="145"/>
  <c r="AN43" i="145"/>
  <c r="AB39" i="145"/>
  <c r="AI39" i="145"/>
  <c r="AH39" i="145"/>
  <c r="AO39" i="145"/>
  <c r="AN35" i="145"/>
  <c r="AF35" i="145"/>
  <c r="AD35" i="145"/>
  <c r="AK35" i="145"/>
  <c r="AA35" i="145"/>
  <c r="AI31" i="145"/>
  <c r="AC31" i="145"/>
  <c r="AA31" i="145"/>
  <c r="AK31" i="145"/>
  <c r="AB31" i="145"/>
  <c r="AE27" i="145"/>
  <c r="AG27" i="145"/>
  <c r="AL27" i="145"/>
  <c r="AM27" i="145"/>
  <c r="AF27" i="145"/>
  <c r="AO27" i="145"/>
  <c r="AK23" i="145"/>
  <c r="AH23" i="145"/>
  <c r="AB23" i="145"/>
  <c r="AC23" i="145"/>
  <c r="AI23" i="145"/>
  <c r="AG19" i="145"/>
  <c r="AL19" i="145"/>
  <c r="AO19" i="145"/>
  <c r="AD19" i="145"/>
  <c r="AM19" i="145"/>
  <c r="AN19" i="145"/>
  <c r="AA15" i="145"/>
  <c r="AJ15" i="145"/>
  <c r="AK15" i="145"/>
  <c r="AH15" i="145"/>
  <c r="AC15" i="145"/>
  <c r="AI15" i="145"/>
  <c r="AB15" i="145"/>
  <c r="V88" i="118"/>
  <c r="BU33" i="118"/>
  <c r="V93" i="118"/>
  <c r="V99" i="118"/>
  <c r="AQ44" i="118"/>
  <c r="AQ45" i="118"/>
  <c r="BU49" i="118"/>
  <c r="AT49" i="118"/>
  <c r="AX9" i="118"/>
  <c r="R181" i="13"/>
  <c r="AS36" i="118"/>
  <c r="AS32" i="118"/>
  <c r="AU10" i="16"/>
  <c r="BJ19" i="16"/>
  <c r="AT36" i="118"/>
  <c r="G481" i="25"/>
  <c r="G493" i="25"/>
  <c r="G513" i="25"/>
  <c r="AV13" i="118"/>
  <c r="BV16" i="118"/>
  <c r="C474" i="13"/>
  <c r="T4" i="16"/>
  <c r="U19" i="16"/>
  <c r="T39" i="16"/>
  <c r="BU41" i="118"/>
  <c r="BV9" i="118"/>
  <c r="BA17" i="118"/>
  <c r="AQ20" i="118"/>
  <c r="BE27" i="118"/>
  <c r="BU31" i="118"/>
  <c r="BU45" i="118"/>
  <c r="V104" i="118"/>
  <c r="V65" i="118"/>
  <c r="T39" i="87"/>
  <c r="G484" i="25"/>
  <c r="AQ31" i="118"/>
  <c r="G476" i="13"/>
  <c r="G475" i="13"/>
  <c r="G479" i="13"/>
  <c r="Z172" i="25"/>
  <c r="W180" i="25"/>
  <c r="AC188" i="25"/>
  <c r="AE192" i="25"/>
  <c r="AD188" i="25"/>
  <c r="AD176" i="25"/>
  <c r="AC180" i="25"/>
  <c r="X184" i="25"/>
  <c r="Q26" i="87"/>
  <c r="BE33" i="118"/>
  <c r="AO33" i="118"/>
  <c r="BB27" i="118"/>
  <c r="BA26" i="118"/>
  <c r="BH15" i="118"/>
  <c r="BV15" i="118"/>
  <c r="BL12" i="118"/>
  <c r="AV12" i="118"/>
  <c r="BH12" i="118"/>
  <c r="AR12" i="118"/>
  <c r="BD12" i="118"/>
  <c r="AN12" i="118"/>
  <c r="BG8" i="118"/>
  <c r="AQ8" i="118"/>
  <c r="E676" i="16"/>
  <c r="F676" i="16"/>
  <c r="C151" i="13"/>
  <c r="K211" i="13"/>
  <c r="O203" i="13"/>
  <c r="G203" i="13"/>
  <c r="M203" i="13"/>
  <c r="A80" i="13"/>
  <c r="G502" i="25"/>
  <c r="G486" i="25"/>
  <c r="G474" i="25"/>
  <c r="I202" i="16"/>
  <c r="Y49" i="16"/>
  <c r="I147" i="16"/>
  <c r="Y41" i="16"/>
  <c r="J139" i="16"/>
  <c r="Z37" i="16"/>
  <c r="J135" i="16"/>
  <c r="G48" i="128"/>
  <c r="H48" i="128"/>
  <c r="H44" i="128"/>
  <c r="G44" i="128"/>
  <c r="H32" i="128"/>
  <c r="G32" i="128"/>
  <c r="G20" i="128"/>
  <c r="H20" i="128"/>
  <c r="H16" i="128"/>
  <c r="G16" i="128"/>
  <c r="G12" i="128"/>
  <c r="H12" i="128"/>
  <c r="G4" i="128"/>
  <c r="H4" i="128"/>
  <c r="G45" i="128"/>
  <c r="G41" i="128"/>
  <c r="G33" i="128"/>
  <c r="G25" i="128"/>
  <c r="G17" i="128"/>
  <c r="H13" i="128"/>
  <c r="R46" i="87"/>
  <c r="R35" i="87"/>
  <c r="R19" i="87"/>
  <c r="T17" i="87"/>
  <c r="R17" i="87"/>
  <c r="T14" i="87"/>
  <c r="T13" i="87"/>
  <c r="R10" i="87"/>
  <c r="S9" i="87"/>
  <c r="S8" i="87"/>
  <c r="Q6" i="87"/>
  <c r="R4" i="87"/>
  <c r="T3" i="87"/>
  <c r="E10" i="29"/>
  <c r="E6" i="29"/>
  <c r="C21" i="29"/>
  <c r="Q21" i="29"/>
  <c r="C19" i="29"/>
  <c r="Q19" i="29"/>
  <c r="C12" i="29"/>
  <c r="Q12" i="29"/>
  <c r="BQ46" i="118"/>
  <c r="D161" i="118"/>
  <c r="BI44" i="118"/>
  <c r="AS44" i="118"/>
  <c r="BK40" i="118"/>
  <c r="AU40" i="118"/>
  <c r="BC39" i="118"/>
  <c r="AM39" i="118"/>
  <c r="BM32" i="118"/>
  <c r="AW32" i="118"/>
  <c r="BF26" i="118"/>
  <c r="AP26" i="118"/>
  <c r="BO24" i="118"/>
  <c r="AY24" i="118"/>
  <c r="AV17" i="118"/>
  <c r="BL17" i="118"/>
  <c r="BD17" i="118"/>
  <c r="AN17" i="118"/>
  <c r="AR16" i="118"/>
  <c r="BH16" i="118"/>
  <c r="BA13" i="118"/>
  <c r="BB14" i="118"/>
  <c r="AL14" i="118"/>
  <c r="BN6" i="118"/>
  <c r="AX6" i="118"/>
  <c r="D399" i="13"/>
  <c r="A304" i="13"/>
  <c r="A309" i="13"/>
  <c r="A291" i="13"/>
  <c r="A311" i="13"/>
  <c r="A296" i="13"/>
  <c r="A313" i="13"/>
  <c r="A317" i="13"/>
  <c r="A290" i="13"/>
  <c r="A292" i="13"/>
  <c r="A301" i="13"/>
  <c r="A295" i="13"/>
  <c r="A308" i="13"/>
  <c r="A316" i="13"/>
  <c r="A312" i="13"/>
  <c r="A284" i="13"/>
  <c r="C153" i="13"/>
  <c r="A329" i="13"/>
  <c r="C147" i="13"/>
  <c r="E207" i="13"/>
  <c r="C144" i="13"/>
  <c r="R203" i="13"/>
  <c r="N203" i="13"/>
  <c r="F203" i="13"/>
  <c r="AX126" i="13"/>
  <c r="AV126" i="13"/>
  <c r="AT126" i="13"/>
  <c r="AU126" i="13"/>
  <c r="A71" i="13"/>
  <c r="H35" i="128"/>
  <c r="G35" i="128"/>
  <c r="H15" i="128"/>
  <c r="G15" i="128"/>
  <c r="AL42" i="118"/>
  <c r="I201" i="13"/>
  <c r="E175" i="13"/>
  <c r="S175" i="13"/>
  <c r="I187" i="13"/>
  <c r="BM21" i="118"/>
  <c r="V189" i="25"/>
  <c r="Q175" i="13"/>
  <c r="E187" i="13"/>
  <c r="E192" i="13"/>
  <c r="Q192" i="13"/>
  <c r="AP23" i="118"/>
  <c r="J104" i="16"/>
  <c r="I122" i="16"/>
  <c r="AK41" i="118"/>
  <c r="F193" i="13"/>
  <c r="H9" i="29"/>
  <c r="T9" i="29"/>
  <c r="H12" i="29"/>
  <c r="T12" i="29"/>
  <c r="BO48" i="118"/>
  <c r="AQ48" i="118"/>
  <c r="BG48" i="118"/>
  <c r="AL41" i="118"/>
  <c r="AV23" i="118"/>
  <c r="BL23" i="118"/>
  <c r="BO13" i="118"/>
  <c r="BO10" i="118"/>
  <c r="D124" i="118"/>
  <c r="BQ9" i="118"/>
  <c r="BO6" i="118"/>
  <c r="BC4" i="118"/>
  <c r="AM4" i="118"/>
  <c r="M452" i="13"/>
  <c r="E452" i="13"/>
  <c r="S452" i="13"/>
  <c r="R452" i="13"/>
  <c r="J452" i="13"/>
  <c r="G452" i="13"/>
  <c r="I452" i="13"/>
  <c r="P452" i="13"/>
  <c r="F452" i="13"/>
  <c r="R199" i="13"/>
  <c r="N199" i="13"/>
  <c r="F199" i="13"/>
  <c r="S195" i="13"/>
  <c r="G195" i="13"/>
  <c r="N192" i="13"/>
  <c r="J192" i="13"/>
  <c r="S190" i="13"/>
  <c r="G190" i="13"/>
  <c r="F187" i="13"/>
  <c r="C383" i="13"/>
  <c r="A90" i="13"/>
  <c r="A59" i="13"/>
  <c r="I178" i="16"/>
  <c r="AH12" i="135"/>
  <c r="K144" i="135"/>
  <c r="H144" i="135"/>
  <c r="I144" i="135"/>
  <c r="N144" i="135"/>
  <c r="J144" i="135"/>
  <c r="Q144" i="135"/>
  <c r="P141" i="135"/>
  <c r="K141" i="135"/>
  <c r="N141" i="135"/>
  <c r="G141" i="135"/>
  <c r="F141" i="135"/>
  <c r="H141" i="135"/>
  <c r="L137" i="135"/>
  <c r="K137" i="135"/>
  <c r="Q137" i="135"/>
  <c r="P137" i="135"/>
  <c r="G130" i="135"/>
  <c r="H130" i="135"/>
  <c r="N130" i="135"/>
  <c r="P130" i="135"/>
  <c r="F130" i="135"/>
  <c r="D60" i="135"/>
  <c r="J60" i="135"/>
  <c r="P60" i="135"/>
  <c r="J56" i="135"/>
  <c r="N56" i="135"/>
  <c r="R52" i="135"/>
  <c r="L52" i="135"/>
  <c r="BC41" i="118"/>
  <c r="AM41" i="118"/>
  <c r="BA39" i="118"/>
  <c r="AK39" i="118"/>
  <c r="BB40" i="118"/>
  <c r="BO37" i="118"/>
  <c r="BG5" i="118"/>
  <c r="AQ5" i="118"/>
  <c r="I179" i="16"/>
  <c r="J171" i="13"/>
  <c r="M171" i="13"/>
  <c r="S102" i="13"/>
  <c r="T102" i="13"/>
  <c r="P102" i="13"/>
  <c r="G510" i="25"/>
  <c r="G490" i="25"/>
  <c r="G478" i="25"/>
  <c r="G470" i="25"/>
  <c r="Y36" i="16"/>
  <c r="I134" i="16"/>
  <c r="A13" i="52"/>
  <c r="BO47" i="118"/>
  <c r="AU28" i="118"/>
  <c r="AL27" i="118"/>
  <c r="AL24" i="118"/>
  <c r="T37" i="16"/>
  <c r="T36" i="16"/>
  <c r="U34" i="16"/>
  <c r="U33" i="16"/>
  <c r="V28" i="16"/>
  <c r="T14" i="16"/>
  <c r="T11" i="16"/>
  <c r="T7" i="16"/>
  <c r="U5" i="16"/>
  <c r="V4" i="16"/>
  <c r="BC92" i="23"/>
  <c r="G489" i="16"/>
  <c r="H489" i="16"/>
  <c r="J487" i="16"/>
  <c r="J483" i="16"/>
  <c r="U72" i="135"/>
  <c r="AM72" i="135"/>
  <c r="C91" i="135"/>
  <c r="C87" i="135"/>
  <c r="U68" i="135"/>
  <c r="AM68" i="135"/>
  <c r="R40" i="135"/>
  <c r="D40" i="135"/>
  <c r="L57" i="135"/>
  <c r="O57" i="135"/>
  <c r="K49" i="135"/>
  <c r="R49" i="135"/>
  <c r="J45" i="135"/>
  <c r="Q45" i="135"/>
  <c r="Z43" i="135"/>
  <c r="Y23" i="135"/>
  <c r="AP23" i="135"/>
  <c r="BF23" i="135"/>
  <c r="E147" i="135"/>
  <c r="O147" i="135"/>
  <c r="R147" i="135"/>
  <c r="R143" i="135"/>
  <c r="Q143" i="135"/>
  <c r="P143" i="135"/>
  <c r="M143" i="135"/>
  <c r="K143" i="135"/>
  <c r="J143" i="135"/>
  <c r="K140" i="135"/>
  <c r="G140" i="135"/>
  <c r="R140" i="135"/>
  <c r="O140" i="135"/>
  <c r="O133" i="135"/>
  <c r="I133" i="135"/>
  <c r="N133" i="135"/>
  <c r="Q133" i="135"/>
  <c r="E133" i="135"/>
  <c r="R133" i="135"/>
  <c r="D133" i="135"/>
  <c r="M133" i="135"/>
  <c r="L133" i="135"/>
  <c r="K129" i="135"/>
  <c r="N129" i="135"/>
  <c r="P129" i="135"/>
  <c r="G129" i="135"/>
  <c r="R129" i="135"/>
  <c r="E129" i="135"/>
  <c r="H129" i="135"/>
  <c r="F129" i="135"/>
  <c r="R36" i="87"/>
  <c r="AM40" i="118"/>
  <c r="AL7" i="118"/>
  <c r="BO4" i="118"/>
  <c r="A24" i="52"/>
  <c r="F194" i="13"/>
  <c r="G192" i="13"/>
  <c r="Q190" i="13"/>
  <c r="I190" i="13"/>
  <c r="E190" i="13"/>
  <c r="E189" i="13"/>
  <c r="G187" i="13"/>
  <c r="R184" i="13"/>
  <c r="K184" i="13"/>
  <c r="F180" i="13"/>
  <c r="E179" i="13"/>
  <c r="S178" i="13"/>
  <c r="P105" i="13"/>
  <c r="A82" i="13"/>
  <c r="G512" i="25"/>
  <c r="G504" i="25"/>
  <c r="G496" i="25"/>
  <c r="G488" i="25"/>
  <c r="G480" i="25"/>
  <c r="F475" i="25"/>
  <c r="H515" i="16"/>
  <c r="H483" i="16"/>
  <c r="H30" i="128"/>
  <c r="S176" i="13"/>
  <c r="G175" i="13"/>
  <c r="Q173" i="13"/>
  <c r="S172" i="13"/>
  <c r="O171" i="13"/>
  <c r="Q169" i="13"/>
  <c r="E169" i="13"/>
  <c r="AI90" i="13"/>
  <c r="G473" i="25"/>
  <c r="BC118" i="23"/>
  <c r="E594" i="16"/>
  <c r="F570" i="16"/>
  <c r="F596" i="16"/>
  <c r="E588" i="16"/>
  <c r="E584" i="16"/>
  <c r="E556" i="16"/>
  <c r="G169" i="16"/>
  <c r="G161" i="16"/>
  <c r="G159" i="16"/>
  <c r="H151" i="16"/>
  <c r="AW50" i="118"/>
  <c r="G514" i="16"/>
  <c r="H506" i="16"/>
  <c r="G498" i="16"/>
  <c r="H482" i="16"/>
  <c r="H505" i="16"/>
  <c r="H481" i="16"/>
  <c r="H477" i="16"/>
  <c r="AE12" i="135"/>
  <c r="AG43" i="135"/>
  <c r="U4" i="145"/>
  <c r="AF21" i="135"/>
  <c r="AW21" i="135"/>
  <c r="BM21" i="135"/>
  <c r="P20" i="135"/>
  <c r="V58" i="145"/>
  <c r="AK56" i="145"/>
  <c r="AJ56" i="145"/>
  <c r="AK44" i="145"/>
  <c r="AA44" i="145"/>
  <c r="AK40" i="145"/>
  <c r="AA40" i="145"/>
  <c r="AK36" i="145"/>
  <c r="AA36" i="145"/>
  <c r="AJ32" i="145"/>
  <c r="AO32" i="145"/>
  <c r="AH28" i="145"/>
  <c r="AM28" i="145"/>
  <c r="AN24" i="145"/>
  <c r="AH24" i="145"/>
  <c r="AG20" i="145"/>
  <c r="AN20" i="145"/>
  <c r="AM16" i="145"/>
  <c r="AG16" i="145"/>
  <c r="AO12" i="145"/>
  <c r="AB12" i="145"/>
  <c r="AC12" i="145"/>
  <c r="AD12" i="145"/>
  <c r="V103" i="118"/>
  <c r="BU50" i="118"/>
  <c r="AB24" i="16"/>
  <c r="AC24" i="16"/>
  <c r="Q22" i="87"/>
  <c r="S22" i="87"/>
  <c r="T21" i="87"/>
  <c r="Q21" i="87"/>
  <c r="T15" i="87"/>
  <c r="S14" i="87"/>
  <c r="R13" i="87"/>
  <c r="Q13" i="87"/>
  <c r="R9" i="87"/>
  <c r="S6" i="87"/>
  <c r="Q5" i="87"/>
  <c r="Q4" i="87"/>
  <c r="E22" i="29"/>
  <c r="E14" i="29"/>
  <c r="E12" i="29"/>
  <c r="C24" i="29"/>
  <c r="Q24" i="29"/>
  <c r="R25" i="29"/>
  <c r="C16" i="29"/>
  <c r="Q16" i="29"/>
  <c r="C8" i="29"/>
  <c r="Q8" i="29"/>
  <c r="C28" i="29"/>
  <c r="C26" i="29"/>
  <c r="I28" i="29"/>
  <c r="I25" i="29"/>
  <c r="W25" i="29"/>
  <c r="X26" i="29"/>
  <c r="I23" i="29"/>
  <c r="W23" i="29"/>
  <c r="I11" i="29"/>
  <c r="W11" i="29"/>
  <c r="I24" i="29"/>
  <c r="I9" i="29"/>
  <c r="I20" i="29"/>
  <c r="W20" i="29"/>
  <c r="I12" i="29"/>
  <c r="I19" i="29"/>
  <c r="W19" i="29"/>
  <c r="I4" i="29"/>
  <c r="W4" i="29"/>
  <c r="I13" i="29"/>
  <c r="W13" i="29"/>
  <c r="I16" i="29"/>
  <c r="W16" i="29"/>
  <c r="I6" i="29"/>
  <c r="I15" i="29"/>
  <c r="W15" i="29"/>
  <c r="I5" i="29"/>
  <c r="W5" i="29"/>
  <c r="I14" i="29"/>
  <c r="W14" i="29"/>
  <c r="BO49" i="118"/>
  <c r="AY49" i="118"/>
  <c r="BK49" i="118"/>
  <c r="BV49" i="118"/>
  <c r="BG49" i="118"/>
  <c r="AQ49" i="118"/>
  <c r="BC49" i="118"/>
  <c r="AM49" i="118"/>
  <c r="BM46" i="118"/>
  <c r="AW46" i="118"/>
  <c r="BV46" i="118"/>
  <c r="BL45" i="118"/>
  <c r="AV45" i="118"/>
  <c r="BG39" i="118"/>
  <c r="AQ39" i="118"/>
  <c r="BI38" i="118"/>
  <c r="AS38" i="118"/>
  <c r="BB38" i="118"/>
  <c r="AL38" i="118"/>
  <c r="BA37" i="118"/>
  <c r="AO37" i="118"/>
  <c r="BE37" i="118"/>
  <c r="BK36" i="118"/>
  <c r="AU36" i="118"/>
  <c r="BI35" i="118"/>
  <c r="AS35" i="118"/>
  <c r="BE35" i="118"/>
  <c r="AO35" i="118"/>
  <c r="BD34" i="118"/>
  <c r="AN34" i="118"/>
  <c r="D149" i="118"/>
  <c r="BQ34" i="118"/>
  <c r="BJ33" i="118"/>
  <c r="AT33" i="118"/>
  <c r="S16" i="87"/>
  <c r="S15" i="87"/>
  <c r="Q14" i="87"/>
  <c r="S13" i="87"/>
  <c r="S12" i="87"/>
  <c r="T10" i="87"/>
  <c r="Q10" i="87"/>
  <c r="T9" i="87"/>
  <c r="Q9" i="87"/>
  <c r="R6" i="87"/>
  <c r="S5" i="87"/>
  <c r="L56" i="87"/>
  <c r="E19" i="29"/>
  <c r="E15" i="29"/>
  <c r="E13" i="29"/>
  <c r="E5" i="29"/>
  <c r="C18" i="29"/>
  <c r="Q18" i="29"/>
  <c r="C15" i="29"/>
  <c r="Q15" i="29"/>
  <c r="E26" i="29"/>
  <c r="AY45" i="118"/>
  <c r="BO32" i="118"/>
  <c r="E555" i="16"/>
  <c r="F555" i="16"/>
  <c r="F598" i="16"/>
  <c r="E598" i="16"/>
  <c r="F590" i="16"/>
  <c r="E590" i="16"/>
  <c r="E586" i="16"/>
  <c r="F586" i="16"/>
  <c r="F582" i="16"/>
  <c r="E582" i="16"/>
  <c r="F578" i="16"/>
  <c r="E578" i="16"/>
  <c r="E574" i="16"/>
  <c r="F574" i="16"/>
  <c r="E566" i="16"/>
  <c r="F566" i="16"/>
  <c r="F562" i="16"/>
  <c r="E562" i="16"/>
  <c r="E558" i="16"/>
  <c r="F558" i="16"/>
  <c r="F600" i="16"/>
  <c r="E600" i="16"/>
  <c r="E592" i="16"/>
  <c r="F592" i="16"/>
  <c r="E580" i="16"/>
  <c r="F580" i="16"/>
  <c r="E576" i="16"/>
  <c r="F576" i="16"/>
  <c r="E572" i="16"/>
  <c r="F572" i="16"/>
  <c r="E568" i="16"/>
  <c r="F568" i="16"/>
  <c r="E564" i="16"/>
  <c r="F564" i="16"/>
  <c r="F560" i="16"/>
  <c r="E560" i="16"/>
  <c r="H167" i="16"/>
  <c r="G167" i="16"/>
  <c r="H165" i="16"/>
  <c r="G165" i="16"/>
  <c r="G157" i="16"/>
  <c r="H157" i="16"/>
  <c r="H153" i="16"/>
  <c r="G153" i="16"/>
  <c r="I22" i="29"/>
  <c r="W22" i="29"/>
  <c r="I17" i="29"/>
  <c r="W17" i="29"/>
  <c r="Q35" i="87"/>
  <c r="S35" i="87"/>
  <c r="R34" i="87"/>
  <c r="S25" i="87"/>
  <c r="I8" i="29"/>
  <c r="W8" i="29"/>
  <c r="I21" i="29"/>
  <c r="W21" i="29"/>
  <c r="I27" i="29"/>
  <c r="T22" i="87"/>
  <c r="S10" i="87"/>
  <c r="S36" i="87"/>
  <c r="F588" i="16"/>
  <c r="AU49" i="118"/>
  <c r="T10" i="29"/>
  <c r="B10" i="29"/>
  <c r="Q45" i="87"/>
  <c r="R45" i="87"/>
  <c r="T44" i="87"/>
  <c r="T43" i="87"/>
  <c r="S43" i="87"/>
  <c r="S42" i="87"/>
  <c r="S18" i="87"/>
  <c r="T18" i="87"/>
  <c r="S17" i="87"/>
  <c r="R8" i="87"/>
  <c r="T8" i="87"/>
  <c r="Q7" i="87"/>
  <c r="T4" i="87"/>
  <c r="Q3" i="87"/>
  <c r="E23" i="29"/>
  <c r="E17" i="29"/>
  <c r="C17" i="29"/>
  <c r="Q17" i="29"/>
  <c r="C10" i="29"/>
  <c r="Q10" i="29"/>
  <c r="E27" i="29"/>
  <c r="BE48" i="118"/>
  <c r="AO48" i="118"/>
  <c r="AK45" i="118"/>
  <c r="AL46" i="118"/>
  <c r="BO40" i="118"/>
  <c r="AY40" i="118"/>
  <c r="BV38" i="118"/>
  <c r="BH38" i="118"/>
  <c r="BH37" i="118"/>
  <c r="AR37" i="118"/>
  <c r="C380" i="13"/>
  <c r="A87" i="13"/>
  <c r="A63" i="13"/>
  <c r="G485" i="16"/>
  <c r="H485" i="16"/>
  <c r="J492" i="16"/>
  <c r="J493" i="16"/>
  <c r="J489" i="16"/>
  <c r="J491" i="16"/>
  <c r="J488" i="16"/>
  <c r="J479" i="16"/>
  <c r="J478" i="16"/>
  <c r="R470" i="16"/>
  <c r="BV14" i="118"/>
  <c r="AU14" i="118"/>
  <c r="V69" i="118"/>
  <c r="BU14" i="118"/>
  <c r="V92" i="118"/>
  <c r="AS37" i="118"/>
  <c r="BU37" i="118"/>
  <c r="BU47" i="118"/>
  <c r="BV47" i="118"/>
  <c r="V102" i="118"/>
  <c r="BV48" i="118"/>
  <c r="BU48" i="118"/>
  <c r="AR48" i="118"/>
  <c r="R37" i="87"/>
  <c r="S4" i="87"/>
  <c r="R7" i="87"/>
  <c r="T41" i="87"/>
  <c r="AP46" i="118"/>
  <c r="R3" i="87"/>
  <c r="AY32" i="118"/>
  <c r="J485" i="16"/>
  <c r="AN37" i="118"/>
  <c r="AT39" i="118"/>
  <c r="AO41" i="118"/>
  <c r="BV45" i="118"/>
  <c r="A56" i="13"/>
  <c r="S46" i="87"/>
  <c r="R40" i="87"/>
  <c r="S39" i="87"/>
  <c r="R39" i="87"/>
  <c r="BM43" i="118"/>
  <c r="AW43" i="118"/>
  <c r="BJ42" i="118"/>
  <c r="AT42" i="118"/>
  <c r="BF42" i="118"/>
  <c r="AP42" i="118"/>
  <c r="BO41" i="118"/>
  <c r="AY41" i="118"/>
  <c r="BV41" i="118"/>
  <c r="BD41" i="118"/>
  <c r="AN41" i="118"/>
  <c r="BQ41" i="118"/>
  <c r="D156" i="118"/>
  <c r="BF31" i="118"/>
  <c r="AP31" i="118"/>
  <c r="BK30" i="118"/>
  <c r="AU30" i="118"/>
  <c r="BQ30" i="118"/>
  <c r="D145" i="118"/>
  <c r="BC27" i="118"/>
  <c r="AM27" i="118"/>
  <c r="BQ27" i="118"/>
  <c r="D142" i="118"/>
  <c r="BN26" i="118"/>
  <c r="AX26" i="118"/>
  <c r="BK26" i="118"/>
  <c r="BV26" i="118"/>
  <c r="BG26" i="118"/>
  <c r="AQ26" i="118"/>
  <c r="BK24" i="118"/>
  <c r="BV24" i="118"/>
  <c r="BV20" i="118"/>
  <c r="BC15" i="118"/>
  <c r="AM15" i="118"/>
  <c r="BQ15" i="118"/>
  <c r="D130" i="118"/>
  <c r="BC14" i="118"/>
  <c r="AM14" i="118"/>
  <c r="BM13" i="118"/>
  <c r="AW13" i="118"/>
  <c r="BF13" i="118"/>
  <c r="AP13" i="118"/>
  <c r="AL13" i="118"/>
  <c r="BB13" i="118"/>
  <c r="AK12" i="118"/>
  <c r="BJ12" i="118"/>
  <c r="BG12" i="118"/>
  <c r="BQ12" i="118"/>
  <c r="D127" i="118"/>
  <c r="BB11" i="118"/>
  <c r="AL11" i="118"/>
  <c r="BM8" i="118"/>
  <c r="AW8" i="118"/>
  <c r="BJ8" i="118"/>
  <c r="AT8" i="118"/>
  <c r="BV8" i="118"/>
  <c r="BG7" i="118"/>
  <c r="AQ7" i="118"/>
  <c r="BH6" i="118"/>
  <c r="BO5" i="118"/>
  <c r="AY5" i="118"/>
  <c r="R18" i="87"/>
  <c r="Q15" i="87"/>
  <c r="R15" i="87"/>
  <c r="T12" i="87"/>
  <c r="R11" i="87"/>
  <c r="Q11" i="87"/>
  <c r="T6" i="87"/>
  <c r="P56" i="87"/>
  <c r="E20" i="29"/>
  <c r="E11" i="29"/>
  <c r="E9" i="29"/>
  <c r="C22" i="29"/>
  <c r="Q22" i="29"/>
  <c r="C11" i="29"/>
  <c r="Q11" i="29"/>
  <c r="C6" i="29"/>
  <c r="Q6" i="29"/>
  <c r="H25" i="29"/>
  <c r="H19" i="29"/>
  <c r="H24" i="29"/>
  <c r="H16" i="29"/>
  <c r="H8" i="29"/>
  <c r="H13" i="29"/>
  <c r="H27" i="29"/>
  <c r="H7" i="29"/>
  <c r="J7" i="29"/>
  <c r="H4" i="29"/>
  <c r="H22" i="29"/>
  <c r="H14" i="29"/>
  <c r="H6" i="29"/>
  <c r="H17" i="29"/>
  <c r="H11" i="29"/>
  <c r="H20" i="29"/>
  <c r="H21" i="29"/>
  <c r="H18" i="29"/>
  <c r="H26" i="29"/>
  <c r="BN49" i="118"/>
  <c r="AX49" i="118"/>
  <c r="BL38" i="118"/>
  <c r="AV38" i="118"/>
  <c r="BV35" i="118"/>
  <c r="AR35" i="118"/>
  <c r="A66" i="13"/>
  <c r="C359" i="13"/>
  <c r="G474" i="16"/>
  <c r="H474" i="16"/>
  <c r="J481" i="16"/>
  <c r="J482" i="16"/>
  <c r="AA3" i="16"/>
  <c r="S7" i="87"/>
  <c r="Q18" i="87"/>
  <c r="T42" i="87"/>
  <c r="AY47" i="118"/>
  <c r="AN35" i="118"/>
  <c r="BI40" i="118"/>
  <c r="BA45" i="118"/>
  <c r="J484" i="16"/>
  <c r="J490" i="16"/>
  <c r="AR38" i="118"/>
  <c r="BB46" i="118"/>
  <c r="S3" i="87"/>
  <c r="H5" i="29"/>
  <c r="H28" i="29"/>
  <c r="H23" i="29"/>
  <c r="A50" i="13"/>
  <c r="T36" i="87"/>
  <c r="T33" i="87"/>
  <c r="S24" i="87"/>
  <c r="BF45" i="118"/>
  <c r="AP45" i="118"/>
  <c r="BE42" i="118"/>
  <c r="AO42" i="118"/>
  <c r="BD32" i="118"/>
  <c r="AN32" i="118"/>
  <c r="BC30" i="118"/>
  <c r="AM30" i="118"/>
  <c r="BJ27" i="118"/>
  <c r="BV27" i="118"/>
  <c r="BA25" i="118"/>
  <c r="BB26" i="118"/>
  <c r="AK25" i="118"/>
  <c r="AL26" i="118"/>
  <c r="BM25" i="118"/>
  <c r="AW25" i="118"/>
  <c r="BV25" i="118"/>
  <c r="BG22" i="118"/>
  <c r="AQ22" i="118"/>
  <c r="BQ22" i="118"/>
  <c r="D137" i="118"/>
  <c r="BI21" i="118"/>
  <c r="BV21" i="118"/>
  <c r="AS21" i="118"/>
  <c r="BF21" i="118"/>
  <c r="AP21" i="118"/>
  <c r="BA18" i="118"/>
  <c r="BB19" i="118"/>
  <c r="AY17" i="118"/>
  <c r="BO17" i="118"/>
  <c r="BE16" i="118"/>
  <c r="AO16" i="118"/>
  <c r="BA14" i="118"/>
  <c r="AK14" i="118"/>
  <c r="BH14" i="118"/>
  <c r="AR14" i="118"/>
  <c r="BI13" i="118"/>
  <c r="AS13" i="118"/>
  <c r="BV13" i="118"/>
  <c r="AY12" i="118"/>
  <c r="BO12" i="118"/>
  <c r="BB9" i="118"/>
  <c r="AK8" i="118"/>
  <c r="BA8" i="118"/>
  <c r="BN7" i="118"/>
  <c r="AX7" i="118"/>
  <c r="AU6" i="118"/>
  <c r="BK6" i="118"/>
  <c r="C2" i="25"/>
  <c r="O76" i="25"/>
  <c r="AB70" i="16"/>
  <c r="U40" i="16"/>
  <c r="V40" i="16"/>
  <c r="T40" i="16"/>
  <c r="T38" i="16"/>
  <c r="U38" i="16"/>
  <c r="V38" i="16"/>
  <c r="V35" i="16"/>
  <c r="T35" i="16"/>
  <c r="T32" i="16"/>
  <c r="U32" i="16"/>
  <c r="U24" i="16"/>
  <c r="V24" i="16"/>
  <c r="T13" i="16"/>
  <c r="V12" i="16"/>
  <c r="T12" i="16"/>
  <c r="T10" i="16"/>
  <c r="V10" i="16"/>
  <c r="T8" i="16"/>
  <c r="U8" i="16"/>
  <c r="U6" i="16"/>
  <c r="V6" i="16"/>
  <c r="U3" i="16"/>
  <c r="T3" i="16"/>
  <c r="G472" i="13"/>
  <c r="C455" i="13"/>
  <c r="C456" i="13"/>
  <c r="I190" i="16"/>
  <c r="I175" i="16"/>
  <c r="V105" i="118"/>
  <c r="S19" i="87"/>
  <c r="BK46" i="118"/>
  <c r="AU46" i="118"/>
  <c r="BG41" i="118"/>
  <c r="AQ41" i="118"/>
  <c r="BE39" i="118"/>
  <c r="AO39" i="118"/>
  <c r="BK35" i="118"/>
  <c r="AU35" i="118"/>
  <c r="BO25" i="118"/>
  <c r="BH17" i="118"/>
  <c r="AR17" i="118"/>
  <c r="BM10" i="118"/>
  <c r="AW10" i="118"/>
  <c r="BK4" i="118"/>
  <c r="AU4" i="118"/>
  <c r="BQ4" i="118"/>
  <c r="D119" i="118"/>
  <c r="C152" i="13"/>
  <c r="O198" i="13"/>
  <c r="F198" i="13"/>
  <c r="M198" i="13"/>
  <c r="K193" i="13"/>
  <c r="Q193" i="13"/>
  <c r="I193" i="13"/>
  <c r="E181" i="13"/>
  <c r="Q181" i="13"/>
  <c r="W102" i="13"/>
  <c r="O102" i="13"/>
  <c r="C376" i="13"/>
  <c r="A83" i="13"/>
  <c r="C374" i="13"/>
  <c r="A81" i="13"/>
  <c r="A67" i="13"/>
  <c r="C357" i="13"/>
  <c r="A64" i="13"/>
  <c r="Q43" i="87"/>
  <c r="Q34" i="87"/>
  <c r="D164" i="118"/>
  <c r="BQ49" i="118"/>
  <c r="BQ45" i="118"/>
  <c r="D160" i="118"/>
  <c r="BQ42" i="118"/>
  <c r="D157" i="118"/>
  <c r="BO34" i="118"/>
  <c r="BL26" i="118"/>
  <c r="AV26" i="118"/>
  <c r="BG25" i="118"/>
  <c r="AQ25" i="118"/>
  <c r="BQ25" i="118"/>
  <c r="D140" i="118"/>
  <c r="D139" i="118"/>
  <c r="BQ24" i="118"/>
  <c r="BD23" i="118"/>
  <c r="AN23" i="118"/>
  <c r="BI22" i="118"/>
  <c r="AS22" i="118"/>
  <c r="BA5" i="118"/>
  <c r="AL6" i="118"/>
  <c r="BB6" i="118"/>
  <c r="BN4" i="118"/>
  <c r="AX4" i="118"/>
  <c r="X273" i="16"/>
  <c r="X274" i="16"/>
  <c r="X275" i="16"/>
  <c r="X276" i="16"/>
  <c r="R198" i="13"/>
  <c r="N198" i="13"/>
  <c r="J198" i="13"/>
  <c r="G198" i="13"/>
  <c r="S193" i="13"/>
  <c r="O186" i="13"/>
  <c r="G186" i="13"/>
  <c r="M186" i="13"/>
  <c r="E186" i="13"/>
  <c r="I219" i="16"/>
  <c r="Y47" i="16"/>
  <c r="G145" i="16"/>
  <c r="Y45" i="16"/>
  <c r="G143" i="16"/>
  <c r="Y43" i="16"/>
  <c r="G141" i="16"/>
  <c r="AL44" i="118"/>
  <c r="G228" i="16"/>
  <c r="F228" i="16"/>
  <c r="H228" i="16"/>
  <c r="T48" i="16"/>
  <c r="U44" i="16"/>
  <c r="R193" i="13"/>
  <c r="G163" i="16"/>
  <c r="H161" i="16"/>
  <c r="H155" i="16"/>
  <c r="G151" i="16"/>
  <c r="U70" i="135"/>
  <c r="AM70" i="135"/>
  <c r="C89" i="135"/>
  <c r="D59" i="135"/>
  <c r="L59" i="135"/>
  <c r="K59" i="135"/>
  <c r="O59" i="135"/>
  <c r="J59" i="135"/>
  <c r="I59" i="135"/>
  <c r="Q59" i="135"/>
  <c r="N59" i="135"/>
  <c r="E59" i="135"/>
  <c r="P59" i="135"/>
  <c r="H59" i="135"/>
  <c r="R59" i="135"/>
  <c r="F59" i="135"/>
  <c r="F55" i="135"/>
  <c r="E55" i="135"/>
  <c r="M55" i="135"/>
  <c r="O55" i="135"/>
  <c r="D55" i="135"/>
  <c r="L55" i="135"/>
  <c r="K55" i="135"/>
  <c r="N55" i="135"/>
  <c r="H55" i="135"/>
  <c r="Q55" i="135"/>
  <c r="I55" i="135"/>
  <c r="P55" i="135"/>
  <c r="J55" i="135"/>
  <c r="R55" i="135"/>
  <c r="H51" i="135"/>
  <c r="G51" i="135"/>
  <c r="P51" i="135"/>
  <c r="F51" i="135"/>
  <c r="E51" i="135"/>
  <c r="M51" i="135"/>
  <c r="R51" i="135"/>
  <c r="Q51" i="135"/>
  <c r="I51" i="135"/>
  <c r="L51" i="135"/>
  <c r="O51" i="135"/>
  <c r="D51" i="135"/>
  <c r="J51" i="135"/>
  <c r="J47" i="135"/>
  <c r="I47" i="135"/>
  <c r="P47" i="135"/>
  <c r="H47" i="135"/>
  <c r="G47" i="135"/>
  <c r="R47" i="135"/>
  <c r="F47" i="135"/>
  <c r="M47" i="135"/>
  <c r="D47" i="135"/>
  <c r="K47" i="135"/>
  <c r="N47" i="135"/>
  <c r="L47" i="135"/>
  <c r="E47" i="135"/>
  <c r="Q47" i="135"/>
  <c r="D43" i="135"/>
  <c r="L43" i="135"/>
  <c r="K43" i="135"/>
  <c r="O43" i="135"/>
  <c r="J43" i="135"/>
  <c r="I43" i="135"/>
  <c r="Q43" i="135"/>
  <c r="N43" i="135"/>
  <c r="E43" i="135"/>
  <c r="H43" i="135"/>
  <c r="G43" i="135"/>
  <c r="R43" i="135"/>
  <c r="M43" i="135"/>
  <c r="P43" i="135"/>
  <c r="C28" i="145"/>
  <c r="BO44" i="118"/>
  <c r="BO38" i="118"/>
  <c r="BV36" i="118"/>
  <c r="BO7" i="118"/>
  <c r="V26" i="16"/>
  <c r="V20" i="16"/>
  <c r="U13" i="16"/>
  <c r="R194" i="13"/>
  <c r="H493" i="16"/>
  <c r="G493" i="16"/>
  <c r="H513" i="16"/>
  <c r="G513" i="16"/>
  <c r="H501" i="16"/>
  <c r="G501" i="16"/>
  <c r="N138" i="135"/>
  <c r="R138" i="135"/>
  <c r="M138" i="135"/>
  <c r="E138" i="135"/>
  <c r="H138" i="135"/>
  <c r="Q138" i="135"/>
  <c r="G138" i="135"/>
  <c r="P138" i="135"/>
  <c r="J138" i="135"/>
  <c r="I138" i="135"/>
  <c r="L138" i="135"/>
  <c r="F138" i="135"/>
  <c r="O138" i="135"/>
  <c r="K138" i="135"/>
  <c r="O135" i="135"/>
  <c r="G135" i="135"/>
  <c r="H135" i="135"/>
  <c r="N135" i="135"/>
  <c r="Q135" i="135"/>
  <c r="I135" i="135"/>
  <c r="D135" i="135"/>
  <c r="J135" i="135"/>
  <c r="M135" i="135"/>
  <c r="P135" i="135"/>
  <c r="L135" i="135"/>
  <c r="F135" i="135"/>
  <c r="O131" i="135"/>
  <c r="E131" i="135"/>
  <c r="J131" i="135"/>
  <c r="Q131" i="135"/>
  <c r="G131" i="135"/>
  <c r="P131" i="135"/>
  <c r="M131" i="135"/>
  <c r="N131" i="135"/>
  <c r="L131" i="135"/>
  <c r="I131" i="135"/>
  <c r="R131" i="135"/>
  <c r="J58" i="135"/>
  <c r="I58" i="135"/>
  <c r="P58" i="135"/>
  <c r="H58" i="135"/>
  <c r="G58" i="135"/>
  <c r="R58" i="135"/>
  <c r="O58" i="135"/>
  <c r="L58" i="135"/>
  <c r="N58" i="135"/>
  <c r="F58" i="135"/>
  <c r="M58" i="135"/>
  <c r="D58" i="135"/>
  <c r="D54" i="135"/>
  <c r="L54" i="135"/>
  <c r="K54" i="135"/>
  <c r="R54" i="135"/>
  <c r="J54" i="135"/>
  <c r="I54" i="135"/>
  <c r="O54" i="135"/>
  <c r="G54" i="135"/>
  <c r="Q54" i="135"/>
  <c r="E54" i="135"/>
  <c r="F54" i="135"/>
  <c r="N54" i="135"/>
  <c r="F50" i="135"/>
  <c r="E50" i="135"/>
  <c r="M50" i="135"/>
  <c r="O50" i="135"/>
  <c r="D50" i="135"/>
  <c r="L50" i="135"/>
  <c r="K50" i="135"/>
  <c r="Q50" i="135"/>
  <c r="P50" i="135"/>
  <c r="J50" i="135"/>
  <c r="N50" i="135"/>
  <c r="H50" i="135"/>
  <c r="R50" i="135"/>
  <c r="G50" i="135"/>
  <c r="J46" i="135"/>
  <c r="I46" i="135"/>
  <c r="R46" i="135"/>
  <c r="O46" i="135"/>
  <c r="H46" i="135"/>
  <c r="G46" i="135"/>
  <c r="Q46" i="135"/>
  <c r="F46" i="135"/>
  <c r="M46" i="135"/>
  <c r="D46" i="135"/>
  <c r="K46" i="135"/>
  <c r="E46" i="135"/>
  <c r="N46" i="135"/>
  <c r="D42" i="135"/>
  <c r="L42" i="135"/>
  <c r="K42" i="135"/>
  <c r="N42" i="135"/>
  <c r="J42" i="135"/>
  <c r="I42" i="135"/>
  <c r="P42" i="135"/>
  <c r="E42" i="135"/>
  <c r="R42" i="135"/>
  <c r="H42" i="135"/>
  <c r="M42" i="135"/>
  <c r="J478" i="13"/>
  <c r="P199" i="13"/>
  <c r="R195" i="13"/>
  <c r="N195" i="13"/>
  <c r="J183" i="13"/>
  <c r="N181" i="13"/>
  <c r="J181" i="13"/>
  <c r="AI92" i="13"/>
  <c r="G166" i="16"/>
  <c r="Y53" i="16"/>
  <c r="V53" i="16"/>
  <c r="G149" i="16"/>
  <c r="G46" i="128"/>
  <c r="H40" i="128"/>
  <c r="G40" i="128"/>
  <c r="G38" i="128"/>
  <c r="G36" i="128"/>
  <c r="H36" i="128"/>
  <c r="G34" i="128"/>
  <c r="H26" i="128"/>
  <c r="H24" i="128"/>
  <c r="G24" i="128"/>
  <c r="G22" i="128"/>
  <c r="G18" i="128"/>
  <c r="G14" i="128"/>
  <c r="G10" i="128"/>
  <c r="H8" i="128"/>
  <c r="G8" i="128"/>
  <c r="G6" i="128"/>
  <c r="G2" i="128"/>
  <c r="AY50" i="118"/>
  <c r="I216" i="16"/>
  <c r="S450" i="13"/>
  <c r="N201" i="13"/>
  <c r="E198" i="13"/>
  <c r="N193" i="13"/>
  <c r="J193" i="13"/>
  <c r="F183" i="13"/>
  <c r="M181" i="13"/>
  <c r="F176" i="13"/>
  <c r="J174" i="13"/>
  <c r="N172" i="13"/>
  <c r="AI68" i="13"/>
  <c r="A55" i="13"/>
  <c r="G160" i="16"/>
  <c r="H160" i="16"/>
  <c r="V34" i="16"/>
  <c r="BD118" i="23"/>
  <c r="AZ118" i="23"/>
  <c r="G155" i="16"/>
  <c r="BF92" i="23"/>
  <c r="BB92" i="23"/>
  <c r="H498" i="16"/>
  <c r="AC12" i="135"/>
  <c r="AI22" i="135"/>
  <c r="AZ22" i="135"/>
  <c r="BP22" i="135"/>
  <c r="AI21" i="135"/>
  <c r="AZ21" i="135"/>
  <c r="BP21" i="135"/>
  <c r="R106" i="135"/>
  <c r="AI23" i="135"/>
  <c r="AZ23" i="135"/>
  <c r="BP23" i="135"/>
  <c r="AB38" i="135"/>
  <c r="P4" i="145"/>
  <c r="AA23" i="135"/>
  <c r="AR23" i="135"/>
  <c r="BH23" i="135"/>
  <c r="W25" i="135"/>
  <c r="AN25" i="135"/>
  <c r="BD25" i="135"/>
  <c r="X43" i="135"/>
  <c r="W22" i="135"/>
  <c r="AN22" i="135"/>
  <c r="BD22" i="135"/>
  <c r="W21" i="135"/>
  <c r="AN21" i="135"/>
  <c r="BD21" i="135"/>
  <c r="F106" i="135"/>
  <c r="D147" i="135"/>
  <c r="F147" i="135"/>
  <c r="L143" i="135"/>
  <c r="D143" i="135"/>
  <c r="E143" i="135"/>
  <c r="N143" i="135"/>
  <c r="F143" i="135"/>
  <c r="I143" i="135"/>
  <c r="G143" i="135"/>
  <c r="H140" i="135"/>
  <c r="P140" i="135"/>
  <c r="D140" i="135"/>
  <c r="I140" i="135"/>
  <c r="N140" i="135"/>
  <c r="AO56" i="145"/>
  <c r="AN56" i="145"/>
  <c r="AB56" i="145"/>
  <c r="AE56" i="145"/>
  <c r="AD56" i="145"/>
  <c r="AL56" i="145"/>
  <c r="AG56" i="145"/>
  <c r="AC52" i="145"/>
  <c r="AF52" i="145"/>
  <c r="AG52" i="145"/>
  <c r="AH52" i="145"/>
  <c r="AA52" i="145"/>
  <c r="AK52" i="145"/>
  <c r="AK48" i="145"/>
  <c r="AN48" i="145"/>
  <c r="AD48" i="145"/>
  <c r="AM48" i="145"/>
  <c r="AC48" i="145"/>
  <c r="AF48" i="145"/>
  <c r="AG48" i="145"/>
  <c r="AB48" i="145"/>
  <c r="AO48" i="145"/>
  <c r="AJ48" i="145"/>
  <c r="AM44" i="145"/>
  <c r="AE44" i="145"/>
  <c r="AL44" i="145"/>
  <c r="AD44" i="145"/>
  <c r="AO44" i="145"/>
  <c r="AG44" i="145"/>
  <c r="AN44" i="145"/>
  <c r="AF44" i="145"/>
  <c r="AC44" i="145"/>
  <c r="AB44" i="145"/>
  <c r="AI44" i="145"/>
  <c r="AH44" i="145"/>
  <c r="AM40" i="145"/>
  <c r="AE40" i="145"/>
  <c r="AL40" i="145"/>
  <c r="AD40" i="145"/>
  <c r="AO40" i="145"/>
  <c r="AG40" i="145"/>
  <c r="AN40" i="145"/>
  <c r="AF40" i="145"/>
  <c r="AC40" i="145"/>
  <c r="AB40" i="145"/>
  <c r="AI40" i="145"/>
  <c r="AH40" i="145"/>
  <c r="AM36" i="145"/>
  <c r="AE36" i="145"/>
  <c r="AL36" i="145"/>
  <c r="AD36" i="145"/>
  <c r="AO36" i="145"/>
  <c r="AG36" i="145"/>
  <c r="AN36" i="145"/>
  <c r="AF36" i="145"/>
  <c r="AC36" i="145"/>
  <c r="AB36" i="145"/>
  <c r="AI36" i="145"/>
  <c r="AH36" i="145"/>
  <c r="AL32" i="145"/>
  <c r="AD32" i="145"/>
  <c r="AK32" i="145"/>
  <c r="AC32" i="145"/>
  <c r="AN32" i="145"/>
  <c r="AF32" i="145"/>
  <c r="AM32" i="145"/>
  <c r="AE32" i="145"/>
  <c r="AB32" i="145"/>
  <c r="AA32" i="145"/>
  <c r="AH32" i="145"/>
  <c r="AG32" i="145"/>
  <c r="AJ28" i="145"/>
  <c r="AB28" i="145"/>
  <c r="AI28" i="145"/>
  <c r="AA28" i="145"/>
  <c r="AL28" i="145"/>
  <c r="AD28" i="145"/>
  <c r="AK28" i="145"/>
  <c r="AC28" i="145"/>
  <c r="AO28" i="145"/>
  <c r="AF28" i="145"/>
  <c r="AE28" i="145"/>
  <c r="AJ24" i="145"/>
  <c r="AB24" i="145"/>
  <c r="AI24" i="145"/>
  <c r="AA24" i="145"/>
  <c r="AL24" i="145"/>
  <c r="AD24" i="145"/>
  <c r="AK24" i="145"/>
  <c r="AC24" i="145"/>
  <c r="AO24" i="145"/>
  <c r="AF24" i="145"/>
  <c r="AE24" i="145"/>
  <c r="AJ20" i="145"/>
  <c r="AB20" i="145"/>
  <c r="AI20" i="145"/>
  <c r="AA20" i="145"/>
  <c r="AL20" i="145"/>
  <c r="AD20" i="145"/>
  <c r="AK20" i="145"/>
  <c r="AC20" i="145"/>
  <c r="AO20" i="145"/>
  <c r="AF20" i="145"/>
  <c r="AE20" i="145"/>
  <c r="AJ16" i="145"/>
  <c r="AB16" i="145"/>
  <c r="AI16" i="145"/>
  <c r="AA16" i="145"/>
  <c r="AL16" i="145"/>
  <c r="AD16" i="145"/>
  <c r="AK16" i="145"/>
  <c r="AC16" i="145"/>
  <c r="AO16" i="145"/>
  <c r="AF16" i="145"/>
  <c r="AE16" i="145"/>
  <c r="AJ12" i="145"/>
  <c r="AI12" i="145"/>
  <c r="AG12" i="145"/>
  <c r="AL12" i="145"/>
  <c r="AK12" i="145"/>
  <c r="AE12" i="145"/>
  <c r="AA12" i="145"/>
  <c r="AH12" i="145"/>
  <c r="AM12" i="145"/>
  <c r="AF12" i="145"/>
  <c r="BF114" i="23"/>
  <c r="BE113" i="23"/>
  <c r="BD112" i="23"/>
  <c r="BC111" i="23"/>
  <c r="BB110" i="23"/>
  <c r="BE109" i="23"/>
  <c r="BD91" i="23"/>
  <c r="AZ91" i="23"/>
  <c r="BD90" i="23"/>
  <c r="AZ90" i="23"/>
  <c r="BC89" i="23"/>
  <c r="BF88" i="23"/>
  <c r="BB88" i="23"/>
  <c r="BE87" i="23"/>
  <c r="BA87" i="23"/>
  <c r="BD86" i="23"/>
  <c r="AZ86" i="23"/>
  <c r="BF84" i="23"/>
  <c r="BB84" i="23"/>
  <c r="BE83" i="23"/>
  <c r="BA83" i="23"/>
  <c r="BD82" i="23"/>
  <c r="AZ82" i="23"/>
  <c r="BC81" i="23"/>
  <c r="BF80" i="23"/>
  <c r="BE79" i="23"/>
  <c r="BA47" i="23"/>
  <c r="BD46" i="23"/>
  <c r="AZ46" i="23"/>
  <c r="BC44" i="23"/>
  <c r="BF43" i="23"/>
  <c r="BE42" i="23"/>
  <c r="BA42" i="23"/>
  <c r="BD41" i="23"/>
  <c r="AZ41" i="23"/>
  <c r="BC40" i="23"/>
  <c r="F469" i="25"/>
  <c r="BF118" i="23"/>
  <c r="BB118" i="23"/>
  <c r="H169" i="16"/>
  <c r="H163" i="16"/>
  <c r="G505" i="16"/>
  <c r="G477" i="16"/>
  <c r="H499" i="16"/>
  <c r="H491" i="16"/>
  <c r="L144" i="135"/>
  <c r="D144" i="135"/>
  <c r="M144" i="135"/>
  <c r="P144" i="135"/>
  <c r="O144" i="135"/>
  <c r="G144" i="135"/>
  <c r="F144" i="135"/>
  <c r="R141" i="135"/>
  <c r="J141" i="135"/>
  <c r="O141" i="135"/>
  <c r="I141" i="135"/>
  <c r="M141" i="135"/>
  <c r="L141" i="135"/>
  <c r="D141" i="135"/>
  <c r="Q141" i="135"/>
  <c r="E141" i="135"/>
  <c r="N137" i="135"/>
  <c r="F137" i="135"/>
  <c r="H137" i="135"/>
  <c r="E137" i="135"/>
  <c r="E130" i="135"/>
  <c r="Q130" i="135"/>
  <c r="O130" i="135"/>
  <c r="M130" i="135"/>
  <c r="K130" i="135"/>
  <c r="L130" i="135"/>
  <c r="AY6" i="118"/>
  <c r="AE19" i="145"/>
  <c r="AA23" i="145"/>
  <c r="AN27" i="145"/>
  <c r="AJ31" i="145"/>
  <c r="AE35" i="145"/>
  <c r="AL35" i="145"/>
  <c r="AG39" i="145"/>
  <c r="AJ39" i="145"/>
  <c r="AC43" i="145"/>
  <c r="AF43" i="145"/>
  <c r="AB47" i="145"/>
  <c r="AM51" i="145"/>
  <c r="AJ55" i="145"/>
  <c r="AG55" i="145"/>
  <c r="AO55" i="145"/>
  <c r="AX5" i="118"/>
  <c r="AY4" i="118"/>
  <c r="AM6" i="118"/>
  <c r="S32" i="87"/>
  <c r="G56" i="87"/>
  <c r="S31" i="87"/>
  <c r="R31" i="87"/>
  <c r="T31" i="87"/>
  <c r="R30" i="87"/>
  <c r="Q30" i="87"/>
  <c r="S30" i="87"/>
  <c r="T30" i="87"/>
  <c r="H56" i="87"/>
  <c r="P478" i="16"/>
  <c r="K56" i="87"/>
  <c r="T28" i="87"/>
  <c r="J56" i="87"/>
  <c r="AK64" i="16"/>
  <c r="A29" i="52"/>
  <c r="A28" i="52"/>
  <c r="AF194" i="25"/>
  <c r="AJ194" i="25"/>
  <c r="Y194" i="25"/>
  <c r="X194" i="25"/>
  <c r="AB194" i="25"/>
  <c r="AH194" i="25"/>
  <c r="AI194" i="25"/>
  <c r="W194" i="25"/>
  <c r="AD194" i="25"/>
  <c r="AE194" i="25"/>
  <c r="AC194" i="25"/>
  <c r="Z194" i="25"/>
  <c r="AG194" i="25"/>
  <c r="V194" i="25"/>
  <c r="AA194" i="25"/>
  <c r="V59" i="118"/>
  <c r="BU4" i="118"/>
  <c r="BV4" i="118"/>
  <c r="AS4" i="118"/>
  <c r="BU5" i="118"/>
  <c r="AU5" i="118"/>
  <c r="V60" i="118"/>
  <c r="V61" i="118"/>
  <c r="BU6" i="118"/>
  <c r="AW6" i="118"/>
  <c r="AO7" i="118"/>
  <c r="V62" i="118"/>
  <c r="W7" i="29"/>
  <c r="AA42" i="16"/>
  <c r="AB42" i="16"/>
  <c r="AC42" i="16"/>
  <c r="AK36" i="118"/>
  <c r="BA36" i="118"/>
  <c r="AL37" i="118"/>
  <c r="BJ17" i="118"/>
  <c r="AT17" i="118"/>
  <c r="BQ10" i="118"/>
  <c r="D125" i="118"/>
  <c r="C362" i="13"/>
  <c r="A69" i="13"/>
  <c r="A68" i="13"/>
  <c r="A65" i="13"/>
  <c r="A60" i="13"/>
  <c r="A58" i="13"/>
  <c r="C351" i="13"/>
  <c r="AQ49" i="13"/>
  <c r="AL48" i="13"/>
  <c r="S19" i="13"/>
  <c r="BB43" i="23"/>
  <c r="BA39" i="23"/>
  <c r="BE38" i="23"/>
  <c r="BD38" i="23"/>
  <c r="AZ37" i="23"/>
  <c r="BB35" i="23"/>
  <c r="BA35" i="23"/>
  <c r="BB37" i="118"/>
  <c r="N186" i="13"/>
  <c r="F186" i="13"/>
  <c r="L175" i="13"/>
  <c r="F175" i="13"/>
  <c r="D165" i="118"/>
  <c r="BQ50" i="118"/>
  <c r="BV42" i="118"/>
  <c r="AK7" i="118"/>
  <c r="G342" i="13"/>
  <c r="H343" i="13"/>
  <c r="I344" i="13"/>
  <c r="J345" i="13"/>
  <c r="K346" i="13"/>
  <c r="L347" i="13"/>
  <c r="M348" i="13"/>
  <c r="N349" i="13"/>
  <c r="O350" i="13"/>
  <c r="P351" i="13"/>
  <c r="Q352" i="13"/>
  <c r="R353" i="13"/>
  <c r="B341" i="13"/>
  <c r="A341" i="13"/>
  <c r="I208" i="16"/>
  <c r="I205" i="16"/>
  <c r="I184" i="16"/>
  <c r="AY31" i="118"/>
  <c r="BQ23" i="118"/>
  <c r="D138" i="118"/>
  <c r="N478" i="13"/>
  <c r="R186" i="13"/>
  <c r="L178" i="13"/>
  <c r="D29" i="13"/>
  <c r="AN29" i="13"/>
  <c r="H29" i="13"/>
  <c r="AD29" i="13"/>
  <c r="N29" i="13"/>
  <c r="AM29" i="13"/>
  <c r="AE29" i="13"/>
  <c r="W29" i="13"/>
  <c r="O29" i="13"/>
  <c r="G29" i="13"/>
  <c r="AB29" i="13"/>
  <c r="AF29" i="13"/>
  <c r="Z29" i="13"/>
  <c r="J29" i="13"/>
  <c r="P29" i="13"/>
  <c r="V29" i="13"/>
  <c r="AG29" i="13"/>
  <c r="U29" i="13"/>
  <c r="K29" i="13"/>
  <c r="L29" i="13"/>
  <c r="R29" i="13"/>
  <c r="AO29" i="13"/>
  <c r="AC29" i="13"/>
  <c r="S29" i="13"/>
  <c r="I29" i="13"/>
  <c r="H168" i="16"/>
  <c r="G168" i="16"/>
  <c r="G164" i="16"/>
  <c r="H164" i="16"/>
  <c r="H158" i="16"/>
  <c r="G158" i="16"/>
  <c r="G156" i="16"/>
  <c r="H156" i="16"/>
  <c r="H152" i="16"/>
  <c r="G152" i="16"/>
  <c r="BK50" i="118"/>
  <c r="AU50" i="118"/>
  <c r="AO50" i="118"/>
  <c r="BE50" i="118"/>
  <c r="B151" i="16"/>
  <c r="B164" i="16"/>
  <c r="B154" i="16"/>
  <c r="B163" i="16"/>
  <c r="B153" i="16"/>
  <c r="B162" i="16"/>
  <c r="B171" i="16"/>
  <c r="B161" i="16"/>
  <c r="B170" i="16"/>
  <c r="B158" i="16"/>
  <c r="B169" i="16"/>
  <c r="B159" i="16"/>
  <c r="B156" i="16"/>
  <c r="B167" i="16"/>
  <c r="B155" i="16"/>
  <c r="Y12" i="135"/>
  <c r="AI38" i="135"/>
  <c r="W4" i="145"/>
  <c r="AH21" i="135"/>
  <c r="AY21" i="135"/>
  <c r="BO21" i="135"/>
  <c r="AH22" i="135"/>
  <c r="AY22" i="135"/>
  <c r="BO22" i="135"/>
  <c r="AI43" i="135"/>
  <c r="AH24" i="135"/>
  <c r="AY24" i="135"/>
  <c r="BO24" i="135"/>
  <c r="AH23" i="135"/>
  <c r="AY23" i="135"/>
  <c r="BO23" i="135"/>
  <c r="AH25" i="135"/>
  <c r="AY25" i="135"/>
  <c r="BO25" i="135"/>
  <c r="AE43" i="135"/>
  <c r="AE38" i="135"/>
  <c r="AD23" i="135"/>
  <c r="AU23" i="135"/>
  <c r="BK23" i="135"/>
  <c r="AD24" i="135"/>
  <c r="AU24" i="135"/>
  <c r="BK24" i="135"/>
  <c r="AD21" i="135"/>
  <c r="AU21" i="135"/>
  <c r="BK21" i="135"/>
  <c r="N20" i="135"/>
  <c r="AD22" i="135"/>
  <c r="AU22" i="135"/>
  <c r="BK22" i="135"/>
  <c r="S4" i="145"/>
  <c r="Z21" i="135"/>
  <c r="Z22" i="135"/>
  <c r="AQ22" i="135"/>
  <c r="BG22" i="135"/>
  <c r="Z24" i="135"/>
  <c r="AQ24" i="135"/>
  <c r="BG24" i="135"/>
  <c r="AA38" i="135"/>
  <c r="O4" i="145"/>
  <c r="Z25" i="135"/>
  <c r="AQ25" i="135"/>
  <c r="BG25" i="135"/>
  <c r="Z23" i="135"/>
  <c r="AQ23" i="135"/>
  <c r="BG23" i="135"/>
  <c r="V24" i="135"/>
  <c r="AM24" i="135"/>
  <c r="BC24" i="135"/>
  <c r="V25" i="135"/>
  <c r="AM25" i="135"/>
  <c r="BC25" i="135"/>
  <c r="W38" i="135"/>
  <c r="K4" i="145"/>
  <c r="V23" i="135"/>
  <c r="AM23" i="135"/>
  <c r="BC23" i="135"/>
  <c r="W43" i="135"/>
  <c r="V22" i="135"/>
  <c r="AM22" i="135"/>
  <c r="BC22" i="135"/>
  <c r="V21" i="135"/>
  <c r="AM21" i="135"/>
  <c r="BC21" i="135"/>
  <c r="E106" i="135"/>
  <c r="C13" i="145"/>
  <c r="BQ48" i="118"/>
  <c r="D163" i="118"/>
  <c r="BQ16" i="118"/>
  <c r="D131" i="118"/>
  <c r="X176" i="25"/>
  <c r="V176" i="25"/>
  <c r="AB176" i="25"/>
  <c r="AA176" i="25"/>
  <c r="AG176" i="25"/>
  <c r="G509" i="16"/>
  <c r="H509" i="16"/>
  <c r="G473" i="16"/>
  <c r="H473" i="16"/>
  <c r="H507" i="16"/>
  <c r="G507" i="16"/>
  <c r="H475" i="16"/>
  <c r="G475" i="16"/>
  <c r="E4" i="29"/>
  <c r="BO29" i="118"/>
  <c r="AL4" i="118"/>
  <c r="L198" i="13"/>
  <c r="P198" i="13"/>
  <c r="G515" i="16"/>
  <c r="G497" i="16"/>
  <c r="H497" i="16"/>
  <c r="G490" i="16"/>
  <c r="H490" i="16"/>
  <c r="G483" i="16"/>
  <c r="E199" i="13"/>
  <c r="R171" i="13"/>
  <c r="AM50" i="118"/>
  <c r="BC50" i="118"/>
  <c r="F532" i="16"/>
  <c r="AL49" i="118"/>
  <c r="AY36" i="118"/>
  <c r="BO30" i="118"/>
  <c r="I174" i="16"/>
  <c r="R478" i="13"/>
  <c r="F201" i="13"/>
  <c r="R197" i="13"/>
  <c r="P195" i="13"/>
  <c r="E193" i="13"/>
  <c r="N191" i="13"/>
  <c r="F191" i="13"/>
  <c r="P186" i="13"/>
  <c r="J186" i="13"/>
  <c r="F185" i="13"/>
  <c r="F182" i="13"/>
  <c r="F172" i="13"/>
  <c r="G469" i="25"/>
  <c r="BE118" i="23"/>
  <c r="BA118" i="23"/>
  <c r="G47" i="128"/>
  <c r="H47" i="128"/>
  <c r="H45" i="128"/>
  <c r="G43" i="128"/>
  <c r="H43" i="128"/>
  <c r="H41" i="128"/>
  <c r="G39" i="128"/>
  <c r="H39" i="128"/>
  <c r="G37" i="128"/>
  <c r="H37" i="128"/>
  <c r="H33" i="128"/>
  <c r="G31" i="128"/>
  <c r="H31" i="128"/>
  <c r="G29" i="128"/>
  <c r="H29" i="128"/>
  <c r="G27" i="128"/>
  <c r="H27" i="128"/>
  <c r="H25" i="128"/>
  <c r="G23" i="128"/>
  <c r="H23" i="128"/>
  <c r="G21" i="128"/>
  <c r="H21" i="128"/>
  <c r="G19" i="128"/>
  <c r="H19" i="128"/>
  <c r="H17" i="128"/>
  <c r="G13" i="128"/>
  <c r="G9" i="128"/>
  <c r="H9" i="128"/>
  <c r="G7" i="128"/>
  <c r="H7" i="128"/>
  <c r="G5" i="128"/>
  <c r="H5" i="128"/>
  <c r="G3" i="128"/>
  <c r="H3" i="128"/>
  <c r="U56" i="135"/>
  <c r="AM56" i="135"/>
  <c r="C74" i="135"/>
  <c r="L40" i="135"/>
  <c r="J40" i="135"/>
  <c r="Q40" i="135"/>
  <c r="I40" i="135"/>
  <c r="O40" i="135"/>
  <c r="P40" i="135"/>
  <c r="K40" i="135"/>
  <c r="I57" i="135"/>
  <c r="K57" i="135"/>
  <c r="R57" i="135"/>
  <c r="D57" i="135"/>
  <c r="N57" i="135"/>
  <c r="J57" i="135"/>
  <c r="D53" i="135"/>
  <c r="L53" i="135"/>
  <c r="N53" i="135"/>
  <c r="I53" i="135"/>
  <c r="Q53" i="135"/>
  <c r="J49" i="135"/>
  <c r="D49" i="135"/>
  <c r="P49" i="135"/>
  <c r="L49" i="135"/>
  <c r="O49" i="135"/>
  <c r="I49" i="135"/>
  <c r="L45" i="135"/>
  <c r="I45" i="135"/>
  <c r="P45" i="135"/>
  <c r="K45" i="135"/>
  <c r="N45" i="135"/>
  <c r="D45" i="135"/>
  <c r="G41" i="135"/>
  <c r="R41" i="135"/>
  <c r="Q41" i="135"/>
  <c r="N41" i="135"/>
  <c r="H41" i="135"/>
  <c r="J41" i="135"/>
  <c r="C44" i="145"/>
  <c r="BO23" i="118"/>
  <c r="BO19" i="118"/>
  <c r="AL18" i="118"/>
  <c r="J199" i="13"/>
  <c r="N197" i="13"/>
  <c r="J197" i="13"/>
  <c r="F197" i="13"/>
  <c r="Q196" i="13"/>
  <c r="N196" i="13"/>
  <c r="J196" i="13"/>
  <c r="F196" i="13"/>
  <c r="O195" i="13"/>
  <c r="M194" i="13"/>
  <c r="I194" i="13"/>
  <c r="L192" i="13"/>
  <c r="L190" i="13"/>
  <c r="L185" i="13"/>
  <c r="J180" i="13"/>
  <c r="J173" i="13"/>
  <c r="H469" i="25"/>
  <c r="BO50" i="118"/>
  <c r="AL50" i="118"/>
  <c r="R128" i="135"/>
  <c r="Q128" i="135"/>
  <c r="H128" i="135"/>
  <c r="P128" i="135"/>
  <c r="G128" i="135"/>
  <c r="E128" i="135"/>
  <c r="J128" i="135"/>
  <c r="K128" i="135"/>
  <c r="I128" i="135"/>
  <c r="D128" i="135"/>
  <c r="L128" i="135"/>
  <c r="C70" i="135"/>
  <c r="U52" i="135"/>
  <c r="AM52" i="135"/>
  <c r="C86" i="135"/>
  <c r="U67" i="135"/>
  <c r="AM67" i="135"/>
  <c r="C77" i="135"/>
  <c r="U59" i="135"/>
  <c r="AM59" i="135"/>
  <c r="AE54" i="145"/>
  <c r="AC54" i="145"/>
  <c r="AM54" i="145"/>
  <c r="AJ54" i="145"/>
  <c r="AH54" i="145"/>
  <c r="AM50" i="145"/>
  <c r="AF50" i="145"/>
  <c r="AI50" i="145"/>
  <c r="AD50" i="145"/>
  <c r="AN50" i="145"/>
  <c r="AG46" i="145"/>
  <c r="AB46" i="145"/>
  <c r="AE46" i="145"/>
  <c r="AH46" i="145"/>
  <c r="AN46" i="145"/>
  <c r="AL46" i="145"/>
  <c r="AO42" i="145"/>
  <c r="AN42" i="145"/>
  <c r="AM42" i="145"/>
  <c r="AL42" i="145"/>
  <c r="AG42" i="145"/>
  <c r="AE42" i="145"/>
  <c r="AF42" i="145"/>
  <c r="AI38" i="145"/>
  <c r="AH38" i="145"/>
  <c r="AC38" i="145"/>
  <c r="AB38" i="145"/>
  <c r="AA38" i="145"/>
  <c r="AJ38" i="145"/>
  <c r="AD34" i="145"/>
  <c r="AC34" i="145"/>
  <c r="AN34" i="145"/>
  <c r="AM34" i="145"/>
  <c r="AE34" i="145"/>
  <c r="AL34" i="145"/>
  <c r="AF34" i="145"/>
  <c r="AJ30" i="145"/>
  <c r="AI30" i="145"/>
  <c r="AH30" i="145"/>
  <c r="AG30" i="145"/>
  <c r="AB30" i="145"/>
  <c r="AO30" i="145"/>
  <c r="AA30" i="145"/>
  <c r="AF26" i="145"/>
  <c r="AE26" i="145"/>
  <c r="AD26" i="145"/>
  <c r="AC26" i="145"/>
  <c r="AM26" i="145"/>
  <c r="AK26" i="145"/>
  <c r="AN26" i="145"/>
  <c r="AO22" i="145"/>
  <c r="AJ22" i="145"/>
  <c r="AI22" i="145"/>
  <c r="AA22" i="145"/>
  <c r="AH22" i="145"/>
  <c r="AB22" i="145"/>
  <c r="AL18" i="145"/>
  <c r="AK18" i="145"/>
  <c r="AF18" i="145"/>
  <c r="AE18" i="145"/>
  <c r="AN18" i="145"/>
  <c r="AD18" i="145"/>
  <c r="AM18" i="145"/>
  <c r="AB14" i="145"/>
  <c r="AA14" i="145"/>
  <c r="AO14" i="145"/>
  <c r="AH14" i="145"/>
  <c r="AI14" i="145"/>
  <c r="AG14" i="145"/>
  <c r="R130" i="135"/>
  <c r="BJ2" i="13"/>
  <c r="C45" i="145"/>
  <c r="AF19" i="145"/>
  <c r="AJ23" i="145"/>
  <c r="AD27" i="145"/>
  <c r="AH31" i="145"/>
  <c r="AM35" i="145"/>
  <c r="AA39" i="145"/>
  <c r="AK43" i="145"/>
  <c r="AE51" i="145"/>
  <c r="AI55" i="145"/>
  <c r="AG12" i="135"/>
  <c r="BE92" i="23"/>
  <c r="BA92" i="23"/>
  <c r="BD92" i="23"/>
  <c r="AZ92" i="23"/>
  <c r="H406" i="16"/>
  <c r="G482" i="16"/>
  <c r="H46" i="128"/>
  <c r="H38" i="128"/>
  <c r="H34" i="128"/>
  <c r="G30" i="128"/>
  <c r="G26" i="128"/>
  <c r="H22" i="128"/>
  <c r="H18" i="128"/>
  <c r="H14" i="128"/>
  <c r="H10" i="128"/>
  <c r="H6" i="128"/>
  <c r="P146" i="135"/>
  <c r="J130" i="135"/>
  <c r="G146" i="135"/>
  <c r="O146" i="135"/>
  <c r="K139" i="135"/>
  <c r="H133" i="135"/>
  <c r="J133" i="135"/>
  <c r="G133" i="135"/>
  <c r="F146" i="135"/>
  <c r="R146" i="135"/>
  <c r="AF38" i="135"/>
  <c r="AF43" i="135"/>
  <c r="AB43" i="135"/>
  <c r="AA25" i="135"/>
  <c r="AR25" i="135"/>
  <c r="BH25" i="135"/>
  <c r="U64" i="135"/>
  <c r="AM64" i="135"/>
  <c r="C83" i="135"/>
  <c r="C12" i="145"/>
  <c r="AN55" i="145"/>
  <c r="AF55" i="145"/>
  <c r="AM55" i="145"/>
  <c r="AE55" i="145"/>
  <c r="AL55" i="145"/>
  <c r="AD55" i="145"/>
  <c r="AK55" i="145"/>
  <c r="AC55" i="145"/>
  <c r="AJ51" i="145"/>
  <c r="AB51" i="145"/>
  <c r="AI51" i="145"/>
  <c r="AA51" i="145"/>
  <c r="AH51" i="145"/>
  <c r="AO51" i="145"/>
  <c r="AG51" i="145"/>
  <c r="AN47" i="145"/>
  <c r="AF47" i="145"/>
  <c r="AM47" i="145"/>
  <c r="AE47" i="145"/>
  <c r="AL47" i="145"/>
  <c r="AD47" i="145"/>
  <c r="AK47" i="145"/>
  <c r="AC47" i="145"/>
  <c r="AJ43" i="145"/>
  <c r="AB43" i="145"/>
  <c r="AI43" i="145"/>
  <c r="AA43" i="145"/>
  <c r="AH43" i="145"/>
  <c r="AO43" i="145"/>
  <c r="AG43" i="145"/>
  <c r="AN39" i="145"/>
  <c r="AF39" i="145"/>
  <c r="AM39" i="145"/>
  <c r="AE39" i="145"/>
  <c r="AL39" i="145"/>
  <c r="AD39" i="145"/>
  <c r="AK39" i="145"/>
  <c r="AC39" i="145"/>
  <c r="AJ35" i="145"/>
  <c r="AB35" i="145"/>
  <c r="AI35" i="145"/>
  <c r="AC35" i="145"/>
  <c r="AH35" i="145"/>
  <c r="AO35" i="145"/>
  <c r="AG35" i="145"/>
  <c r="AO31" i="145"/>
  <c r="AG31" i="145"/>
  <c r="AN31" i="145"/>
  <c r="AF31" i="145"/>
  <c r="AM31" i="145"/>
  <c r="AE31" i="145"/>
  <c r="AL31" i="145"/>
  <c r="AD31" i="145"/>
  <c r="AK27" i="145"/>
  <c r="AC27" i="145"/>
  <c r="AJ27" i="145"/>
  <c r="AB27" i="145"/>
  <c r="AI27" i="145"/>
  <c r="AA27" i="145"/>
  <c r="AH27" i="145"/>
  <c r="AO23" i="145"/>
  <c r="AG23" i="145"/>
  <c r="AN23" i="145"/>
  <c r="AF23" i="145"/>
  <c r="AM23" i="145"/>
  <c r="AE23" i="145"/>
  <c r="AL23" i="145"/>
  <c r="AD23" i="145"/>
  <c r="AK19" i="145"/>
  <c r="AC19" i="145"/>
  <c r="AJ19" i="145"/>
  <c r="AB19" i="145"/>
  <c r="AI19" i="145"/>
  <c r="AA19" i="145"/>
  <c r="AH19" i="145"/>
  <c r="AO15" i="145"/>
  <c r="AG15" i="145"/>
  <c r="AN15" i="145"/>
  <c r="AF15" i="145"/>
  <c r="AM15" i="145"/>
  <c r="AE15" i="145"/>
  <c r="AL15" i="145"/>
  <c r="AD15" i="145"/>
  <c r="C29" i="145"/>
  <c r="BJ40" i="118"/>
  <c r="AT40" i="118"/>
  <c r="BG40" i="118"/>
  <c r="AQ40" i="118"/>
  <c r="BN39" i="118"/>
  <c r="AX39" i="118"/>
  <c r="BQ38" i="118"/>
  <c r="D153" i="118"/>
  <c r="BF36" i="118"/>
  <c r="AP36" i="118"/>
  <c r="BH32" i="118"/>
  <c r="BV32" i="118"/>
  <c r="AR32" i="118"/>
  <c r="BA31" i="118"/>
  <c r="AK31" i="118"/>
  <c r="BB32" i="118"/>
  <c r="AL32" i="118"/>
  <c r="BJ29" i="118"/>
  <c r="AT29" i="118"/>
  <c r="AY28" i="118"/>
  <c r="BO28" i="118"/>
  <c r="BV28" i="118"/>
  <c r="AC38" i="16"/>
  <c r="BV40" i="118"/>
  <c r="BV39" i="118"/>
  <c r="R44" i="87"/>
  <c r="S44" i="87"/>
  <c r="R42" i="87"/>
  <c r="Q42" i="87"/>
  <c r="R41" i="87"/>
  <c r="S41" i="87"/>
  <c r="O56" i="87"/>
  <c r="Q40" i="87"/>
  <c r="S40" i="87"/>
  <c r="C56" i="87"/>
  <c r="Q38" i="87"/>
  <c r="R38" i="87"/>
  <c r="Q37" i="87"/>
  <c r="S37" i="87"/>
  <c r="S34" i="87"/>
  <c r="T34" i="87"/>
  <c r="R33" i="87"/>
  <c r="S33" i="87"/>
  <c r="Q33" i="87"/>
  <c r="D56" i="87"/>
  <c r="R32" i="87"/>
  <c r="T32" i="87"/>
  <c r="Q32" i="87"/>
  <c r="T29" i="87"/>
  <c r="Q29" i="87"/>
  <c r="R29" i="87"/>
  <c r="S29" i="87"/>
  <c r="N56" i="87"/>
  <c r="R28" i="87"/>
  <c r="Q28" i="87"/>
  <c r="F56" i="87"/>
  <c r="S28" i="87"/>
  <c r="T26" i="87"/>
  <c r="R26" i="87"/>
  <c r="Q25" i="87"/>
  <c r="T25" i="87"/>
  <c r="Q24" i="87"/>
  <c r="S23" i="87"/>
  <c r="T23" i="87"/>
  <c r="I56" i="87"/>
  <c r="R23" i="87"/>
  <c r="BI14" i="16"/>
  <c r="BI32" i="16"/>
  <c r="BJ14" i="16"/>
  <c r="BJ32" i="16"/>
  <c r="BL47" i="118"/>
  <c r="AV47" i="118"/>
  <c r="BL44" i="118"/>
  <c r="AV44" i="118"/>
  <c r="BV44" i="118"/>
  <c r="BD44" i="118"/>
  <c r="AN44" i="118"/>
  <c r="BO43" i="118"/>
  <c r="BV43" i="118"/>
  <c r="AY43" i="118"/>
  <c r="BQ28" i="118"/>
  <c r="D143" i="118"/>
  <c r="AM42" i="118"/>
  <c r="BV29" i="118"/>
  <c r="B600" i="16"/>
  <c r="B601" i="16"/>
  <c r="B602" i="16"/>
  <c r="B615" i="16"/>
  <c r="S479" i="16"/>
  <c r="T479" i="16"/>
  <c r="L273" i="16"/>
  <c r="H272" i="16"/>
  <c r="P83" i="29"/>
  <c r="C4" i="29"/>
  <c r="BN48" i="118"/>
  <c r="AX48" i="118"/>
  <c r="BD45" i="118"/>
  <c r="AN45" i="118"/>
  <c r="BM34" i="118"/>
  <c r="AW34" i="118"/>
  <c r="BV34" i="118"/>
  <c r="BD33" i="118"/>
  <c r="AN33" i="118"/>
  <c r="BO31" i="118"/>
  <c r="D155" i="118"/>
  <c r="BD24" i="118"/>
  <c r="AN24" i="118"/>
  <c r="BV23" i="118"/>
  <c r="BM23" i="118"/>
  <c r="AW23" i="118"/>
  <c r="AQ23" i="118"/>
  <c r="BG23" i="118"/>
  <c r="BD20" i="118"/>
  <c r="AN20" i="118"/>
  <c r="BN17" i="118"/>
  <c r="AX17" i="118"/>
  <c r="BV17" i="118"/>
  <c r="BK17" i="118"/>
  <c r="AU17" i="118"/>
  <c r="BE17" i="118"/>
  <c r="AO17" i="118"/>
  <c r="BN13" i="118"/>
  <c r="AX13" i="118"/>
  <c r="BK13" i="118"/>
  <c r="AU13" i="118"/>
  <c r="BL5" i="118"/>
  <c r="BV5" i="118"/>
  <c r="AV5" i="118"/>
  <c r="BC5" i="118"/>
  <c r="AM5" i="118"/>
  <c r="BQ5" i="118"/>
  <c r="D120" i="118"/>
  <c r="H466" i="13"/>
  <c r="C466" i="13"/>
  <c r="K344" i="13"/>
  <c r="C344" i="13"/>
  <c r="A51" i="13"/>
  <c r="AI50" i="13"/>
  <c r="Z35" i="16"/>
  <c r="I133" i="16"/>
  <c r="J133" i="16"/>
  <c r="I130" i="16"/>
  <c r="Z32" i="16"/>
  <c r="Y29" i="16"/>
  <c r="I127" i="16"/>
  <c r="K98" i="87"/>
  <c r="L98" i="87"/>
  <c r="F98" i="87"/>
  <c r="C98" i="87"/>
  <c r="D98" i="87"/>
  <c r="Q41" i="87"/>
  <c r="T24" i="87"/>
  <c r="R24" i="87"/>
  <c r="R22" i="87"/>
  <c r="BC48" i="118"/>
  <c r="AM48" i="118"/>
  <c r="BN44" i="118"/>
  <c r="AX44" i="118"/>
  <c r="BF44" i="118"/>
  <c r="AP44" i="118"/>
  <c r="BL40" i="118"/>
  <c r="AV40" i="118"/>
  <c r="BQ35" i="118"/>
  <c r="D150" i="118"/>
  <c r="BI33" i="118"/>
  <c r="BV33" i="118"/>
  <c r="BJ32" i="118"/>
  <c r="AT32" i="118"/>
  <c r="BL30" i="118"/>
  <c r="BV30" i="118"/>
  <c r="BI25" i="118"/>
  <c r="AS25" i="118"/>
  <c r="BQ21" i="118"/>
  <c r="D136" i="118"/>
  <c r="BQ14" i="118"/>
  <c r="D129" i="118"/>
  <c r="BV6" i="118"/>
  <c r="BQ6" i="118"/>
  <c r="D121" i="118"/>
  <c r="CP14" i="16"/>
  <c r="CQ14" i="16"/>
  <c r="CL14" i="16"/>
  <c r="CM14" i="16"/>
  <c r="CH14" i="16"/>
  <c r="CH32" i="16"/>
  <c r="CC14" i="16"/>
  <c r="CC32" i="16"/>
  <c r="BH14" i="16"/>
  <c r="BH32" i="16"/>
  <c r="BB14" i="16"/>
  <c r="BB32" i="16"/>
  <c r="AW14" i="16"/>
  <c r="AW32" i="16"/>
  <c r="C462" i="13"/>
  <c r="S45" i="87"/>
  <c r="Q39" i="87"/>
  <c r="S26" i="87"/>
  <c r="Q23" i="87"/>
  <c r="E24" i="29"/>
  <c r="E16" i="29"/>
  <c r="E8" i="29"/>
  <c r="E7" i="29"/>
  <c r="C14" i="29"/>
  <c r="C13" i="29"/>
  <c r="C9" i="29"/>
  <c r="E28" i="29"/>
  <c r="C27" i="29"/>
  <c r="C23" i="29"/>
  <c r="BQ47" i="118"/>
  <c r="D162" i="118"/>
  <c r="BG35" i="118"/>
  <c r="AQ35" i="118"/>
  <c r="BI34" i="118"/>
  <c r="AS34" i="118"/>
  <c r="BQ33" i="118"/>
  <c r="D148" i="118"/>
  <c r="BG28" i="118"/>
  <c r="AQ28" i="118"/>
  <c r="BQ26" i="118"/>
  <c r="D141" i="118"/>
  <c r="BQ19" i="118"/>
  <c r="D134" i="118"/>
  <c r="BF16" i="118"/>
  <c r="AP16" i="118"/>
  <c r="BJ14" i="118"/>
  <c r="AT14" i="118"/>
  <c r="BQ11" i="118"/>
  <c r="D126" i="118"/>
  <c r="BK10" i="118"/>
  <c r="AU10" i="118"/>
  <c r="BH10" i="118"/>
  <c r="BV10" i="118"/>
  <c r="BC10" i="118"/>
  <c r="AM10" i="118"/>
  <c r="BV7" i="118"/>
  <c r="BD4" i="118"/>
  <c r="AN4" i="118"/>
  <c r="K676" i="16"/>
  <c r="P676" i="16"/>
  <c r="N676" i="16"/>
  <c r="O676" i="16"/>
  <c r="BE26" i="16"/>
  <c r="BP14" i="16"/>
  <c r="BP32" i="16"/>
  <c r="BE14" i="16"/>
  <c r="BE32" i="16"/>
  <c r="C465" i="13"/>
  <c r="B465" i="13"/>
  <c r="K343" i="13"/>
  <c r="L344" i="13"/>
  <c r="M345" i="13"/>
  <c r="N346" i="13"/>
  <c r="O347" i="13"/>
  <c r="P348" i="13"/>
  <c r="Q349" i="13"/>
  <c r="R350" i="13"/>
  <c r="Q31" i="87"/>
  <c r="R25" i="87"/>
  <c r="T20" i="87"/>
  <c r="T19" i="87"/>
  <c r="Q16" i="87"/>
  <c r="R16" i="87"/>
  <c r="R14" i="87"/>
  <c r="R12" i="87"/>
  <c r="T11" i="87"/>
  <c r="Q8" i="87"/>
  <c r="T7" i="87"/>
  <c r="M56" i="87"/>
  <c r="E56" i="87"/>
  <c r="R5" i="87"/>
  <c r="B56" i="87"/>
  <c r="BA44" i="118"/>
  <c r="AK44" i="118"/>
  <c r="AL45" i="118"/>
  <c r="BB45" i="118"/>
  <c r="BI43" i="118"/>
  <c r="AS43" i="118"/>
  <c r="BQ37" i="118"/>
  <c r="D152" i="118"/>
  <c r="BK34" i="118"/>
  <c r="AU34" i="118"/>
  <c r="BB33" i="118"/>
  <c r="BA32" i="118"/>
  <c r="AK32" i="118"/>
  <c r="AL33" i="118"/>
  <c r="BM31" i="118"/>
  <c r="AW31" i="118"/>
  <c r="BI31" i="118"/>
  <c r="AS31" i="118"/>
  <c r="BM28" i="118"/>
  <c r="AW28" i="118"/>
  <c r="BI28" i="118"/>
  <c r="AS28" i="118"/>
  <c r="BF27" i="118"/>
  <c r="AP27" i="118"/>
  <c r="BB23" i="118"/>
  <c r="AL23" i="118"/>
  <c r="AK22" i="118"/>
  <c r="BM22" i="118"/>
  <c r="AW22" i="118"/>
  <c r="BM19" i="118"/>
  <c r="BV19" i="118"/>
  <c r="BQ17" i="118"/>
  <c r="D132" i="118"/>
  <c r="BC13" i="118"/>
  <c r="AM13" i="118"/>
  <c r="BL4" i="118"/>
  <c r="AV4" i="118"/>
  <c r="CN14" i="16"/>
  <c r="CO14" i="16"/>
  <c r="CJ14" i="16"/>
  <c r="CK14" i="16"/>
  <c r="BX14" i="16"/>
  <c r="BX32" i="16"/>
  <c r="BO14" i="16"/>
  <c r="BO32" i="16"/>
  <c r="BP26" i="16"/>
  <c r="BM14" i="16"/>
  <c r="BM32" i="16"/>
  <c r="AR14" i="16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83" i="13"/>
  <c r="Y377" i="25"/>
  <c r="AG377" i="25"/>
  <c r="AA377" i="25"/>
  <c r="AI377" i="25"/>
  <c r="AC377" i="25"/>
  <c r="AE377" i="25"/>
  <c r="W377" i="25"/>
  <c r="X377" i="25"/>
  <c r="AF377" i="25"/>
  <c r="Z377" i="25"/>
  <c r="AH377" i="25"/>
  <c r="AB377" i="25"/>
  <c r="AJ377" i="25"/>
  <c r="M490" i="13"/>
  <c r="O490" i="13"/>
  <c r="R490" i="13"/>
  <c r="C490" i="13"/>
  <c r="B490" i="13"/>
  <c r="C486" i="13"/>
  <c r="W376" i="25"/>
  <c r="AA376" i="25"/>
  <c r="AE376" i="25"/>
  <c r="AI376" i="25"/>
  <c r="X376" i="25"/>
  <c r="AB376" i="25"/>
  <c r="AF376" i="25"/>
  <c r="AJ376" i="25"/>
  <c r="Y376" i="25"/>
  <c r="AG376" i="25"/>
  <c r="Z376" i="25"/>
  <c r="AH376" i="25"/>
  <c r="V376" i="25"/>
  <c r="AC376" i="25"/>
  <c r="AD376" i="25"/>
  <c r="G504" i="16"/>
  <c r="H504" i="16"/>
  <c r="U54" i="135"/>
  <c r="AM54" i="135"/>
  <c r="C72" i="135"/>
  <c r="H202" i="13"/>
  <c r="N202" i="13"/>
  <c r="R178" i="13"/>
  <c r="J178" i="13"/>
  <c r="H98" i="87"/>
  <c r="A8" i="2"/>
  <c r="B3" i="2"/>
  <c r="B7" i="2"/>
  <c r="C2" i="2"/>
  <c r="J202" i="13"/>
  <c r="F202" i="13"/>
  <c r="J201" i="13"/>
  <c r="N194" i="13"/>
  <c r="J194" i="13"/>
  <c r="J189" i="13"/>
  <c r="P189" i="13"/>
  <c r="AP19" i="13"/>
  <c r="BN50" i="118"/>
  <c r="AX50" i="118"/>
  <c r="BF50" i="118"/>
  <c r="AP50" i="118"/>
  <c r="G486" i="16"/>
  <c r="H486" i="16"/>
  <c r="G472" i="16"/>
  <c r="H472" i="16"/>
  <c r="R189" i="13"/>
  <c r="N182" i="13"/>
  <c r="G471" i="25"/>
  <c r="H471" i="25"/>
  <c r="H475" i="25"/>
  <c r="BH50" i="118"/>
  <c r="BV50" i="118"/>
  <c r="B142" i="16"/>
  <c r="G512" i="16"/>
  <c r="H512" i="16"/>
  <c r="G494" i="16"/>
  <c r="H494" i="16"/>
  <c r="G491" i="16"/>
  <c r="G480" i="16"/>
  <c r="H480" i="16"/>
  <c r="Q134" i="135"/>
  <c r="J134" i="135"/>
  <c r="R134" i="135"/>
  <c r="H134" i="135"/>
  <c r="E134" i="135"/>
  <c r="G134" i="135"/>
  <c r="L134" i="135"/>
  <c r="I134" i="135"/>
  <c r="K134" i="135"/>
  <c r="N134" i="135"/>
  <c r="M134" i="135"/>
  <c r="O134" i="135"/>
  <c r="P134" i="135"/>
  <c r="D134" i="135"/>
  <c r="F134" i="135"/>
  <c r="C78" i="135"/>
  <c r="U60" i="135"/>
  <c r="AM60" i="135"/>
  <c r="C52" i="145"/>
  <c r="C50" i="145"/>
  <c r="C31" i="145"/>
  <c r="C25" i="145"/>
  <c r="C21" i="145"/>
  <c r="C20" i="145"/>
  <c r="C18" i="145"/>
  <c r="BC58" i="23" a="1"/>
  <c r="BC58" i="23"/>
  <c r="I464" i="25"/>
  <c r="J464" i="25"/>
  <c r="I462" i="25"/>
  <c r="J462" i="25"/>
  <c r="I460" i="25"/>
  <c r="J460" i="25"/>
  <c r="I458" i="25"/>
  <c r="J458" i="25"/>
  <c r="I456" i="25"/>
  <c r="J456" i="25"/>
  <c r="I454" i="25"/>
  <c r="J454" i="25"/>
  <c r="I452" i="25"/>
  <c r="J452" i="25"/>
  <c r="I450" i="25"/>
  <c r="J450" i="25"/>
  <c r="I448" i="25"/>
  <c r="J448" i="25"/>
  <c r="I446" i="25"/>
  <c r="J446" i="25"/>
  <c r="I444" i="25"/>
  <c r="J444" i="25"/>
  <c r="I442" i="25"/>
  <c r="J442" i="25"/>
  <c r="I440" i="25"/>
  <c r="J440" i="25"/>
  <c r="I438" i="25"/>
  <c r="J438" i="25"/>
  <c r="AC379" i="25"/>
  <c r="AG379" i="25"/>
  <c r="W378" i="25"/>
  <c r="AA378" i="25"/>
  <c r="AE378" i="25"/>
  <c r="AI378" i="25"/>
  <c r="X378" i="25"/>
  <c r="AB378" i="25"/>
  <c r="AF378" i="25"/>
  <c r="AJ378" i="25"/>
  <c r="Y378" i="25"/>
  <c r="AG378" i="25"/>
  <c r="Z378" i="25"/>
  <c r="AH378" i="25"/>
  <c r="D368" i="25"/>
  <c r="Y50" i="16"/>
  <c r="G502" i="16"/>
  <c r="H502" i="16"/>
  <c r="G499" i="16"/>
  <c r="G488" i="16"/>
  <c r="H488" i="16"/>
  <c r="G470" i="16"/>
  <c r="H470" i="16"/>
  <c r="AU26" i="13"/>
  <c r="E468" i="16"/>
  <c r="G510" i="16"/>
  <c r="H510" i="16"/>
  <c r="G496" i="16"/>
  <c r="H496" i="16"/>
  <c r="G478" i="16"/>
  <c r="H478" i="16"/>
  <c r="H511" i="16"/>
  <c r="G511" i="16"/>
  <c r="H503" i="16"/>
  <c r="G503" i="16"/>
  <c r="H495" i="16"/>
  <c r="G495" i="16"/>
  <c r="H487" i="16"/>
  <c r="G487" i="16"/>
  <c r="H479" i="16"/>
  <c r="G479" i="16"/>
  <c r="H471" i="16"/>
  <c r="G471" i="16"/>
  <c r="Q46" i="128"/>
  <c r="AI12" i="135"/>
  <c r="AD12" i="135"/>
  <c r="AA12" i="135"/>
  <c r="X7" i="145"/>
  <c r="P7" i="145"/>
  <c r="Q127" i="135"/>
  <c r="J127" i="135"/>
  <c r="L127" i="135"/>
  <c r="I127" i="135"/>
  <c r="D127" i="135"/>
  <c r="K127" i="135"/>
  <c r="F127" i="135"/>
  <c r="H127" i="135"/>
  <c r="M127" i="135"/>
  <c r="E127" i="135"/>
  <c r="N127" i="135"/>
  <c r="P127" i="135"/>
  <c r="G127" i="135"/>
  <c r="N145" i="135"/>
  <c r="F145" i="135"/>
  <c r="G145" i="135"/>
  <c r="E145" i="135"/>
  <c r="J145" i="135"/>
  <c r="K145" i="135"/>
  <c r="R145" i="135"/>
  <c r="H145" i="135"/>
  <c r="Q145" i="135"/>
  <c r="D145" i="135"/>
  <c r="O145" i="135"/>
  <c r="R139" i="135"/>
  <c r="J139" i="135"/>
  <c r="Q139" i="135"/>
  <c r="N139" i="135"/>
  <c r="D139" i="135"/>
  <c r="G139" i="135"/>
  <c r="L139" i="135"/>
  <c r="M139" i="135"/>
  <c r="O139" i="135"/>
  <c r="H139" i="135"/>
  <c r="F139" i="135"/>
  <c r="C53" i="145"/>
  <c r="C51" i="145"/>
  <c r="AO11" i="145"/>
  <c r="AF11" i="145"/>
  <c r="AN11" i="145"/>
  <c r="AG11" i="145"/>
  <c r="AH11" i="145"/>
  <c r="AA11" i="145"/>
  <c r="AI11" i="145"/>
  <c r="AD11" i="145"/>
  <c r="AE11" i="145"/>
  <c r="AJ11" i="145"/>
  <c r="AK11" i="145"/>
  <c r="AB11" i="145"/>
  <c r="AL11" i="145"/>
  <c r="P202" i="13"/>
  <c r="P194" i="13"/>
  <c r="H194" i="13"/>
  <c r="J184" i="13"/>
  <c r="N175" i="13"/>
  <c r="AD394" i="25"/>
  <c r="AD392" i="25"/>
  <c r="AD382" i="25"/>
  <c r="AD380" i="25"/>
  <c r="D26" i="25"/>
  <c r="D27" i="25"/>
  <c r="AV50" i="118"/>
  <c r="BJ50" i="118"/>
  <c r="AT50" i="118"/>
  <c r="G506" i="16"/>
  <c r="J515" i="16"/>
  <c r="G42" i="128"/>
  <c r="H42" i="128"/>
  <c r="O127" i="135"/>
  <c r="M145" i="135"/>
  <c r="C36" i="145"/>
  <c r="I465" i="25"/>
  <c r="J465" i="25"/>
  <c r="I463" i="25"/>
  <c r="J463" i="25"/>
  <c r="I461" i="25"/>
  <c r="J461" i="25"/>
  <c r="I459" i="25"/>
  <c r="J459" i="25"/>
  <c r="I457" i="25"/>
  <c r="J457" i="25"/>
  <c r="I455" i="25"/>
  <c r="J455" i="25"/>
  <c r="I453" i="25"/>
  <c r="J453" i="25"/>
  <c r="I451" i="25"/>
  <c r="J451" i="25"/>
  <c r="I449" i="25"/>
  <c r="J449" i="25"/>
  <c r="I447" i="25"/>
  <c r="J447" i="25"/>
  <c r="I445" i="25"/>
  <c r="J445" i="25"/>
  <c r="I443" i="25"/>
  <c r="J443" i="25"/>
  <c r="I441" i="25"/>
  <c r="J441" i="25"/>
  <c r="I439" i="25"/>
  <c r="J439" i="25"/>
  <c r="AC395" i="25"/>
  <c r="AG395" i="25"/>
  <c r="W394" i="25"/>
  <c r="AA394" i="25"/>
  <c r="AE394" i="25"/>
  <c r="AI394" i="25"/>
  <c r="X394" i="25"/>
  <c r="AB394" i="25"/>
  <c r="AF394" i="25"/>
  <c r="AJ394" i="25"/>
  <c r="Y393" i="25"/>
  <c r="AG393" i="25"/>
  <c r="AA393" i="25"/>
  <c r="AI393" i="25"/>
  <c r="W392" i="25"/>
  <c r="AA392" i="25"/>
  <c r="AE392" i="25"/>
  <c r="AI392" i="25"/>
  <c r="X392" i="25"/>
  <c r="AB392" i="25"/>
  <c r="AF392" i="25"/>
  <c r="AJ392" i="25"/>
  <c r="W382" i="25"/>
  <c r="AA382" i="25"/>
  <c r="AE382" i="25"/>
  <c r="AI382" i="25"/>
  <c r="X382" i="25"/>
  <c r="AB382" i="25"/>
  <c r="AF382" i="25"/>
  <c r="AJ382" i="25"/>
  <c r="Y381" i="25"/>
  <c r="AG381" i="25"/>
  <c r="AA381" i="25"/>
  <c r="AI381" i="25"/>
  <c r="W380" i="25"/>
  <c r="AA380" i="25"/>
  <c r="AE380" i="25"/>
  <c r="AI380" i="25"/>
  <c r="X380" i="25"/>
  <c r="AB380" i="25"/>
  <c r="AF380" i="25"/>
  <c r="AJ380" i="25"/>
  <c r="H170" i="16"/>
  <c r="G170" i="16"/>
  <c r="H162" i="16"/>
  <c r="G162" i="16"/>
  <c r="H154" i="16"/>
  <c r="G154" i="16"/>
  <c r="Z53" i="16"/>
  <c r="H149" i="16"/>
  <c r="G508" i="16"/>
  <c r="H508" i="16"/>
  <c r="G500" i="16"/>
  <c r="H500" i="16"/>
  <c r="G492" i="16"/>
  <c r="H492" i="16"/>
  <c r="G484" i="16"/>
  <c r="H484" i="16"/>
  <c r="G476" i="16"/>
  <c r="H476" i="16"/>
  <c r="E139" i="135"/>
  <c r="L145" i="135"/>
  <c r="R127" i="135"/>
  <c r="F60" i="135"/>
  <c r="E60" i="135"/>
  <c r="M60" i="135"/>
  <c r="Q60" i="135"/>
  <c r="H60" i="135"/>
  <c r="G60" i="135"/>
  <c r="R60" i="135"/>
  <c r="O60" i="135"/>
  <c r="L60" i="135"/>
  <c r="I60" i="135"/>
  <c r="K60" i="135"/>
  <c r="N60" i="135"/>
  <c r="F56" i="135"/>
  <c r="E56" i="135"/>
  <c r="M56" i="135"/>
  <c r="O56" i="135"/>
  <c r="H56" i="135"/>
  <c r="G56" i="135"/>
  <c r="P56" i="135"/>
  <c r="I56" i="135"/>
  <c r="D56" i="135"/>
  <c r="K56" i="135"/>
  <c r="Q56" i="135"/>
  <c r="L56" i="135"/>
  <c r="F52" i="135"/>
  <c r="E52" i="135"/>
  <c r="M52" i="135"/>
  <c r="H52" i="135"/>
  <c r="G52" i="135"/>
  <c r="Q52" i="135"/>
  <c r="N52" i="135"/>
  <c r="D52" i="135"/>
  <c r="K52" i="135"/>
  <c r="J52" i="135"/>
  <c r="O52" i="135"/>
  <c r="I52" i="135"/>
  <c r="P52" i="135"/>
  <c r="F48" i="135"/>
  <c r="E48" i="135"/>
  <c r="M48" i="135"/>
  <c r="H48" i="135"/>
  <c r="G48" i="135"/>
  <c r="N48" i="135"/>
  <c r="J48" i="135"/>
  <c r="O48" i="135"/>
  <c r="L48" i="135"/>
  <c r="R48" i="135"/>
  <c r="I48" i="135"/>
  <c r="P48" i="135"/>
  <c r="K48" i="135"/>
  <c r="Q48" i="135"/>
  <c r="F44" i="135"/>
  <c r="E44" i="135"/>
  <c r="M44" i="135"/>
  <c r="H44" i="135"/>
  <c r="G44" i="135"/>
  <c r="R44" i="135"/>
  <c r="O44" i="135"/>
  <c r="L44" i="135"/>
  <c r="Q44" i="135"/>
  <c r="I44" i="135"/>
  <c r="D44" i="135"/>
  <c r="N44" i="135"/>
  <c r="J44" i="135"/>
  <c r="X12" i="135"/>
  <c r="C43" i="145"/>
  <c r="C42" i="145"/>
  <c r="C32" i="145"/>
  <c r="C23" i="145"/>
  <c r="C17" i="145"/>
  <c r="C10" i="145"/>
  <c r="C49" i="145"/>
  <c r="C37" i="145"/>
  <c r="AM11" i="145"/>
  <c r="B26" i="135"/>
  <c r="AH38" i="135"/>
  <c r="V4" i="145"/>
  <c r="AH43" i="135"/>
  <c r="AG22" i="135"/>
  <c r="AX22" i="135"/>
  <c r="BN22" i="135"/>
  <c r="AG21" i="135"/>
  <c r="AG24" i="135"/>
  <c r="AX24" i="135"/>
  <c r="BN24" i="135"/>
  <c r="AD38" i="135"/>
  <c r="R4" i="145"/>
  <c r="AC23" i="135"/>
  <c r="AT23" i="135"/>
  <c r="BJ23" i="135"/>
  <c r="Z38" i="135"/>
  <c r="N4" i="145"/>
  <c r="Y25" i="135"/>
  <c r="AP25" i="135"/>
  <c r="BF25" i="135"/>
  <c r="Y22" i="135"/>
  <c r="AP22" i="135"/>
  <c r="BF22" i="135"/>
  <c r="Y21" i="135"/>
  <c r="Y24" i="135"/>
  <c r="AP24" i="135"/>
  <c r="BF24" i="135"/>
  <c r="A59" i="145"/>
  <c r="C108" i="135"/>
  <c r="C116" i="135"/>
  <c r="C123" i="135"/>
  <c r="C28" i="135"/>
  <c r="C35" i="135"/>
  <c r="R7" i="145"/>
  <c r="P147" i="135"/>
  <c r="H147" i="135"/>
  <c r="M147" i="135"/>
  <c r="K147" i="135"/>
  <c r="L147" i="135"/>
  <c r="Q147" i="135"/>
  <c r="G147" i="135"/>
  <c r="J147" i="135"/>
  <c r="I147" i="135"/>
  <c r="J142" i="135"/>
  <c r="F142" i="135"/>
  <c r="O142" i="135"/>
  <c r="G142" i="135"/>
  <c r="H142" i="135"/>
  <c r="M142" i="135"/>
  <c r="P142" i="135"/>
  <c r="K142" i="135"/>
  <c r="C81" i="135"/>
  <c r="C48" i="145"/>
  <c r="C39" i="145"/>
  <c r="C33" i="145"/>
  <c r="C26" i="145"/>
  <c r="C16" i="145"/>
  <c r="B145" i="16"/>
  <c r="B146" i="16"/>
  <c r="C56" i="145"/>
  <c r="C41" i="145"/>
  <c r="C34" i="145"/>
  <c r="C24" i="145"/>
  <c r="C15" i="145"/>
  <c r="B157" i="16"/>
  <c r="B165" i="16"/>
  <c r="B152" i="16"/>
  <c r="B160" i="16"/>
  <c r="B168" i="16"/>
  <c r="D137" i="135"/>
  <c r="N40" i="135"/>
  <c r="R45" i="135"/>
  <c r="N49" i="135"/>
  <c r="O53" i="135"/>
  <c r="Q57" i="135"/>
  <c r="O41" i="135"/>
  <c r="K53" i="135"/>
  <c r="AB12" i="135"/>
  <c r="AJ12" i="135"/>
  <c r="AF24" i="135"/>
  <c r="AW24" i="135"/>
  <c r="BM24" i="135"/>
  <c r="AG38" i="135"/>
  <c r="AB24" i="135"/>
  <c r="AS24" i="135"/>
  <c r="BI24" i="135"/>
  <c r="AC38" i="135"/>
  <c r="X24" i="135"/>
  <c r="AO24" i="135"/>
  <c r="BE24" i="135"/>
  <c r="Y38" i="135"/>
  <c r="X21" i="135"/>
  <c r="T7" i="145"/>
  <c r="R132" i="135"/>
  <c r="O132" i="135"/>
  <c r="Q132" i="135"/>
  <c r="H132" i="135"/>
  <c r="P132" i="135"/>
  <c r="Q129" i="135"/>
  <c r="I129" i="135"/>
  <c r="J129" i="135"/>
  <c r="D129" i="135"/>
  <c r="C85" i="135"/>
  <c r="C76" i="135"/>
  <c r="C40" i="145"/>
  <c r="C54" i="145"/>
  <c r="C46" i="145"/>
  <c r="C35" i="145"/>
  <c r="C27" i="145"/>
  <c r="C19" i="145"/>
  <c r="C11" i="145"/>
  <c r="AO54" i="145"/>
  <c r="AG54" i="145"/>
  <c r="AN54" i="145"/>
  <c r="AF54" i="145"/>
  <c r="AK54" i="145"/>
  <c r="AA54" i="145"/>
  <c r="AD54" i="145"/>
  <c r="AI54" i="145"/>
  <c r="AL54" i="145"/>
  <c r="AB54" i="145"/>
  <c r="AK50" i="145"/>
  <c r="AC50" i="145"/>
  <c r="AJ50" i="145"/>
  <c r="AB50" i="145"/>
  <c r="AG50" i="145"/>
  <c r="AL50" i="145"/>
  <c r="AO50" i="145"/>
  <c r="AE50" i="145"/>
  <c r="AH50" i="145"/>
  <c r="AO46" i="145"/>
  <c r="AK46" i="145"/>
  <c r="AC46" i="145"/>
  <c r="AF46" i="145"/>
  <c r="AM46" i="145"/>
  <c r="AI46" i="145"/>
  <c r="AA46" i="145"/>
  <c r="AD46" i="145"/>
  <c r="AK42" i="145"/>
  <c r="AC42" i="145"/>
  <c r="AJ42" i="145"/>
  <c r="AB42" i="145"/>
  <c r="AI42" i="145"/>
  <c r="AA42" i="145"/>
  <c r="AH42" i="145"/>
  <c r="AO38" i="145"/>
  <c r="AG38" i="145"/>
  <c r="AN38" i="145"/>
  <c r="AF38" i="145"/>
  <c r="AM38" i="145"/>
  <c r="AE38" i="145"/>
  <c r="AL38" i="145"/>
  <c r="AD38" i="145"/>
  <c r="AJ34" i="145"/>
  <c r="AB34" i="145"/>
  <c r="AI34" i="145"/>
  <c r="AA34" i="145"/>
  <c r="AH34" i="145"/>
  <c r="AO34" i="145"/>
  <c r="AG34" i="145"/>
  <c r="AN30" i="145"/>
  <c r="AF30" i="145"/>
  <c r="AM30" i="145"/>
  <c r="AE30" i="145"/>
  <c r="AL30" i="145"/>
  <c r="AD30" i="145"/>
  <c r="AK30" i="145"/>
  <c r="AC30" i="145"/>
  <c r="AJ26" i="145"/>
  <c r="AB26" i="145"/>
  <c r="AI26" i="145"/>
  <c r="AA26" i="145"/>
  <c r="AH26" i="145"/>
  <c r="AO26" i="145"/>
  <c r="AG26" i="145"/>
  <c r="AN22" i="145"/>
  <c r="AF22" i="145"/>
  <c r="AM22" i="145"/>
  <c r="AE22" i="145"/>
  <c r="AL22" i="145"/>
  <c r="AD22" i="145"/>
  <c r="AK22" i="145"/>
  <c r="AC22" i="145"/>
  <c r="AJ18" i="145"/>
  <c r="AB18" i="145"/>
  <c r="AI18" i="145"/>
  <c r="AA18" i="145"/>
  <c r="AH18" i="145"/>
  <c r="AO18" i="145"/>
  <c r="AG18" i="145"/>
  <c r="AN14" i="145"/>
  <c r="AF14" i="145"/>
  <c r="AM14" i="145"/>
  <c r="AE14" i="145"/>
  <c r="AL14" i="145"/>
  <c r="AD14" i="145"/>
  <c r="AK14" i="145"/>
  <c r="AC14" i="145"/>
  <c r="L140" i="135"/>
  <c r="M140" i="135"/>
  <c r="E140" i="135"/>
  <c r="J140" i="135"/>
  <c r="R137" i="135"/>
  <c r="J137" i="135"/>
  <c r="O137" i="135"/>
  <c r="M137" i="135"/>
  <c r="I137" i="135"/>
  <c r="K131" i="135"/>
  <c r="H131" i="135"/>
  <c r="F131" i="135"/>
  <c r="F40" i="135"/>
  <c r="E40" i="135"/>
  <c r="M40" i="135"/>
  <c r="H40" i="135"/>
  <c r="G40" i="135"/>
  <c r="F57" i="135"/>
  <c r="E57" i="135"/>
  <c r="M57" i="135"/>
  <c r="H57" i="135"/>
  <c r="G57" i="135"/>
  <c r="P57" i="135"/>
  <c r="F53" i="135"/>
  <c r="E53" i="135"/>
  <c r="M53" i="135"/>
  <c r="H53" i="135"/>
  <c r="G53" i="135"/>
  <c r="P53" i="135"/>
  <c r="F49" i="135"/>
  <c r="E49" i="135"/>
  <c r="M49" i="135"/>
  <c r="H49" i="135"/>
  <c r="G49" i="135"/>
  <c r="Q49" i="135"/>
  <c r="F45" i="135"/>
  <c r="E45" i="135"/>
  <c r="M45" i="135"/>
  <c r="H45" i="135"/>
  <c r="G45" i="135"/>
  <c r="O45" i="135"/>
  <c r="D41" i="135"/>
  <c r="L41" i="135"/>
  <c r="K41" i="135"/>
  <c r="F41" i="135"/>
  <c r="E41" i="135"/>
  <c r="M41" i="135"/>
  <c r="P41" i="135"/>
  <c r="C55" i="145"/>
  <c r="C47" i="145"/>
  <c r="C38" i="145"/>
  <c r="C30" i="145"/>
  <c r="C22" i="145"/>
  <c r="C14" i="145"/>
  <c r="C90" i="135"/>
  <c r="C88" i="135"/>
  <c r="C84" i="135"/>
  <c r="C82" i="135"/>
  <c r="C79" i="135"/>
  <c r="C75" i="135"/>
  <c r="C73" i="135"/>
  <c r="C71" i="135"/>
  <c r="AI56" i="145"/>
  <c r="AA56" i="145"/>
  <c r="AH56" i="145"/>
  <c r="AM52" i="145"/>
  <c r="AE52" i="145"/>
  <c r="AL52" i="145"/>
  <c r="AD52" i="145"/>
  <c r="AI48" i="145"/>
  <c r="AA48" i="145"/>
  <c r="AH48" i="145"/>
  <c r="AJ396" i="25"/>
  <c r="AF396" i="25"/>
  <c r="AB396" i="25"/>
  <c r="AB52" i="145"/>
  <c r="AN52" i="145"/>
  <c r="AI52" i="145"/>
  <c r="AF56" i="145"/>
  <c r="AC56" i="145"/>
  <c r="AM56" i="145"/>
  <c r="N12" i="156"/>
  <c r="AI19" i="135"/>
  <c r="X19" i="135"/>
  <c r="AB19" i="135"/>
  <c r="AF19" i="135"/>
  <c r="AJ19" i="135"/>
  <c r="Y19" i="135"/>
  <c r="AC19" i="135"/>
  <c r="AG19" i="135"/>
  <c r="V19" i="135"/>
  <c r="AD19" i="135"/>
  <c r="W19" i="135"/>
  <c r="AE19" i="135"/>
  <c r="Z19" i="135"/>
  <c r="AA19" i="135"/>
  <c r="AH19" i="135"/>
  <c r="AO41" i="23"/>
  <c r="AO82" i="23"/>
  <c r="AO92" i="23"/>
  <c r="AC154" i="165"/>
  <c r="AD154" i="165"/>
  <c r="AH154" i="165"/>
  <c r="AF154" i="165"/>
  <c r="AJ154" i="165"/>
  <c r="AL154" i="165"/>
  <c r="AB154" i="165"/>
  <c r="AO35" i="23"/>
  <c r="AO37" i="23"/>
  <c r="AO90" i="23"/>
  <c r="AO42" i="23"/>
  <c r="AO112" i="23"/>
  <c r="AO116" i="23"/>
  <c r="AO109" i="23"/>
  <c r="AO111" i="23"/>
  <c r="AO43" i="23"/>
  <c r="AO84" i="23"/>
  <c r="AO47" i="23"/>
  <c r="AO40" i="23"/>
  <c r="AO39" i="23"/>
  <c r="AO88" i="23"/>
  <c r="AO46" i="23"/>
  <c r="AO86" i="23"/>
  <c r="AO118" i="23"/>
  <c r="AO45" i="23"/>
  <c r="AO78" i="23"/>
  <c r="AO83" i="23"/>
  <c r="AO44" i="23"/>
  <c r="AO85" i="23"/>
  <c r="AO80" i="23"/>
  <c r="AO114" i="23"/>
  <c r="AO87" i="23"/>
  <c r="AO48" i="23"/>
  <c r="AO91" i="23"/>
  <c r="AO38" i="23"/>
  <c r="AO117" i="23"/>
  <c r="AO79" i="23"/>
  <c r="AO113" i="23"/>
  <c r="AO36" i="23"/>
  <c r="AO81" i="23"/>
  <c r="AO89" i="23"/>
  <c r="AO110" i="23"/>
  <c r="AO115" i="23"/>
  <c r="AA108" i="118"/>
  <c r="AA107" i="118"/>
  <c r="P406" i="16"/>
  <c r="J406" i="16"/>
  <c r="O406" i="16"/>
  <c r="I406" i="16"/>
  <c r="AC401" i="16"/>
  <c r="O408" i="16"/>
  <c r="I408" i="16"/>
  <c r="P408" i="16"/>
  <c r="J408" i="16"/>
  <c r="AC403" i="16"/>
  <c r="O409" i="16"/>
  <c r="I409" i="16"/>
  <c r="P409" i="16"/>
  <c r="J409" i="16"/>
  <c r="AC404" i="16"/>
  <c r="O407" i="16"/>
  <c r="I407" i="16"/>
  <c r="P407" i="16"/>
  <c r="J407" i="16"/>
  <c r="AC402" i="16"/>
  <c r="A94" i="52"/>
  <c r="L214" i="13"/>
  <c r="P213" i="13"/>
  <c r="Q214" i="13"/>
  <c r="Q213" i="13"/>
  <c r="R214" i="13"/>
  <c r="R213" i="13"/>
  <c r="G214" i="13"/>
  <c r="G213" i="13"/>
  <c r="P214" i="13"/>
  <c r="E214" i="13"/>
  <c r="E213" i="13"/>
  <c r="F214" i="13"/>
  <c r="F213" i="13"/>
  <c r="K214" i="13"/>
  <c r="K213" i="13"/>
  <c r="H213" i="13"/>
  <c r="I214" i="13"/>
  <c r="I213" i="13"/>
  <c r="J214" i="13"/>
  <c r="J213" i="13"/>
  <c r="O214" i="13"/>
  <c r="O213" i="13"/>
  <c r="H214" i="13"/>
  <c r="L213" i="13"/>
  <c r="M214" i="13"/>
  <c r="M213" i="13"/>
  <c r="N214" i="13"/>
  <c r="N213" i="13"/>
  <c r="S214" i="13"/>
  <c r="S213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U468" i="13"/>
  <c r="B603" i="16"/>
  <c r="B604" i="16"/>
  <c r="B605" i="16"/>
  <c r="B606" i="16"/>
  <c r="B607" i="16"/>
  <c r="AA106" i="118"/>
  <c r="AA105" i="118"/>
  <c r="A97" i="52"/>
  <c r="CB3" i="13"/>
  <c r="C478" i="13"/>
  <c r="B478" i="13"/>
  <c r="B482" i="13"/>
  <c r="F542" i="16"/>
  <c r="J542" i="16"/>
  <c r="AJ155" i="165"/>
  <c r="AE155" i="165"/>
  <c r="AH155" i="165"/>
  <c r="L126" i="165"/>
  <c r="K158" i="165"/>
  <c r="AD94" i="13"/>
  <c r="AF94" i="13"/>
  <c r="L145" i="165"/>
  <c r="K177" i="165"/>
  <c r="AB155" i="165"/>
  <c r="AG154" i="165"/>
  <c r="AL155" i="165"/>
  <c r="AI155" i="165"/>
  <c r="AI154" i="165"/>
  <c r="AK155" i="165"/>
  <c r="AF155" i="165"/>
  <c r="Z154" i="165"/>
  <c r="Z155" i="165"/>
  <c r="AC155" i="165"/>
  <c r="AD155" i="165"/>
  <c r="AG155" i="165"/>
  <c r="AK154" i="165"/>
  <c r="AE154" i="165"/>
  <c r="AA154" i="165"/>
  <c r="M137" i="165"/>
  <c r="L169" i="165"/>
  <c r="L138" i="165"/>
  <c r="K170" i="165"/>
  <c r="L128" i="165"/>
  <c r="K160" i="165"/>
  <c r="M136" i="165"/>
  <c r="L168" i="165"/>
  <c r="M147" i="165"/>
  <c r="L179" i="165"/>
  <c r="L143" i="165"/>
  <c r="K175" i="165"/>
  <c r="M125" i="165"/>
  <c r="L157" i="165"/>
  <c r="L146" i="165"/>
  <c r="K178" i="165"/>
  <c r="L140" i="165"/>
  <c r="K172" i="165"/>
  <c r="M131" i="165"/>
  <c r="L163" i="165"/>
  <c r="M130" i="165"/>
  <c r="L162" i="165"/>
  <c r="L139" i="165"/>
  <c r="K171" i="165"/>
  <c r="N122" i="165"/>
  <c r="M154" i="165"/>
  <c r="M133" i="165"/>
  <c r="L165" i="165"/>
  <c r="M135" i="165"/>
  <c r="L167" i="165"/>
  <c r="M132" i="165"/>
  <c r="L164" i="165"/>
  <c r="L123" i="165"/>
  <c r="K155" i="165"/>
  <c r="M127" i="165"/>
  <c r="L159" i="165"/>
  <c r="L134" i="165"/>
  <c r="K166" i="165"/>
  <c r="M124" i="165"/>
  <c r="L156" i="165"/>
  <c r="N129" i="165"/>
  <c r="M161" i="165"/>
  <c r="M77" i="165"/>
  <c r="L173" i="165"/>
  <c r="K85" i="165"/>
  <c r="J181" i="165"/>
  <c r="M80" i="165"/>
  <c r="L176" i="165"/>
  <c r="P72" i="165"/>
  <c r="O81" i="165"/>
  <c r="P74" i="165"/>
  <c r="P83" i="165"/>
  <c r="O79" i="165"/>
  <c r="N76" i="165"/>
  <c r="M86" i="165"/>
  <c r="L182" i="165"/>
  <c r="P67" i="165"/>
  <c r="P64" i="165"/>
  <c r="N82" i="165"/>
  <c r="N84" i="165"/>
  <c r="M180" i="165"/>
  <c r="N78" i="165"/>
  <c r="M174" i="165"/>
  <c r="AD70" i="16"/>
  <c r="AC70" i="16"/>
  <c r="L106" i="135"/>
  <c r="AC375" i="16"/>
  <c r="BT51" i="118"/>
  <c r="J10" i="29"/>
  <c r="BB64" i="23"/>
  <c r="N5" i="25"/>
  <c r="AC400" i="16"/>
  <c r="AA18" i="16"/>
  <c r="D42" i="145"/>
  <c r="AC12" i="16"/>
  <c r="BI48" i="23"/>
  <c r="AZ64" i="23"/>
  <c r="BA74" i="23"/>
  <c r="BD77" i="23"/>
  <c r="BF75" i="23"/>
  <c r="BB74" i="23"/>
  <c r="BH48" i="23"/>
  <c r="BJ48" i="23"/>
  <c r="D17" i="145"/>
  <c r="D14" i="145"/>
  <c r="D52" i="145"/>
  <c r="D36" i="145"/>
  <c r="D29" i="145"/>
  <c r="D44" i="145"/>
  <c r="D28" i="145"/>
  <c r="O388" i="16"/>
  <c r="I388" i="16"/>
  <c r="BB76" i="23"/>
  <c r="O370" i="16"/>
  <c r="I370" i="16"/>
  <c r="AC365" i="16"/>
  <c r="BC74" i="23"/>
  <c r="L5" i="25"/>
  <c r="AC367" i="16"/>
  <c r="AZ7" i="23"/>
  <c r="AA14" i="16"/>
  <c r="AC371" i="16"/>
  <c r="P376" i="16"/>
  <c r="J376" i="16"/>
  <c r="BF6" i="23"/>
  <c r="O405" i="16"/>
  <c r="I405" i="16"/>
  <c r="AB13" i="16"/>
  <c r="T53" i="128"/>
  <c r="AC383" i="16"/>
  <c r="AB12" i="16"/>
  <c r="BC71" i="23"/>
  <c r="BA66" i="23"/>
  <c r="BA68" i="23"/>
  <c r="AZ75" i="23"/>
  <c r="BI21" i="16"/>
  <c r="AC364" i="16"/>
  <c r="BC76" i="23"/>
  <c r="P392" i="16"/>
  <c r="J392" i="16"/>
  <c r="H210" i="13"/>
  <c r="K32" i="13"/>
  <c r="BE102" i="23"/>
  <c r="L210" i="13"/>
  <c r="P380" i="16"/>
  <c r="J380" i="16"/>
  <c r="AA15" i="16"/>
  <c r="AZ72" i="23"/>
  <c r="U49" i="128"/>
  <c r="AC362" i="16"/>
  <c r="AC384" i="16"/>
  <c r="BE28" i="23"/>
  <c r="O210" i="13"/>
  <c r="BE64" i="23"/>
  <c r="BF68" i="23"/>
  <c r="AZ69" i="23"/>
  <c r="BE72" i="23"/>
  <c r="O32" i="13"/>
  <c r="O389" i="16"/>
  <c r="I389" i="16"/>
  <c r="AZ77" i="23"/>
  <c r="BA64" i="23"/>
  <c r="R209" i="13"/>
  <c r="F5" i="25"/>
  <c r="Q206" i="13"/>
  <c r="P209" i="13"/>
  <c r="O390" i="16"/>
  <c r="I390" i="16"/>
  <c r="BB104" i="23"/>
  <c r="P488" i="13"/>
  <c r="P487" i="13"/>
  <c r="H83" i="25"/>
  <c r="H114" i="25"/>
  <c r="BB103" i="23"/>
  <c r="BC105" i="23"/>
  <c r="R5" i="25"/>
  <c r="AR21" i="16"/>
  <c r="CN21" i="16"/>
  <c r="AC398" i="16"/>
  <c r="AC374" i="16"/>
  <c r="N32" i="13"/>
  <c r="O379" i="16"/>
  <c r="I379" i="16"/>
  <c r="BC66" i="23"/>
  <c r="BD68" i="23"/>
  <c r="E32" i="13"/>
  <c r="AC9" i="16"/>
  <c r="U48" i="128"/>
  <c r="O403" i="16"/>
  <c r="I403" i="16"/>
  <c r="AQ21" i="16"/>
  <c r="I32" i="13"/>
  <c r="Q208" i="13"/>
  <c r="S206" i="13"/>
  <c r="BF64" i="23"/>
  <c r="AL21" i="16"/>
  <c r="AZ6" i="23"/>
  <c r="AS21" i="16"/>
  <c r="D32" i="13"/>
  <c r="R208" i="13"/>
  <c r="F32" i="13"/>
  <c r="BK21" i="16"/>
  <c r="BB77" i="23"/>
  <c r="BD75" i="23"/>
  <c r="AZ76" i="23"/>
  <c r="CL22" i="16"/>
  <c r="BL22" i="16"/>
  <c r="X53" i="128"/>
  <c r="Q99" i="25"/>
  <c r="BL21" i="16"/>
  <c r="BJ21" i="16"/>
  <c r="F209" i="13"/>
  <c r="AC359" i="16"/>
  <c r="AC355" i="16"/>
  <c r="AC390" i="16"/>
  <c r="AC378" i="16"/>
  <c r="O369" i="16"/>
  <c r="I369" i="16"/>
  <c r="O382" i="16"/>
  <c r="I382" i="16"/>
  <c r="J32" i="13"/>
  <c r="CA21" i="16"/>
  <c r="Q32" i="13"/>
  <c r="R32" i="13"/>
  <c r="AN21" i="16"/>
  <c r="I208" i="13"/>
  <c r="P32" i="13"/>
  <c r="BA75" i="23"/>
  <c r="W48" i="128"/>
  <c r="S50" i="128"/>
  <c r="AX21" i="16"/>
  <c r="CG21" i="16"/>
  <c r="AW21" i="16"/>
  <c r="AC377" i="16"/>
  <c r="P371" i="16"/>
  <c r="J371" i="16"/>
  <c r="BC6" i="23"/>
  <c r="AS22" i="16"/>
  <c r="BA77" i="23"/>
  <c r="BD69" i="23"/>
  <c r="AZ68" i="23"/>
  <c r="AZ65" i="23"/>
  <c r="BE74" i="23"/>
  <c r="BC70" i="23"/>
  <c r="S84" i="25"/>
  <c r="S115" i="25"/>
  <c r="S5" i="25"/>
  <c r="O5" i="25"/>
  <c r="AC389" i="16"/>
  <c r="AC379" i="16"/>
  <c r="AC357" i="16"/>
  <c r="AC358" i="16"/>
  <c r="AC396" i="16"/>
  <c r="E206" i="13"/>
  <c r="AB18" i="16"/>
  <c r="O362" i="16"/>
  <c r="I362" i="16"/>
  <c r="BB73" i="23"/>
  <c r="BE66" i="23"/>
  <c r="BD67" i="23"/>
  <c r="BC69" i="23"/>
  <c r="BE65" i="23"/>
  <c r="BE77" i="23"/>
  <c r="AC31" i="16"/>
  <c r="AB22" i="16"/>
  <c r="O385" i="16"/>
  <c r="I385" i="16"/>
  <c r="BB69" i="23"/>
  <c r="BC77" i="23"/>
  <c r="BE76" i="23"/>
  <c r="BE67" i="23"/>
  <c r="BD72" i="23"/>
  <c r="AI28" i="16"/>
  <c r="BH28" i="16"/>
  <c r="BD70" i="23"/>
  <c r="AZ70" i="23"/>
  <c r="AB15" i="16"/>
  <c r="Q5" i="25"/>
  <c r="BV22" i="16"/>
  <c r="BD29" i="23"/>
  <c r="AW22" i="16"/>
  <c r="AA22" i="16"/>
  <c r="BB65" i="23"/>
  <c r="BB75" i="23"/>
  <c r="BC67" i="23"/>
  <c r="AA31" i="16"/>
  <c r="AZ103" i="23"/>
  <c r="BF70" i="23"/>
  <c r="BC73" i="23"/>
  <c r="BA70" i="23"/>
  <c r="BE75" i="23"/>
  <c r="BD71" i="23"/>
  <c r="BB28" i="23"/>
  <c r="BD103" i="23"/>
  <c r="BF106" i="23"/>
  <c r="AZ104" i="23"/>
  <c r="BB17" i="23"/>
  <c r="BD64" i="23"/>
  <c r="BE70" i="23"/>
  <c r="BF73" i="23"/>
  <c r="BC72" i="23"/>
  <c r="BE71" i="23"/>
  <c r="BE68" i="23"/>
  <c r="BB71" i="23"/>
  <c r="AZ66" i="23"/>
  <c r="BC65" i="23"/>
  <c r="BF9" i="23"/>
  <c r="S488" i="13"/>
  <c r="S491" i="13"/>
  <c r="BC7" i="23"/>
  <c r="BE6" i="23"/>
  <c r="AD65" i="13"/>
  <c r="AZ10" i="23"/>
  <c r="AZ67" i="23"/>
  <c r="BA65" i="23"/>
  <c r="BB66" i="23"/>
  <c r="BD73" i="23"/>
  <c r="BD65" i="23"/>
  <c r="K94" i="25"/>
  <c r="K125" i="25"/>
  <c r="O71" i="25"/>
  <c r="O102" i="25"/>
  <c r="CH22" i="16"/>
  <c r="BK22" i="16"/>
  <c r="CE41" i="25"/>
  <c r="BO41" i="25"/>
  <c r="CE42" i="25"/>
  <c r="BU42" i="25"/>
  <c r="CE45" i="25"/>
  <c r="BX45" i="25"/>
  <c r="CE52" i="25"/>
  <c r="BQ52" i="25"/>
  <c r="BV21" i="16"/>
  <c r="CC22" i="16"/>
  <c r="CD30" i="16"/>
  <c r="AN30" i="16"/>
  <c r="O398" i="16"/>
  <c r="I398" i="16"/>
  <c r="P398" i="16"/>
  <c r="J398" i="16"/>
  <c r="AB19" i="16"/>
  <c r="AC19" i="16"/>
  <c r="AA19" i="16"/>
  <c r="AC21" i="16"/>
  <c r="AA21" i="16"/>
  <c r="H209" i="13"/>
  <c r="M209" i="13"/>
  <c r="L209" i="13"/>
  <c r="G209" i="13"/>
  <c r="N209" i="13"/>
  <c r="O209" i="13"/>
  <c r="I209" i="13"/>
  <c r="E209" i="13"/>
  <c r="U50" i="128"/>
  <c r="T51" i="128"/>
  <c r="U52" i="128"/>
  <c r="S74" i="25"/>
  <c r="S105" i="25"/>
  <c r="BP30" i="16"/>
  <c r="CQ21" i="16"/>
  <c r="AM21" i="16"/>
  <c r="W50" i="128"/>
  <c r="BE21" i="16"/>
  <c r="BS21" i="16"/>
  <c r="BD21" i="16"/>
  <c r="J209" i="13"/>
  <c r="K209" i="13"/>
  <c r="R21" i="29"/>
  <c r="AT22" i="16"/>
  <c r="CE50" i="25"/>
  <c r="BW50" i="25"/>
  <c r="CL21" i="16"/>
  <c r="CE49" i="25"/>
  <c r="CB49" i="25"/>
  <c r="BA67" i="23"/>
  <c r="BF67" i="23"/>
  <c r="BF71" i="23"/>
  <c r="BD76" i="23"/>
  <c r="AZ71" i="23"/>
  <c r="BA76" i="23"/>
  <c r="AC28" i="16"/>
  <c r="AA28" i="16"/>
  <c r="AA13" i="16"/>
  <c r="V13" i="16"/>
  <c r="O365" i="16"/>
  <c r="I365" i="16"/>
  <c r="P365" i="16"/>
  <c r="J365" i="16"/>
  <c r="J399" i="16"/>
  <c r="O399" i="16"/>
  <c r="I399" i="16"/>
  <c r="P95" i="25"/>
  <c r="P126" i="25"/>
  <c r="I91" i="25"/>
  <c r="I122" i="25"/>
  <c r="T86" i="25"/>
  <c r="K86" i="25"/>
  <c r="K117" i="25"/>
  <c r="N96" i="25"/>
  <c r="N127" i="25"/>
  <c r="Q95" i="25"/>
  <c r="Q126" i="25"/>
  <c r="BY16" i="16"/>
  <c r="AP16" i="16"/>
  <c r="CJ16" i="16"/>
  <c r="AK16" i="16"/>
  <c r="BC17" i="16"/>
  <c r="BT17" i="16"/>
  <c r="BR17" i="16"/>
  <c r="CI22" i="16"/>
  <c r="BB22" i="16"/>
  <c r="BZ22" i="16"/>
  <c r="CP22" i="16"/>
  <c r="BR22" i="16"/>
  <c r="CQ22" i="16"/>
  <c r="BG22" i="16"/>
  <c r="AK22" i="16"/>
  <c r="CR22" i="16"/>
  <c r="BD22" i="16"/>
  <c r="AX22" i="16"/>
  <c r="S53" i="128"/>
  <c r="V50" i="128"/>
  <c r="S48" i="128"/>
  <c r="V53" i="128"/>
  <c r="U53" i="128"/>
  <c r="T52" i="128"/>
  <c r="O391" i="16"/>
  <c r="I391" i="16"/>
  <c r="P391" i="16"/>
  <c r="J391" i="16"/>
  <c r="AC386" i="16"/>
  <c r="O402" i="16"/>
  <c r="I402" i="16"/>
  <c r="P402" i="16"/>
  <c r="J402" i="16"/>
  <c r="P378" i="16"/>
  <c r="J378" i="16"/>
  <c r="O378" i="16"/>
  <c r="I378" i="16"/>
  <c r="AA8" i="16"/>
  <c r="AC8" i="16"/>
  <c r="O397" i="16"/>
  <c r="I397" i="16"/>
  <c r="P397" i="16"/>
  <c r="J397" i="16"/>
  <c r="CI21" i="16"/>
  <c r="BW21" i="16"/>
  <c r="BB21" i="16"/>
  <c r="BU21" i="16"/>
  <c r="BR21" i="16"/>
  <c r="AO21" i="16"/>
  <c r="BH21" i="16"/>
  <c r="CK21" i="16"/>
  <c r="AK21" i="16"/>
  <c r="AP21" i="16"/>
  <c r="BT21" i="16"/>
  <c r="BZ21" i="16"/>
  <c r="BM21" i="16"/>
  <c r="AV21" i="16"/>
  <c r="CO21" i="16"/>
  <c r="CJ21" i="16"/>
  <c r="CP21" i="16"/>
  <c r="CE21" i="16"/>
  <c r="BQ21" i="16"/>
  <c r="AT21" i="16"/>
  <c r="CC21" i="16"/>
  <c r="BG21" i="16"/>
  <c r="BX21" i="16"/>
  <c r="BY21" i="16"/>
  <c r="AY21" i="16"/>
  <c r="AZ21" i="16"/>
  <c r="BF21" i="16"/>
  <c r="BO21" i="16"/>
  <c r="CR21" i="16"/>
  <c r="CM21" i="16"/>
  <c r="CD21" i="16"/>
  <c r="T50" i="128"/>
  <c r="W52" i="128"/>
  <c r="X48" i="128"/>
  <c r="K88" i="25"/>
  <c r="K119" i="25"/>
  <c r="H82" i="25"/>
  <c r="H113" i="25"/>
  <c r="J99" i="25"/>
  <c r="BN21" i="16"/>
  <c r="CB21" i="16"/>
  <c r="AU21" i="16"/>
  <c r="CH21" i="16"/>
  <c r="BC21" i="16"/>
  <c r="S209" i="13"/>
  <c r="AC14" i="16"/>
  <c r="AC381" i="16"/>
  <c r="P386" i="16"/>
  <c r="J386" i="16"/>
  <c r="CA22" i="16"/>
  <c r="CF21" i="16"/>
  <c r="BP21" i="16"/>
  <c r="BN22" i="16"/>
  <c r="BW22" i="16"/>
  <c r="AB8" i="16"/>
  <c r="BM22" i="16"/>
  <c r="S208" i="13"/>
  <c r="F208" i="13"/>
  <c r="J208" i="13"/>
  <c r="H208" i="13"/>
  <c r="O208" i="13"/>
  <c r="M208" i="13"/>
  <c r="P208" i="13"/>
  <c r="G208" i="13"/>
  <c r="K208" i="13"/>
  <c r="E208" i="13"/>
  <c r="N208" i="13"/>
  <c r="O372" i="16"/>
  <c r="I372" i="16"/>
  <c r="P372" i="16"/>
  <c r="J372" i="16"/>
  <c r="P394" i="16"/>
  <c r="J394" i="16"/>
  <c r="O394" i="16"/>
  <c r="I394" i="16"/>
  <c r="A325" i="13"/>
  <c r="R20" i="135"/>
  <c r="R107" i="135"/>
  <c r="BH35" i="23"/>
  <c r="AC360" i="16"/>
  <c r="AC397" i="16"/>
  <c r="AC387" i="16"/>
  <c r="AC393" i="16"/>
  <c r="AZ74" i="23"/>
  <c r="BC75" i="23"/>
  <c r="AZ73" i="23"/>
  <c r="BF65" i="23"/>
  <c r="BF69" i="23"/>
  <c r="BF77" i="23"/>
  <c r="BA73" i="23"/>
  <c r="BD74" i="23"/>
  <c r="BB70" i="23"/>
  <c r="BA72" i="23"/>
  <c r="BB68" i="23"/>
  <c r="BD66" i="23"/>
  <c r="BA13" i="23"/>
  <c r="BH37" i="23"/>
  <c r="AC373" i="16"/>
  <c r="AC394" i="16"/>
  <c r="AC385" i="16"/>
  <c r="A324" i="13"/>
  <c r="AZ13" i="23"/>
  <c r="BA69" i="23"/>
  <c r="BF66" i="23"/>
  <c r="A321" i="13"/>
  <c r="AI31" i="16"/>
  <c r="BG31" i="16"/>
  <c r="AL23" i="135"/>
  <c r="BB23" i="135"/>
  <c r="E22" i="135"/>
  <c r="K60" i="145"/>
  <c r="F553" i="16"/>
  <c r="G553" i="16"/>
  <c r="J205" i="13"/>
  <c r="S205" i="13"/>
  <c r="H205" i="13"/>
  <c r="AC39" i="16"/>
  <c r="AA39" i="16"/>
  <c r="AB39" i="16"/>
  <c r="AB27" i="16"/>
  <c r="AA27" i="16"/>
  <c r="I211" i="13"/>
  <c r="BB8" i="23"/>
  <c r="O367" i="16"/>
  <c r="I367" i="16"/>
  <c r="P367" i="16"/>
  <c r="J367" i="16"/>
  <c r="BA30" i="16"/>
  <c r="CG30" i="16"/>
  <c r="AS30" i="16"/>
  <c r="BX30" i="16"/>
  <c r="AC27" i="16"/>
  <c r="M5" i="25"/>
  <c r="K5" i="25"/>
  <c r="I5" i="25"/>
  <c r="G5" i="25"/>
  <c r="H5" i="25"/>
  <c r="P5" i="25"/>
  <c r="T5" i="25"/>
  <c r="BD105" i="23"/>
  <c r="O404" i="16"/>
  <c r="I404" i="16"/>
  <c r="P404" i="16"/>
  <c r="J404" i="16"/>
  <c r="O363" i="16"/>
  <c r="I363" i="16"/>
  <c r="P363" i="16"/>
  <c r="J363" i="16"/>
  <c r="P401" i="16"/>
  <c r="J401" i="16"/>
  <c r="O401" i="16"/>
  <c r="I401" i="16"/>
  <c r="BF12" i="23"/>
  <c r="BC30" i="23"/>
  <c r="AC361" i="16"/>
  <c r="BH40" i="23"/>
  <c r="C476" i="13"/>
  <c r="O74" i="25"/>
  <c r="O105" i="25"/>
  <c r="H80" i="25"/>
  <c r="H111" i="25"/>
  <c r="N97" i="25"/>
  <c r="N128" i="25"/>
  <c r="S87" i="25"/>
  <c r="S118" i="25"/>
  <c r="BZ16" i="16"/>
  <c r="AZ23" i="23"/>
  <c r="AA49" i="16"/>
  <c r="BB6" i="23"/>
  <c r="AZ106" i="23"/>
  <c r="AB9" i="16"/>
  <c r="AB28" i="16"/>
  <c r="BF74" i="23"/>
  <c r="AB59" i="16"/>
  <c r="BC68" i="23"/>
  <c r="BF23" i="23"/>
  <c r="BA26" i="23"/>
  <c r="G545" i="16"/>
  <c r="BA71" i="23"/>
  <c r="O400" i="16"/>
  <c r="I400" i="16"/>
  <c r="AB5" i="16"/>
  <c r="AC5" i="16"/>
  <c r="C5" i="25"/>
  <c r="G99" i="25"/>
  <c r="H99" i="25"/>
  <c r="H86" i="25"/>
  <c r="H117" i="25"/>
  <c r="F93" i="25"/>
  <c r="F124" i="25"/>
  <c r="S82" i="25"/>
  <c r="S113" i="25"/>
  <c r="F71" i="25"/>
  <c r="F102" i="25"/>
  <c r="O75" i="25"/>
  <c r="O106" i="25"/>
  <c r="S93" i="25"/>
  <c r="S124" i="25"/>
  <c r="R76" i="25"/>
  <c r="R107" i="25"/>
  <c r="H78" i="25"/>
  <c r="H109" i="25"/>
  <c r="O132" i="25"/>
  <c r="S90" i="25"/>
  <c r="S121" i="25"/>
  <c r="N81" i="25"/>
  <c r="N112" i="25"/>
  <c r="O72" i="25"/>
  <c r="O103" i="25"/>
  <c r="F88" i="25"/>
  <c r="F119" i="25"/>
  <c r="F99" i="25"/>
  <c r="I99" i="25"/>
  <c r="I83" i="25"/>
  <c r="I114" i="25"/>
  <c r="O96" i="25"/>
  <c r="O127" i="25"/>
  <c r="H87" i="25"/>
  <c r="H118" i="25"/>
  <c r="P77" i="25"/>
  <c r="P108" i="25"/>
  <c r="F85" i="25"/>
  <c r="F116" i="25"/>
  <c r="S83" i="25"/>
  <c r="S114" i="25"/>
  <c r="T84" i="25"/>
  <c r="R92" i="25"/>
  <c r="R123" i="25"/>
  <c r="H88" i="25"/>
  <c r="H119" i="25"/>
  <c r="S92" i="25"/>
  <c r="S123" i="25"/>
  <c r="G86" i="25"/>
  <c r="G117" i="25"/>
  <c r="P75" i="25"/>
  <c r="P106" i="25"/>
  <c r="F96" i="25"/>
  <c r="F127" i="25"/>
  <c r="S98" i="25"/>
  <c r="S129" i="25"/>
  <c r="H89" i="25"/>
  <c r="H120" i="25"/>
  <c r="K80" i="25"/>
  <c r="K111" i="25"/>
  <c r="AF60" i="13"/>
  <c r="AD60" i="13"/>
  <c r="AB46" i="16"/>
  <c r="AC46" i="16"/>
  <c r="F79" i="25"/>
  <c r="F110" i="25"/>
  <c r="H93" i="25"/>
  <c r="H124" i="25"/>
  <c r="H94" i="25"/>
  <c r="H125" i="25"/>
  <c r="O80" i="25"/>
  <c r="O111" i="25"/>
  <c r="F78" i="25"/>
  <c r="F109" i="25"/>
  <c r="R80" i="25"/>
  <c r="R111" i="25"/>
  <c r="Q77" i="25"/>
  <c r="Q108" i="25"/>
  <c r="P81" i="25"/>
  <c r="P112" i="25"/>
  <c r="I95" i="25"/>
  <c r="I126" i="25"/>
  <c r="K99" i="25"/>
  <c r="AT30" i="16"/>
  <c r="BA102" i="23"/>
  <c r="AF53" i="13"/>
  <c r="BD30" i="23"/>
  <c r="AF66" i="13"/>
  <c r="F206" i="13"/>
  <c r="M206" i="13"/>
  <c r="K206" i="13"/>
  <c r="I206" i="13"/>
  <c r="J206" i="13"/>
  <c r="BB20" i="16"/>
  <c r="BD20" i="16"/>
  <c r="P368" i="16"/>
  <c r="J368" i="16"/>
  <c r="O368" i="16"/>
  <c r="I368" i="16"/>
  <c r="O396" i="16"/>
  <c r="I396" i="16"/>
  <c r="P396" i="16"/>
  <c r="J396" i="16"/>
  <c r="AC6" i="16"/>
  <c r="AA6" i="16"/>
  <c r="AC26" i="16"/>
  <c r="AB26" i="16"/>
  <c r="O366" i="16"/>
  <c r="I366" i="16"/>
  <c r="P366" i="16"/>
  <c r="J366" i="16"/>
  <c r="G546" i="16"/>
  <c r="F546" i="16"/>
  <c r="BE73" i="23"/>
  <c r="AC40" i="16"/>
  <c r="AA40" i="16"/>
  <c r="AA25" i="16"/>
  <c r="AC25" i="16"/>
  <c r="AB25" i="16"/>
  <c r="AA33" i="16"/>
  <c r="AC33" i="16"/>
  <c r="AB33" i="16"/>
  <c r="AN19" i="13"/>
  <c r="J211" i="13"/>
  <c r="M211" i="13"/>
  <c r="G211" i="13"/>
  <c r="P211" i="13"/>
  <c r="AK30" i="16"/>
  <c r="CF30" i="16"/>
  <c r="CC30" i="16"/>
  <c r="BO30" i="16"/>
  <c r="BY30" i="16"/>
  <c r="BZ30" i="16"/>
  <c r="AX30" i="16"/>
  <c r="BE30" i="16"/>
  <c r="AM30" i="16"/>
  <c r="BN30" i="16"/>
  <c r="AY30" i="16"/>
  <c r="L71" i="25"/>
  <c r="L102" i="25"/>
  <c r="O84" i="25"/>
  <c r="O115" i="25"/>
  <c r="F97" i="25"/>
  <c r="F128" i="25"/>
  <c r="T71" i="25"/>
  <c r="P89" i="25"/>
  <c r="P120" i="25"/>
  <c r="H85" i="25"/>
  <c r="H116" i="25"/>
  <c r="S95" i="25"/>
  <c r="S126" i="25"/>
  <c r="Q73" i="25"/>
  <c r="Q104" i="25"/>
  <c r="H91" i="25"/>
  <c r="H122" i="25"/>
  <c r="M99" i="25"/>
  <c r="AO30" i="16"/>
  <c r="CE30" i="16"/>
  <c r="BD104" i="23"/>
  <c r="T15" i="29"/>
  <c r="AU30" i="16"/>
  <c r="BD27" i="23"/>
  <c r="BB14" i="23"/>
  <c r="BI39" i="23"/>
  <c r="BE104" i="23"/>
  <c r="O488" i="13"/>
  <c r="O487" i="13"/>
  <c r="O475" i="13"/>
  <c r="O479" i="13"/>
  <c r="O384" i="16"/>
  <c r="I384" i="16"/>
  <c r="P384" i="16"/>
  <c r="J384" i="16"/>
  <c r="T49" i="128"/>
  <c r="V52" i="128"/>
  <c r="S51" i="128"/>
  <c r="T48" i="128"/>
  <c r="V49" i="128"/>
  <c r="U51" i="128"/>
  <c r="V51" i="128"/>
  <c r="V48" i="128"/>
  <c r="X52" i="128"/>
  <c r="W51" i="128"/>
  <c r="AB7" i="16"/>
  <c r="AA7" i="16"/>
  <c r="V7" i="16"/>
  <c r="AC23" i="16"/>
  <c r="AA23" i="16"/>
  <c r="AB23" i="16"/>
  <c r="X51" i="128"/>
  <c r="BB10" i="23"/>
  <c r="BH44" i="23"/>
  <c r="AC363" i="16"/>
  <c r="AC391" i="16"/>
  <c r="AC372" i="16"/>
  <c r="CE54" i="25"/>
  <c r="BV54" i="25"/>
  <c r="AC395" i="16"/>
  <c r="AC380" i="16"/>
  <c r="BC64" i="23"/>
  <c r="BB72" i="23"/>
  <c r="V15" i="16"/>
  <c r="AZ16" i="23"/>
  <c r="AH19" i="13"/>
  <c r="R397" i="13"/>
  <c r="Q397" i="13"/>
  <c r="E397" i="13"/>
  <c r="CA20" i="16"/>
  <c r="CB20" i="16"/>
  <c r="BP20" i="16"/>
  <c r="BR20" i="16"/>
  <c r="AO20" i="16"/>
  <c r="AY20" i="16"/>
  <c r="BI20" i="16"/>
  <c r="BS20" i="16"/>
  <c r="AL20" i="16"/>
  <c r="BK20" i="16"/>
  <c r="BL20" i="16"/>
  <c r="BU20" i="16"/>
  <c r="CE20" i="16"/>
  <c r="CO20" i="16"/>
  <c r="AR20" i="16"/>
  <c r="AM20" i="16"/>
  <c r="BZ20" i="16"/>
  <c r="AF88" i="13"/>
  <c r="AD88" i="13"/>
  <c r="AI29" i="16"/>
  <c r="AS29" i="16"/>
  <c r="AF67" i="13"/>
  <c r="AD67" i="13"/>
  <c r="O364" i="16"/>
  <c r="I364" i="16"/>
  <c r="P364" i="16"/>
  <c r="J364" i="16"/>
  <c r="P373" i="16"/>
  <c r="J373" i="16"/>
  <c r="O373" i="16"/>
  <c r="I373" i="16"/>
  <c r="O387" i="16"/>
  <c r="I387" i="16"/>
  <c r="P387" i="16"/>
  <c r="J387" i="16"/>
  <c r="O360" i="16"/>
  <c r="I360" i="16"/>
  <c r="P360" i="16"/>
  <c r="J360" i="16"/>
  <c r="AB16" i="16"/>
  <c r="AA16" i="16"/>
  <c r="AC16" i="16"/>
  <c r="O395" i="16"/>
  <c r="I395" i="16"/>
  <c r="P395" i="16"/>
  <c r="J395" i="16"/>
  <c r="O383" i="16"/>
  <c r="I383" i="16"/>
  <c r="P383" i="16"/>
  <c r="J383" i="16"/>
  <c r="Q488" i="13"/>
  <c r="Q491" i="13"/>
  <c r="Q360" i="16"/>
  <c r="Q361" i="16"/>
  <c r="BS47" i="118"/>
  <c r="BB67" i="23"/>
  <c r="AC366" i="16"/>
  <c r="BH38" i="23"/>
  <c r="J23" i="29"/>
  <c r="BN20" i="16"/>
  <c r="AT20" i="16"/>
  <c r="BC24" i="23"/>
  <c r="H397" i="13"/>
  <c r="BA20" i="16"/>
  <c r="A326" i="13"/>
  <c r="M210" i="13"/>
  <c r="AB11" i="16"/>
  <c r="AC11" i="16"/>
  <c r="AA11" i="16"/>
  <c r="S52" i="128"/>
  <c r="X49" i="128"/>
  <c r="X50" i="128"/>
  <c r="W53" i="128"/>
  <c r="O381" i="16"/>
  <c r="I381" i="16"/>
  <c r="P381" i="16"/>
  <c r="J381" i="16"/>
  <c r="P393" i="16"/>
  <c r="J393" i="16"/>
  <c r="O393" i="16"/>
  <c r="I393" i="16"/>
  <c r="P375" i="16"/>
  <c r="J375" i="16"/>
  <c r="O375" i="16"/>
  <c r="I375" i="16"/>
  <c r="P361" i="16"/>
  <c r="J361" i="16"/>
  <c r="O361" i="16"/>
  <c r="I361" i="16"/>
  <c r="AB4" i="16"/>
  <c r="AC4" i="16"/>
  <c r="AA10" i="16"/>
  <c r="AB10" i="16"/>
  <c r="O374" i="16"/>
  <c r="I374" i="16"/>
  <c r="P374" i="16"/>
  <c r="J374" i="16"/>
  <c r="BG20" i="16"/>
  <c r="AV20" i="16"/>
  <c r="BS9" i="118"/>
  <c r="BS21" i="118"/>
  <c r="CJ20" i="16"/>
  <c r="AJ49" i="13"/>
  <c r="AD62" i="13"/>
  <c r="BA27" i="23"/>
  <c r="BP51" i="25"/>
  <c r="BR51" i="25"/>
  <c r="BF20" i="16"/>
  <c r="AC30" i="16"/>
  <c r="AB30" i="16"/>
  <c r="BP22" i="16"/>
  <c r="AL22" i="16"/>
  <c r="AP22" i="16"/>
  <c r="AU22" i="16"/>
  <c r="AY22" i="16"/>
  <c r="AN22" i="16"/>
  <c r="CM22" i="16"/>
  <c r="CF22" i="16"/>
  <c r="AM22" i="16"/>
  <c r="CB22" i="16"/>
  <c r="AO22" i="16"/>
  <c r="CO22" i="16"/>
  <c r="CK22" i="16"/>
  <c r="BX22" i="16"/>
  <c r="BQ22" i="16"/>
  <c r="BH22" i="16"/>
  <c r="BE22" i="16"/>
  <c r="BF22" i="16"/>
  <c r="CN22" i="16"/>
  <c r="BU22" i="16"/>
  <c r="BA22" i="16"/>
  <c r="BT22" i="16"/>
  <c r="CE22" i="16"/>
  <c r="AQ22" i="16"/>
  <c r="BO22" i="16"/>
  <c r="CD22" i="16"/>
  <c r="J488" i="13"/>
  <c r="J475" i="13"/>
  <c r="J479" i="13"/>
  <c r="BA108" i="23"/>
  <c r="AC370" i="16"/>
  <c r="AC369" i="16"/>
  <c r="AC388" i="16"/>
  <c r="AC399" i="16"/>
  <c r="BH45" i="23"/>
  <c r="W49" i="128"/>
  <c r="BF17" i="23"/>
  <c r="BE14" i="23"/>
  <c r="BB9" i="23"/>
  <c r="BH36" i="23"/>
  <c r="I94" i="87"/>
  <c r="I96" i="87"/>
  <c r="BI47" i="23"/>
  <c r="AA17" i="16"/>
  <c r="AB17" i="16"/>
  <c r="AC17" i="16"/>
  <c r="AB44" i="16"/>
  <c r="AC44" i="16"/>
  <c r="BC104" i="23"/>
  <c r="BB106" i="23"/>
  <c r="AC376" i="16"/>
  <c r="AC382" i="16"/>
  <c r="AC356" i="16"/>
  <c r="AC368" i="16"/>
  <c r="BH42" i="23"/>
  <c r="BR30" i="118"/>
  <c r="X14" i="29"/>
  <c r="G21" i="145"/>
  <c r="G49" i="145"/>
  <c r="G32" i="13"/>
  <c r="M32" i="13"/>
  <c r="O377" i="16"/>
  <c r="I377" i="16"/>
  <c r="P377" i="16"/>
  <c r="J377" i="16"/>
  <c r="H32" i="13"/>
  <c r="AP30" i="16"/>
  <c r="F20" i="135"/>
  <c r="G21" i="135"/>
  <c r="M59" i="145"/>
  <c r="M94" i="87"/>
  <c r="M96" i="87"/>
  <c r="AL30" i="16"/>
  <c r="BS30" i="16"/>
  <c r="BT30" i="16"/>
  <c r="BB30" i="16"/>
  <c r="BM30" i="16"/>
  <c r="BQ30" i="16"/>
  <c r="AR30" i="16"/>
  <c r="BG30" i="16"/>
  <c r="BW30" i="16"/>
  <c r="S211" i="13"/>
  <c r="BH39" i="23"/>
  <c r="BF105" i="23"/>
  <c r="BB105" i="23"/>
  <c r="I397" i="13"/>
  <c r="CA16" i="16"/>
  <c r="CM16" i="16"/>
  <c r="BC31" i="23"/>
  <c r="BB31" i="23"/>
  <c r="F547" i="16"/>
  <c r="J548" i="16"/>
  <c r="AD63" i="13"/>
  <c r="CN20" i="16"/>
  <c r="CI20" i="16"/>
  <c r="CD20" i="16"/>
  <c r="BY20" i="16"/>
  <c r="BT20" i="16"/>
  <c r="BO20" i="16"/>
  <c r="BJ20" i="16"/>
  <c r="BE20" i="16"/>
  <c r="AD86" i="13"/>
  <c r="CO16" i="16"/>
  <c r="AI27" i="16"/>
  <c r="BD27" i="16"/>
  <c r="BC30" i="16"/>
  <c r="R210" i="13"/>
  <c r="BE103" i="23"/>
  <c r="P210" i="13"/>
  <c r="S210" i="13"/>
  <c r="BC13" i="23"/>
  <c r="BB108" i="23"/>
  <c r="I210" i="13"/>
  <c r="G210" i="13"/>
  <c r="S397" i="13"/>
  <c r="E210" i="13"/>
  <c r="CH20" i="16"/>
  <c r="CR20" i="16"/>
  <c r="BA5" i="23"/>
  <c r="G206" i="13"/>
  <c r="AQ20" i="16"/>
  <c r="BB20" i="23"/>
  <c r="AD89" i="13"/>
  <c r="CG20" i="16"/>
  <c r="CQ20" i="16"/>
  <c r="BD17" i="16"/>
  <c r="BD30" i="16"/>
  <c r="A322" i="13"/>
  <c r="AA30" i="16"/>
  <c r="AW30" i="16"/>
  <c r="O206" i="13"/>
  <c r="P90" i="87"/>
  <c r="P92" i="87"/>
  <c r="BH30" i="16"/>
  <c r="BV20" i="16"/>
  <c r="BS22" i="16"/>
  <c r="BJ22" i="16"/>
  <c r="AV22" i="16"/>
  <c r="BI22" i="16"/>
  <c r="CJ22" i="16"/>
  <c r="BY22" i="16"/>
  <c r="AZ22" i="16"/>
  <c r="CG22" i="16"/>
  <c r="BC22" i="16"/>
  <c r="CI16" i="16"/>
  <c r="G33" i="145"/>
  <c r="G41" i="145"/>
  <c r="BF21" i="23"/>
  <c r="BI41" i="23"/>
  <c r="BR15" i="118"/>
  <c r="CH30" i="16"/>
  <c r="BU30" i="16"/>
  <c r="G20" i="135"/>
  <c r="M58" i="145"/>
  <c r="J106" i="135"/>
  <c r="Q106" i="135"/>
  <c r="BK30" i="16"/>
  <c r="BL30" i="16"/>
  <c r="BV30" i="16"/>
  <c r="CA30" i="16"/>
  <c r="CB30" i="16"/>
  <c r="BI30" i="16"/>
  <c r="CI30" i="16"/>
  <c r="BR30" i="16"/>
  <c r="BF30" i="16"/>
  <c r="AQ30" i="16"/>
  <c r="R211" i="13"/>
  <c r="BD107" i="23"/>
  <c r="BE108" i="23"/>
  <c r="BF15" i="23"/>
  <c r="N397" i="13"/>
  <c r="BH16" i="16"/>
  <c r="CC16" i="16"/>
  <c r="BH46" i="23"/>
  <c r="L206" i="13"/>
  <c r="AD50" i="13"/>
  <c r="BH20" i="16"/>
  <c r="BC20" i="16"/>
  <c r="AX20" i="16"/>
  <c r="AS20" i="16"/>
  <c r="AN20" i="16"/>
  <c r="CP20" i="16"/>
  <c r="CK20" i="16"/>
  <c r="AK20" i="16"/>
  <c r="K6" i="25"/>
  <c r="AT16" i="16"/>
  <c r="I6" i="25"/>
  <c r="BF16" i="16"/>
  <c r="AV16" i="16"/>
  <c r="AD54" i="13"/>
  <c r="R20" i="29"/>
  <c r="AV30" i="16"/>
  <c r="BJ30" i="16"/>
  <c r="BD28" i="23"/>
  <c r="BA8" i="23"/>
  <c r="BC102" i="23"/>
  <c r="N210" i="13"/>
  <c r="CC20" i="16"/>
  <c r="CM20" i="16"/>
  <c r="BA28" i="23"/>
  <c r="BD8" i="23"/>
  <c r="BM20" i="16"/>
  <c r="CL20" i="16"/>
  <c r="BW20" i="16"/>
  <c r="CE53" i="25"/>
  <c r="BR53" i="25"/>
  <c r="D110" i="135"/>
  <c r="BF72" i="23"/>
  <c r="BF76" i="23"/>
  <c r="AZ18" i="23"/>
  <c r="E475" i="13"/>
  <c r="E479" i="13"/>
  <c r="R475" i="13"/>
  <c r="R479" i="13"/>
  <c r="AB62" i="16"/>
  <c r="BA3" i="23"/>
  <c r="AZ34" i="23"/>
  <c r="BI37" i="23"/>
  <c r="AD68" i="13"/>
  <c r="G397" i="13"/>
  <c r="M397" i="13"/>
  <c r="BA24" i="23"/>
  <c r="CG16" i="16"/>
  <c r="BQ16" i="16"/>
  <c r="BG16" i="16"/>
  <c r="AW16" i="16"/>
  <c r="N205" i="13"/>
  <c r="M205" i="13"/>
  <c r="BJ44" i="23"/>
  <c r="BS18" i="118"/>
  <c r="R6" i="29"/>
  <c r="AZ16" i="16"/>
  <c r="G89" i="87"/>
  <c r="AD79" i="13"/>
  <c r="AF51" i="13"/>
  <c r="B9" i="29"/>
  <c r="D9" i="29"/>
  <c r="AO16" i="16"/>
  <c r="CL16" i="16"/>
  <c r="BE25" i="23"/>
  <c r="AD59" i="13"/>
  <c r="AZ24" i="23"/>
  <c r="AU17" i="16"/>
  <c r="CE48" i="25"/>
  <c r="BW48" i="25"/>
  <c r="BF19" i="23"/>
  <c r="BF7" i="23"/>
  <c r="CE46" i="25"/>
  <c r="BX46" i="25"/>
  <c r="BD4" i="23"/>
  <c r="AD91" i="13"/>
  <c r="CE44" i="25"/>
  <c r="BT44" i="25"/>
  <c r="CE43" i="25"/>
  <c r="BX43" i="25"/>
  <c r="BI44" i="23"/>
  <c r="AD52" i="13"/>
  <c r="BI17" i="16"/>
  <c r="CH17" i="16"/>
  <c r="AI33" i="16"/>
  <c r="BC33" i="16"/>
  <c r="BJ17" i="16"/>
  <c r="AW25" i="16"/>
  <c r="V46" i="16"/>
  <c r="AA46" i="16"/>
  <c r="V30" i="16"/>
  <c r="AZ30" i="16"/>
  <c r="X15" i="29"/>
  <c r="CM19" i="16"/>
  <c r="BJ37" i="23"/>
  <c r="CR17" i="16"/>
  <c r="BS17" i="16"/>
  <c r="CO17" i="16"/>
  <c r="AZ17" i="16"/>
  <c r="E23" i="135"/>
  <c r="BR20" i="118"/>
  <c r="BA34" i="23"/>
  <c r="BD3" i="23"/>
  <c r="BI43" i="23"/>
  <c r="J397" i="13"/>
  <c r="L397" i="13"/>
  <c r="AU16" i="16"/>
  <c r="BB16" i="16"/>
  <c r="BD16" i="16"/>
  <c r="BU51" i="25"/>
  <c r="G205" i="13"/>
  <c r="L205" i="13"/>
  <c r="BJ40" i="23"/>
  <c r="J11" i="29"/>
  <c r="R22" i="29"/>
  <c r="N94" i="87"/>
  <c r="N96" i="87"/>
  <c r="BS11" i="118"/>
  <c r="L94" i="87"/>
  <c r="L96" i="87"/>
  <c r="T6" i="25"/>
  <c r="BL16" i="16"/>
  <c r="AY16" i="16"/>
  <c r="AM16" i="16"/>
  <c r="C449" i="13"/>
  <c r="AZ21" i="23"/>
  <c r="BK17" i="16"/>
  <c r="BB22" i="23"/>
  <c r="BE3" i="23"/>
  <c r="CE40" i="25"/>
  <c r="BY40" i="25"/>
  <c r="BR19" i="118"/>
  <c r="CF16" i="16"/>
  <c r="AD64" i="13"/>
  <c r="AZ22" i="23"/>
  <c r="AZ15" i="23"/>
  <c r="CE47" i="25"/>
  <c r="CA47" i="25"/>
  <c r="BQ17" i="16"/>
  <c r="CD17" i="16"/>
  <c r="BZ17" i="16"/>
  <c r="AA48" i="16"/>
  <c r="AC48" i="16"/>
  <c r="AB48" i="16"/>
  <c r="AW20" i="16"/>
  <c r="AP20" i="16"/>
  <c r="AZ20" i="16"/>
  <c r="AU20" i="16"/>
  <c r="CF20" i="16"/>
  <c r="BQ20" i="16"/>
  <c r="P94" i="87"/>
  <c r="P96" i="87"/>
  <c r="AD90" i="13"/>
  <c r="AF90" i="13"/>
  <c r="AD58" i="13"/>
  <c r="AF58" i="13"/>
  <c r="AF83" i="13"/>
  <c r="AD83" i="13"/>
  <c r="K89" i="87"/>
  <c r="BR16" i="118"/>
  <c r="AX19" i="16"/>
  <c r="E211" i="13"/>
  <c r="A327" i="13"/>
  <c r="BI38" i="23"/>
  <c r="BJ39" i="23"/>
  <c r="CD16" i="16"/>
  <c r="BX16" i="16"/>
  <c r="BA16" i="16"/>
  <c r="AL16" i="16"/>
  <c r="AQ16" i="16"/>
  <c r="AN16" i="16"/>
  <c r="CP16" i="16"/>
  <c r="CB51" i="25"/>
  <c r="E205" i="13"/>
  <c r="O205" i="13"/>
  <c r="BJ47" i="23"/>
  <c r="BS46" i="118"/>
  <c r="B12" i="29"/>
  <c r="D12" i="29"/>
  <c r="BF22" i="23"/>
  <c r="BC16" i="16"/>
  <c r="G6" i="25"/>
  <c r="C6" i="25"/>
  <c r="BE16" i="16"/>
  <c r="R19" i="29"/>
  <c r="CE16" i="16"/>
  <c r="BU16" i="16"/>
  <c r="BS16" i="16"/>
  <c r="BI16" i="16"/>
  <c r="AD70" i="13"/>
  <c r="BF33" i="23"/>
  <c r="BO17" i="16"/>
  <c r="CK17" i="16"/>
  <c r="AD80" i="13"/>
  <c r="AZ12" i="23"/>
  <c r="CO19" i="16"/>
  <c r="CK16" i="16"/>
  <c r="BV16" i="16"/>
  <c r="G13" i="145"/>
  <c r="G17" i="145"/>
  <c r="G25" i="145"/>
  <c r="G29" i="145"/>
  <c r="G37" i="145"/>
  <c r="G45" i="145"/>
  <c r="G53" i="145"/>
  <c r="G10" i="145"/>
  <c r="BS15" i="118"/>
  <c r="BB4" i="23"/>
  <c r="BF3" i="23"/>
  <c r="BE5" i="23"/>
  <c r="V19" i="13"/>
  <c r="AF75" i="13"/>
  <c r="AD75" i="13"/>
  <c r="BL17" i="16"/>
  <c r="BG17" i="16"/>
  <c r="BP17" i="16"/>
  <c r="AS17" i="16"/>
  <c r="F550" i="16"/>
  <c r="G550" i="16"/>
  <c r="AD73" i="13"/>
  <c r="F210" i="13"/>
  <c r="J210" i="13"/>
  <c r="K210" i="13"/>
  <c r="BR21" i="118"/>
  <c r="BR38" i="118"/>
  <c r="J15" i="29"/>
  <c r="X16" i="29"/>
  <c r="BF28" i="23"/>
  <c r="BC19" i="16"/>
  <c r="AD74" i="13"/>
  <c r="AF74" i="13"/>
  <c r="AF82" i="13"/>
  <c r="AD82" i="13"/>
  <c r="AR17" i="16"/>
  <c r="BX17" i="16"/>
  <c r="CL17" i="16"/>
  <c r="AP17" i="16"/>
  <c r="AQ17" i="16"/>
  <c r="CB17" i="16"/>
  <c r="AM17" i="16"/>
  <c r="BE17" i="16"/>
  <c r="BY17" i="16"/>
  <c r="AY17" i="16"/>
  <c r="CF17" i="16"/>
  <c r="AO17" i="16"/>
  <c r="CJ17" i="16"/>
  <c r="BB17" i="16"/>
  <c r="CI17" i="16"/>
  <c r="BA17" i="16"/>
  <c r="CA17" i="16"/>
  <c r="CN17" i="16"/>
  <c r="CM17" i="16"/>
  <c r="CC17" i="16"/>
  <c r="BH17" i="16"/>
  <c r="AN17" i="16"/>
  <c r="BU17" i="16"/>
  <c r="CG17" i="16"/>
  <c r="AT17" i="16"/>
  <c r="BF17" i="16"/>
  <c r="CQ17" i="16"/>
  <c r="R205" i="13"/>
  <c r="P205" i="13"/>
  <c r="I475" i="13"/>
  <c r="I479" i="13"/>
  <c r="G488" i="13"/>
  <c r="G487" i="13"/>
  <c r="AA53" i="16"/>
  <c r="BS19" i="118"/>
  <c r="BR43" i="118"/>
  <c r="L211" i="13"/>
  <c r="O211" i="13"/>
  <c r="N211" i="13"/>
  <c r="Q211" i="13"/>
  <c r="G51" i="145"/>
  <c r="BJ35" i="23"/>
  <c r="CN16" i="16"/>
  <c r="BK16" i="16"/>
  <c r="AR16" i="16"/>
  <c r="BN16" i="16"/>
  <c r="BW16" i="16"/>
  <c r="BT16" i="16"/>
  <c r="BM16" i="16"/>
  <c r="AX16" i="16"/>
  <c r="Q205" i="13"/>
  <c r="F205" i="13"/>
  <c r="I205" i="13"/>
  <c r="K205" i="13"/>
  <c r="F543" i="16"/>
  <c r="AS16" i="16"/>
  <c r="BO16" i="16"/>
  <c r="CB16" i="16"/>
  <c r="BR16" i="16"/>
  <c r="BP16" i="16"/>
  <c r="BJ16" i="16"/>
  <c r="AW24" i="16"/>
  <c r="BD34" i="23"/>
  <c r="BE30" i="23"/>
  <c r="BF16" i="23"/>
  <c r="BF8" i="23"/>
  <c r="BB3" i="23"/>
  <c r="BN17" i="16"/>
  <c r="AK17" i="16"/>
  <c r="BR9" i="118"/>
  <c r="BG19" i="16"/>
  <c r="BF13" i="23"/>
  <c r="BE32" i="23"/>
  <c r="BC14" i="23"/>
  <c r="AD57" i="13"/>
  <c r="AF57" i="13"/>
  <c r="CP17" i="16"/>
  <c r="BV17" i="16"/>
  <c r="CE17" i="16"/>
  <c r="AW17" i="16"/>
  <c r="BM17" i="16"/>
  <c r="BW17" i="16"/>
  <c r="AX17" i="16"/>
  <c r="AV17" i="16"/>
  <c r="O397" i="13"/>
  <c r="P397" i="13"/>
  <c r="F397" i="13"/>
  <c r="AL17" i="16"/>
  <c r="R206" i="13"/>
  <c r="P206" i="13"/>
  <c r="N206" i="13"/>
  <c r="K397" i="13"/>
  <c r="C166" i="13"/>
  <c r="AD49" i="13"/>
  <c r="AF49" i="13"/>
  <c r="AF85" i="13"/>
  <c r="AD85" i="13"/>
  <c r="AF76" i="13"/>
  <c r="AD76" i="13"/>
  <c r="AF87" i="13"/>
  <c r="AD87" i="13"/>
  <c r="AF55" i="13"/>
  <c r="AD55" i="13"/>
  <c r="P89" i="87"/>
  <c r="N106" i="135"/>
  <c r="BI45" i="23"/>
  <c r="BR12" i="118"/>
  <c r="AF78" i="13"/>
  <c r="BE17" i="23"/>
  <c r="BS41" i="118"/>
  <c r="BE23" i="23"/>
  <c r="CF19" i="16"/>
  <c r="BB30" i="23"/>
  <c r="BS19" i="16"/>
  <c r="AF61" i="13"/>
  <c r="AD61" i="13"/>
  <c r="AF93" i="13"/>
  <c r="AD93" i="13"/>
  <c r="AF84" i="13"/>
  <c r="AD84" i="13"/>
  <c r="CH16" i="16"/>
  <c r="CR16" i="16"/>
  <c r="AF81" i="13"/>
  <c r="AD81" i="13"/>
  <c r="N21" i="135"/>
  <c r="T59" i="145"/>
  <c r="AL49" i="13"/>
  <c r="BS24" i="118"/>
  <c r="BS39" i="118"/>
  <c r="BR49" i="118"/>
  <c r="BI35" i="23"/>
  <c r="BD10" i="23"/>
  <c r="BD6" i="23"/>
  <c r="G23" i="145"/>
  <c r="G12" i="145"/>
  <c r="G28" i="145"/>
  <c r="G32" i="145"/>
  <c r="G44" i="145"/>
  <c r="C450" i="13"/>
  <c r="BS7" i="118"/>
  <c r="BF20" i="23"/>
  <c r="Q106" i="13"/>
  <c r="BR39" i="118"/>
  <c r="C444" i="13"/>
  <c r="BB26" i="23"/>
  <c r="BD5" i="23"/>
  <c r="BT19" i="16"/>
  <c r="BF31" i="23"/>
  <c r="AF69" i="13"/>
  <c r="AD69" i="13"/>
  <c r="AF92" i="13"/>
  <c r="AD92" i="13"/>
  <c r="AD71" i="13"/>
  <c r="AF71" i="13"/>
  <c r="BD24" i="23"/>
  <c r="BC21" i="23"/>
  <c r="L89" i="87"/>
  <c r="F94" i="87"/>
  <c r="F96" i="87"/>
  <c r="BR25" i="118"/>
  <c r="BS20" i="118"/>
  <c r="L90" i="87"/>
  <c r="L92" i="87"/>
  <c r="BR40" i="118"/>
  <c r="BR18" i="118"/>
  <c r="BJ43" i="23"/>
  <c r="BI40" i="23"/>
  <c r="AZ17" i="23"/>
  <c r="BE34" i="23"/>
  <c r="BB19" i="23"/>
  <c r="BM19" i="16"/>
  <c r="AF56" i="13"/>
  <c r="AD56" i="13"/>
  <c r="AF77" i="13"/>
  <c r="AD77" i="13"/>
  <c r="AF48" i="13"/>
  <c r="AD48" i="13"/>
  <c r="AD72" i="13"/>
  <c r="AF72" i="13"/>
  <c r="G20" i="145"/>
  <c r="G40" i="145"/>
  <c r="AZ14" i="23"/>
  <c r="BD7" i="23"/>
  <c r="AZ19" i="23"/>
  <c r="BR24" i="118"/>
  <c r="BC8" i="23"/>
  <c r="AB61" i="16"/>
  <c r="AB56" i="16"/>
  <c r="AB36" i="16"/>
  <c r="V36" i="16"/>
  <c r="AC36" i="16"/>
  <c r="AC56" i="16"/>
  <c r="AB57" i="16"/>
  <c r="AC41" i="16"/>
  <c r="V41" i="16"/>
  <c r="AB41" i="16"/>
  <c r="AA41" i="16"/>
  <c r="BA29" i="23"/>
  <c r="AA36" i="16"/>
  <c r="BE15" i="23"/>
  <c r="L488" i="13"/>
  <c r="L475" i="13"/>
  <c r="L479" i="13"/>
  <c r="F488" i="13"/>
  <c r="F475" i="13"/>
  <c r="F479" i="13"/>
  <c r="BF34" i="23"/>
  <c r="M107" i="135"/>
  <c r="N75" i="25"/>
  <c r="N106" i="25"/>
  <c r="H81" i="25"/>
  <c r="H112" i="25"/>
  <c r="Q85" i="25"/>
  <c r="Q116" i="25"/>
  <c r="O90" i="25"/>
  <c r="O121" i="25"/>
  <c r="S94" i="25"/>
  <c r="P132" i="25"/>
  <c r="F90" i="25"/>
  <c r="F121" i="25"/>
  <c r="I97" i="25"/>
  <c r="I128" i="25"/>
  <c r="F73" i="25"/>
  <c r="F104" i="25"/>
  <c r="N77" i="25"/>
  <c r="N108" i="25"/>
  <c r="O82" i="25"/>
  <c r="O113" i="25"/>
  <c r="F87" i="25"/>
  <c r="F118" i="25"/>
  <c r="O92" i="25"/>
  <c r="O123" i="25"/>
  <c r="Q91" i="25"/>
  <c r="Q122" i="25"/>
  <c r="M132" i="25"/>
  <c r="H98" i="25"/>
  <c r="H129" i="25"/>
  <c r="N132" i="25"/>
  <c r="R88" i="25"/>
  <c r="R119" i="25"/>
  <c r="T94" i="25"/>
  <c r="T80" i="25"/>
  <c r="S91" i="25"/>
  <c r="S122" i="25"/>
  <c r="S81" i="25"/>
  <c r="S112" i="25"/>
  <c r="H74" i="25"/>
  <c r="H105" i="25"/>
  <c r="M89" i="25"/>
  <c r="M120" i="25"/>
  <c r="T73" i="25"/>
  <c r="N79" i="25"/>
  <c r="N110" i="25"/>
  <c r="P83" i="25"/>
  <c r="P114" i="25"/>
  <c r="S88" i="25"/>
  <c r="S119" i="25"/>
  <c r="P93" i="25"/>
  <c r="P124" i="25"/>
  <c r="M98" i="25"/>
  <c r="M129" i="25"/>
  <c r="F82" i="25"/>
  <c r="F113" i="25"/>
  <c r="M75" i="25"/>
  <c r="M106" i="25"/>
  <c r="T99" i="25"/>
  <c r="S99" i="25"/>
  <c r="R99" i="25"/>
  <c r="I89" i="87"/>
  <c r="S351" i="13"/>
  <c r="BS16" i="118"/>
  <c r="BS35" i="118"/>
  <c r="BF32" i="23"/>
  <c r="BD14" i="23"/>
  <c r="BF11" i="23"/>
  <c r="BR47" i="118"/>
  <c r="BR29" i="118"/>
  <c r="G15" i="145"/>
  <c r="G27" i="145"/>
  <c r="G31" i="145"/>
  <c r="G39" i="145"/>
  <c r="G47" i="145"/>
  <c r="AL43" i="135"/>
  <c r="BF5" i="23"/>
  <c r="BC22" i="23"/>
  <c r="BS26" i="118"/>
  <c r="BR41" i="118"/>
  <c r="BA33" i="23"/>
  <c r="BD32" i="23"/>
  <c r="AK19" i="16"/>
  <c r="BB19" i="16"/>
  <c r="CK19" i="16"/>
  <c r="N475" i="13"/>
  <c r="N479" i="13"/>
  <c r="N488" i="13"/>
  <c r="BE12" i="23"/>
  <c r="BF14" i="23"/>
  <c r="BE7" i="23"/>
  <c r="AZ11" i="23"/>
  <c r="P107" i="135"/>
  <c r="H77" i="25"/>
  <c r="H108" i="25"/>
  <c r="K82" i="25"/>
  <c r="K113" i="25"/>
  <c r="S86" i="25"/>
  <c r="K92" i="25"/>
  <c r="K123" i="25"/>
  <c r="G96" i="25"/>
  <c r="G127" i="25"/>
  <c r="Q87" i="25"/>
  <c r="Q118" i="25"/>
  <c r="P98" i="25"/>
  <c r="P129" i="25"/>
  <c r="H132" i="25"/>
  <c r="L73" i="25"/>
  <c r="L104" i="25"/>
  <c r="H79" i="25"/>
  <c r="H110" i="25"/>
  <c r="N83" i="25"/>
  <c r="O88" i="25"/>
  <c r="O119" i="25"/>
  <c r="M96" i="25"/>
  <c r="M127" i="25"/>
  <c r="H84" i="25"/>
  <c r="H115" i="25"/>
  <c r="F76" i="25"/>
  <c r="F107" i="25"/>
  <c r="I73" i="25"/>
  <c r="I104" i="25"/>
  <c r="N98" i="25"/>
  <c r="N129" i="25"/>
  <c r="R84" i="25"/>
  <c r="T90" i="25"/>
  <c r="T76" i="25"/>
  <c r="S89" i="25"/>
  <c r="S120" i="25"/>
  <c r="S79" i="25"/>
  <c r="S110" i="25"/>
  <c r="O73" i="25"/>
  <c r="O104" i="25"/>
  <c r="I79" i="25"/>
  <c r="I110" i="25"/>
  <c r="F75" i="25"/>
  <c r="F106" i="25"/>
  <c r="S80" i="25"/>
  <c r="I85" i="25"/>
  <c r="I116" i="25"/>
  <c r="G90" i="25"/>
  <c r="G121" i="25"/>
  <c r="O94" i="25"/>
  <c r="O125" i="25"/>
  <c r="G94" i="25"/>
  <c r="G125" i="25"/>
  <c r="F94" i="25"/>
  <c r="F125" i="25"/>
  <c r="P99" i="25"/>
  <c r="L99" i="25"/>
  <c r="O99" i="25"/>
  <c r="N99" i="25"/>
  <c r="BS22" i="118"/>
  <c r="BR27" i="118"/>
  <c r="O90" i="87"/>
  <c r="O92" i="87"/>
  <c r="BR10" i="118"/>
  <c r="G19" i="145"/>
  <c r="F21" i="135"/>
  <c r="L59" i="145"/>
  <c r="BR36" i="118"/>
  <c r="BC16" i="23"/>
  <c r="C448" i="13"/>
  <c r="BD31" i="23"/>
  <c r="BA11" i="23"/>
  <c r="BF24" i="23"/>
  <c r="BN19" i="16"/>
  <c r="CD19" i="16"/>
  <c r="BQ19" i="16"/>
  <c r="BF19" i="16"/>
  <c r="AR19" i="16"/>
  <c r="BX19" i="16"/>
  <c r="AU19" i="16"/>
  <c r="CA19" i="16"/>
  <c r="BU19" i="16"/>
  <c r="BR19" i="16"/>
  <c r="BV19" i="16"/>
  <c r="AV19" i="16"/>
  <c r="CB19" i="16"/>
  <c r="AY19" i="16"/>
  <c r="CE19" i="16"/>
  <c r="AW19" i="16"/>
  <c r="AT19" i="16"/>
  <c r="BK19" i="16"/>
  <c r="BY19" i="16"/>
  <c r="CC19" i="16"/>
  <c r="CN19" i="16"/>
  <c r="BO19" i="16"/>
  <c r="BI19" i="16"/>
  <c r="CQ19" i="16"/>
  <c r="BL19" i="16"/>
  <c r="BZ19" i="16"/>
  <c r="BH19" i="16"/>
  <c r="AO19" i="16"/>
  <c r="CR19" i="16"/>
  <c r="AL19" i="16"/>
  <c r="BW19" i="16"/>
  <c r="AP19" i="16"/>
  <c r="AM19" i="16"/>
  <c r="BA19" i="16"/>
  <c r="CJ19" i="16"/>
  <c r="BE19" i="16"/>
  <c r="AZ19" i="16"/>
  <c r="AQ19" i="16"/>
  <c r="CH19" i="16"/>
  <c r="BP19" i="16"/>
  <c r="CP19" i="16"/>
  <c r="BD19" i="16"/>
  <c r="CI19" i="16"/>
  <c r="CL19" i="16"/>
  <c r="AS19" i="16"/>
  <c r="F6" i="25"/>
  <c r="M6" i="25"/>
  <c r="N6" i="25"/>
  <c r="J6" i="25"/>
  <c r="H6" i="25"/>
  <c r="Q6" i="25"/>
  <c r="S6" i="25"/>
  <c r="R6" i="25"/>
  <c r="P6" i="25"/>
  <c r="L6" i="25"/>
  <c r="BE33" i="23"/>
  <c r="BC10" i="23"/>
  <c r="AZ20" i="23"/>
  <c r="BC5" i="23"/>
  <c r="BD25" i="23"/>
  <c r="BA30" i="23"/>
  <c r="BC9" i="23"/>
  <c r="BE9" i="23"/>
  <c r="AN19" i="16"/>
  <c r="CG19" i="16"/>
  <c r="BJ41" i="23"/>
  <c r="BJ42" i="23"/>
  <c r="BJ46" i="23"/>
  <c r="BS8" i="118"/>
  <c r="BR11" i="118"/>
  <c r="BS12" i="118"/>
  <c r="BF4" i="23"/>
  <c r="BB11" i="23"/>
  <c r="BB27" i="23"/>
  <c r="N207" i="13"/>
  <c r="L207" i="13"/>
  <c r="S207" i="13"/>
  <c r="P207" i="13"/>
  <c r="O207" i="13"/>
  <c r="R207" i="13"/>
  <c r="F207" i="13"/>
  <c r="H207" i="13"/>
  <c r="Q207" i="13"/>
  <c r="K207" i="13"/>
  <c r="G207" i="13"/>
  <c r="A323" i="13"/>
  <c r="M207" i="13"/>
  <c r="I207" i="13"/>
  <c r="J207" i="13"/>
  <c r="AC37" i="16"/>
  <c r="AA37" i="16"/>
  <c r="AB37" i="16"/>
  <c r="AC49" i="16"/>
  <c r="AB49" i="16"/>
  <c r="V49" i="16"/>
  <c r="F211" i="13"/>
  <c r="H211" i="13"/>
  <c r="BC25" i="23"/>
  <c r="BA17" i="23"/>
  <c r="BA21" i="23"/>
  <c r="AZ9" i="23"/>
  <c r="BE31" i="23"/>
  <c r="BD9" i="23"/>
  <c r="BC28" i="23"/>
  <c r="BJ45" i="23"/>
  <c r="BZ51" i="25"/>
  <c r="BV51" i="25"/>
  <c r="CC51" i="25"/>
  <c r="BQ51" i="25"/>
  <c r="BT51" i="25"/>
  <c r="BS51" i="25"/>
  <c r="BY51" i="25"/>
  <c r="CA51" i="25"/>
  <c r="BO51" i="25"/>
  <c r="BW51" i="25"/>
  <c r="BX51" i="25"/>
  <c r="K488" i="13"/>
  <c r="K475" i="13"/>
  <c r="K479" i="13"/>
  <c r="BD33" i="23"/>
  <c r="BR6" i="118"/>
  <c r="BR46" i="118"/>
  <c r="J94" i="87"/>
  <c r="J96" i="87"/>
  <c r="BR8" i="118"/>
  <c r="BS42" i="118"/>
  <c r="U10" i="29"/>
  <c r="X17" i="29"/>
  <c r="BS49" i="118"/>
  <c r="R16" i="29"/>
  <c r="BA19" i="23"/>
  <c r="BD26" i="23"/>
  <c r="BC29" i="23"/>
  <c r="BF18" i="23"/>
  <c r="BF10" i="23"/>
  <c r="BE19" i="23"/>
  <c r="M204" i="13"/>
  <c r="G204" i="13"/>
  <c r="R204" i="13"/>
  <c r="H204" i="13"/>
  <c r="Q204" i="13"/>
  <c r="E204" i="13"/>
  <c r="K204" i="13"/>
  <c r="P204" i="13"/>
  <c r="F204" i="13"/>
  <c r="N204" i="13"/>
  <c r="I204" i="13"/>
  <c r="S204" i="13"/>
  <c r="L204" i="13"/>
  <c r="O204" i="13"/>
  <c r="J204" i="13"/>
  <c r="A320" i="13"/>
  <c r="R400" i="13"/>
  <c r="E400" i="13"/>
  <c r="Q400" i="13"/>
  <c r="I400" i="13"/>
  <c r="J400" i="13"/>
  <c r="N400" i="13"/>
  <c r="G400" i="13"/>
  <c r="S400" i="13"/>
  <c r="O400" i="13"/>
  <c r="F400" i="13"/>
  <c r="H400" i="13"/>
  <c r="K400" i="13"/>
  <c r="M400" i="13"/>
  <c r="L400" i="13"/>
  <c r="P400" i="13"/>
  <c r="BF27" i="23"/>
  <c r="BE21" i="23"/>
  <c r="BA15" i="23"/>
  <c r="BA10" i="23"/>
  <c r="BA31" i="23"/>
  <c r="BB12" i="23"/>
  <c r="BJ36" i="23"/>
  <c r="M488" i="13"/>
  <c r="M475" i="13"/>
  <c r="M479" i="13"/>
  <c r="H475" i="13"/>
  <c r="H479" i="13"/>
  <c r="H488" i="13"/>
  <c r="Y19" i="13"/>
  <c r="BC17" i="23"/>
  <c r="BA22" i="23"/>
  <c r="BI42" i="23"/>
  <c r="AV19" i="13"/>
  <c r="G30" i="145"/>
  <c r="BC12" i="23"/>
  <c r="Q26" i="135"/>
  <c r="R26" i="135"/>
  <c r="I26" i="135"/>
  <c r="G35" i="145"/>
  <c r="G43" i="145"/>
  <c r="G55" i="145"/>
  <c r="T20" i="29"/>
  <c r="B20" i="29"/>
  <c r="J20" i="29"/>
  <c r="B14" i="29"/>
  <c r="D14" i="29"/>
  <c r="T14" i="29"/>
  <c r="J14" i="29"/>
  <c r="B27" i="29"/>
  <c r="D27" i="29"/>
  <c r="J27" i="29"/>
  <c r="T24" i="29"/>
  <c r="B24" i="29"/>
  <c r="D24" i="29"/>
  <c r="R11" i="29"/>
  <c r="R12" i="29"/>
  <c r="BA6" i="23"/>
  <c r="BD13" i="23"/>
  <c r="BH41" i="23"/>
  <c r="G36" i="145"/>
  <c r="V45" i="16"/>
  <c r="AC45" i="16"/>
  <c r="AA45" i="16"/>
  <c r="AB45" i="16"/>
  <c r="E212" i="13"/>
  <c r="H212" i="13"/>
  <c r="M212" i="13"/>
  <c r="K212" i="13"/>
  <c r="P212" i="13"/>
  <c r="Q212" i="13"/>
  <c r="A328" i="13"/>
  <c r="F212" i="13"/>
  <c r="G212" i="13"/>
  <c r="I212" i="13"/>
  <c r="R212" i="13"/>
  <c r="J212" i="13"/>
  <c r="L212" i="13"/>
  <c r="S212" i="13"/>
  <c r="N212" i="13"/>
  <c r="O212" i="13"/>
  <c r="J28" i="29"/>
  <c r="B28" i="29"/>
  <c r="D28" i="29"/>
  <c r="G14" i="145"/>
  <c r="J89" i="87"/>
  <c r="BA18" i="23"/>
  <c r="R7" i="29"/>
  <c r="R8" i="29"/>
  <c r="G16" i="145"/>
  <c r="G24" i="145"/>
  <c r="BR26" i="118"/>
  <c r="W6" i="29"/>
  <c r="I31" i="29"/>
  <c r="W28" i="29"/>
  <c r="X29" i="29"/>
  <c r="I30" i="29"/>
  <c r="X19" i="29"/>
  <c r="X20" i="29"/>
  <c r="J24" i="29"/>
  <c r="W24" i="29"/>
  <c r="X25" i="29"/>
  <c r="E107" i="135"/>
  <c r="BS30" i="118"/>
  <c r="BS40" i="118"/>
  <c r="BA103" i="23"/>
  <c r="BS36" i="118"/>
  <c r="BR22" i="118"/>
  <c r="G90" i="87"/>
  <c r="G92" i="87"/>
  <c r="T5" i="29"/>
  <c r="J5" i="29"/>
  <c r="B5" i="29"/>
  <c r="D5" i="29"/>
  <c r="B26" i="29"/>
  <c r="D26" i="29"/>
  <c r="J26" i="29"/>
  <c r="T11" i="29"/>
  <c r="B11" i="29"/>
  <c r="D11" i="29"/>
  <c r="T22" i="29"/>
  <c r="J22" i="29"/>
  <c r="B22" i="29"/>
  <c r="D22" i="29"/>
  <c r="T13" i="29"/>
  <c r="U13" i="29"/>
  <c r="B13" i="29"/>
  <c r="D13" i="29"/>
  <c r="J13" i="29"/>
  <c r="B19" i="29"/>
  <c r="D19" i="29"/>
  <c r="T19" i="29"/>
  <c r="J19" i="29"/>
  <c r="W12" i="29"/>
  <c r="X13" i="29"/>
  <c r="J12" i="29"/>
  <c r="J90" i="87"/>
  <c r="J92" i="87"/>
  <c r="B342" i="13"/>
  <c r="A342" i="13"/>
  <c r="BR35" i="118"/>
  <c r="BS17" i="118"/>
  <c r="BC34" i="23"/>
  <c r="BR42" i="118"/>
  <c r="I90" i="87"/>
  <c r="I92" i="87"/>
  <c r="BS29" i="118"/>
  <c r="BS37" i="118"/>
  <c r="BJ38" i="23"/>
  <c r="BH43" i="23"/>
  <c r="A43" i="13" a="1"/>
  <c r="A43" i="13"/>
  <c r="B45" i="13"/>
  <c r="BR37" i="118"/>
  <c r="BE4" i="23"/>
  <c r="BE27" i="23"/>
  <c r="BS6" i="118"/>
  <c r="B23" i="29"/>
  <c r="D23" i="29"/>
  <c r="T23" i="29"/>
  <c r="B21" i="29"/>
  <c r="J21" i="29"/>
  <c r="T21" i="29"/>
  <c r="T6" i="29"/>
  <c r="J6" i="29"/>
  <c r="B6" i="29"/>
  <c r="D6" i="29"/>
  <c r="B7" i="29"/>
  <c r="D7" i="29"/>
  <c r="T7" i="29"/>
  <c r="J16" i="29"/>
  <c r="B16" i="29"/>
  <c r="D16" i="29"/>
  <c r="T16" i="29"/>
  <c r="G94" i="87"/>
  <c r="G96" i="87"/>
  <c r="D15" i="29"/>
  <c r="BS38" i="118"/>
  <c r="J9" i="29"/>
  <c r="W9" i="29"/>
  <c r="BS27" i="118"/>
  <c r="BR45" i="118"/>
  <c r="BR14" i="118"/>
  <c r="BI36" i="23"/>
  <c r="G48" i="145"/>
  <c r="BY3" i="13"/>
  <c r="G229" i="16"/>
  <c r="BR23" i="118"/>
  <c r="BR33" i="118"/>
  <c r="K90" i="87"/>
  <c r="K92" i="87"/>
  <c r="BS14" i="118"/>
  <c r="BS25" i="118"/>
  <c r="BR7" i="118"/>
  <c r="BC15" i="23"/>
  <c r="AC43" i="16"/>
  <c r="AB43" i="16"/>
  <c r="V43" i="16"/>
  <c r="AA43" i="16"/>
  <c r="V47" i="16"/>
  <c r="AA47" i="16"/>
  <c r="AC47" i="16"/>
  <c r="AB47" i="16"/>
  <c r="H92" i="25"/>
  <c r="F80" i="25"/>
  <c r="F86" i="25"/>
  <c r="O98" i="25"/>
  <c r="K90" i="25"/>
  <c r="M85" i="25"/>
  <c r="F81" i="25"/>
  <c r="H75" i="25"/>
  <c r="K72" i="25"/>
  <c r="M93" i="25"/>
  <c r="F92" i="25"/>
  <c r="H90" i="25"/>
  <c r="S96" i="25"/>
  <c r="F89" i="25"/>
  <c r="K84" i="25"/>
  <c r="P79" i="25"/>
  <c r="K74" i="25"/>
  <c r="J71" i="25"/>
  <c r="O77" i="25"/>
  <c r="Q79" i="25"/>
  <c r="P91" i="25"/>
  <c r="G82" i="25"/>
  <c r="S72" i="25"/>
  <c r="G80" i="25"/>
  <c r="G72" i="25"/>
  <c r="T72" i="25"/>
  <c r="Q83" i="25"/>
  <c r="G71" i="25"/>
  <c r="K73" i="25"/>
  <c r="P74" i="25"/>
  <c r="I77" i="25"/>
  <c r="O79" i="25"/>
  <c r="G83" i="25"/>
  <c r="K87" i="25"/>
  <c r="O89" i="25"/>
  <c r="G93" i="25"/>
  <c r="K95" i="25"/>
  <c r="L76" i="25"/>
  <c r="L82" i="25"/>
  <c r="T85" i="25"/>
  <c r="L90" i="25"/>
  <c r="R72" i="25"/>
  <c r="R78" i="25"/>
  <c r="J84" i="25"/>
  <c r="J90" i="25"/>
  <c r="R94" i="25"/>
  <c r="J98" i="25"/>
  <c r="R132" i="25"/>
  <c r="S132" i="25"/>
  <c r="O97" i="25"/>
  <c r="I98" i="25"/>
  <c r="R97" i="25"/>
  <c r="J97" i="25"/>
  <c r="K96" i="25"/>
  <c r="L95" i="25"/>
  <c r="M94" i="25"/>
  <c r="R93" i="25"/>
  <c r="L91" i="25"/>
  <c r="M90" i="25"/>
  <c r="R89" i="25"/>
  <c r="T87" i="25"/>
  <c r="J87" i="25"/>
  <c r="I84" i="25"/>
  <c r="L83" i="25"/>
  <c r="M82" i="25"/>
  <c r="R81" i="25"/>
  <c r="Q80" i="25"/>
  <c r="R79" i="25"/>
  <c r="Q78" i="25"/>
  <c r="G78" i="25"/>
  <c r="J77" i="25"/>
  <c r="M76" i="25"/>
  <c r="T75" i="25"/>
  <c r="H73" i="25"/>
  <c r="I72" i="25"/>
  <c r="H71" i="25"/>
  <c r="S97" i="25"/>
  <c r="L132" i="25"/>
  <c r="L96" i="25"/>
  <c r="N88" i="25"/>
  <c r="N80" i="25"/>
  <c r="J72" i="25"/>
  <c r="P88" i="25"/>
  <c r="P82" i="25"/>
  <c r="F74" i="25"/>
  <c r="I93" i="25"/>
  <c r="I89" i="25"/>
  <c r="M83" i="25"/>
  <c r="S77" i="25"/>
  <c r="L74" i="25"/>
  <c r="Q71" i="25"/>
  <c r="P87" i="25"/>
  <c r="M78" i="25"/>
  <c r="F95" i="25"/>
  <c r="T74" i="25"/>
  <c r="I87" i="25"/>
  <c r="K71" i="25"/>
  <c r="S73" i="25"/>
  <c r="G75" i="25"/>
  <c r="M77" i="25"/>
  <c r="G81" i="25"/>
  <c r="K83" i="25"/>
  <c r="O87" i="25"/>
  <c r="G91" i="25"/>
  <c r="K93" i="25"/>
  <c r="O95" i="25"/>
  <c r="L78" i="25"/>
  <c r="T82" i="25"/>
  <c r="L86" i="25"/>
  <c r="L92" i="25"/>
  <c r="R74" i="25"/>
  <c r="J80" i="25"/>
  <c r="J86" i="25"/>
  <c r="R90" i="25"/>
  <c r="J96" i="25"/>
  <c r="R98" i="25"/>
  <c r="H96" i="25"/>
  <c r="K97" i="25"/>
  <c r="H97" i="25"/>
  <c r="I96" i="25"/>
  <c r="J95" i="25"/>
  <c r="I94" i="25"/>
  <c r="N93" i="25"/>
  <c r="Q92" i="25"/>
  <c r="T91" i="25"/>
  <c r="J91" i="25"/>
  <c r="I90" i="25"/>
  <c r="N89" i="25"/>
  <c r="Q88" i="25"/>
  <c r="R87" i="25"/>
  <c r="Q86" i="25"/>
  <c r="S85" i="25"/>
  <c r="G85" i="25"/>
  <c r="J83" i="25"/>
  <c r="I82" i="25"/>
  <c r="L81" i="25"/>
  <c r="M80" i="25"/>
  <c r="L79" i="25"/>
  <c r="O78" i="25"/>
  <c r="T77" i="25"/>
  <c r="K76" i="25"/>
  <c r="R75" i="25"/>
  <c r="Q74" i="25"/>
  <c r="R73" i="25"/>
  <c r="R71" i="25"/>
  <c r="G132" i="25"/>
  <c r="T98" i="25"/>
  <c r="N94" i="25"/>
  <c r="N86" i="25"/>
  <c r="N78" i="25"/>
  <c r="P94" i="25"/>
  <c r="P86" i="25"/>
  <c r="P80" i="25"/>
  <c r="F72" i="25"/>
  <c r="G92" i="25"/>
  <c r="G88" i="25"/>
  <c r="Q81" i="25"/>
  <c r="K77" i="25"/>
  <c r="L72" i="25"/>
  <c r="I71" i="25"/>
  <c r="F91" i="25"/>
  <c r="F84" i="25"/>
  <c r="F77" i="25"/>
  <c r="G77" i="25"/>
  <c r="S71" i="25"/>
  <c r="K75" i="25"/>
  <c r="K81" i="25"/>
  <c r="G89" i="25"/>
  <c r="O93" i="25"/>
  <c r="T78" i="25"/>
  <c r="L88" i="25"/>
  <c r="J76" i="25"/>
  <c r="R86" i="25"/>
  <c r="R96" i="25"/>
  <c r="M97" i="25"/>
  <c r="K98" i="25"/>
  <c r="P97" i="25"/>
  <c r="R95" i="25"/>
  <c r="R91" i="25"/>
  <c r="L87" i="25"/>
  <c r="O85" i="25"/>
  <c r="M84" i="25"/>
  <c r="J81" i="25"/>
  <c r="J79" i="25"/>
  <c r="R77" i="25"/>
  <c r="Q76" i="25"/>
  <c r="J75" i="25"/>
  <c r="Q72" i="25"/>
  <c r="L98" i="25"/>
  <c r="N84" i="25"/>
  <c r="P92" i="25"/>
  <c r="P78" i="25"/>
  <c r="M91" i="25"/>
  <c r="I81" i="25"/>
  <c r="G74" i="25"/>
  <c r="J85" i="25"/>
  <c r="H72" i="25"/>
  <c r="K91" i="25"/>
  <c r="L84" i="25"/>
  <c r="J82" i="25"/>
  <c r="F132" i="25"/>
  <c r="G98" i="25"/>
  <c r="L93" i="25"/>
  <c r="I92" i="25"/>
  <c r="L89" i="25"/>
  <c r="I86" i="25"/>
  <c r="T83" i="25"/>
  <c r="I80" i="25"/>
  <c r="P96" i="25"/>
  <c r="T95" i="25"/>
  <c r="J73" i="25"/>
  <c r="M81" i="25"/>
  <c r="G73" i="25"/>
  <c r="S75" i="25"/>
  <c r="O81" i="25"/>
  <c r="K89" i="25"/>
  <c r="G95" i="25"/>
  <c r="L80" i="25"/>
  <c r="T88" i="25"/>
  <c r="J78" i="25"/>
  <c r="J88" i="25"/>
  <c r="F98" i="25"/>
  <c r="K132" i="25"/>
  <c r="L97" i="25"/>
  <c r="N95" i="25"/>
  <c r="T93" i="25"/>
  <c r="M92" i="25"/>
  <c r="N91" i="25"/>
  <c r="T89" i="25"/>
  <c r="M88" i="25"/>
  <c r="M86" i="25"/>
  <c r="K85" i="25"/>
  <c r="Q82" i="25"/>
  <c r="S78" i="25"/>
  <c r="L77" i="25"/>
  <c r="I76" i="25"/>
  <c r="P73" i="25"/>
  <c r="M72" i="25"/>
  <c r="Q132" i="25"/>
  <c r="T96" i="25"/>
  <c r="N82" i="25"/>
  <c r="P90" i="25"/>
  <c r="P76" i="25"/>
  <c r="Q89" i="25"/>
  <c r="M79" i="25"/>
  <c r="M73" i="25"/>
  <c r="H76" i="25"/>
  <c r="O86" i="25"/>
  <c r="N85" i="25"/>
  <c r="G79" i="25"/>
  <c r="O83" i="25"/>
  <c r="N72" i="25"/>
  <c r="T92" i="25"/>
  <c r="J92" i="25"/>
  <c r="I132" i="25"/>
  <c r="H95" i="25"/>
  <c r="I88" i="25"/>
  <c r="K78" i="25"/>
  <c r="G87" i="25"/>
  <c r="L94" i="25"/>
  <c r="G97" i="25"/>
  <c r="Q98" i="25"/>
  <c r="Q96" i="25"/>
  <c r="R83" i="25"/>
  <c r="S76" i="25"/>
  <c r="M74" i="25"/>
  <c r="Q97" i="25"/>
  <c r="N76" i="25"/>
  <c r="M95" i="25"/>
  <c r="Q75" i="25"/>
  <c r="R85" i="25"/>
  <c r="O91" i="25"/>
  <c r="R82" i="25"/>
  <c r="Q94" i="25"/>
  <c r="J89" i="25"/>
  <c r="T79" i="25"/>
  <c r="I74" i="25"/>
  <c r="P71" i="25"/>
  <c r="T132" i="25"/>
  <c r="J74" i="25"/>
  <c r="Q93" i="25"/>
  <c r="I75" i="25"/>
  <c r="F83" i="25"/>
  <c r="M71" i="25"/>
  <c r="P72" i="25"/>
  <c r="N74" i="25"/>
  <c r="J94" i="25"/>
  <c r="T97" i="25"/>
  <c r="Q84" i="25"/>
  <c r="I78" i="25"/>
  <c r="L75" i="25"/>
  <c r="N71" i="25"/>
  <c r="N92" i="25"/>
  <c r="P85" i="25"/>
  <c r="M87" i="25"/>
  <c r="G76" i="25"/>
  <c r="K79" i="25"/>
  <c r="L85" i="25"/>
  <c r="J132" i="25"/>
  <c r="J93" i="25"/>
  <c r="Q90" i="25"/>
  <c r="N87" i="25"/>
  <c r="T81" i="25"/>
  <c r="N73" i="25"/>
  <c r="N90" i="25"/>
  <c r="P84" i="25"/>
  <c r="G84" i="25"/>
  <c r="T18" i="29"/>
  <c r="B18" i="29"/>
  <c r="D18" i="29"/>
  <c r="J18" i="29"/>
  <c r="B17" i="29"/>
  <c r="D17" i="29"/>
  <c r="T17" i="29"/>
  <c r="J17" i="29"/>
  <c r="T4" i="29"/>
  <c r="H31" i="29"/>
  <c r="T28" i="29"/>
  <c r="H30" i="29"/>
  <c r="J4" i="29"/>
  <c r="B4" i="29"/>
  <c r="D4" i="29"/>
  <c r="J8" i="29"/>
  <c r="T8" i="29"/>
  <c r="B8" i="29"/>
  <c r="D8" i="29"/>
  <c r="B25" i="29"/>
  <c r="D25" i="29"/>
  <c r="J25" i="29"/>
  <c r="T25" i="29"/>
  <c r="D10" i="29"/>
  <c r="X22" i="29"/>
  <c r="X18" i="29"/>
  <c r="X5" i="29"/>
  <c r="X21" i="29"/>
  <c r="BB34" i="23"/>
  <c r="AZ25" i="23"/>
  <c r="BA12" i="23"/>
  <c r="BA4" i="23"/>
  <c r="BD20" i="23"/>
  <c r="BD16" i="23"/>
  <c r="BB25" i="23"/>
  <c r="E4" i="145"/>
  <c r="P3" i="145"/>
  <c r="Q21" i="135"/>
  <c r="W59" i="145"/>
  <c r="BR50" i="118"/>
  <c r="BQ3" i="13"/>
  <c r="BS13" i="118"/>
  <c r="E89" i="87"/>
  <c r="B343" i="13"/>
  <c r="A343" i="13"/>
  <c r="BR17" i="118"/>
  <c r="AU19" i="13"/>
  <c r="AZ5" i="23"/>
  <c r="BB33" i="23"/>
  <c r="BB21" i="23"/>
  <c r="BC27" i="23"/>
  <c r="AZ26" i="23"/>
  <c r="BE26" i="23"/>
  <c r="BE18" i="23"/>
  <c r="BE10" i="23"/>
  <c r="BD23" i="23"/>
  <c r="BD19" i="23"/>
  <c r="BD15" i="23"/>
  <c r="BD11" i="23"/>
  <c r="BE11" i="23"/>
  <c r="BB23" i="23"/>
  <c r="D106" i="135"/>
  <c r="AQ21" i="135"/>
  <c r="BG21" i="135"/>
  <c r="BI46" i="23"/>
  <c r="BB107" i="23"/>
  <c r="BF104" i="23"/>
  <c r="BA106" i="23"/>
  <c r="BD108" i="23"/>
  <c r="BA104" i="23"/>
  <c r="BC107" i="23"/>
  <c r="AZ108" i="23"/>
  <c r="AQ52" i="13"/>
  <c r="AR52" i="13"/>
  <c r="AR49" i="13"/>
  <c r="BE13" i="23"/>
  <c r="BC26" i="23"/>
  <c r="X11" i="29"/>
  <c r="BD22" i="23"/>
  <c r="BA7" i="23"/>
  <c r="BE20" i="23"/>
  <c r="BD17" i="23"/>
  <c r="BC11" i="23"/>
  <c r="X8" i="29"/>
  <c r="M90" i="87"/>
  <c r="M92" i="87"/>
  <c r="BF29" i="23"/>
  <c r="AZ33" i="23"/>
  <c r="BA20" i="23"/>
  <c r="AZ4" i="23"/>
  <c r="BF30" i="23"/>
  <c r="BB15" i="23"/>
  <c r="BE106" i="23"/>
  <c r="AZ102" i="23"/>
  <c r="BB102" i="23"/>
  <c r="BF102" i="23"/>
  <c r="BA107" i="23"/>
  <c r="BB13" i="23"/>
  <c r="BU3" i="13"/>
  <c r="BS43" i="118"/>
  <c r="BR4" i="118"/>
  <c r="BS10" i="118"/>
  <c r="BS28" i="118"/>
  <c r="BS34" i="118"/>
  <c r="B90" i="87"/>
  <c r="B92" i="87"/>
  <c r="O94" i="87"/>
  <c r="BR5" i="118"/>
  <c r="AZ8" i="23"/>
  <c r="BC20" i="23"/>
  <c r="BC4" i="23"/>
  <c r="BA16" i="23"/>
  <c r="BA32" i="23"/>
  <c r="BE24" i="23"/>
  <c r="BE16" i="23"/>
  <c r="BD18" i="23"/>
  <c r="BE29" i="23"/>
  <c r="BC23" i="23"/>
  <c r="BF108" i="23"/>
  <c r="BA105" i="23"/>
  <c r="BF107" i="23"/>
  <c r="BF103" i="23"/>
  <c r="BE107" i="23"/>
  <c r="BD102" i="23"/>
  <c r="BD106" i="23"/>
  <c r="BC103" i="23"/>
  <c r="AZ107" i="23"/>
  <c r="BC3" i="23"/>
  <c r="AZ31" i="23"/>
  <c r="BB29" i="23"/>
  <c r="X23" i="29"/>
  <c r="AZ30" i="23"/>
  <c r="AZ29" i="23"/>
  <c r="BE22" i="23"/>
  <c r="BC32" i="23"/>
  <c r="BB24" i="23"/>
  <c r="BD12" i="23"/>
  <c r="G56" i="145"/>
  <c r="F26" i="135"/>
  <c r="G52" i="145"/>
  <c r="G22" i="145"/>
  <c r="G34" i="145"/>
  <c r="G38" i="145"/>
  <c r="G42" i="145"/>
  <c r="G46" i="145"/>
  <c r="G50" i="145"/>
  <c r="G54" i="145"/>
  <c r="B147" i="16"/>
  <c r="BR28" i="118"/>
  <c r="BS32" i="118"/>
  <c r="BS45" i="118"/>
  <c r="BR48" i="118"/>
  <c r="B94" i="87"/>
  <c r="B96" i="87"/>
  <c r="BS5" i="118"/>
  <c r="E94" i="87"/>
  <c r="E96" i="87"/>
  <c r="B89" i="87"/>
  <c r="H90" i="87"/>
  <c r="H92" i="87"/>
  <c r="E90" i="87"/>
  <c r="E92" i="87"/>
  <c r="BC108" i="23"/>
  <c r="O106" i="135"/>
  <c r="BA9" i="23"/>
  <c r="BA25" i="23"/>
  <c r="BF25" i="23"/>
  <c r="BB16" i="23"/>
  <c r="BB5" i="23"/>
  <c r="AZ28" i="23"/>
  <c r="AZ32" i="23"/>
  <c r="BA14" i="23"/>
  <c r="BC18" i="23"/>
  <c r="BF26" i="23"/>
  <c r="BB18" i="23"/>
  <c r="BB7" i="23"/>
  <c r="AZ3" i="23"/>
  <c r="BC19" i="23"/>
  <c r="BH47" i="23"/>
  <c r="BE105" i="23"/>
  <c r="AZ105" i="23"/>
  <c r="BC106" i="23"/>
  <c r="BC33" i="23"/>
  <c r="BD21" i="23"/>
  <c r="BB32" i="23"/>
  <c r="AZ27" i="23"/>
  <c r="BE8" i="23"/>
  <c r="P479" i="16"/>
  <c r="BA23" i="23"/>
  <c r="AO21" i="135"/>
  <c r="BE21" i="135"/>
  <c r="G106" i="135"/>
  <c r="D21" i="145"/>
  <c r="D46" i="145"/>
  <c r="R17" i="29"/>
  <c r="R18" i="29"/>
  <c r="G26" i="145"/>
  <c r="D34" i="145"/>
  <c r="M106" i="135"/>
  <c r="D27" i="145"/>
  <c r="D40" i="145"/>
  <c r="AP21" i="135"/>
  <c r="BF21" i="135"/>
  <c r="I20" i="135"/>
  <c r="AX21" i="135"/>
  <c r="BN21" i="135"/>
  <c r="Q20" i="135"/>
  <c r="D30" i="145"/>
  <c r="D11" i="145"/>
  <c r="D41" i="145"/>
  <c r="D38" i="145"/>
  <c r="D53" i="145"/>
  <c r="D15" i="145"/>
  <c r="K106" i="135"/>
  <c r="D20" i="145"/>
  <c r="D25" i="145"/>
  <c r="D31" i="145"/>
  <c r="D32" i="145"/>
  <c r="D50" i="145"/>
  <c r="AC53" i="16"/>
  <c r="O107" i="25"/>
  <c r="BR13" i="118"/>
  <c r="BS33" i="118"/>
  <c r="Q56" i="87"/>
  <c r="I58" i="87"/>
  <c r="C90" i="87"/>
  <c r="C92" i="87"/>
  <c r="BS4" i="118"/>
  <c r="Q23" i="29"/>
  <c r="Q13" i="29"/>
  <c r="R13" i="29"/>
  <c r="L345" i="13"/>
  <c r="B344" i="13"/>
  <c r="A344" i="13"/>
  <c r="C30" i="29"/>
  <c r="Q4" i="29"/>
  <c r="R5" i="29"/>
  <c r="C31" i="29"/>
  <c r="Q28" i="29"/>
  <c r="F90" i="87"/>
  <c r="F92" i="87"/>
  <c r="D94" i="87"/>
  <c r="BR31" i="118"/>
  <c r="K94" i="87"/>
  <c r="D10" i="145"/>
  <c r="D16" i="145"/>
  <c r="D56" i="145"/>
  <c r="D12" i="145"/>
  <c r="D39" i="145"/>
  <c r="AR32" i="16"/>
  <c r="Q9" i="29"/>
  <c r="C94" i="87"/>
  <c r="G18" i="145"/>
  <c r="D37" i="145"/>
  <c r="T58" i="145"/>
  <c r="N107" i="135"/>
  <c r="O21" i="135"/>
  <c r="U59" i="145"/>
  <c r="U58" i="145"/>
  <c r="P21" i="135"/>
  <c r="V59" i="145"/>
  <c r="O107" i="135"/>
  <c r="D55" i="145"/>
  <c r="D24" i="145"/>
  <c r="D43" i="145"/>
  <c r="G11" i="145"/>
  <c r="D51" i="145"/>
  <c r="D22" i="145"/>
  <c r="D49" i="145"/>
  <c r="R58" i="145"/>
  <c r="M21" i="135"/>
  <c r="S59" i="145"/>
  <c r="L107" i="135"/>
  <c r="D19" i="145"/>
  <c r="D45" i="145"/>
  <c r="BS50" i="118"/>
  <c r="AB53" i="16"/>
  <c r="BR44" i="118"/>
  <c r="D90" i="87"/>
  <c r="D92" i="87"/>
  <c r="H94" i="87"/>
  <c r="Q14" i="29"/>
  <c r="BS48" i="118"/>
  <c r="N90" i="87"/>
  <c r="N92" i="87"/>
  <c r="AA29" i="16"/>
  <c r="AB29" i="16"/>
  <c r="AC29" i="16"/>
  <c r="V29" i="16"/>
  <c r="B493" i="13"/>
  <c r="B495" i="13"/>
  <c r="H273" i="16"/>
  <c r="M274" i="16"/>
  <c r="B616" i="16"/>
  <c r="BS31" i="118"/>
  <c r="F22" i="135"/>
  <c r="L60" i="145"/>
  <c r="E108" i="135"/>
  <c r="D18" i="145"/>
  <c r="D26" i="145"/>
  <c r="S56" i="87"/>
  <c r="I60" i="87"/>
  <c r="D35" i="145"/>
  <c r="E26" i="135"/>
  <c r="G26" i="135"/>
  <c r="K26" i="135"/>
  <c r="P26" i="135"/>
  <c r="J26" i="135"/>
  <c r="M26" i="135"/>
  <c r="N26" i="135"/>
  <c r="D26" i="135"/>
  <c r="H26" i="135"/>
  <c r="O26" i="135"/>
  <c r="D48" i="145"/>
  <c r="D13" i="145"/>
  <c r="D23" i="145"/>
  <c r="Q58" i="145"/>
  <c r="K107" i="135"/>
  <c r="L21" i="135"/>
  <c r="R59" i="145"/>
  <c r="D54" i="145"/>
  <c r="D47" i="145"/>
  <c r="D33" i="145"/>
  <c r="L26" i="135"/>
  <c r="D107" i="135"/>
  <c r="BO3" i="13"/>
  <c r="BP3" i="13"/>
  <c r="BR3" i="13"/>
  <c r="BX3" i="13"/>
  <c r="BN3" i="13"/>
  <c r="BT3" i="13"/>
  <c r="BW3" i="13"/>
  <c r="CA3" i="13"/>
  <c r="BS3" i="13"/>
  <c r="BZ3" i="13"/>
  <c r="BK3" i="13"/>
  <c r="BV3" i="13"/>
  <c r="BL3" i="13"/>
  <c r="AC50" i="16"/>
  <c r="AB50" i="16"/>
  <c r="V50" i="16"/>
  <c r="BM3" i="13"/>
  <c r="BS23" i="118"/>
  <c r="BR32" i="118"/>
  <c r="BS44" i="118"/>
  <c r="T56" i="87"/>
  <c r="BR34" i="118"/>
  <c r="B466" i="13"/>
  <c r="AB32" i="16"/>
  <c r="AA32" i="16"/>
  <c r="AC32" i="16"/>
  <c r="AA35" i="16"/>
  <c r="AC35" i="16"/>
  <c r="AB35" i="16"/>
  <c r="R56" i="87"/>
  <c r="AA50" i="16"/>
  <c r="E491" i="13"/>
  <c r="E487" i="13"/>
  <c r="I487" i="13"/>
  <c r="I491" i="13"/>
  <c r="R487" i="13"/>
  <c r="R491" i="13"/>
  <c r="H131" i="23"/>
  <c r="J131" i="23"/>
  <c r="AO3" i="23"/>
  <c r="AO19" i="23"/>
  <c r="AO14" i="23"/>
  <c r="AO10" i="23"/>
  <c r="AO65" i="23"/>
  <c r="AO105" i="23"/>
  <c r="AO29" i="23"/>
  <c r="AO31" i="23"/>
  <c r="AO8" i="23"/>
  <c r="AO108" i="23"/>
  <c r="AO25" i="23"/>
  <c r="AO22" i="23"/>
  <c r="AO18" i="23"/>
  <c r="AO27" i="23"/>
  <c r="AO28" i="23"/>
  <c r="AO20" i="23"/>
  <c r="AO11" i="23"/>
  <c r="AO73" i="23"/>
  <c r="AO66" i="23"/>
  <c r="AO76" i="23"/>
  <c r="AO6" i="23"/>
  <c r="AO72" i="23"/>
  <c r="AO34" i="23"/>
  <c r="AO7" i="23"/>
  <c r="AO106" i="23"/>
  <c r="AO13" i="23"/>
  <c r="AO71" i="23"/>
  <c r="AO32" i="23"/>
  <c r="AO30" i="23"/>
  <c r="AO102" i="23"/>
  <c r="AO33" i="23"/>
  <c r="AO26" i="23"/>
  <c r="AO5" i="23"/>
  <c r="AO17" i="23"/>
  <c r="AO23" i="23"/>
  <c r="AO74" i="23"/>
  <c r="AO68" i="23"/>
  <c r="AO77" i="23"/>
  <c r="AO69" i="23"/>
  <c r="AO12" i="23"/>
  <c r="AO16" i="23"/>
  <c r="AO107" i="23"/>
  <c r="AO4" i="23"/>
  <c r="AO9" i="23"/>
  <c r="AO15" i="23"/>
  <c r="AO21" i="23"/>
  <c r="AO24" i="23"/>
  <c r="AO67" i="23"/>
  <c r="AO104" i="23"/>
  <c r="AO103" i="23"/>
  <c r="AO70" i="23"/>
  <c r="AO75" i="23"/>
  <c r="AO64" i="23"/>
  <c r="A95" i="52"/>
  <c r="A92" i="52"/>
  <c r="A96" i="52"/>
  <c r="D401" i="13"/>
  <c r="F401" i="13"/>
  <c r="C479" i="13"/>
  <c r="C483" i="13"/>
  <c r="A83" i="52"/>
  <c r="A87" i="52"/>
  <c r="C482" i="13"/>
  <c r="E110" i="135"/>
  <c r="K61" i="145"/>
  <c r="BP24" i="16"/>
  <c r="AX25" i="16"/>
  <c r="M10" i="25"/>
  <c r="M17" i="25"/>
  <c r="E109" i="135"/>
  <c r="CC54" i="25"/>
  <c r="L158" i="165"/>
  <c r="M126" i="165"/>
  <c r="M145" i="165"/>
  <c r="L177" i="165"/>
  <c r="O122" i="165"/>
  <c r="N154" i="165"/>
  <c r="K181" i="165"/>
  <c r="L85" i="165"/>
  <c r="O129" i="165"/>
  <c r="N161" i="165"/>
  <c r="M134" i="165"/>
  <c r="L166" i="165"/>
  <c r="M123" i="165"/>
  <c r="L155" i="165"/>
  <c r="N135" i="165"/>
  <c r="M167" i="165"/>
  <c r="M140" i="165"/>
  <c r="L172" i="165"/>
  <c r="N125" i="165"/>
  <c r="M157" i="165"/>
  <c r="N147" i="165"/>
  <c r="M179" i="165"/>
  <c r="M128" i="165"/>
  <c r="L160" i="165"/>
  <c r="N137" i="165"/>
  <c r="M169" i="165"/>
  <c r="M176" i="165"/>
  <c r="N80" i="165"/>
  <c r="N77" i="165"/>
  <c r="M173" i="165"/>
  <c r="N124" i="165"/>
  <c r="M156" i="165"/>
  <c r="N127" i="165"/>
  <c r="M159" i="165"/>
  <c r="N132" i="165"/>
  <c r="M164" i="165"/>
  <c r="N131" i="165"/>
  <c r="M163" i="165"/>
  <c r="M146" i="165"/>
  <c r="L178" i="165"/>
  <c r="M143" i="165"/>
  <c r="L175" i="165"/>
  <c r="N136" i="165"/>
  <c r="M168" i="165"/>
  <c r="M138" i="165"/>
  <c r="L170" i="165"/>
  <c r="N133" i="165"/>
  <c r="M165" i="165"/>
  <c r="M139" i="165"/>
  <c r="L171" i="165"/>
  <c r="N130" i="165"/>
  <c r="M162" i="165"/>
  <c r="O82" i="165"/>
  <c r="N86" i="165"/>
  <c r="M182" i="165"/>
  <c r="P79" i="165"/>
  <c r="O78" i="165"/>
  <c r="N174" i="165"/>
  <c r="O84" i="165"/>
  <c r="N180" i="165"/>
  <c r="O76" i="165"/>
  <c r="P81" i="165"/>
  <c r="U16" i="29"/>
  <c r="J545" i="16"/>
  <c r="A64" i="52"/>
  <c r="BO54" i="25"/>
  <c r="BY54" i="25"/>
  <c r="BP54" i="25"/>
  <c r="BT54" i="25"/>
  <c r="BQ54" i="25"/>
  <c r="S360" i="16"/>
  <c r="CB54" i="25"/>
  <c r="BR54" i="25"/>
  <c r="CA49" i="25"/>
  <c r="BR47" i="25"/>
  <c r="B448" i="13"/>
  <c r="AN28" i="16"/>
  <c r="BY41" i="25"/>
  <c r="AK28" i="16"/>
  <c r="BR28" i="16"/>
  <c r="BT46" i="25"/>
  <c r="CF31" i="16"/>
  <c r="BU31" i="16"/>
  <c r="BT42" i="25"/>
  <c r="AL28" i="16"/>
  <c r="AV31" i="16"/>
  <c r="CE28" i="16"/>
  <c r="CA46" i="25"/>
  <c r="CG31" i="16"/>
  <c r="Q223" i="13"/>
  <c r="BA31" i="16"/>
  <c r="BV45" i="25"/>
  <c r="P491" i="13"/>
  <c r="AR28" i="16"/>
  <c r="AO28" i="16"/>
  <c r="BL28" i="16"/>
  <c r="AN31" i="16"/>
  <c r="BJ31" i="16"/>
  <c r="BL31" i="16"/>
  <c r="CA31" i="16"/>
  <c r="CC42" i="25"/>
  <c r="BI30" i="23"/>
  <c r="CD28" i="16"/>
  <c r="BA28" i="16"/>
  <c r="BJ28" i="16"/>
  <c r="AK31" i="16"/>
  <c r="BR31" i="16"/>
  <c r="BH31" i="16"/>
  <c r="AP31" i="16"/>
  <c r="BT15" i="118"/>
  <c r="BO44" i="25"/>
  <c r="BZ52" i="25"/>
  <c r="AY28" i="16"/>
  <c r="BG28" i="16"/>
  <c r="CH28" i="16"/>
  <c r="AX28" i="16"/>
  <c r="J11" i="25"/>
  <c r="J18" i="25"/>
  <c r="BS42" i="25"/>
  <c r="BD31" i="16"/>
  <c r="BB31" i="16"/>
  <c r="BS31" i="16"/>
  <c r="BP42" i="25"/>
  <c r="AM31" i="16"/>
  <c r="BZ42" i="25"/>
  <c r="BY42" i="25"/>
  <c r="BW42" i="25"/>
  <c r="CC31" i="16"/>
  <c r="AR31" i="16"/>
  <c r="CB42" i="25"/>
  <c r="AS31" i="16"/>
  <c r="S487" i="13"/>
  <c r="F23" i="135"/>
  <c r="L61" i="145"/>
  <c r="AU28" i="16"/>
  <c r="AV28" i="16"/>
  <c r="CA28" i="16"/>
  <c r="R11" i="25"/>
  <c r="R18" i="25"/>
  <c r="AW31" i="16"/>
  <c r="AQ28" i="16"/>
  <c r="BE28" i="16"/>
  <c r="CI28" i="16"/>
  <c r="BD28" i="16"/>
  <c r="BK28" i="16"/>
  <c r="CF28" i="16"/>
  <c r="BY28" i="16"/>
  <c r="BM28" i="16"/>
  <c r="BX28" i="16"/>
  <c r="AT28" i="16"/>
  <c r="AS28" i="16"/>
  <c r="BW28" i="16"/>
  <c r="BI28" i="16"/>
  <c r="CG28" i="16"/>
  <c r="BV42" i="25"/>
  <c r="BN28" i="16"/>
  <c r="BZ31" i="16"/>
  <c r="AZ31" i="16"/>
  <c r="BQ31" i="16"/>
  <c r="BC31" i="16"/>
  <c r="BX31" i="16"/>
  <c r="BF31" i="16"/>
  <c r="CA42" i="25"/>
  <c r="BX42" i="25"/>
  <c r="CI31" i="16"/>
  <c r="BN31" i="16"/>
  <c r="BI31" i="16"/>
  <c r="X58" i="145"/>
  <c r="BC28" i="16"/>
  <c r="CB28" i="16"/>
  <c r="BT28" i="16"/>
  <c r="BP28" i="16"/>
  <c r="BP31" i="16"/>
  <c r="BT31" i="16"/>
  <c r="BY31" i="16"/>
  <c r="AP28" i="16"/>
  <c r="AW28" i="16"/>
  <c r="BF28" i="16"/>
  <c r="CC28" i="16"/>
  <c r="BQ28" i="16"/>
  <c r="BZ28" i="16"/>
  <c r="BU28" i="16"/>
  <c r="AM28" i="16"/>
  <c r="BS28" i="16"/>
  <c r="BB28" i="16"/>
  <c r="BV28" i="16"/>
  <c r="AZ28" i="16"/>
  <c r="BO28" i="16"/>
  <c r="CE31" i="16"/>
  <c r="BO31" i="16"/>
  <c r="AX31" i="16"/>
  <c r="BM31" i="16"/>
  <c r="L223" i="13"/>
  <c r="CD31" i="16"/>
  <c r="BR42" i="25"/>
  <c r="BW31" i="16"/>
  <c r="AT31" i="16"/>
  <c r="AU31" i="16"/>
  <c r="BE31" i="16"/>
  <c r="BK31" i="16"/>
  <c r="AL31" i="16"/>
  <c r="AO31" i="16"/>
  <c r="BV31" i="16"/>
  <c r="AQ29" i="16"/>
  <c r="CH31" i="16"/>
  <c r="BQ41" i="25"/>
  <c r="BP41" i="25"/>
  <c r="BS41" i="25"/>
  <c r="BR41" i="25"/>
  <c r="BU41" i="25"/>
  <c r="CA54" i="25"/>
  <c r="CB31" i="16"/>
  <c r="CC41" i="25"/>
  <c r="CB48" i="25"/>
  <c r="BX41" i="25"/>
  <c r="BY52" i="25"/>
  <c r="BT47" i="25"/>
  <c r="CC47" i="25"/>
  <c r="CD33" i="16"/>
  <c r="CC49" i="25"/>
  <c r="BX49" i="25"/>
  <c r="BQ49" i="25"/>
  <c r="BZ50" i="25"/>
  <c r="BS49" i="25"/>
  <c r="AH20" i="16"/>
  <c r="AG20" i="16"/>
  <c r="T10" i="25"/>
  <c r="T17" i="25"/>
  <c r="AH21" i="16"/>
  <c r="AF21" i="16"/>
  <c r="Q487" i="13"/>
  <c r="J10" i="25"/>
  <c r="J17" i="25"/>
  <c r="BP47" i="25"/>
  <c r="BQ47" i="25"/>
  <c r="BX50" i="25"/>
  <c r="BL29" i="16"/>
  <c r="BA29" i="16"/>
  <c r="BT18" i="118"/>
  <c r="BV46" i="25"/>
  <c r="BS50" i="25"/>
  <c r="BV50" i="25"/>
  <c r="BP49" i="25"/>
  <c r="AY31" i="16"/>
  <c r="AQ31" i="16"/>
  <c r="I10" i="25"/>
  <c r="I17" i="25"/>
  <c r="CD27" i="16"/>
  <c r="BW45" i="25"/>
  <c r="G223" i="13"/>
  <c r="BT9" i="118"/>
  <c r="AU27" i="16"/>
  <c r="BT21" i="118"/>
  <c r="AY27" i="16"/>
  <c r="AN27" i="16"/>
  <c r="P223" i="13"/>
  <c r="O10" i="25"/>
  <c r="O17" i="25"/>
  <c r="Q10" i="25"/>
  <c r="Q17" i="25"/>
  <c r="BI21" i="23"/>
  <c r="BT52" i="25"/>
  <c r="BO49" i="25"/>
  <c r="P10" i="25"/>
  <c r="P17" i="25"/>
  <c r="L58" i="145"/>
  <c r="F10" i="25"/>
  <c r="F17" i="25"/>
  <c r="H10" i="25"/>
  <c r="H17" i="25"/>
  <c r="L10" i="25"/>
  <c r="L17" i="25"/>
  <c r="BJ6" i="23"/>
  <c r="H223" i="13"/>
  <c r="BX52" i="25"/>
  <c r="BP52" i="25"/>
  <c r="BU50" i="25"/>
  <c r="BY50" i="25"/>
  <c r="J223" i="13"/>
  <c r="BT50" i="25"/>
  <c r="BT49" i="25"/>
  <c r="BW49" i="25"/>
  <c r="BT20" i="118"/>
  <c r="BO45" i="25"/>
  <c r="M223" i="13"/>
  <c r="CB50" i="25"/>
  <c r="BW52" i="25"/>
  <c r="BS48" i="25"/>
  <c r="CB52" i="25"/>
  <c r="CC50" i="25"/>
  <c r="BR50" i="25"/>
  <c r="BR49" i="25"/>
  <c r="BP50" i="25"/>
  <c r="K10" i="25"/>
  <c r="K17" i="25"/>
  <c r="N10" i="25"/>
  <c r="N17" i="25"/>
  <c r="R10" i="25"/>
  <c r="R17" i="25"/>
  <c r="S10" i="25"/>
  <c r="S17" i="25"/>
  <c r="U15" i="29"/>
  <c r="BU45" i="25"/>
  <c r="BS52" i="25"/>
  <c r="BR52" i="25"/>
  <c r="BS44" i="25"/>
  <c r="BQ50" i="25"/>
  <c r="BU52" i="25"/>
  <c r="CA50" i="25"/>
  <c r="BO50" i="25"/>
  <c r="CC52" i="25"/>
  <c r="BO52" i="25"/>
  <c r="BY49" i="25"/>
  <c r="G10" i="25"/>
  <c r="G17" i="25"/>
  <c r="BQ45" i="25"/>
  <c r="CA45" i="25"/>
  <c r="CC45" i="25"/>
  <c r="CB41" i="25"/>
  <c r="BV41" i="25"/>
  <c r="BT41" i="25"/>
  <c r="AS33" i="16"/>
  <c r="CA41" i="25"/>
  <c r="BZ43" i="25"/>
  <c r="BZ45" i="25"/>
  <c r="BZ41" i="25"/>
  <c r="I223" i="13"/>
  <c r="S223" i="13"/>
  <c r="BJ29" i="16"/>
  <c r="BO42" i="25"/>
  <c r="BQ42" i="25"/>
  <c r="BS45" i="25"/>
  <c r="BT45" i="25"/>
  <c r="CB45" i="25"/>
  <c r="E223" i="13"/>
  <c r="BI23" i="23"/>
  <c r="O491" i="13"/>
  <c r="BP45" i="25"/>
  <c r="BR45" i="25"/>
  <c r="BY45" i="25"/>
  <c r="BW41" i="25"/>
  <c r="BQ48" i="25"/>
  <c r="BV43" i="25"/>
  <c r="AX33" i="16"/>
  <c r="BS43" i="25"/>
  <c r="O223" i="13"/>
  <c r="BE24" i="16"/>
  <c r="AZ33" i="16"/>
  <c r="K223" i="13"/>
  <c r="AN29" i="16"/>
  <c r="BH27" i="23"/>
  <c r="T117" i="25"/>
  <c r="BZ49" i="25"/>
  <c r="BU49" i="25"/>
  <c r="BV49" i="25"/>
  <c r="CA52" i="25"/>
  <c r="BV52" i="25"/>
  <c r="G107" i="135"/>
  <c r="R3" i="145"/>
  <c r="BZ33" i="16"/>
  <c r="AU33" i="16"/>
  <c r="BM33" i="16"/>
  <c r="K11" i="25"/>
  <c r="K18" i="25"/>
  <c r="AH22" i="16"/>
  <c r="AF22" i="16"/>
  <c r="D108" i="135"/>
  <c r="M3" i="145"/>
  <c r="BH34" i="23"/>
  <c r="AV33" i="16"/>
  <c r="AK33" i="16"/>
  <c r="H21" i="135"/>
  <c r="N59" i="145"/>
  <c r="U3" i="145"/>
  <c r="BT11" i="118"/>
  <c r="BT16" i="118"/>
  <c r="BT19" i="118"/>
  <c r="CA33" i="16"/>
  <c r="BN33" i="16"/>
  <c r="BH25" i="23"/>
  <c r="F107" i="135"/>
  <c r="BH3" i="23"/>
  <c r="BI3" i="23"/>
  <c r="BH12" i="23"/>
  <c r="BH30" i="23"/>
  <c r="AT33" i="16"/>
  <c r="BA33" i="16"/>
  <c r="BT33" i="16"/>
  <c r="AM33" i="16"/>
  <c r="AR33" i="16"/>
  <c r="BE33" i="16"/>
  <c r="AQ33" i="16"/>
  <c r="CG33" i="16"/>
  <c r="AY33" i="16"/>
  <c r="BR33" i="16"/>
  <c r="BD33" i="16"/>
  <c r="AO33" i="16"/>
  <c r="BS54" i="25"/>
  <c r="BW54" i="25"/>
  <c r="BU54" i="25"/>
  <c r="BX54" i="25"/>
  <c r="BZ54" i="25"/>
  <c r="T102" i="25"/>
  <c r="K546" i="16"/>
  <c r="BT30" i="118"/>
  <c r="BI17" i="23"/>
  <c r="BT47" i="118"/>
  <c r="BI33" i="16"/>
  <c r="BK33" i="16"/>
  <c r="BH33" i="16"/>
  <c r="AL33" i="16"/>
  <c r="BL33" i="16"/>
  <c r="BQ33" i="16"/>
  <c r="CE33" i="16"/>
  <c r="BB33" i="16"/>
  <c r="BJ33" i="16"/>
  <c r="BF33" i="16"/>
  <c r="BP33" i="16"/>
  <c r="BT53" i="25"/>
  <c r="BO33" i="16"/>
  <c r="CH33" i="16"/>
  <c r="BI14" i="23"/>
  <c r="BT39" i="118"/>
  <c r="BU33" i="16"/>
  <c r="CC33" i="16"/>
  <c r="BY33" i="16"/>
  <c r="AP33" i="16"/>
  <c r="BW33" i="16"/>
  <c r="BX33" i="16"/>
  <c r="CF33" i="16"/>
  <c r="BS33" i="16"/>
  <c r="AW33" i="16"/>
  <c r="L11" i="25"/>
  <c r="L18" i="25"/>
  <c r="CB53" i="25"/>
  <c r="R223" i="13"/>
  <c r="T115" i="25"/>
  <c r="AF30" i="16"/>
  <c r="J491" i="13"/>
  <c r="J487" i="13"/>
  <c r="BV29" i="16"/>
  <c r="CE29" i="16"/>
  <c r="BI29" i="16"/>
  <c r="BB29" i="16"/>
  <c r="BR29" i="16"/>
  <c r="AZ29" i="16"/>
  <c r="CH29" i="16"/>
  <c r="AR29" i="16"/>
  <c r="BH29" i="16"/>
  <c r="AX29" i="16"/>
  <c r="CF29" i="16"/>
  <c r="BS29" i="16"/>
  <c r="T360" i="16"/>
  <c r="BE27" i="16"/>
  <c r="CC48" i="25"/>
  <c r="AM49" i="13"/>
  <c r="BW27" i="16"/>
  <c r="BY29" i="16"/>
  <c r="BZ29" i="16"/>
  <c r="CC29" i="16"/>
  <c r="BM29" i="16"/>
  <c r="BQ29" i="16"/>
  <c r="CI29" i="16"/>
  <c r="I40" i="29"/>
  <c r="BR27" i="16"/>
  <c r="BL27" i="16"/>
  <c r="BV27" i="16"/>
  <c r="BS27" i="16"/>
  <c r="BT46" i="118"/>
  <c r="BV48" i="25"/>
  <c r="BU48" i="25"/>
  <c r="BH29" i="23"/>
  <c r="BX48" i="25"/>
  <c r="BT40" i="118"/>
  <c r="BR48" i="25"/>
  <c r="BW43" i="25"/>
  <c r="CC27" i="16"/>
  <c r="T11" i="25"/>
  <c r="T18" i="25"/>
  <c r="CA29" i="16"/>
  <c r="BN29" i="16"/>
  <c r="BW29" i="16"/>
  <c r="BS53" i="25"/>
  <c r="CG29" i="16"/>
  <c r="AY29" i="16"/>
  <c r="BD29" i="16"/>
  <c r="BU29" i="16"/>
  <c r="BG29" i="16"/>
  <c r="BO29" i="16"/>
  <c r="AL29" i="16"/>
  <c r="BP29" i="16"/>
  <c r="CE27" i="16"/>
  <c r="AT27" i="16"/>
  <c r="AK27" i="16"/>
  <c r="BY48" i="25"/>
  <c r="BT43" i="25"/>
  <c r="BI27" i="16"/>
  <c r="AK29" i="16"/>
  <c r="BK29" i="16"/>
  <c r="AO29" i="16"/>
  <c r="BC29" i="16"/>
  <c r="BP27" i="16"/>
  <c r="BE29" i="16"/>
  <c r="CB29" i="16"/>
  <c r="G491" i="13"/>
  <c r="L97" i="87"/>
  <c r="L99" i="87"/>
  <c r="BT7" i="118"/>
  <c r="BY27" i="16"/>
  <c r="BQ27" i="16"/>
  <c r="AR27" i="16"/>
  <c r="M11" i="25"/>
  <c r="M18" i="25"/>
  <c r="CA48" i="25"/>
  <c r="BP48" i="25"/>
  <c r="BR40" i="25"/>
  <c r="CC53" i="25"/>
  <c r="BQ43" i="25"/>
  <c r="BC27" i="16"/>
  <c r="N223" i="13"/>
  <c r="AW27" i="16"/>
  <c r="AX27" i="16"/>
  <c r="BX29" i="16"/>
  <c r="AV29" i="16"/>
  <c r="AM29" i="16"/>
  <c r="AT29" i="16"/>
  <c r="AP29" i="16"/>
  <c r="BF29" i="16"/>
  <c r="BO53" i="25"/>
  <c r="CD29" i="16"/>
  <c r="AW29" i="16"/>
  <c r="BT29" i="16"/>
  <c r="AU29" i="16"/>
  <c r="AC81" i="25"/>
  <c r="C475" i="13"/>
  <c r="BI19" i="23"/>
  <c r="BJ8" i="23"/>
  <c r="BP46" i="25"/>
  <c r="BO46" i="25"/>
  <c r="BH27" i="16"/>
  <c r="BJ27" i="16"/>
  <c r="AQ27" i="16"/>
  <c r="AS27" i="16"/>
  <c r="BU27" i="16"/>
  <c r="BA27" i="16"/>
  <c r="F223" i="13"/>
  <c r="BH7" i="23"/>
  <c r="CA40" i="25"/>
  <c r="BI25" i="23"/>
  <c r="BB27" i="16"/>
  <c r="BX27" i="16"/>
  <c r="BR44" i="25"/>
  <c r="AB74" i="25"/>
  <c r="BT34" i="118"/>
  <c r="CA53" i="25"/>
  <c r="BQ53" i="25"/>
  <c r="BZ53" i="25"/>
  <c r="BX53" i="25"/>
  <c r="BU53" i="25"/>
  <c r="BY53" i="25"/>
  <c r="BV53" i="25"/>
  <c r="BM27" i="16"/>
  <c r="BO27" i="16"/>
  <c r="CG27" i="16"/>
  <c r="BT27" i="16"/>
  <c r="AM27" i="16"/>
  <c r="CH27" i="16"/>
  <c r="BK27" i="16"/>
  <c r="BF27" i="16"/>
  <c r="BI18" i="23"/>
  <c r="BH15" i="23"/>
  <c r="U8" i="29"/>
  <c r="BT35" i="118"/>
  <c r="BW46" i="25"/>
  <c r="BZ27" i="16"/>
  <c r="CA27" i="16"/>
  <c r="AO27" i="16"/>
  <c r="AV27" i="16"/>
  <c r="BN27" i="16"/>
  <c r="CB27" i="16"/>
  <c r="BH9" i="23"/>
  <c r="CB40" i="25"/>
  <c r="BT41" i="118"/>
  <c r="BU40" i="25"/>
  <c r="BW53" i="25"/>
  <c r="AP27" i="16"/>
  <c r="BQ44" i="25"/>
  <c r="I11" i="25"/>
  <c r="I18" i="25"/>
  <c r="AZ27" i="16"/>
  <c r="BG27" i="16"/>
  <c r="BP53" i="25"/>
  <c r="AL27" i="16"/>
  <c r="CF27" i="16"/>
  <c r="CI27" i="16"/>
  <c r="BH11" i="23"/>
  <c r="Q11" i="25"/>
  <c r="Q18" i="25"/>
  <c r="BP40" i="25"/>
  <c r="BT40" i="25"/>
  <c r="CC40" i="25"/>
  <c r="BX40" i="25"/>
  <c r="AK11" i="16"/>
  <c r="BS47" i="25"/>
  <c r="BZ47" i="25"/>
  <c r="BV44" i="25"/>
  <c r="BY44" i="25"/>
  <c r="BZ44" i="25"/>
  <c r="BP44" i="25"/>
  <c r="CA44" i="25"/>
  <c r="BW44" i="25"/>
  <c r="N108" i="135"/>
  <c r="X12" i="29"/>
  <c r="H49" i="29"/>
  <c r="BT22" i="118"/>
  <c r="I41" i="29"/>
  <c r="BY46" i="25"/>
  <c r="BT49" i="118"/>
  <c r="BT8" i="118"/>
  <c r="P11" i="25"/>
  <c r="P18" i="25"/>
  <c r="H11" i="25"/>
  <c r="H18" i="25"/>
  <c r="F11" i="25"/>
  <c r="F18" i="25"/>
  <c r="BH33" i="23"/>
  <c r="D99" i="25"/>
  <c r="BS40" i="25"/>
  <c r="BW40" i="25"/>
  <c r="O11" i="25"/>
  <c r="O18" i="25"/>
  <c r="BX47" i="25"/>
  <c r="BW47" i="25"/>
  <c r="BX44" i="25"/>
  <c r="BU44" i="25"/>
  <c r="BV33" i="16"/>
  <c r="CI33" i="16"/>
  <c r="CB33" i="16"/>
  <c r="BG33" i="16"/>
  <c r="AN33" i="16"/>
  <c r="BU46" i="25"/>
  <c r="BQ46" i="25"/>
  <c r="BZ46" i="25"/>
  <c r="CB46" i="25"/>
  <c r="BT50" i="118"/>
  <c r="BJ14" i="23"/>
  <c r="BT43" i="118"/>
  <c r="BI7" i="23"/>
  <c r="AD84" i="25"/>
  <c r="AB79" i="25"/>
  <c r="AD95" i="25"/>
  <c r="BT38" i="118"/>
  <c r="J543" i="16"/>
  <c r="C639" i="16"/>
  <c r="D639" i="16"/>
  <c r="BT26" i="118"/>
  <c r="BR46" i="25"/>
  <c r="CC46" i="25"/>
  <c r="BS46" i="25"/>
  <c r="S11" i="25"/>
  <c r="S18" i="25"/>
  <c r="N11" i="25"/>
  <c r="N18" i="25"/>
  <c r="B449" i="13"/>
  <c r="BO40" i="25"/>
  <c r="BQ40" i="25"/>
  <c r="BV40" i="25"/>
  <c r="BZ40" i="25"/>
  <c r="BV47" i="25"/>
  <c r="BO47" i="25"/>
  <c r="CC44" i="25"/>
  <c r="CB47" i="25"/>
  <c r="BY47" i="25"/>
  <c r="BU47" i="25"/>
  <c r="CB44" i="25"/>
  <c r="J551" i="16"/>
  <c r="G11" i="25"/>
  <c r="G18" i="25"/>
  <c r="AK10" i="16"/>
  <c r="CC43" i="25"/>
  <c r="BP43" i="25"/>
  <c r="CA43" i="25"/>
  <c r="BO43" i="25"/>
  <c r="BU43" i="25"/>
  <c r="CB43" i="25"/>
  <c r="BY43" i="25"/>
  <c r="BR43" i="25"/>
  <c r="BZ48" i="25"/>
  <c r="BT48" i="25"/>
  <c r="BO48" i="25"/>
  <c r="BI5" i="23"/>
  <c r="I52" i="29"/>
  <c r="Q108" i="135"/>
  <c r="C45" i="29"/>
  <c r="BI15" i="23"/>
  <c r="BJ28" i="23"/>
  <c r="A89" i="52"/>
  <c r="BJ10" i="23"/>
  <c r="BI13" i="23"/>
  <c r="BT17" i="118"/>
  <c r="BH26" i="23"/>
  <c r="BT27" i="118"/>
  <c r="BT6" i="118"/>
  <c r="BT37" i="118"/>
  <c r="AD93" i="25"/>
  <c r="I37" i="29"/>
  <c r="F229" i="16"/>
  <c r="H229" i="16"/>
  <c r="X24" i="29"/>
  <c r="U17" i="29"/>
  <c r="AA73" i="25"/>
  <c r="AD72" i="25"/>
  <c r="AA79" i="25"/>
  <c r="AB82" i="25"/>
  <c r="AB76" i="25"/>
  <c r="X71" i="25"/>
  <c r="AK13" i="16"/>
  <c r="AB80" i="25"/>
  <c r="BT25" i="118"/>
  <c r="BT12" i="118"/>
  <c r="AJ48" i="13"/>
  <c r="AM48" i="13"/>
  <c r="BT13" i="118"/>
  <c r="BJ19" i="23"/>
  <c r="BJ3" i="23"/>
  <c r="BI28" i="23"/>
  <c r="BJ34" i="23"/>
  <c r="J31" i="29"/>
  <c r="BT14" i="118"/>
  <c r="BH4" i="23"/>
  <c r="BT36" i="118"/>
  <c r="BT24" i="118"/>
  <c r="AD83" i="25"/>
  <c r="BT29" i="118"/>
  <c r="AD89" i="25"/>
  <c r="I48" i="29"/>
  <c r="I51" i="29"/>
  <c r="D73" i="25"/>
  <c r="W73" i="25"/>
  <c r="C40" i="29"/>
  <c r="C35" i="29"/>
  <c r="N114" i="25"/>
  <c r="O3" i="145"/>
  <c r="BT10" i="118"/>
  <c r="U5" i="29"/>
  <c r="AC87" i="25"/>
  <c r="AB75" i="25"/>
  <c r="AA94" i="25"/>
  <c r="Z76" i="25"/>
  <c r="AD92" i="25"/>
  <c r="Y73" i="25"/>
  <c r="X74" i="25"/>
  <c r="Z81" i="25"/>
  <c r="Z84" i="25"/>
  <c r="AD90" i="25"/>
  <c r="Y95" i="25"/>
  <c r="U9" i="29"/>
  <c r="U6" i="29"/>
  <c r="BT42" i="118"/>
  <c r="W27" i="29"/>
  <c r="X27" i="29"/>
  <c r="I38" i="29"/>
  <c r="I50" i="29"/>
  <c r="O22" i="135"/>
  <c r="BT28" i="118"/>
  <c r="BH28" i="23"/>
  <c r="BI32" i="23"/>
  <c r="BJ33" i="23"/>
  <c r="BJ11" i="23"/>
  <c r="AT51" i="25"/>
  <c r="BI33" i="23"/>
  <c r="I42" i="29"/>
  <c r="I43" i="29"/>
  <c r="I45" i="29"/>
  <c r="BT23" i="118"/>
  <c r="BJ30" i="23"/>
  <c r="H45" i="29"/>
  <c r="AD79" i="25"/>
  <c r="X73" i="25"/>
  <c r="Z91" i="25"/>
  <c r="AD82" i="25"/>
  <c r="BT33" i="118"/>
  <c r="BI29" i="23"/>
  <c r="D89" i="25"/>
  <c r="W89" i="25"/>
  <c r="AA77" i="25"/>
  <c r="AC82" i="25"/>
  <c r="U22" i="29"/>
  <c r="U24" i="29"/>
  <c r="H491" i="13"/>
  <c r="H487" i="13"/>
  <c r="K487" i="13"/>
  <c r="K491" i="13"/>
  <c r="T121" i="25"/>
  <c r="S117" i="25"/>
  <c r="F487" i="13"/>
  <c r="F491" i="13"/>
  <c r="I101" i="87"/>
  <c r="I39" i="29"/>
  <c r="I54" i="29"/>
  <c r="I47" i="29"/>
  <c r="I44" i="29"/>
  <c r="I53" i="29"/>
  <c r="E103" i="87"/>
  <c r="N3" i="145"/>
  <c r="Q3" i="145"/>
  <c r="BJ9" i="23"/>
  <c r="BH20" i="23"/>
  <c r="BI11" i="23"/>
  <c r="BI26" i="23"/>
  <c r="BI10" i="23"/>
  <c r="Z85" i="25"/>
  <c r="Y75" i="25"/>
  <c r="AA80" i="25"/>
  <c r="X86" i="25"/>
  <c r="X91" i="25"/>
  <c r="AA74" i="25"/>
  <c r="AA72" i="25"/>
  <c r="BT45" i="118"/>
  <c r="H37" i="29"/>
  <c r="H52" i="29"/>
  <c r="H54" i="29"/>
  <c r="U19" i="29"/>
  <c r="S111" i="25"/>
  <c r="R115" i="25"/>
  <c r="N491" i="13"/>
  <c r="N487" i="13"/>
  <c r="T104" i="25"/>
  <c r="S125" i="25"/>
  <c r="BJ24" i="23"/>
  <c r="BJ13" i="23"/>
  <c r="H47" i="29"/>
  <c r="M491" i="13"/>
  <c r="M487" i="13"/>
  <c r="T111" i="25"/>
  <c r="L487" i="13"/>
  <c r="L491" i="13"/>
  <c r="I46" i="29"/>
  <c r="I35" i="29"/>
  <c r="I49" i="29"/>
  <c r="I36" i="29"/>
  <c r="BT32" i="118"/>
  <c r="AC92" i="25"/>
  <c r="BT48" i="118"/>
  <c r="Y94" i="25"/>
  <c r="W3" i="145"/>
  <c r="T3" i="145"/>
  <c r="BH23" i="23"/>
  <c r="BJ31" i="23"/>
  <c r="BH21" i="23"/>
  <c r="BI34" i="23"/>
  <c r="BI4" i="23"/>
  <c r="BI9" i="23"/>
  <c r="H39" i="29"/>
  <c r="F108" i="135"/>
  <c r="G22" i="135"/>
  <c r="M60" i="145"/>
  <c r="T107" i="25"/>
  <c r="T125" i="25"/>
  <c r="B58" i="87"/>
  <c r="M58" i="87"/>
  <c r="D58" i="87"/>
  <c r="E58" i="87"/>
  <c r="O58" i="87"/>
  <c r="F58" i="87"/>
  <c r="C58" i="87"/>
  <c r="J20" i="135"/>
  <c r="I106" i="135"/>
  <c r="G115" i="25"/>
  <c r="X84" i="25"/>
  <c r="L106" i="25"/>
  <c r="AC75" i="25"/>
  <c r="F114" i="25"/>
  <c r="D83" i="25"/>
  <c r="W83" i="25"/>
  <c r="J120" i="25"/>
  <c r="AA89" i="25"/>
  <c r="R116" i="25"/>
  <c r="Q127" i="25"/>
  <c r="H107" i="25"/>
  <c r="M117" i="25"/>
  <c r="AA86" i="25"/>
  <c r="AD86" i="25"/>
  <c r="O112" i="25"/>
  <c r="AD81" i="25"/>
  <c r="T114" i="25"/>
  <c r="L115" i="25"/>
  <c r="AC84" i="25"/>
  <c r="P123" i="25"/>
  <c r="J112" i="25"/>
  <c r="AA81" i="25"/>
  <c r="R122" i="25"/>
  <c r="AD91" i="25"/>
  <c r="L119" i="25"/>
  <c r="Y88" i="25"/>
  <c r="AA88" i="25"/>
  <c r="D88" i="25"/>
  <c r="W88" i="25"/>
  <c r="AC88" i="25"/>
  <c r="F108" i="25"/>
  <c r="D77" i="25"/>
  <c r="W77" i="25"/>
  <c r="P125" i="25"/>
  <c r="AB94" i="25"/>
  <c r="Q105" i="25"/>
  <c r="I113" i="25"/>
  <c r="Y82" i="25"/>
  <c r="Z82" i="25"/>
  <c r="I121" i="25"/>
  <c r="D90" i="25"/>
  <c r="W90" i="25"/>
  <c r="H128" i="25"/>
  <c r="D97" i="25"/>
  <c r="J127" i="25"/>
  <c r="L109" i="25"/>
  <c r="AC78" i="25"/>
  <c r="G106" i="25"/>
  <c r="D75" i="25"/>
  <c r="W75" i="25"/>
  <c r="Q102" i="25"/>
  <c r="P119" i="25"/>
  <c r="I103" i="25"/>
  <c r="Z72" i="25"/>
  <c r="Q111" i="25"/>
  <c r="M121" i="25"/>
  <c r="AB90" i="25"/>
  <c r="I129" i="25"/>
  <c r="R109" i="25"/>
  <c r="I108" i="25"/>
  <c r="Y77" i="25"/>
  <c r="F112" i="25"/>
  <c r="Z90" i="25"/>
  <c r="AA91" i="25"/>
  <c r="D81" i="25"/>
  <c r="W81" i="25"/>
  <c r="AD94" i="25"/>
  <c r="AC86" i="25"/>
  <c r="AD76" i="25"/>
  <c r="D78" i="25"/>
  <c r="W78" i="25"/>
  <c r="Y71" i="25"/>
  <c r="B43" i="13"/>
  <c r="A47" i="13"/>
  <c r="N118" i="25"/>
  <c r="P116" i="25"/>
  <c r="N105" i="25"/>
  <c r="P102" i="25"/>
  <c r="AC71" i="25"/>
  <c r="AB71" i="25"/>
  <c r="AD71" i="25"/>
  <c r="Q106" i="25"/>
  <c r="AD75" i="25"/>
  <c r="Q129" i="25"/>
  <c r="J123" i="25"/>
  <c r="AA92" i="25"/>
  <c r="Y92" i="25"/>
  <c r="M104" i="25"/>
  <c r="AC73" i="25"/>
  <c r="AD73" i="25"/>
  <c r="M103" i="25"/>
  <c r="M119" i="25"/>
  <c r="F129" i="25"/>
  <c r="T126" i="25"/>
  <c r="G129" i="25"/>
  <c r="I112" i="25"/>
  <c r="X81" i="25"/>
  <c r="Q107" i="25"/>
  <c r="R126" i="25"/>
  <c r="T109" i="25"/>
  <c r="F115" i="25"/>
  <c r="D84" i="25"/>
  <c r="W84" i="25"/>
  <c r="F103" i="25"/>
  <c r="L110" i="25"/>
  <c r="Z79" i="25"/>
  <c r="Y79" i="25"/>
  <c r="AC79" i="25"/>
  <c r="R118" i="25"/>
  <c r="I125" i="25"/>
  <c r="D94" i="25"/>
  <c r="W94" i="25"/>
  <c r="X94" i="25"/>
  <c r="R121" i="25"/>
  <c r="O126" i="25"/>
  <c r="K114" i="25"/>
  <c r="AB83" i="25"/>
  <c r="F126" i="25"/>
  <c r="I124" i="25"/>
  <c r="Z93" i="25"/>
  <c r="Y93" i="25"/>
  <c r="X93" i="25"/>
  <c r="G109" i="25"/>
  <c r="J118" i="25"/>
  <c r="Z87" i="25"/>
  <c r="K127" i="25"/>
  <c r="R125" i="25"/>
  <c r="L107" i="25"/>
  <c r="AC76" i="25"/>
  <c r="AA76" i="25"/>
  <c r="P105" i="25"/>
  <c r="G113" i="25"/>
  <c r="X82" i="25"/>
  <c r="M116" i="25"/>
  <c r="AD85" i="25"/>
  <c r="BJ17" i="23"/>
  <c r="BH31" i="23"/>
  <c r="D82" i="25"/>
  <c r="W82" i="25"/>
  <c r="AA90" i="25"/>
  <c r="AC85" i="25"/>
  <c r="AD88" i="25"/>
  <c r="Y87" i="25"/>
  <c r="D85" i="25"/>
  <c r="W85" i="25"/>
  <c r="D96" i="25"/>
  <c r="Y90" i="25"/>
  <c r="X90" i="25"/>
  <c r="X72" i="25"/>
  <c r="Y76" i="25"/>
  <c r="AD80" i="25"/>
  <c r="AB88" i="25"/>
  <c r="BJ23" i="23"/>
  <c r="BJ18" i="23"/>
  <c r="BH32" i="23"/>
  <c r="BI12" i="23"/>
  <c r="BI22" i="23"/>
  <c r="O96" i="87"/>
  <c r="M97" i="87"/>
  <c r="M99" i="87"/>
  <c r="BJ15" i="23"/>
  <c r="BH8" i="23"/>
  <c r="BH5" i="23"/>
  <c r="U29" i="29"/>
  <c r="D21" i="29"/>
  <c r="J546" i="16"/>
  <c r="J547" i="16"/>
  <c r="J549" i="16"/>
  <c r="J553" i="16"/>
  <c r="J550" i="16"/>
  <c r="D20" i="29"/>
  <c r="BH19" i="23"/>
  <c r="T112" i="25"/>
  <c r="M118" i="25"/>
  <c r="AD87" i="25"/>
  <c r="J125" i="25"/>
  <c r="Q128" i="25"/>
  <c r="G118" i="25"/>
  <c r="X87" i="25"/>
  <c r="D87" i="25"/>
  <c r="W87" i="25"/>
  <c r="O114" i="25"/>
  <c r="AC83" i="25"/>
  <c r="P107" i="25"/>
  <c r="L108" i="25"/>
  <c r="M123" i="25"/>
  <c r="T119" i="25"/>
  <c r="J104" i="25"/>
  <c r="Z73" i="25"/>
  <c r="L124" i="25"/>
  <c r="AC93" i="25"/>
  <c r="AA93" i="25"/>
  <c r="AB93" i="25"/>
  <c r="G105" i="25"/>
  <c r="D74" i="25"/>
  <c r="W74" i="25"/>
  <c r="J106" i="25"/>
  <c r="AA75" i="25"/>
  <c r="M128" i="25"/>
  <c r="K112" i="25"/>
  <c r="L103" i="25"/>
  <c r="AC72" i="25"/>
  <c r="G123" i="25"/>
  <c r="X92" i="25"/>
  <c r="T129" i="25"/>
  <c r="O109" i="25"/>
  <c r="Q117" i="25"/>
  <c r="N124" i="25"/>
  <c r="R105" i="25"/>
  <c r="O118" i="25"/>
  <c r="T105" i="25"/>
  <c r="I120" i="25"/>
  <c r="X89" i="25"/>
  <c r="Z89" i="25"/>
  <c r="L127" i="25"/>
  <c r="J108" i="25"/>
  <c r="I115" i="25"/>
  <c r="L126" i="25"/>
  <c r="Z95" i="25"/>
  <c r="AA95" i="25"/>
  <c r="AB95" i="25"/>
  <c r="X95" i="25"/>
  <c r="AC95" i="25"/>
  <c r="J129" i="25"/>
  <c r="L113" i="25"/>
  <c r="AA82" i="25"/>
  <c r="O120" i="25"/>
  <c r="AB89" i="25"/>
  <c r="Q114" i="25"/>
  <c r="S103" i="25"/>
  <c r="O108" i="25"/>
  <c r="AD77" i="25"/>
  <c r="K115" i="25"/>
  <c r="AB84" i="25"/>
  <c r="F123" i="25"/>
  <c r="D92" i="25"/>
  <c r="W92" i="25"/>
  <c r="F117" i="25"/>
  <c r="D86" i="25"/>
  <c r="W86" i="25"/>
  <c r="X78" i="25"/>
  <c r="AC90" i="25"/>
  <c r="Z75" i="25"/>
  <c r="AC89" i="25"/>
  <c r="D76" i="25"/>
  <c r="W76" i="25"/>
  <c r="Z92" i="25"/>
  <c r="D93" i="25"/>
  <c r="W93" i="25"/>
  <c r="X88" i="25"/>
  <c r="D72" i="25"/>
  <c r="W72" i="25"/>
  <c r="D98" i="25"/>
  <c r="AB86" i="25"/>
  <c r="X80" i="25"/>
  <c r="AB87" i="25"/>
  <c r="BJ29" i="23"/>
  <c r="X75" i="25"/>
  <c r="P115" i="25"/>
  <c r="L116" i="25"/>
  <c r="Y85" i="25"/>
  <c r="I109" i="25"/>
  <c r="Z78" i="25"/>
  <c r="Y78" i="25"/>
  <c r="I106" i="25"/>
  <c r="Q125" i="25"/>
  <c r="M105" i="25"/>
  <c r="K109" i="25"/>
  <c r="AB78" i="25"/>
  <c r="G110" i="25"/>
  <c r="X79" i="25"/>
  <c r="P121" i="25"/>
  <c r="S109" i="25"/>
  <c r="T124" i="25"/>
  <c r="L111" i="25"/>
  <c r="Z80" i="25"/>
  <c r="AC80" i="25"/>
  <c r="S106" i="25"/>
  <c r="I117" i="25"/>
  <c r="Z86" i="25"/>
  <c r="Y86" i="25"/>
  <c r="K122" i="25"/>
  <c r="AB91" i="25"/>
  <c r="N115" i="25"/>
  <c r="M115" i="25"/>
  <c r="R127" i="25"/>
  <c r="K106" i="25"/>
  <c r="K108" i="25"/>
  <c r="AB77" i="25"/>
  <c r="N109" i="25"/>
  <c r="R106" i="25"/>
  <c r="J114" i="25"/>
  <c r="AA83" i="25"/>
  <c r="Y83" i="25"/>
  <c r="X83" i="25"/>
  <c r="J122" i="25"/>
  <c r="Y91" i="25"/>
  <c r="D91" i="25"/>
  <c r="W91" i="25"/>
  <c r="K128" i="25"/>
  <c r="L123" i="25"/>
  <c r="S104" i="25"/>
  <c r="L105" i="25"/>
  <c r="Z74" i="25"/>
  <c r="Y74" i="25"/>
  <c r="AC74" i="25"/>
  <c r="J103" i="25"/>
  <c r="H104" i="25"/>
  <c r="R112" i="25"/>
  <c r="L122" i="25"/>
  <c r="AC91" i="25"/>
  <c r="O128" i="25"/>
  <c r="R103" i="25"/>
  <c r="K118" i="25"/>
  <c r="T103" i="25"/>
  <c r="J102" i="25"/>
  <c r="D71" i="25"/>
  <c r="W71" i="25"/>
  <c r="AA71" i="25"/>
  <c r="F120" i="25"/>
  <c r="M124" i="25"/>
  <c r="F111" i="25"/>
  <c r="D80" i="25"/>
  <c r="W80" i="25"/>
  <c r="J30" i="29"/>
  <c r="Y72" i="25"/>
  <c r="X76" i="25"/>
  <c r="AC77" i="25"/>
  <c r="AB85" i="25"/>
  <c r="Y81" i="25"/>
  <c r="AA87" i="25"/>
  <c r="AB92" i="25"/>
  <c r="X77" i="25"/>
  <c r="AB81" i="25"/>
  <c r="AA84" i="25"/>
  <c r="F97" i="87"/>
  <c r="F99" i="87"/>
  <c r="Z83" i="25"/>
  <c r="AB72" i="25"/>
  <c r="Z94" i="25"/>
  <c r="Y89" i="25"/>
  <c r="AD74" i="25"/>
  <c r="AB73" i="25"/>
  <c r="AC94" i="25"/>
  <c r="D95" i="25"/>
  <c r="W95" i="25"/>
  <c r="X85" i="25"/>
  <c r="Y80" i="25"/>
  <c r="Z88" i="25"/>
  <c r="D79" i="25"/>
  <c r="W79" i="25"/>
  <c r="Z71" i="25"/>
  <c r="Y84" i="25"/>
  <c r="BT5" i="118"/>
  <c r="Z77" i="25"/>
  <c r="H46" i="29"/>
  <c r="T27" i="29"/>
  <c r="U27" i="29"/>
  <c r="H40" i="29"/>
  <c r="H41" i="29"/>
  <c r="H43" i="29"/>
  <c r="H51" i="29"/>
  <c r="H38" i="29"/>
  <c r="H48" i="29"/>
  <c r="H35" i="29"/>
  <c r="H42" i="29"/>
  <c r="H53" i="29"/>
  <c r="H44" i="29"/>
  <c r="H50" i="29"/>
  <c r="U12" i="29"/>
  <c r="U11" i="29"/>
  <c r="H36" i="29"/>
  <c r="X6" i="29"/>
  <c r="X7" i="29"/>
  <c r="C44" i="29"/>
  <c r="BJ32" i="23"/>
  <c r="BJ20" i="23"/>
  <c r="BI27" i="23"/>
  <c r="BH17" i="23"/>
  <c r="BJ22" i="23"/>
  <c r="BH6" i="23"/>
  <c r="U25" i="29"/>
  <c r="U26" i="29"/>
  <c r="U18" i="29"/>
  <c r="N104" i="25"/>
  <c r="J124" i="25"/>
  <c r="G107" i="25"/>
  <c r="N102" i="25"/>
  <c r="T128" i="25"/>
  <c r="M102" i="25"/>
  <c r="J105" i="25"/>
  <c r="T110" i="25"/>
  <c r="O122" i="25"/>
  <c r="N107" i="25"/>
  <c r="R114" i="25"/>
  <c r="L125" i="25"/>
  <c r="H126" i="25"/>
  <c r="N103" i="25"/>
  <c r="O117" i="25"/>
  <c r="Q120" i="25"/>
  <c r="T127" i="25"/>
  <c r="I107" i="25"/>
  <c r="K116" i="25"/>
  <c r="N122" i="25"/>
  <c r="L128" i="25"/>
  <c r="J109" i="25"/>
  <c r="AA78" i="25"/>
  <c r="K120" i="25"/>
  <c r="M112" i="25"/>
  <c r="I111" i="25"/>
  <c r="I123" i="25"/>
  <c r="J113" i="25"/>
  <c r="J116" i="25"/>
  <c r="P109" i="25"/>
  <c r="Q103" i="25"/>
  <c r="J110" i="25"/>
  <c r="L118" i="25"/>
  <c r="K129" i="25"/>
  <c r="J107" i="25"/>
  <c r="G120" i="25"/>
  <c r="G108" i="25"/>
  <c r="I102" i="25"/>
  <c r="G119" i="25"/>
  <c r="P117" i="25"/>
  <c r="N125" i="25"/>
  <c r="R104" i="25"/>
  <c r="T108" i="25"/>
  <c r="L112" i="25"/>
  <c r="S116" i="25"/>
  <c r="N120" i="25"/>
  <c r="Q123" i="25"/>
  <c r="I127" i="25"/>
  <c r="R129" i="25"/>
  <c r="J111" i="25"/>
  <c r="T113" i="25"/>
  <c r="G122" i="25"/>
  <c r="M108" i="25"/>
  <c r="I118" i="25"/>
  <c r="P118" i="25"/>
  <c r="M114" i="25"/>
  <c r="P113" i="25"/>
  <c r="N119" i="25"/>
  <c r="H102" i="25"/>
  <c r="M107" i="25"/>
  <c r="R110" i="25"/>
  <c r="L114" i="25"/>
  <c r="R120" i="25"/>
  <c r="M125" i="25"/>
  <c r="R128" i="25"/>
  <c r="J115" i="25"/>
  <c r="T116" i="25"/>
  <c r="G124" i="25"/>
  <c r="O110" i="25"/>
  <c r="G102" i="25"/>
  <c r="G111" i="25"/>
  <c r="Q110" i="25"/>
  <c r="P110" i="25"/>
  <c r="H121" i="25"/>
  <c r="H106" i="25"/>
  <c r="O129" i="25"/>
  <c r="U7" i="29"/>
  <c r="U21" i="29"/>
  <c r="U20" i="29"/>
  <c r="BT4" i="118"/>
  <c r="BH24" i="23"/>
  <c r="BJ12" i="23"/>
  <c r="BI6" i="23"/>
  <c r="BJ4" i="23"/>
  <c r="BJ7" i="23"/>
  <c r="B31" i="29"/>
  <c r="B30" i="29"/>
  <c r="N121" i="25"/>
  <c r="Q121" i="25"/>
  <c r="K110" i="25"/>
  <c r="N123" i="25"/>
  <c r="Q115" i="25"/>
  <c r="P103" i="25"/>
  <c r="Q124" i="25"/>
  <c r="I105" i="25"/>
  <c r="R113" i="25"/>
  <c r="M126" i="25"/>
  <c r="S107" i="25"/>
  <c r="G128" i="25"/>
  <c r="I119" i="25"/>
  <c r="T123" i="25"/>
  <c r="N116" i="25"/>
  <c r="M110" i="25"/>
  <c r="N113" i="25"/>
  <c r="P104" i="25"/>
  <c r="Q113" i="25"/>
  <c r="T120" i="25"/>
  <c r="N126" i="25"/>
  <c r="J119" i="25"/>
  <c r="G126" i="25"/>
  <c r="G104" i="25"/>
  <c r="P127" i="25"/>
  <c r="L120" i="25"/>
  <c r="H103" i="25"/>
  <c r="M122" i="25"/>
  <c r="L129" i="25"/>
  <c r="R108" i="25"/>
  <c r="O116" i="25"/>
  <c r="P128" i="25"/>
  <c r="R117" i="25"/>
  <c r="O124" i="25"/>
  <c r="S102" i="25"/>
  <c r="F122" i="25"/>
  <c r="Q112" i="25"/>
  <c r="P111" i="25"/>
  <c r="N117" i="25"/>
  <c r="R102" i="25"/>
  <c r="K107" i="25"/>
  <c r="M111" i="25"/>
  <c r="G116" i="25"/>
  <c r="Q119" i="25"/>
  <c r="T122" i="25"/>
  <c r="J126" i="25"/>
  <c r="H127" i="25"/>
  <c r="J117" i="25"/>
  <c r="L117" i="25"/>
  <c r="K124" i="25"/>
  <c r="G112" i="25"/>
  <c r="K102" i="25"/>
  <c r="M109" i="25"/>
  <c r="AD78" i="25"/>
  <c r="S108" i="25"/>
  <c r="F105" i="25"/>
  <c r="N111" i="25"/>
  <c r="S128" i="25"/>
  <c r="T106" i="25"/>
  <c r="Q109" i="25"/>
  <c r="M113" i="25"/>
  <c r="T118" i="25"/>
  <c r="R124" i="25"/>
  <c r="J128" i="25"/>
  <c r="J121" i="25"/>
  <c r="L121" i="25"/>
  <c r="K126" i="25"/>
  <c r="G114" i="25"/>
  <c r="K104" i="25"/>
  <c r="G103" i="25"/>
  <c r="P122" i="25"/>
  <c r="K105" i="25"/>
  <c r="S127" i="25"/>
  <c r="K103" i="25"/>
  <c r="K121" i="25"/>
  <c r="H123" i="25"/>
  <c r="X9" i="29"/>
  <c r="X10" i="29"/>
  <c r="U23" i="29"/>
  <c r="AA85" i="25"/>
  <c r="U14" i="29"/>
  <c r="P480" i="16"/>
  <c r="BI20" i="23"/>
  <c r="B97" i="87"/>
  <c r="B99" i="87"/>
  <c r="C54" i="29"/>
  <c r="X3" i="145"/>
  <c r="L3" i="145"/>
  <c r="J3" i="145"/>
  <c r="BH10" i="23"/>
  <c r="BH16" i="23"/>
  <c r="BH22" i="23"/>
  <c r="BH14" i="23"/>
  <c r="BJ27" i="23"/>
  <c r="BJ26" i="23"/>
  <c r="BJ21" i="23"/>
  <c r="BH18" i="23"/>
  <c r="BI8" i="23"/>
  <c r="BJ25" i="23"/>
  <c r="N58" i="87"/>
  <c r="R92" i="87"/>
  <c r="V3" i="145"/>
  <c r="S3" i="145"/>
  <c r="K3" i="145"/>
  <c r="BI31" i="23"/>
  <c r="BJ16" i="23"/>
  <c r="BI16" i="23"/>
  <c r="BH13" i="23"/>
  <c r="BJ5" i="23"/>
  <c r="BI24" i="23"/>
  <c r="E61" i="87"/>
  <c r="N60" i="87"/>
  <c r="F60" i="87"/>
  <c r="N275" i="16"/>
  <c r="H274" i="16"/>
  <c r="O108" i="135"/>
  <c r="P22" i="135"/>
  <c r="V60" i="145"/>
  <c r="C89" i="87"/>
  <c r="R86" i="87"/>
  <c r="C101" i="87"/>
  <c r="K96" i="87"/>
  <c r="K97" i="87"/>
  <c r="K99" i="87"/>
  <c r="O60" i="87"/>
  <c r="R23" i="29"/>
  <c r="R24" i="29"/>
  <c r="Q107" i="135"/>
  <c r="R21" i="135"/>
  <c r="X59" i="145"/>
  <c r="W58" i="145"/>
  <c r="E102" i="87"/>
  <c r="K102" i="87"/>
  <c r="J101" i="87"/>
  <c r="I103" i="87"/>
  <c r="M102" i="87"/>
  <c r="M101" i="87"/>
  <c r="M89" i="87"/>
  <c r="M103" i="87"/>
  <c r="G101" i="87"/>
  <c r="E59" i="87"/>
  <c r="L108" i="135"/>
  <c r="M22" i="135"/>
  <c r="S60" i="145"/>
  <c r="D59" i="87"/>
  <c r="E97" i="87"/>
  <c r="E99" i="87"/>
  <c r="G23" i="135"/>
  <c r="M61" i="145"/>
  <c r="F109" i="135"/>
  <c r="N59" i="87"/>
  <c r="R14" i="29"/>
  <c r="R15" i="29"/>
  <c r="BT44" i="118"/>
  <c r="N22" i="135"/>
  <c r="T60" i="145"/>
  <c r="M108" i="135"/>
  <c r="O89" i="87"/>
  <c r="O102" i="87"/>
  <c r="O101" i="87"/>
  <c r="O103" i="87"/>
  <c r="O59" i="87"/>
  <c r="D96" i="87"/>
  <c r="D97" i="87"/>
  <c r="D99" i="87"/>
  <c r="L103" i="87"/>
  <c r="H106" i="135"/>
  <c r="Q86" i="87"/>
  <c r="C100" i="87"/>
  <c r="K103" i="87"/>
  <c r="J60" i="87"/>
  <c r="L60" i="87"/>
  <c r="P60" i="87"/>
  <c r="G60" i="87"/>
  <c r="K60" i="87"/>
  <c r="H60" i="87"/>
  <c r="P102" i="87"/>
  <c r="I59" i="87"/>
  <c r="J97" i="87"/>
  <c r="J99" i="87"/>
  <c r="N89" i="87"/>
  <c r="N102" i="87"/>
  <c r="N103" i="87"/>
  <c r="N101" i="87"/>
  <c r="F89" i="87"/>
  <c r="F101" i="87"/>
  <c r="F103" i="87"/>
  <c r="F102" i="87"/>
  <c r="M60" i="87"/>
  <c r="N61" i="87"/>
  <c r="F59" i="87"/>
  <c r="S361" i="16"/>
  <c r="T361" i="16"/>
  <c r="Q362" i="16"/>
  <c r="H103" i="87"/>
  <c r="H102" i="87"/>
  <c r="H101" i="87"/>
  <c r="H89" i="87"/>
  <c r="BT31" i="118"/>
  <c r="O61" i="87"/>
  <c r="J21" i="135"/>
  <c r="P59" i="145"/>
  <c r="I107" i="135"/>
  <c r="O58" i="145"/>
  <c r="E101" i="87"/>
  <c r="J102" i="87"/>
  <c r="H59" i="87"/>
  <c r="G59" i="87"/>
  <c r="L59" i="87"/>
  <c r="P59" i="87"/>
  <c r="J59" i="87"/>
  <c r="P101" i="87"/>
  <c r="K59" i="87"/>
  <c r="J61" i="87"/>
  <c r="G61" i="87"/>
  <c r="L61" i="87"/>
  <c r="P61" i="87"/>
  <c r="K61" i="87"/>
  <c r="H61" i="87"/>
  <c r="P103" i="87"/>
  <c r="M59" i="87"/>
  <c r="L101" i="87"/>
  <c r="C59" i="87"/>
  <c r="I61" i="87"/>
  <c r="I97" i="87"/>
  <c r="I99" i="87"/>
  <c r="G103" i="87"/>
  <c r="G102" i="87"/>
  <c r="D101" i="87"/>
  <c r="S86" i="87"/>
  <c r="D89" i="87"/>
  <c r="D102" i="87"/>
  <c r="E60" i="87"/>
  <c r="D60" i="87"/>
  <c r="M61" i="87"/>
  <c r="F61" i="87"/>
  <c r="B617" i="16"/>
  <c r="H96" i="87"/>
  <c r="H97" i="87"/>
  <c r="H99" i="87"/>
  <c r="G97" i="87"/>
  <c r="G99" i="87"/>
  <c r="Q22" i="135"/>
  <c r="W60" i="145"/>
  <c r="P108" i="135"/>
  <c r="H22" i="135"/>
  <c r="N60" i="145"/>
  <c r="G108" i="135"/>
  <c r="C97" i="87"/>
  <c r="C99" i="87"/>
  <c r="C96" i="87"/>
  <c r="R10" i="29"/>
  <c r="R9" i="29"/>
  <c r="Q27" i="29"/>
  <c r="R27" i="29"/>
  <c r="C42" i="29"/>
  <c r="C51" i="29"/>
  <c r="C50" i="29"/>
  <c r="C38" i="29"/>
  <c r="C36" i="29"/>
  <c r="C52" i="29"/>
  <c r="C47" i="29"/>
  <c r="C41" i="29"/>
  <c r="C39" i="29"/>
  <c r="C48" i="29"/>
  <c r="C43" i="29"/>
  <c r="C53" i="29"/>
  <c r="C49" i="29"/>
  <c r="C46" i="29"/>
  <c r="C37" i="29"/>
  <c r="M346" i="13"/>
  <c r="B345" i="13"/>
  <c r="A345" i="13"/>
  <c r="L102" i="87"/>
  <c r="K58" i="87"/>
  <c r="H58" i="87"/>
  <c r="L58" i="87"/>
  <c r="P58" i="87"/>
  <c r="G58" i="87"/>
  <c r="J58" i="87"/>
  <c r="P106" i="135"/>
  <c r="H20" i="135"/>
  <c r="T86" i="87"/>
  <c r="K101" i="87"/>
  <c r="J103" i="87"/>
  <c r="I102" i="87"/>
  <c r="A90" i="52"/>
  <c r="A88" i="52"/>
  <c r="A84" i="52"/>
  <c r="C491" i="13"/>
  <c r="B491" i="13"/>
  <c r="C487" i="13"/>
  <c r="G159" i="23"/>
  <c r="G158" i="23"/>
  <c r="H137" i="23"/>
  <c r="J137" i="23"/>
  <c r="G154" i="23"/>
  <c r="H156" i="23"/>
  <c r="J156" i="23"/>
  <c r="G151" i="23"/>
  <c r="B497" i="13"/>
  <c r="B498" i="13"/>
  <c r="H158" i="23"/>
  <c r="J158" i="23"/>
  <c r="H141" i="23"/>
  <c r="J141" i="23"/>
  <c r="G142" i="23"/>
  <c r="G140" i="23"/>
  <c r="G130" i="23"/>
  <c r="H148" i="23"/>
  <c r="J148" i="23"/>
  <c r="G143" i="23"/>
  <c r="H151" i="23"/>
  <c r="J151" i="23"/>
  <c r="H129" i="23"/>
  <c r="G149" i="23"/>
  <c r="G147" i="23"/>
  <c r="G150" i="23"/>
  <c r="H130" i="23"/>
  <c r="J130" i="23"/>
  <c r="G148" i="23"/>
  <c r="H132" i="23"/>
  <c r="J132" i="23"/>
  <c r="H139" i="23"/>
  <c r="J139" i="23"/>
  <c r="G152" i="23"/>
  <c r="G137" i="23"/>
  <c r="G131" i="23"/>
  <c r="G155" i="23"/>
  <c r="H133" i="23"/>
  <c r="J133" i="23"/>
  <c r="H150" i="23"/>
  <c r="J150" i="23"/>
  <c r="H138" i="23"/>
  <c r="J138" i="23"/>
  <c r="G145" i="23"/>
  <c r="H144" i="23"/>
  <c r="J144" i="23"/>
  <c r="G141" i="23"/>
  <c r="H143" i="23"/>
  <c r="J143" i="23"/>
  <c r="H145" i="23"/>
  <c r="J145" i="23"/>
  <c r="H142" i="23"/>
  <c r="J142" i="23"/>
  <c r="H157" i="23"/>
  <c r="J157" i="23"/>
  <c r="H153" i="23"/>
  <c r="J153" i="23"/>
  <c r="H134" i="23"/>
  <c r="J134" i="23"/>
  <c r="H154" i="23"/>
  <c r="J154" i="23"/>
  <c r="G138" i="23"/>
  <c r="G132" i="23"/>
  <c r="H140" i="23"/>
  <c r="J140" i="23"/>
  <c r="G157" i="23"/>
  <c r="H155" i="23"/>
  <c r="J155" i="23"/>
  <c r="H135" i="23"/>
  <c r="J135" i="23"/>
  <c r="G136" i="23"/>
  <c r="G153" i="23"/>
  <c r="G139" i="23"/>
  <c r="H149" i="23"/>
  <c r="J149" i="23"/>
  <c r="G133" i="23"/>
  <c r="G156" i="23"/>
  <c r="G134" i="23"/>
  <c r="H146" i="23"/>
  <c r="J146" i="23"/>
  <c r="G146" i="23"/>
  <c r="G129" i="23"/>
  <c r="H152" i="23"/>
  <c r="J152" i="23"/>
  <c r="H136" i="23"/>
  <c r="J136" i="23"/>
  <c r="G135" i="23"/>
  <c r="G144" i="23"/>
  <c r="H147" i="23"/>
  <c r="J147" i="23"/>
  <c r="B479" i="13"/>
  <c r="B483" i="13"/>
  <c r="J129" i="23"/>
  <c r="J401" i="13"/>
  <c r="N401" i="13"/>
  <c r="R401" i="13"/>
  <c r="O401" i="13"/>
  <c r="S401" i="13"/>
  <c r="E401" i="13"/>
  <c r="P401" i="13"/>
  <c r="G401" i="13"/>
  <c r="Q401" i="13"/>
  <c r="M401" i="13"/>
  <c r="H401" i="13"/>
  <c r="L401" i="13"/>
  <c r="K401" i="13"/>
  <c r="I401" i="13"/>
  <c r="K548" i="16"/>
  <c r="P23" i="135"/>
  <c r="V61" i="145"/>
  <c r="U60" i="145"/>
  <c r="M158" i="165"/>
  <c r="N126" i="165"/>
  <c r="N145" i="165"/>
  <c r="M177" i="165"/>
  <c r="F110" i="135"/>
  <c r="N139" i="165"/>
  <c r="M171" i="165"/>
  <c r="N138" i="165"/>
  <c r="M170" i="165"/>
  <c r="N143" i="165"/>
  <c r="M175" i="165"/>
  <c r="O131" i="165"/>
  <c r="N163" i="165"/>
  <c r="O127" i="165"/>
  <c r="N159" i="165"/>
  <c r="N173" i="165"/>
  <c r="O77" i="165"/>
  <c r="N128" i="165"/>
  <c r="M160" i="165"/>
  <c r="O125" i="165"/>
  <c r="N157" i="165"/>
  <c r="O135" i="165"/>
  <c r="N167" i="165"/>
  <c r="N134" i="165"/>
  <c r="M166" i="165"/>
  <c r="N176" i="165"/>
  <c r="O80" i="165"/>
  <c r="O130" i="165"/>
  <c r="N162" i="165"/>
  <c r="O133" i="165"/>
  <c r="N165" i="165"/>
  <c r="O136" i="165"/>
  <c r="N168" i="165"/>
  <c r="N146" i="165"/>
  <c r="M178" i="165"/>
  <c r="O132" i="165"/>
  <c r="N164" i="165"/>
  <c r="O124" i="165"/>
  <c r="N156" i="165"/>
  <c r="O137" i="165"/>
  <c r="N169" i="165"/>
  <c r="O147" i="165"/>
  <c r="N179" i="165"/>
  <c r="N140" i="165"/>
  <c r="M172" i="165"/>
  <c r="N123" i="165"/>
  <c r="M155" i="165"/>
  <c r="P129" i="165"/>
  <c r="P161" i="165"/>
  <c r="O161" i="165"/>
  <c r="L181" i="165"/>
  <c r="M85" i="165"/>
  <c r="P122" i="165"/>
  <c r="P154" i="165"/>
  <c r="O154" i="165"/>
  <c r="P84" i="165"/>
  <c r="P180" i="165"/>
  <c r="O180" i="165"/>
  <c r="P82" i="165"/>
  <c r="P76" i="165"/>
  <c r="P78" i="165"/>
  <c r="P174" i="165"/>
  <c r="O174" i="165"/>
  <c r="O86" i="165"/>
  <c r="N182" i="165"/>
  <c r="AG21" i="16"/>
  <c r="AI21" i="16"/>
  <c r="A6" i="52"/>
  <c r="AF20" i="16"/>
  <c r="AI20" i="16"/>
  <c r="A5" i="52"/>
  <c r="AT50" i="25"/>
  <c r="F19" i="25"/>
  <c r="BJ34" i="16"/>
  <c r="AT42" i="25"/>
  <c r="AF31" i="16"/>
  <c r="AP34" i="16"/>
  <c r="BE34" i="16"/>
  <c r="K549" i="16"/>
  <c r="AG22" i="16"/>
  <c r="AI22" i="16"/>
  <c r="A7" i="52"/>
  <c r="J45" i="29"/>
  <c r="A80" i="52"/>
  <c r="AT49" i="25"/>
  <c r="AT45" i="25"/>
  <c r="AT41" i="25"/>
  <c r="AT52" i="25"/>
  <c r="X28" i="29"/>
  <c r="I22" i="135"/>
  <c r="AT54" i="25"/>
  <c r="H108" i="135"/>
  <c r="D31" i="29"/>
  <c r="CG34" i="16"/>
  <c r="BW34" i="16"/>
  <c r="AT53" i="25"/>
  <c r="O109" i="135"/>
  <c r="CH34" i="16"/>
  <c r="AT34" i="16"/>
  <c r="BP34" i="16"/>
  <c r="A45" i="13"/>
  <c r="I161" i="16"/>
  <c r="AF29" i="16"/>
  <c r="AV34" i="16"/>
  <c r="CF34" i="16"/>
  <c r="CE34" i="16"/>
  <c r="AY34" i="16"/>
  <c r="CC34" i="16"/>
  <c r="AT46" i="25"/>
  <c r="BG34" i="16"/>
  <c r="BF34" i="16"/>
  <c r="BY34" i="16"/>
  <c r="BH34" i="16"/>
  <c r="AQ34" i="16"/>
  <c r="BZ34" i="16"/>
  <c r="AU34" i="16"/>
  <c r="BD34" i="16"/>
  <c r="AW34" i="16"/>
  <c r="BA34" i="16"/>
  <c r="BB34" i="16"/>
  <c r="BM34" i="16"/>
  <c r="J552" i="16"/>
  <c r="H12" i="145"/>
  <c r="AT44" i="25"/>
  <c r="BI34" i="16"/>
  <c r="AR34" i="16"/>
  <c r="BU34" i="16"/>
  <c r="CA34" i="16"/>
  <c r="AK34" i="16"/>
  <c r="AM34" i="16"/>
  <c r="BQ34" i="16"/>
  <c r="CD34" i="16"/>
  <c r="AL34" i="16"/>
  <c r="BC34" i="16"/>
  <c r="BL34" i="16"/>
  <c r="BS34" i="16"/>
  <c r="AT48" i="25"/>
  <c r="AT43" i="25"/>
  <c r="AT47" i="25"/>
  <c r="CI34" i="16"/>
  <c r="BR34" i="16"/>
  <c r="BT34" i="16"/>
  <c r="AX34" i="16"/>
  <c r="AO34" i="16"/>
  <c r="BX34" i="16"/>
  <c r="BK34" i="16"/>
  <c r="BO34" i="16"/>
  <c r="AS34" i="16"/>
  <c r="CB34" i="16"/>
  <c r="AZ34" i="16"/>
  <c r="BN34" i="16"/>
  <c r="AE33" i="16"/>
  <c r="BV34" i="16"/>
  <c r="W98" i="25"/>
  <c r="AT40" i="25"/>
  <c r="AF33" i="16"/>
  <c r="AN34" i="16"/>
  <c r="H51" i="145"/>
  <c r="Z98" i="25"/>
  <c r="H46" i="145"/>
  <c r="Z96" i="25"/>
  <c r="Z99" i="25"/>
  <c r="AB97" i="25"/>
  <c r="AB98" i="25"/>
  <c r="AD97" i="25"/>
  <c r="Y97" i="25"/>
  <c r="X98" i="25"/>
  <c r="L131" i="25"/>
  <c r="E40" i="145"/>
  <c r="E15" i="145"/>
  <c r="E12" i="145"/>
  <c r="K131" i="25"/>
  <c r="G131" i="25"/>
  <c r="AD98" i="25"/>
  <c r="O131" i="25"/>
  <c r="AA96" i="25"/>
  <c r="AA99" i="25"/>
  <c r="D30" i="29"/>
  <c r="H34" i="145"/>
  <c r="AC96" i="25"/>
  <c r="AC99" i="25"/>
  <c r="J47" i="29"/>
  <c r="E42" i="145"/>
  <c r="N131" i="25"/>
  <c r="X96" i="25"/>
  <c r="X99" i="25"/>
  <c r="AD96" i="25"/>
  <c r="AD99" i="25"/>
  <c r="Y96" i="25"/>
  <c r="Y99" i="25"/>
  <c r="H50" i="145"/>
  <c r="H36" i="145"/>
  <c r="E55" i="145"/>
  <c r="AA98" i="25"/>
  <c r="E19" i="145"/>
  <c r="E46" i="145"/>
  <c r="E27" i="145"/>
  <c r="H17" i="145"/>
  <c r="E44" i="145"/>
  <c r="H23" i="145"/>
  <c r="X97" i="25"/>
  <c r="H22" i="145"/>
  <c r="J53" i="29"/>
  <c r="P131" i="25"/>
  <c r="I131" i="25"/>
  <c r="E50" i="145"/>
  <c r="H69" i="145"/>
  <c r="H10" i="145"/>
  <c r="U28" i="29"/>
  <c r="H23" i="135"/>
  <c r="N61" i="145"/>
  <c r="G109" i="135"/>
  <c r="H25" i="145"/>
  <c r="E3" i="145"/>
  <c r="E37" i="145"/>
  <c r="H16" i="145"/>
  <c r="M131" i="25"/>
  <c r="H131" i="25"/>
  <c r="W96" i="25"/>
  <c r="W99" i="25"/>
  <c r="Y98" i="25"/>
  <c r="W97" i="25"/>
  <c r="Z97" i="25"/>
  <c r="Q131" i="25"/>
  <c r="F131" i="25"/>
  <c r="B455" i="13"/>
  <c r="B456" i="13"/>
  <c r="A62" i="52"/>
  <c r="AB96" i="25"/>
  <c r="AB99" i="25"/>
  <c r="AC98" i="25"/>
  <c r="E17" i="145"/>
  <c r="H55" i="145"/>
  <c r="H40" i="145"/>
  <c r="E56" i="145"/>
  <c r="H39" i="145"/>
  <c r="E43" i="145"/>
  <c r="E48" i="145"/>
  <c r="H67" i="145"/>
  <c r="E13" i="145"/>
  <c r="H26" i="145"/>
  <c r="E54" i="145"/>
  <c r="E23" i="145"/>
  <c r="H54" i="145"/>
  <c r="J131" i="25"/>
  <c r="R89" i="87"/>
  <c r="AA97" i="25"/>
  <c r="E22" i="145"/>
  <c r="E24" i="145"/>
  <c r="E38" i="145"/>
  <c r="E10" i="145"/>
  <c r="H21" i="145"/>
  <c r="E14" i="145"/>
  <c r="H28" i="145"/>
  <c r="E41" i="145"/>
  <c r="E16" i="145"/>
  <c r="H37" i="145"/>
  <c r="H30" i="145"/>
  <c r="E26" i="145"/>
  <c r="E52" i="145"/>
  <c r="H71" i="145"/>
  <c r="H49" i="145"/>
  <c r="E21" i="145"/>
  <c r="E49" i="145"/>
  <c r="H68" i="145"/>
  <c r="H47" i="145"/>
  <c r="E28" i="145"/>
  <c r="H48" i="145"/>
  <c r="H29" i="145"/>
  <c r="E31" i="145"/>
  <c r="H18" i="145"/>
  <c r="H38" i="145"/>
  <c r="H19" i="145"/>
  <c r="R131" i="25"/>
  <c r="B41" i="29"/>
  <c r="B54" i="29"/>
  <c r="B48" i="29"/>
  <c r="B46" i="29"/>
  <c r="B37" i="29"/>
  <c r="B45" i="29"/>
  <c r="B53" i="29"/>
  <c r="B35" i="29"/>
  <c r="B43" i="29"/>
  <c r="B39" i="29"/>
  <c r="B42" i="29"/>
  <c r="B44" i="29"/>
  <c r="B38" i="29"/>
  <c r="B50" i="29"/>
  <c r="B47" i="29"/>
  <c r="B40" i="29"/>
  <c r="B49" i="29"/>
  <c r="B36" i="29"/>
  <c r="J46" i="29"/>
  <c r="J37" i="29"/>
  <c r="J43" i="29"/>
  <c r="J40" i="29"/>
  <c r="J44" i="29"/>
  <c r="J54" i="29"/>
  <c r="J35" i="29"/>
  <c r="J51" i="29"/>
  <c r="J52" i="29"/>
  <c r="J39" i="29"/>
  <c r="J36" i="29"/>
  <c r="J41" i="29"/>
  <c r="J38" i="29"/>
  <c r="J50" i="29"/>
  <c r="J42" i="29"/>
  <c r="T131" i="25"/>
  <c r="J48" i="29"/>
  <c r="B51" i="29"/>
  <c r="B52" i="29"/>
  <c r="K547" i="16"/>
  <c r="J49" i="29"/>
  <c r="AC97" i="25"/>
  <c r="H100" i="87"/>
  <c r="F100" i="87"/>
  <c r="N100" i="87"/>
  <c r="H14" i="145"/>
  <c r="E33" i="145"/>
  <c r="H11" i="145"/>
  <c r="E25" i="145"/>
  <c r="H24" i="145"/>
  <c r="E18" i="145"/>
  <c r="H20" i="145"/>
  <c r="E45" i="145"/>
  <c r="E20" i="145"/>
  <c r="H45" i="145"/>
  <c r="H42" i="145"/>
  <c r="H35" i="145"/>
  <c r="D100" i="87"/>
  <c r="A63" i="52"/>
  <c r="E47" i="145"/>
  <c r="H66" i="145"/>
  <c r="H53" i="145"/>
  <c r="H44" i="145"/>
  <c r="H15" i="145"/>
  <c r="E35" i="145"/>
  <c r="E30" i="145"/>
  <c r="H41" i="145"/>
  <c r="E51" i="145"/>
  <c r="H70" i="145"/>
  <c r="E32" i="145"/>
  <c r="E11" i="145"/>
  <c r="H31" i="145"/>
  <c r="E34" i="145"/>
  <c r="H52" i="145"/>
  <c r="H33" i="145"/>
  <c r="E29" i="145"/>
  <c r="E53" i="145"/>
  <c r="H72" i="145"/>
  <c r="H27" i="145"/>
  <c r="E36" i="145"/>
  <c r="H32" i="145"/>
  <c r="H13" i="145"/>
  <c r="E39" i="145"/>
  <c r="H43" i="145"/>
  <c r="S131" i="25"/>
  <c r="K21" i="135"/>
  <c r="Q59" i="145"/>
  <c r="J107" i="135"/>
  <c r="P58" i="145"/>
  <c r="B47" i="13"/>
  <c r="B48" i="13"/>
  <c r="P482" i="16"/>
  <c r="P481" i="16"/>
  <c r="M100" i="87"/>
  <c r="N58" i="145"/>
  <c r="I21" i="135"/>
  <c r="O59" i="145"/>
  <c r="H107" i="135"/>
  <c r="B27" i="135"/>
  <c r="H27" i="135"/>
  <c r="H63" i="135"/>
  <c r="R28" i="29"/>
  <c r="O23" i="135"/>
  <c r="U61" i="145"/>
  <c r="N109" i="135"/>
  <c r="B121" i="135"/>
  <c r="H121" i="135"/>
  <c r="I23" i="135"/>
  <c r="O61" i="145"/>
  <c r="H109" i="135"/>
  <c r="Q109" i="135"/>
  <c r="P100" i="87"/>
  <c r="B100" i="87"/>
  <c r="K100" i="87"/>
  <c r="L100" i="87"/>
  <c r="G100" i="87"/>
  <c r="I100" i="87"/>
  <c r="E100" i="87"/>
  <c r="J100" i="87"/>
  <c r="O100" i="87"/>
  <c r="M109" i="135"/>
  <c r="N23" i="135"/>
  <c r="T61" i="145"/>
  <c r="O276" i="16"/>
  <c r="H276" i="16"/>
  <c r="H275" i="16"/>
  <c r="K22" i="135"/>
  <c r="Q60" i="145"/>
  <c r="J108" i="135"/>
  <c r="Q363" i="16"/>
  <c r="T362" i="16"/>
  <c r="S362" i="16"/>
  <c r="N347" i="13"/>
  <c r="B346" i="13"/>
  <c r="A346" i="13"/>
  <c r="B618" i="16"/>
  <c r="G110" i="135"/>
  <c r="R108" i="135"/>
  <c r="R22" i="135"/>
  <c r="X60" i="145"/>
  <c r="Q23" i="135"/>
  <c r="W61" i="145"/>
  <c r="P109" i="135"/>
  <c r="H159" i="23"/>
  <c r="J159" i="23"/>
  <c r="L154" i="23"/>
  <c r="B49" i="13"/>
  <c r="P110" i="135"/>
  <c r="G58" i="145"/>
  <c r="J23" i="135"/>
  <c r="P61" i="145"/>
  <c r="O60" i="145"/>
  <c r="I162" i="16"/>
  <c r="O126" i="165"/>
  <c r="N158" i="165"/>
  <c r="O145" i="165"/>
  <c r="N177" i="165"/>
  <c r="O134" i="165"/>
  <c r="N166" i="165"/>
  <c r="P125" i="165"/>
  <c r="P157" i="165"/>
  <c r="O157" i="165"/>
  <c r="O138" i="165"/>
  <c r="N170" i="165"/>
  <c r="O123" i="165"/>
  <c r="N155" i="165"/>
  <c r="P147" i="165"/>
  <c r="P179" i="165"/>
  <c r="O179" i="165"/>
  <c r="P124" i="165"/>
  <c r="P156" i="165"/>
  <c r="O156" i="165"/>
  <c r="O146" i="165"/>
  <c r="N178" i="165"/>
  <c r="P133" i="165"/>
  <c r="P165" i="165"/>
  <c r="O165" i="165"/>
  <c r="P77" i="165"/>
  <c r="P173" i="165"/>
  <c r="O173" i="165"/>
  <c r="P131" i="165"/>
  <c r="P163" i="165"/>
  <c r="O163" i="165"/>
  <c r="O140" i="165"/>
  <c r="N172" i="165"/>
  <c r="P137" i="165"/>
  <c r="P169" i="165"/>
  <c r="O169" i="165"/>
  <c r="P132" i="165"/>
  <c r="P164" i="165"/>
  <c r="O164" i="165"/>
  <c r="P136" i="165"/>
  <c r="P168" i="165"/>
  <c r="O168" i="165"/>
  <c r="P130" i="165"/>
  <c r="P162" i="165"/>
  <c r="O162" i="165"/>
  <c r="O176" i="165"/>
  <c r="P80" i="165"/>
  <c r="P176" i="165"/>
  <c r="N85" i="165"/>
  <c r="M181" i="165"/>
  <c r="P135" i="165"/>
  <c r="P167" i="165"/>
  <c r="O167" i="165"/>
  <c r="O128" i="165"/>
  <c r="N160" i="165"/>
  <c r="P127" i="165"/>
  <c r="P159" i="165"/>
  <c r="O159" i="165"/>
  <c r="O143" i="165"/>
  <c r="N175" i="165"/>
  <c r="O139" i="165"/>
  <c r="N171" i="165"/>
  <c r="P86" i="165"/>
  <c r="P182" i="165"/>
  <c r="O182" i="165"/>
  <c r="D41" i="29"/>
  <c r="I167" i="16"/>
  <c r="D47" i="29"/>
  <c r="D43" i="29"/>
  <c r="I109" i="135"/>
  <c r="I165" i="16"/>
  <c r="I158" i="16"/>
  <c r="I159" i="16"/>
  <c r="D45" i="29"/>
  <c r="D42" i="29"/>
  <c r="D49" i="29"/>
  <c r="D44" i="29"/>
  <c r="D35" i="29"/>
  <c r="D36" i="29"/>
  <c r="I156" i="16"/>
  <c r="I153" i="16"/>
  <c r="I154" i="16"/>
  <c r="I164" i="16"/>
  <c r="I168" i="16"/>
  <c r="I151" i="16"/>
  <c r="I170" i="16"/>
  <c r="I60" i="13"/>
  <c r="I155" i="16"/>
  <c r="I160" i="16"/>
  <c r="I157" i="16"/>
  <c r="I152" i="16"/>
  <c r="I169" i="16"/>
  <c r="I166" i="16"/>
  <c r="I163" i="16"/>
  <c r="D48" i="29"/>
  <c r="D46" i="29"/>
  <c r="D40" i="29"/>
  <c r="D50" i="29"/>
  <c r="D37" i="29"/>
  <c r="D38" i="29"/>
  <c r="D53" i="29"/>
  <c r="D52" i="29"/>
  <c r="D51" i="29"/>
  <c r="D39" i="29"/>
  <c r="D54" i="29"/>
  <c r="I76" i="13"/>
  <c r="I64" i="13"/>
  <c r="I70" i="13"/>
  <c r="I65" i="13"/>
  <c r="I83" i="13"/>
  <c r="I75" i="13"/>
  <c r="H110" i="135"/>
  <c r="O66" i="145" a="1"/>
  <c r="O66" i="145"/>
  <c r="H73" i="145"/>
  <c r="J73" i="145"/>
  <c r="I72" i="13"/>
  <c r="I89" i="13"/>
  <c r="I67" i="13"/>
  <c r="I53" i="13"/>
  <c r="K108" i="135"/>
  <c r="L22" i="135"/>
  <c r="R60" i="145"/>
  <c r="K66" i="145" a="1"/>
  <c r="K69" i="145"/>
  <c r="I62" i="13"/>
  <c r="I79" i="13"/>
  <c r="I78" i="13"/>
  <c r="I54" i="13"/>
  <c r="I92" i="13"/>
  <c r="I50" i="13"/>
  <c r="I91" i="13"/>
  <c r="I73" i="13"/>
  <c r="I74" i="13"/>
  <c r="I71" i="13"/>
  <c r="I63" i="13"/>
  <c r="I48" i="13"/>
  <c r="I88" i="13"/>
  <c r="I59" i="13"/>
  <c r="I58" i="13"/>
  <c r="I80" i="13"/>
  <c r="I57" i="13"/>
  <c r="I68" i="13"/>
  <c r="I86" i="13"/>
  <c r="I81" i="13"/>
  <c r="I93" i="13"/>
  <c r="I69" i="13"/>
  <c r="I61" i="13"/>
  <c r="I56" i="13"/>
  <c r="I52" i="13"/>
  <c r="I51" i="13"/>
  <c r="I77" i="13"/>
  <c r="I82" i="13"/>
  <c r="I87" i="13"/>
  <c r="I84" i="13"/>
  <c r="I55" i="13"/>
  <c r="I66" i="13"/>
  <c r="I49" i="13"/>
  <c r="I90" i="13"/>
  <c r="I85" i="13"/>
  <c r="K109" i="135"/>
  <c r="L23" i="135"/>
  <c r="R61" i="145"/>
  <c r="P27" i="135"/>
  <c r="P63" i="135"/>
  <c r="M27" i="135"/>
  <c r="M63" i="135"/>
  <c r="E27" i="135"/>
  <c r="E63" i="135"/>
  <c r="D27" i="135"/>
  <c r="D63" i="135"/>
  <c r="G27" i="135"/>
  <c r="G63" i="135"/>
  <c r="N27" i="135"/>
  <c r="N63" i="135"/>
  <c r="R27" i="135"/>
  <c r="R63" i="135"/>
  <c r="F27" i="135"/>
  <c r="F63" i="135"/>
  <c r="L27" i="135"/>
  <c r="L63" i="135"/>
  <c r="K27" i="135"/>
  <c r="K63" i="135"/>
  <c r="J27" i="135"/>
  <c r="J63" i="135"/>
  <c r="O27" i="135"/>
  <c r="O63" i="135"/>
  <c r="Q27" i="135"/>
  <c r="Q63" i="135"/>
  <c r="I27" i="135"/>
  <c r="I63" i="135"/>
  <c r="R109" i="135"/>
  <c r="S363" i="16"/>
  <c r="Q364" i="16"/>
  <c r="T363" i="16"/>
  <c r="R23" i="135"/>
  <c r="X61" i="145"/>
  <c r="I121" i="135"/>
  <c r="D121" i="135"/>
  <c r="F121" i="135"/>
  <c r="O121" i="135"/>
  <c r="E121" i="135"/>
  <c r="R121" i="135"/>
  <c r="N121" i="135"/>
  <c r="J121" i="135"/>
  <c r="Q121" i="135"/>
  <c r="L121" i="135"/>
  <c r="K121" i="135"/>
  <c r="G121" i="135"/>
  <c r="M121" i="135"/>
  <c r="B122" i="135"/>
  <c r="H122" i="135"/>
  <c r="B619" i="16"/>
  <c r="O348" i="13"/>
  <c r="B347" i="13"/>
  <c r="A347" i="13"/>
  <c r="P121" i="135"/>
  <c r="J22" i="135"/>
  <c r="P60" i="145"/>
  <c r="I108" i="135"/>
  <c r="B28" i="135"/>
  <c r="N110" i="135"/>
  <c r="Q110" i="135"/>
  <c r="I110" i="135"/>
  <c r="O110" i="135"/>
  <c r="L137" i="23"/>
  <c r="L138" i="23"/>
  <c r="L153" i="23"/>
  <c r="L132" i="23"/>
  <c r="L148" i="23"/>
  <c r="L142" i="23"/>
  <c r="L134" i="23"/>
  <c r="L145" i="23"/>
  <c r="L152" i="23"/>
  <c r="L140" i="23"/>
  <c r="L151" i="23"/>
  <c r="K146" i="23"/>
  <c r="L143" i="23"/>
  <c r="L147" i="23"/>
  <c r="L144" i="23"/>
  <c r="L131" i="23"/>
  <c r="L141" i="23"/>
  <c r="J110" i="135"/>
  <c r="L139" i="23"/>
  <c r="L158" i="23"/>
  <c r="K150" i="23"/>
  <c r="L146" i="23"/>
  <c r="L150" i="23"/>
  <c r="K137" i="23"/>
  <c r="K130" i="23"/>
  <c r="L157" i="23"/>
  <c r="K129" i="23"/>
  <c r="K138" i="23"/>
  <c r="L133" i="23"/>
  <c r="K135" i="23"/>
  <c r="K139" i="23"/>
  <c r="K148" i="23"/>
  <c r="K157" i="23"/>
  <c r="K141" i="23"/>
  <c r="K152" i="23"/>
  <c r="K156" i="23"/>
  <c r="K132" i="23"/>
  <c r="L129" i="23"/>
  <c r="K151" i="23"/>
  <c r="K142" i="23"/>
  <c r="K145" i="23"/>
  <c r="K131" i="23"/>
  <c r="K140" i="23"/>
  <c r="K134" i="23"/>
  <c r="K136" i="23"/>
  <c r="K144" i="23"/>
  <c r="K155" i="23"/>
  <c r="K149" i="23"/>
  <c r="L156" i="23"/>
  <c r="K158" i="23"/>
  <c r="K153" i="23"/>
  <c r="K154" i="23"/>
  <c r="K143" i="23"/>
  <c r="K147" i="23"/>
  <c r="K133" i="23"/>
  <c r="L149" i="23"/>
  <c r="L136" i="23"/>
  <c r="L135" i="23"/>
  <c r="L130" i="23"/>
  <c r="L155" i="23"/>
  <c r="O158" i="165"/>
  <c r="P126" i="165"/>
  <c r="P158" i="165"/>
  <c r="P145" i="165"/>
  <c r="P177" i="165"/>
  <c r="O177" i="165"/>
  <c r="P123" i="165"/>
  <c r="P155" i="165"/>
  <c r="O155" i="165"/>
  <c r="P128" i="165"/>
  <c r="P160" i="165"/>
  <c r="O160" i="165"/>
  <c r="P140" i="165"/>
  <c r="P172" i="165"/>
  <c r="O172" i="165"/>
  <c r="P146" i="165"/>
  <c r="P178" i="165"/>
  <c r="O178" i="165"/>
  <c r="P143" i="165"/>
  <c r="P175" i="165"/>
  <c r="O175" i="165"/>
  <c r="N181" i="165"/>
  <c r="O85" i="165"/>
  <c r="P139" i="165"/>
  <c r="P171" i="165"/>
  <c r="O171" i="165"/>
  <c r="P138" i="165"/>
  <c r="P170" i="165"/>
  <c r="O170" i="165"/>
  <c r="P134" i="165"/>
  <c r="P166" i="165"/>
  <c r="O166" i="165"/>
  <c r="K68" i="145"/>
  <c r="K67" i="145"/>
  <c r="M69" i="145"/>
  <c r="L68" i="145"/>
  <c r="K71" i="145"/>
  <c r="M66" i="145"/>
  <c r="O67" i="145"/>
  <c r="L71" i="145"/>
  <c r="K70" i="145"/>
  <c r="M70" i="145"/>
  <c r="M68" i="145"/>
  <c r="K66" i="145"/>
  <c r="M71" i="145"/>
  <c r="L69" i="145"/>
  <c r="M23" i="135"/>
  <c r="S61" i="145"/>
  <c r="L109" i="135"/>
  <c r="L70" i="145"/>
  <c r="L67" i="145"/>
  <c r="L66" i="145"/>
  <c r="M67" i="145"/>
  <c r="F28" i="135"/>
  <c r="F64" i="135"/>
  <c r="D28" i="135"/>
  <c r="D64" i="135"/>
  <c r="Q28" i="135"/>
  <c r="Q64" i="135"/>
  <c r="N28" i="135"/>
  <c r="N64" i="135"/>
  <c r="E28" i="135"/>
  <c r="E64" i="135"/>
  <c r="L28" i="135"/>
  <c r="L64" i="135"/>
  <c r="M28" i="135"/>
  <c r="M64" i="135"/>
  <c r="G28" i="135"/>
  <c r="G64" i="135"/>
  <c r="P28" i="135"/>
  <c r="P64" i="135"/>
  <c r="H28" i="135"/>
  <c r="H64" i="135"/>
  <c r="K28" i="135"/>
  <c r="K64" i="135"/>
  <c r="O28" i="135"/>
  <c r="O64" i="135"/>
  <c r="R28" i="135"/>
  <c r="R64" i="135"/>
  <c r="J28" i="135"/>
  <c r="J64" i="135"/>
  <c r="K23" i="135"/>
  <c r="Q61" i="145"/>
  <c r="J109" i="135"/>
  <c r="B29" i="135"/>
  <c r="J29" i="135"/>
  <c r="J65" i="135"/>
  <c r="P349" i="13"/>
  <c r="B348" i="13"/>
  <c r="A348" i="13"/>
  <c r="M122" i="135"/>
  <c r="E122" i="135"/>
  <c r="P122" i="135"/>
  <c r="J122" i="135"/>
  <c r="L122" i="135"/>
  <c r="K122" i="135"/>
  <c r="D122" i="135"/>
  <c r="O122" i="135"/>
  <c r="N122" i="135"/>
  <c r="G122" i="135"/>
  <c r="F122" i="135"/>
  <c r="R122" i="135"/>
  <c r="I122" i="135"/>
  <c r="Q122" i="135"/>
  <c r="L110" i="135"/>
  <c r="I28" i="135"/>
  <c r="I64" i="135"/>
  <c r="R110" i="135"/>
  <c r="S364" i="16"/>
  <c r="Q365" i="16"/>
  <c r="T364" i="16"/>
  <c r="B123" i="135"/>
  <c r="I123" i="135"/>
  <c r="B620" i="16"/>
  <c r="K159" i="23"/>
  <c r="L159" i="23"/>
  <c r="P85" i="165"/>
  <c r="P181" i="165"/>
  <c r="O181" i="165"/>
  <c r="M110" i="135"/>
  <c r="T365" i="16"/>
  <c r="Q366" i="16"/>
  <c r="S365" i="16"/>
  <c r="B124" i="135"/>
  <c r="J124" i="135"/>
  <c r="D123" i="135"/>
  <c r="F123" i="135"/>
  <c r="Q123" i="135"/>
  <c r="E123" i="135"/>
  <c r="N123" i="135"/>
  <c r="O123" i="135"/>
  <c r="K123" i="135"/>
  <c r="H123" i="135"/>
  <c r="P123" i="135"/>
  <c r="M123" i="135"/>
  <c r="G123" i="135"/>
  <c r="L123" i="135"/>
  <c r="J123" i="135"/>
  <c r="R123" i="135"/>
  <c r="Q350" i="13"/>
  <c r="B349" i="13"/>
  <c r="A349" i="13"/>
  <c r="K110" i="135"/>
  <c r="B30" i="135"/>
  <c r="K30" i="135"/>
  <c r="K66" i="135"/>
  <c r="D29" i="135"/>
  <c r="D65" i="135"/>
  <c r="G29" i="135"/>
  <c r="G65" i="135"/>
  <c r="E29" i="135"/>
  <c r="E65" i="135"/>
  <c r="O29" i="135"/>
  <c r="O65" i="135"/>
  <c r="F29" i="135"/>
  <c r="F65" i="135"/>
  <c r="P29" i="135"/>
  <c r="P65" i="135"/>
  <c r="Q29" i="135"/>
  <c r="Q65" i="135"/>
  <c r="M29" i="135"/>
  <c r="M65" i="135"/>
  <c r="L29" i="135"/>
  <c r="L65" i="135"/>
  <c r="I29" i="135"/>
  <c r="I65" i="135"/>
  <c r="N29" i="135"/>
  <c r="N65" i="135"/>
  <c r="H29" i="135"/>
  <c r="H65" i="135"/>
  <c r="K29" i="135"/>
  <c r="K65" i="135"/>
  <c r="R29" i="135"/>
  <c r="R65" i="135"/>
  <c r="R351" i="13"/>
  <c r="B350" i="13"/>
  <c r="A350" i="13"/>
  <c r="Q367" i="16"/>
  <c r="S366" i="16"/>
  <c r="T366" i="16"/>
  <c r="D124" i="135"/>
  <c r="G124" i="135"/>
  <c r="E124" i="135"/>
  <c r="F124" i="135"/>
  <c r="O124" i="135"/>
  <c r="L124" i="135"/>
  <c r="H124" i="135"/>
  <c r="I124" i="135"/>
  <c r="M124" i="135"/>
  <c r="P124" i="135"/>
  <c r="Q124" i="135"/>
  <c r="N124" i="135"/>
  <c r="R124" i="135"/>
  <c r="K124" i="135"/>
  <c r="D30" i="135"/>
  <c r="D66" i="135"/>
  <c r="E30" i="135"/>
  <c r="E66" i="135"/>
  <c r="F30" i="135"/>
  <c r="F66" i="135"/>
  <c r="H30" i="135"/>
  <c r="H66" i="135"/>
  <c r="P30" i="135"/>
  <c r="P66" i="135"/>
  <c r="G30" i="135"/>
  <c r="G66" i="135"/>
  <c r="N30" i="135"/>
  <c r="N66" i="135"/>
  <c r="J30" i="135"/>
  <c r="J66" i="135"/>
  <c r="I30" i="135"/>
  <c r="I66" i="135"/>
  <c r="M30" i="135"/>
  <c r="M66" i="135"/>
  <c r="O30" i="135"/>
  <c r="O66" i="135"/>
  <c r="Q30" i="135"/>
  <c r="Q66" i="135"/>
  <c r="L30" i="135"/>
  <c r="L66" i="135"/>
  <c r="R30" i="135"/>
  <c r="R66" i="135"/>
  <c r="B125" i="135"/>
  <c r="K125" i="135"/>
  <c r="T367" i="16"/>
  <c r="S367" i="16"/>
  <c r="Q368" i="16"/>
  <c r="D125" i="135"/>
  <c r="E125" i="135"/>
  <c r="F125" i="135"/>
  <c r="H125" i="135"/>
  <c r="P125" i="135"/>
  <c r="G125" i="135"/>
  <c r="N125" i="135"/>
  <c r="J125" i="135"/>
  <c r="M125" i="135"/>
  <c r="O125" i="135"/>
  <c r="I125" i="135"/>
  <c r="Q125" i="135"/>
  <c r="R125" i="135"/>
  <c r="L125" i="135"/>
  <c r="S352" i="13"/>
  <c r="B351" i="13"/>
  <c r="A351" i="13"/>
  <c r="S353" i="13"/>
  <c r="B352" i="13"/>
  <c r="A352" i="13"/>
  <c r="Q369" i="16"/>
  <c r="T368" i="16"/>
  <c r="S368" i="16"/>
  <c r="S354" i="13"/>
  <c r="B353" i="13"/>
  <c r="A353" i="13"/>
  <c r="Q370" i="16"/>
  <c r="S369" i="16"/>
  <c r="T369" i="16"/>
  <c r="S355" i="13"/>
  <c r="B354" i="13"/>
  <c r="A354" i="13"/>
  <c r="Q371" i="16"/>
  <c r="S370" i="16"/>
  <c r="T370" i="16"/>
  <c r="T371" i="16"/>
  <c r="Q372" i="16"/>
  <c r="S371" i="16"/>
  <c r="S356" i="13"/>
  <c r="B355" i="13"/>
  <c r="A355" i="13"/>
  <c r="T372" i="16"/>
  <c r="Q373" i="16"/>
  <c r="S372" i="16"/>
  <c r="S357" i="13"/>
  <c r="B356" i="13"/>
  <c r="A356" i="13"/>
  <c r="S358" i="13"/>
  <c r="B357" i="13"/>
  <c r="A357" i="13"/>
  <c r="S373" i="16"/>
  <c r="Q374" i="16"/>
  <c r="T373" i="16"/>
  <c r="Q375" i="16"/>
  <c r="T374" i="16"/>
  <c r="S374" i="16"/>
  <c r="S359" i="13"/>
  <c r="B358" i="13"/>
  <c r="A358" i="13"/>
  <c r="S360" i="13"/>
  <c r="B359" i="13"/>
  <c r="A359" i="13"/>
  <c r="Q376" i="16"/>
  <c r="T375" i="16"/>
  <c r="S375" i="16"/>
  <c r="Q377" i="16"/>
  <c r="T376" i="16"/>
  <c r="S376" i="16"/>
  <c r="S361" i="13"/>
  <c r="B360" i="13"/>
  <c r="A360" i="13"/>
  <c r="S362" i="13"/>
  <c r="B361" i="13"/>
  <c r="A361" i="13"/>
  <c r="Q378" i="16"/>
  <c r="S377" i="16"/>
  <c r="T377" i="16"/>
  <c r="Q379" i="16"/>
  <c r="T378" i="16"/>
  <c r="S378" i="16"/>
  <c r="S363" i="13"/>
  <c r="B362" i="13"/>
  <c r="A362" i="13"/>
  <c r="S364" i="13"/>
  <c r="B363" i="13"/>
  <c r="A363" i="13"/>
  <c r="Q380" i="16"/>
  <c r="T379" i="16"/>
  <c r="S379" i="16"/>
  <c r="Q381" i="16"/>
  <c r="T380" i="16"/>
  <c r="S380" i="16"/>
  <c r="S365" i="13"/>
  <c r="B364" i="13"/>
  <c r="A364" i="13"/>
  <c r="S366" i="13"/>
  <c r="B365" i="13"/>
  <c r="A365" i="13"/>
  <c r="Q382" i="16"/>
  <c r="T381" i="16"/>
  <c r="S381" i="16"/>
  <c r="Q383" i="16"/>
  <c r="T382" i="16"/>
  <c r="S382" i="16"/>
  <c r="S367" i="13"/>
  <c r="B366" i="13"/>
  <c r="A366" i="13"/>
  <c r="S368" i="13"/>
  <c r="B367" i="13"/>
  <c r="A367" i="13"/>
  <c r="Q384" i="16"/>
  <c r="T383" i="16"/>
  <c r="S383" i="16"/>
  <c r="Q385" i="16"/>
  <c r="T384" i="16"/>
  <c r="S384" i="16"/>
  <c r="S369" i="13"/>
  <c r="B368" i="13"/>
  <c r="A368" i="13"/>
  <c r="S370" i="13"/>
  <c r="B369" i="13"/>
  <c r="A369" i="13"/>
  <c r="Q386" i="16"/>
  <c r="T385" i="16"/>
  <c r="S385" i="16"/>
  <c r="T386" i="16"/>
  <c r="S386" i="16"/>
  <c r="Q387" i="16"/>
  <c r="S371" i="13"/>
  <c r="B370" i="13"/>
  <c r="A370" i="13"/>
  <c r="S372" i="13"/>
  <c r="B371" i="13"/>
  <c r="A371" i="13"/>
  <c r="S387" i="16"/>
  <c r="T387" i="16"/>
  <c r="Q388" i="16"/>
  <c r="Q389" i="16"/>
  <c r="T388" i="16"/>
  <c r="S388" i="16"/>
  <c r="S373" i="13"/>
  <c r="B372" i="13"/>
  <c r="A372" i="13"/>
  <c r="B373" i="13"/>
  <c r="A373" i="13"/>
  <c r="S374" i="13"/>
  <c r="Q390" i="16"/>
  <c r="T389" i="16"/>
  <c r="S389" i="16"/>
  <c r="Q391" i="16"/>
  <c r="T390" i="16"/>
  <c r="S390" i="16"/>
  <c r="S375" i="13"/>
  <c r="B374" i="13"/>
  <c r="A374" i="13"/>
  <c r="S376" i="13"/>
  <c r="B375" i="13"/>
  <c r="A375" i="13"/>
  <c r="Q392" i="16"/>
  <c r="T391" i="16"/>
  <c r="S391" i="16"/>
  <c r="Q393" i="16"/>
  <c r="T392" i="16"/>
  <c r="S392" i="16"/>
  <c r="S377" i="13"/>
  <c r="B376" i="13"/>
  <c r="A376" i="13"/>
  <c r="S378" i="13"/>
  <c r="B377" i="13"/>
  <c r="A377" i="13"/>
  <c r="Q394" i="16"/>
  <c r="T393" i="16"/>
  <c r="S393" i="16"/>
  <c r="Q395" i="16"/>
  <c r="T394" i="16"/>
  <c r="S394" i="16"/>
  <c r="S379" i="13"/>
  <c r="B378" i="13"/>
  <c r="A378" i="13"/>
  <c r="S380" i="13"/>
  <c r="B379" i="13"/>
  <c r="A379" i="13"/>
  <c r="Q396" i="16"/>
  <c r="T395" i="16"/>
  <c r="S395" i="16"/>
  <c r="Q397" i="16"/>
  <c r="T396" i="16"/>
  <c r="S396" i="16"/>
  <c r="S381" i="13"/>
  <c r="B380" i="13"/>
  <c r="A380" i="13"/>
  <c r="S382" i="13"/>
  <c r="B381" i="13"/>
  <c r="A381" i="13"/>
  <c r="Q398" i="16"/>
  <c r="S397" i="16"/>
  <c r="T397" i="16"/>
  <c r="Q399" i="16"/>
  <c r="S398" i="16"/>
  <c r="T398" i="16"/>
  <c r="S383" i="13"/>
  <c r="B382" i="13"/>
  <c r="A382" i="13"/>
  <c r="S384" i="13"/>
  <c r="S385" i="13"/>
  <c r="S386" i="13"/>
  <c r="S387" i="13"/>
  <c r="B383" i="13"/>
  <c r="A383" i="13"/>
  <c r="T399" i="16"/>
  <c r="S399" i="16"/>
  <c r="Q400" i="16"/>
  <c r="S400" i="16"/>
  <c r="Q401" i="16"/>
  <c r="T400" i="16"/>
  <c r="T401" i="16"/>
  <c r="Q402" i="16"/>
  <c r="S401" i="16"/>
  <c r="S402" i="16"/>
  <c r="Q403" i="16"/>
  <c r="T402" i="16"/>
  <c r="Q404" i="16"/>
  <c r="S403" i="16"/>
  <c r="T403" i="16"/>
  <c r="T404" i="16"/>
  <c r="S404" i="16"/>
  <c r="Q405" i="16"/>
  <c r="Q406" i="16"/>
  <c r="M384" i="25"/>
  <c r="S144" i="25"/>
  <c r="T180" i="25"/>
  <c r="P392" i="25"/>
  <c r="Q175" i="25"/>
  <c r="Q195" i="25"/>
  <c r="M158" i="25"/>
  <c r="R167" i="25"/>
  <c r="L144" i="25"/>
  <c r="F180" i="25"/>
  <c r="P142" i="25"/>
  <c r="O140" i="25"/>
  <c r="T149" i="25"/>
  <c r="R153" i="25"/>
  <c r="J182" i="25"/>
  <c r="F182" i="25"/>
  <c r="S172" i="25"/>
  <c r="J192" i="25"/>
  <c r="P147" i="25"/>
  <c r="I147" i="25"/>
  <c r="O144" i="25"/>
  <c r="J157" i="25"/>
  <c r="M145" i="25"/>
  <c r="J195" i="25"/>
  <c r="R172" i="25"/>
  <c r="F389" i="25"/>
  <c r="N191" i="25"/>
  <c r="J384" i="25"/>
  <c r="G142" i="25"/>
  <c r="O185" i="25"/>
  <c r="G143" i="25"/>
  <c r="L178" i="25"/>
  <c r="K194" i="25"/>
  <c r="M194" i="25"/>
  <c r="I170" i="25"/>
  <c r="I184" i="25"/>
  <c r="H395" i="25"/>
  <c r="O148" i="25"/>
  <c r="G148" i="25"/>
  <c r="J369" i="25"/>
  <c r="H190" i="25"/>
  <c r="H393" i="25"/>
  <c r="T188" i="25"/>
  <c r="P173" i="25"/>
  <c r="F171" i="25"/>
  <c r="G396" i="25"/>
  <c r="I143" i="25"/>
  <c r="G372" i="25"/>
  <c r="N136" i="25"/>
  <c r="R190" i="25"/>
  <c r="O161" i="25"/>
  <c r="M383" i="25"/>
  <c r="T369" i="25"/>
  <c r="R379" i="25"/>
  <c r="H167" i="25"/>
  <c r="L149" i="25"/>
  <c r="G140" i="25"/>
  <c r="R378" i="25"/>
  <c r="J388" i="25"/>
  <c r="H182" i="25"/>
  <c r="Q188" i="25"/>
  <c r="K146" i="25"/>
  <c r="K169" i="25"/>
  <c r="L379" i="25"/>
  <c r="P186" i="25"/>
  <c r="Q160" i="25"/>
  <c r="P152" i="25"/>
  <c r="J395" i="25"/>
  <c r="J391" i="25"/>
  <c r="I368" i="25"/>
  <c r="R139" i="25"/>
  <c r="Q144" i="25"/>
  <c r="N377" i="25"/>
  <c r="S194" i="25"/>
  <c r="O170" i="25"/>
  <c r="J159" i="25"/>
  <c r="I375" i="25"/>
  <c r="H163" i="25"/>
  <c r="Q187" i="25"/>
  <c r="K138" i="25"/>
  <c r="N193" i="25"/>
  <c r="P389" i="25"/>
  <c r="L180" i="25"/>
  <c r="N179" i="25"/>
  <c r="H143" i="25"/>
  <c r="K159" i="25"/>
  <c r="L177" i="25"/>
  <c r="S145" i="25"/>
  <c r="J381" i="25"/>
  <c r="G195" i="25"/>
  <c r="I194" i="25"/>
  <c r="N187" i="25"/>
  <c r="L195" i="25"/>
  <c r="M143" i="25"/>
  <c r="O380" i="25"/>
  <c r="S192" i="25"/>
  <c r="N175" i="25"/>
  <c r="M395" i="25"/>
  <c r="R169" i="25"/>
  <c r="T144" i="25"/>
  <c r="M380" i="25"/>
  <c r="P374" i="25"/>
  <c r="O163" i="25"/>
  <c r="G186" i="25"/>
  <c r="S393" i="25"/>
  <c r="M378" i="25"/>
  <c r="G374" i="25"/>
  <c r="M138" i="25"/>
  <c r="S389" i="25"/>
  <c r="H381" i="25"/>
  <c r="R155" i="25"/>
  <c r="H137" i="25"/>
  <c r="S382" i="25"/>
  <c r="T150" i="25"/>
  <c r="M169" i="25"/>
  <c r="T151" i="25"/>
  <c r="S136" i="25"/>
  <c r="G149" i="25"/>
  <c r="P377" i="25"/>
  <c r="K176" i="25"/>
  <c r="H185" i="25"/>
  <c r="K151" i="25"/>
  <c r="F394" i="25"/>
  <c r="S180" i="25"/>
  <c r="R141" i="25"/>
  <c r="G172" i="25"/>
  <c r="S387" i="25"/>
  <c r="N186" i="25"/>
  <c r="J150" i="25"/>
  <c r="N145" i="25"/>
  <c r="L182" i="25"/>
  <c r="N188" i="25"/>
  <c r="Q173" i="25"/>
  <c r="M390" i="25"/>
  <c r="J386" i="25"/>
  <c r="R396" i="25"/>
  <c r="I156" i="25"/>
  <c r="S149" i="25"/>
  <c r="I149" i="25"/>
  <c r="H168" i="25"/>
  <c r="N138" i="25"/>
  <c r="R175" i="25"/>
  <c r="G392" i="25"/>
  <c r="F172" i="25"/>
  <c r="J393" i="25"/>
  <c r="K164" i="25"/>
  <c r="N368" i="25"/>
  <c r="T376" i="25"/>
  <c r="H188" i="25"/>
  <c r="K181" i="25"/>
  <c r="F136" i="25"/>
  <c r="S143" i="25"/>
  <c r="N385" i="25"/>
  <c r="G178" i="25"/>
  <c r="J181" i="25"/>
  <c r="H153" i="25"/>
  <c r="H195" i="25"/>
  <c r="O378" i="25"/>
  <c r="P143" i="25"/>
  <c r="L152" i="25"/>
  <c r="I176" i="25"/>
  <c r="I177" i="25"/>
  <c r="Q189" i="25"/>
  <c r="Q396" i="25"/>
  <c r="J373" i="25"/>
  <c r="O387" i="25"/>
  <c r="G185" i="25"/>
  <c r="H176" i="25"/>
  <c r="R194" i="25"/>
  <c r="G375" i="25"/>
  <c r="O183" i="25"/>
  <c r="K144" i="25"/>
  <c r="S184" i="25"/>
  <c r="I160" i="25"/>
  <c r="R144" i="25"/>
  <c r="L191" i="25"/>
  <c r="M171" i="25"/>
  <c r="K193" i="25"/>
  <c r="M387" i="25"/>
  <c r="T194" i="25"/>
  <c r="S395" i="25"/>
  <c r="K374" i="25"/>
  <c r="O138" i="25"/>
  <c r="G383" i="25"/>
  <c r="I371" i="25"/>
  <c r="T389" i="25"/>
  <c r="G158" i="25"/>
  <c r="P161" i="25"/>
  <c r="L375" i="25"/>
  <c r="N374" i="25"/>
  <c r="T380" i="25"/>
  <c r="M155" i="25"/>
  <c r="R387" i="25"/>
  <c r="I373" i="25"/>
  <c r="O373" i="25"/>
  <c r="H152" i="25"/>
  <c r="R180" i="25"/>
  <c r="I151" i="25"/>
  <c r="T386" i="25"/>
  <c r="L391" i="25"/>
  <c r="F185" i="25"/>
  <c r="T192" i="25"/>
  <c r="I380" i="25"/>
  <c r="F149" i="25"/>
  <c r="H164" i="25"/>
  <c r="J185" i="25"/>
  <c r="N394" i="25"/>
  <c r="O171" i="25"/>
  <c r="M385" i="25"/>
  <c r="K385" i="25"/>
  <c r="F138" i="25"/>
  <c r="S381" i="25"/>
  <c r="S368" i="25"/>
  <c r="F163" i="25"/>
  <c r="P195" i="25"/>
  <c r="F372" i="25"/>
  <c r="L394" i="25"/>
  <c r="H372" i="25"/>
  <c r="L373" i="25"/>
  <c r="G162" i="25"/>
  <c r="M184" i="25"/>
  <c r="Q159" i="25"/>
  <c r="R151" i="25"/>
  <c r="S396" i="25"/>
  <c r="I163" i="25"/>
  <c r="Q143" i="25"/>
  <c r="S370" i="25"/>
  <c r="Q142" i="25"/>
  <c r="N190" i="25"/>
  <c r="G144" i="25"/>
  <c r="R138" i="25"/>
  <c r="O379" i="25"/>
  <c r="H178" i="25"/>
  <c r="G381" i="25"/>
  <c r="M177" i="25"/>
  <c r="Q181" i="25"/>
  <c r="O194" i="25"/>
  <c r="F170" i="25"/>
  <c r="O162" i="25"/>
  <c r="H184" i="25"/>
  <c r="J190" i="25"/>
  <c r="M178" i="25"/>
  <c r="M148" i="25"/>
  <c r="R184" i="25"/>
  <c r="J368" i="25"/>
  <c r="G378" i="25"/>
  <c r="H160" i="25"/>
  <c r="L168" i="25"/>
  <c r="J371" i="25"/>
  <c r="P369" i="25"/>
  <c r="L387" i="25"/>
  <c r="T173" i="25"/>
  <c r="O375" i="25"/>
  <c r="L156" i="25"/>
  <c r="Q174" i="25"/>
  <c r="Q158" i="25"/>
  <c r="M142" i="25"/>
  <c r="O168" i="25"/>
  <c r="H159" i="25"/>
  <c r="L392" i="25"/>
  <c r="Q185" i="25"/>
  <c r="G371" i="25"/>
  <c r="L164" i="25"/>
  <c r="I157" i="25"/>
  <c r="J374" i="25"/>
  <c r="H374" i="25"/>
  <c r="P162" i="25"/>
  <c r="T154" i="25"/>
  <c r="M139" i="25"/>
  <c r="F370" i="25"/>
  <c r="Q372" i="25"/>
  <c r="K389" i="25"/>
  <c r="I142" i="25"/>
  <c r="G138" i="25"/>
  <c r="S163" i="25"/>
  <c r="O160" i="25"/>
  <c r="O186" i="25"/>
  <c r="Q169" i="25"/>
  <c r="Q380" i="25"/>
  <c r="G174" i="25"/>
  <c r="M150" i="25"/>
  <c r="H138" i="25"/>
  <c r="N192" i="25"/>
  <c r="P151" i="25"/>
  <c r="K168" i="25"/>
  <c r="I139" i="25"/>
  <c r="S374" i="25"/>
  <c r="P190" i="25"/>
  <c r="M140" i="25"/>
  <c r="M193" i="25"/>
  <c r="O368" i="25"/>
  <c r="N388" i="25"/>
  <c r="P160" i="25"/>
  <c r="P382" i="25"/>
  <c r="R384" i="25"/>
  <c r="N171" i="25"/>
  <c r="T383" i="25"/>
  <c r="S183" i="25"/>
  <c r="N195" i="25"/>
  <c r="F371" i="25"/>
  <c r="Q385" i="25"/>
  <c r="K148" i="25"/>
  <c r="N163" i="25"/>
  <c r="G146" i="25"/>
  <c r="N383" i="25"/>
  <c r="F186" i="25"/>
  <c r="M164" i="25"/>
  <c r="Q379" i="25"/>
  <c r="Q172" i="25"/>
  <c r="F178" i="25"/>
  <c r="K391" i="25"/>
  <c r="J179" i="25"/>
  <c r="T185" i="25"/>
  <c r="J153" i="25"/>
  <c r="M376" i="25"/>
  <c r="M172" i="25"/>
  <c r="Q176" i="25"/>
  <c r="R371" i="25"/>
  <c r="L155" i="25"/>
  <c r="S157" i="25"/>
  <c r="L167" i="25"/>
  <c r="T143" i="25"/>
  <c r="T146" i="25"/>
  <c r="Q393" i="25"/>
  <c r="N372" i="25"/>
  <c r="T138" i="25"/>
  <c r="I140" i="25"/>
  <c r="O386" i="25"/>
  <c r="G136" i="25"/>
  <c r="H169" i="25"/>
  <c r="J161" i="25"/>
  <c r="G156" i="25"/>
  <c r="I383" i="25"/>
  <c r="K369" i="25"/>
  <c r="T162" i="25"/>
  <c r="S188" i="25"/>
  <c r="I168" i="25"/>
  <c r="O179" i="25"/>
  <c r="G379" i="25"/>
  <c r="N182" i="25"/>
  <c r="T182" i="25"/>
  <c r="Q183" i="25"/>
  <c r="N181" i="25"/>
  <c r="L151" i="25"/>
  <c r="F177" i="25"/>
  <c r="Q375" i="25"/>
  <c r="K155" i="25"/>
  <c r="T382" i="25"/>
  <c r="F156" i="25"/>
  <c r="F140" i="25"/>
  <c r="S190" i="25"/>
  <c r="O392" i="25"/>
  <c r="P146" i="25"/>
  <c r="G384" i="25"/>
  <c r="L150" i="25"/>
  <c r="Q383" i="25"/>
  <c r="M391" i="25"/>
  <c r="T387" i="25"/>
  <c r="M153" i="25"/>
  <c r="N139" i="25"/>
  <c r="F157" i="25"/>
  <c r="K188" i="25"/>
  <c r="R158" i="25"/>
  <c r="S175" i="25"/>
  <c r="R373" i="25"/>
  <c r="G182" i="25"/>
  <c r="J151" i="25"/>
  <c r="N167" i="25"/>
  <c r="R369" i="25"/>
  <c r="R159" i="25"/>
  <c r="J149" i="25"/>
  <c r="O376" i="25"/>
  <c r="H384" i="25"/>
  <c r="I378" i="25"/>
  <c r="S151" i="25"/>
  <c r="O385" i="25"/>
  <c r="L390" i="25"/>
  <c r="I385" i="25"/>
  <c r="N140" i="25"/>
  <c r="O195" i="25"/>
  <c r="J385" i="25"/>
  <c r="L141" i="25"/>
  <c r="M157" i="25"/>
  <c r="P189" i="25"/>
  <c r="S155" i="25"/>
  <c r="G376" i="25"/>
  <c r="R183" i="25"/>
  <c r="H144" i="25"/>
  <c r="O136" i="25"/>
  <c r="P175" i="25"/>
  <c r="J387" i="25"/>
  <c r="L388" i="25"/>
  <c r="S148" i="25"/>
  <c r="F161" i="25"/>
  <c r="O137" i="25"/>
  <c r="K380" i="25"/>
  <c r="R376" i="25"/>
  <c r="Q167" i="25"/>
  <c r="M392" i="25"/>
  <c r="F392" i="25"/>
  <c r="J140" i="25"/>
  <c r="K195" i="25"/>
  <c r="F145" i="25"/>
  <c r="P188" i="25"/>
  <c r="R179" i="25"/>
  <c r="I370" i="25"/>
  <c r="J158" i="25"/>
  <c r="R193" i="25"/>
  <c r="G154" i="25"/>
  <c r="J183" i="25"/>
  <c r="G388" i="25"/>
  <c r="H145" i="25"/>
  <c r="N141" i="25"/>
  <c r="K388" i="25"/>
  <c r="L140" i="25"/>
  <c r="I136" i="25"/>
  <c r="P192" i="25"/>
  <c r="L137" i="25"/>
  <c r="Q157" i="25"/>
  <c r="H192" i="25"/>
  <c r="P150" i="25"/>
  <c r="P167" i="25"/>
  <c r="H151" i="25"/>
  <c r="S142" i="25"/>
  <c r="O393" i="25"/>
  <c r="K189" i="25"/>
  <c r="I377" i="25"/>
  <c r="S371" i="25"/>
  <c r="P145" i="25"/>
  <c r="L386" i="25"/>
  <c r="F191" i="25"/>
  <c r="S191" i="25"/>
  <c r="H161" i="25"/>
  <c r="M369" i="25"/>
  <c r="R390" i="25"/>
  <c r="Q378" i="25"/>
  <c r="L148" i="25"/>
  <c r="G389" i="25"/>
  <c r="T163" i="25"/>
  <c r="L193" i="25"/>
  <c r="F188" i="25"/>
  <c r="T176" i="25"/>
  <c r="H385" i="25"/>
  <c r="P157" i="25"/>
  <c r="H394" i="25"/>
  <c r="I179" i="25"/>
  <c r="G155" i="25"/>
  <c r="G176" i="25"/>
  <c r="J139" i="25"/>
  <c r="J187" i="25"/>
  <c r="F190" i="25"/>
  <c r="T393" i="25"/>
  <c r="O150" i="25"/>
  <c r="Q392" i="25"/>
  <c r="S168" i="25"/>
  <c r="I190" i="25"/>
  <c r="L372" i="25"/>
  <c r="F176" i="25"/>
  <c r="Q145" i="25"/>
  <c r="T161" i="25"/>
  <c r="K192" i="25"/>
  <c r="M149" i="25"/>
  <c r="J168" i="25"/>
  <c r="K384" i="25"/>
  <c r="Q161" i="25"/>
  <c r="P159" i="25"/>
  <c r="L190" i="25"/>
  <c r="M379" i="25"/>
  <c r="I192" i="25"/>
  <c r="R195" i="25"/>
  <c r="R160" i="25"/>
  <c r="F174" i="25"/>
  <c r="P169" i="25"/>
  <c r="T395" i="25"/>
  <c r="P185" i="25"/>
  <c r="J172" i="25"/>
  <c r="P380" i="25"/>
  <c r="G190" i="25"/>
  <c r="K180" i="25"/>
  <c r="S373" i="25"/>
  <c r="M394" i="25"/>
  <c r="K163" i="25"/>
  <c r="H154" i="25"/>
  <c r="F160" i="25"/>
  <c r="I381" i="25"/>
  <c r="O190" i="25"/>
  <c r="Q373" i="25"/>
  <c r="K383" i="25"/>
  <c r="M180" i="25"/>
  <c r="R380" i="25"/>
  <c r="L192" i="25"/>
  <c r="L160" i="25"/>
  <c r="J171" i="25"/>
  <c r="T379" i="25"/>
  <c r="K392" i="25"/>
  <c r="S154" i="25"/>
  <c r="T396" i="25"/>
  <c r="S384" i="25"/>
  <c r="K387" i="25"/>
  <c r="Q168" i="25"/>
  <c r="H382" i="25"/>
  <c r="T174" i="25"/>
  <c r="L143" i="25"/>
  <c r="I393" i="25"/>
  <c r="R170" i="25"/>
  <c r="L385" i="25"/>
  <c r="R145" i="25"/>
  <c r="O177" i="25"/>
  <c r="S376" i="25"/>
  <c r="M393" i="25"/>
  <c r="P141" i="25"/>
  <c r="S170" i="25"/>
  <c r="O154" i="25"/>
  <c r="G386" i="25"/>
  <c r="T181" i="25"/>
  <c r="M374" i="25"/>
  <c r="T147" i="25"/>
  <c r="R185" i="25"/>
  <c r="R177" i="25"/>
  <c r="F385" i="25"/>
  <c r="H396" i="25"/>
  <c r="G188" i="25"/>
  <c r="K161" i="25"/>
  <c r="S160" i="25"/>
  <c r="T155" i="25"/>
  <c r="I186" i="25"/>
  <c r="R189" i="25"/>
  <c r="F384" i="25"/>
  <c r="N144" i="25"/>
  <c r="R152" i="25"/>
  <c r="F155" i="25"/>
  <c r="K175" i="25"/>
  <c r="K178" i="25"/>
  <c r="S372" i="25"/>
  <c r="P153" i="25"/>
  <c r="R171" i="25"/>
  <c r="F164" i="25"/>
  <c r="S159" i="25"/>
  <c r="J379" i="25"/>
  <c r="Q391" i="25"/>
  <c r="T175" i="25"/>
  <c r="L396" i="25"/>
  <c r="O152" i="25"/>
  <c r="M151" i="25"/>
  <c r="N180" i="25"/>
  <c r="F175" i="25"/>
  <c r="P383" i="25"/>
  <c r="N381" i="25"/>
  <c r="P384" i="25"/>
  <c r="N170" i="25"/>
  <c r="J189" i="25"/>
  <c r="P164" i="25"/>
  <c r="M163" i="25"/>
  <c r="R391" i="25"/>
  <c r="H162" i="25"/>
  <c r="F179" i="25"/>
  <c r="Q376" i="25"/>
  <c r="J176" i="25"/>
  <c r="N142" i="25"/>
  <c r="F393" i="25"/>
  <c r="K187" i="25"/>
  <c r="Q371" i="25"/>
  <c r="L368" i="25"/>
  <c r="T184" i="25"/>
  <c r="K179" i="25"/>
  <c r="G179" i="25"/>
  <c r="N176" i="25"/>
  <c r="T368" i="25"/>
  <c r="I144" i="25"/>
  <c r="N160" i="25"/>
  <c r="J138" i="25"/>
  <c r="J378" i="25"/>
  <c r="N152" i="25"/>
  <c r="F192" i="25"/>
  <c r="R375" i="25"/>
  <c r="P396" i="25"/>
  <c r="M195" i="25"/>
  <c r="K147" i="25"/>
  <c r="L173" i="25"/>
  <c r="G180" i="25"/>
  <c r="G160" i="25"/>
  <c r="O193" i="25"/>
  <c r="S379" i="25"/>
  <c r="G390" i="25"/>
  <c r="L370" i="25"/>
  <c r="H141" i="25"/>
  <c r="G183" i="25"/>
  <c r="O153" i="25"/>
  <c r="Q178" i="25"/>
  <c r="P139" i="25"/>
  <c r="M190" i="25"/>
  <c r="J164" i="25"/>
  <c r="F374" i="25"/>
  <c r="T373" i="25"/>
  <c r="L159" i="25"/>
  <c r="J178" i="25"/>
  <c r="Q151" i="25"/>
  <c r="N369" i="25"/>
  <c r="G159" i="25"/>
  <c r="K394" i="25"/>
  <c r="T141" i="25"/>
  <c r="I185" i="25"/>
  <c r="N137" i="25"/>
  <c r="Q182" i="25"/>
  <c r="I174" i="25"/>
  <c r="H369" i="25"/>
  <c r="F151" i="25"/>
  <c r="Q394" i="25"/>
  <c r="K185" i="25"/>
  <c r="G151" i="25"/>
  <c r="P394" i="25"/>
  <c r="P375" i="25"/>
  <c r="I372" i="25"/>
  <c r="J396" i="25"/>
  <c r="G139" i="25"/>
  <c r="I180" i="25"/>
  <c r="P391" i="25"/>
  <c r="I181" i="25"/>
  <c r="T195" i="25"/>
  <c r="Q147" i="25"/>
  <c r="H140" i="25"/>
  <c r="P387" i="25"/>
  <c r="T190" i="25"/>
  <c r="I172" i="25"/>
  <c r="M152" i="25"/>
  <c r="S388" i="25"/>
  <c r="T140" i="25"/>
  <c r="M141" i="25"/>
  <c r="Q194" i="25"/>
  <c r="J392" i="25"/>
  <c r="K183" i="25"/>
  <c r="O157" i="25"/>
  <c r="P368" i="25"/>
  <c r="R383" i="25"/>
  <c r="S383" i="25"/>
  <c r="L138" i="25"/>
  <c r="L183" i="25"/>
  <c r="L377" i="25"/>
  <c r="P148" i="25"/>
  <c r="L188" i="25"/>
  <c r="R181" i="25"/>
  <c r="H376" i="25"/>
  <c r="N172" i="25"/>
  <c r="Q150" i="25"/>
  <c r="F390" i="25"/>
  <c r="T191" i="25"/>
  <c r="T385" i="25"/>
  <c r="F184" i="25"/>
  <c r="N149" i="25"/>
  <c r="L174" i="25"/>
  <c r="L380" i="25"/>
  <c r="J389" i="25"/>
  <c r="F380" i="25"/>
  <c r="R156" i="25"/>
  <c r="T137" i="25"/>
  <c r="J170" i="25"/>
  <c r="H136" i="25"/>
  <c r="T390" i="25"/>
  <c r="R176" i="25"/>
  <c r="I376" i="25"/>
  <c r="L393" i="25"/>
  <c r="O145" i="25"/>
  <c r="G391" i="25"/>
  <c r="J154" i="25"/>
  <c r="F375" i="25"/>
  <c r="G171" i="25"/>
  <c r="L374" i="25"/>
  <c r="T193" i="25"/>
  <c r="N159" i="25"/>
  <c r="L179" i="25"/>
  <c r="J173" i="25"/>
  <c r="T167" i="25"/>
  <c r="I389" i="25"/>
  <c r="K145" i="25"/>
  <c r="N147" i="25"/>
  <c r="P381" i="25"/>
  <c r="N384" i="25"/>
  <c r="Q163" i="25"/>
  <c r="F391" i="25"/>
  <c r="S139" i="25"/>
  <c r="N154" i="25"/>
  <c r="Q193" i="25"/>
  <c r="S186" i="25"/>
  <c r="P178" i="25"/>
  <c r="F142" i="25"/>
  <c r="P174" i="25"/>
  <c r="T145" i="25"/>
  <c r="N185" i="25"/>
  <c r="P194" i="25"/>
  <c r="T394" i="25"/>
  <c r="S147" i="25"/>
  <c r="G373" i="25"/>
  <c r="Q381" i="25"/>
  <c r="M185" i="25"/>
  <c r="K395" i="25"/>
  <c r="O164" i="25"/>
  <c r="O389" i="25"/>
  <c r="O141" i="25"/>
  <c r="N157" i="25"/>
  <c r="M181" i="25"/>
  <c r="O395" i="25"/>
  <c r="S380" i="25"/>
  <c r="N155" i="25"/>
  <c r="J380" i="25"/>
  <c r="Q140" i="25"/>
  <c r="S392" i="25"/>
  <c r="F377" i="25"/>
  <c r="K381" i="25"/>
  <c r="O173" i="25"/>
  <c r="N150" i="25"/>
  <c r="L184" i="25"/>
  <c r="R164" i="25"/>
  <c r="F194" i="25"/>
  <c r="F369" i="25"/>
  <c r="L161" i="25"/>
  <c r="G369" i="25"/>
  <c r="H175" i="25"/>
  <c r="K150" i="25"/>
  <c r="M137" i="25"/>
  <c r="G191" i="25"/>
  <c r="J394" i="25"/>
  <c r="G147" i="25"/>
  <c r="N164" i="25"/>
  <c r="P191" i="25"/>
  <c r="P378" i="25"/>
  <c r="T377" i="25"/>
  <c r="I384" i="25"/>
  <c r="R147" i="25"/>
  <c r="J377" i="25"/>
  <c r="G145" i="25"/>
  <c r="K393" i="25"/>
  <c r="J146" i="25"/>
  <c r="G175" i="25"/>
  <c r="L185" i="25"/>
  <c r="K142" i="25"/>
  <c r="O396" i="25"/>
  <c r="H387" i="25"/>
  <c r="L186" i="25"/>
  <c r="I158" i="25"/>
  <c r="Q192" i="25"/>
  <c r="K376" i="25"/>
  <c r="S385" i="25"/>
  <c r="K140" i="25"/>
  <c r="T169" i="25"/>
  <c r="F150" i="25"/>
  <c r="I379" i="25"/>
  <c r="S375" i="25"/>
  <c r="F162" i="25"/>
  <c r="S391" i="25"/>
  <c r="T374" i="25"/>
  <c r="S171" i="25"/>
  <c r="S162" i="25"/>
  <c r="Q136" i="25"/>
  <c r="T187" i="25"/>
  <c r="R150" i="25"/>
  <c r="K182" i="25"/>
  <c r="R157" i="25"/>
  <c r="M191" i="25"/>
  <c r="T157" i="25"/>
  <c r="Q384" i="25"/>
  <c r="Q177" i="25"/>
  <c r="R137" i="25"/>
  <c r="H155" i="25"/>
  <c r="Q139" i="25"/>
  <c r="I390" i="25"/>
  <c r="M377" i="25"/>
  <c r="T392" i="25"/>
  <c r="S141" i="25"/>
  <c r="J142" i="25"/>
  <c r="L194" i="25"/>
  <c r="R182" i="25"/>
  <c r="J136" i="25"/>
  <c r="O390" i="25"/>
  <c r="Q186" i="25"/>
  <c r="Q162" i="25"/>
  <c r="K379" i="25"/>
  <c r="K156" i="25"/>
  <c r="L157" i="25"/>
  <c r="P181" i="25"/>
  <c r="L139" i="25"/>
  <c r="R388" i="25"/>
  <c r="L187" i="25"/>
  <c r="I382" i="25"/>
  <c r="L378" i="25"/>
  <c r="G167" i="25"/>
  <c r="P193" i="25"/>
  <c r="M167" i="25"/>
  <c r="Q184" i="25"/>
  <c r="P171" i="25"/>
  <c r="L136" i="25"/>
  <c r="M368" i="25"/>
  <c r="O187" i="25"/>
  <c r="T159" i="25"/>
  <c r="T388" i="25"/>
  <c r="H142" i="25"/>
  <c r="P163" i="25"/>
  <c r="G385" i="25"/>
  <c r="I193" i="25"/>
  <c r="P172" i="25"/>
  <c r="O158" i="25"/>
  <c r="M146" i="25"/>
  <c r="I369" i="25"/>
  <c r="G169" i="25"/>
  <c r="R168" i="25"/>
  <c r="H191" i="25"/>
  <c r="S173" i="25"/>
  <c r="L170" i="25"/>
  <c r="N194" i="25"/>
  <c r="J141" i="25"/>
  <c r="I191" i="25"/>
  <c r="S146" i="25"/>
  <c r="J177" i="25"/>
  <c r="G170" i="25"/>
  <c r="M187" i="25"/>
  <c r="N386" i="25"/>
  <c r="L171" i="25"/>
  <c r="H158" i="25"/>
  <c r="G168" i="25"/>
  <c r="J137" i="25"/>
  <c r="Q180" i="25"/>
  <c r="T164" i="25"/>
  <c r="H181" i="25"/>
  <c r="I173" i="25"/>
  <c r="S156" i="25"/>
  <c r="S177" i="25"/>
  <c r="O374" i="25"/>
  <c r="L153" i="25"/>
  <c r="K370" i="25"/>
  <c r="F379" i="25"/>
  <c r="L382" i="25"/>
  <c r="G380" i="25"/>
  <c r="F159" i="25"/>
  <c r="K372" i="25"/>
  <c r="M371" i="25"/>
  <c r="Q164" i="25"/>
  <c r="K171" i="25"/>
  <c r="O142" i="25"/>
  <c r="Q154" i="25"/>
  <c r="T370" i="25"/>
  <c r="K162" i="25"/>
  <c r="H373" i="25"/>
  <c r="R174" i="25"/>
  <c r="S140" i="25"/>
  <c r="S137" i="25"/>
  <c r="F376" i="25"/>
  <c r="I392" i="25"/>
  <c r="N380" i="25"/>
  <c r="F167" i="25"/>
  <c r="O139" i="25"/>
  <c r="I388" i="25"/>
  <c r="J184" i="25"/>
  <c r="T172" i="25"/>
  <c r="J180" i="25"/>
  <c r="N156" i="25"/>
  <c r="F143" i="25"/>
  <c r="R140" i="25"/>
  <c r="Q387" i="25"/>
  <c r="J175" i="25"/>
  <c r="R393" i="25"/>
  <c r="M159" i="25"/>
  <c r="T391" i="25"/>
  <c r="J372" i="25"/>
  <c r="O147" i="25"/>
  <c r="J370" i="25"/>
  <c r="F189" i="25"/>
  <c r="N387" i="25"/>
  <c r="H186" i="25"/>
  <c r="T136" i="25"/>
  <c r="H189" i="25"/>
  <c r="L147" i="25"/>
  <c r="Q386" i="25"/>
  <c r="J162" i="25"/>
  <c r="F148" i="25"/>
  <c r="O151" i="25"/>
  <c r="H375" i="25"/>
  <c r="K143" i="25"/>
  <c r="P168" i="25"/>
  <c r="K386" i="25"/>
  <c r="M136" i="25"/>
  <c r="N184" i="25"/>
  <c r="H171" i="25"/>
  <c r="S169" i="25"/>
  <c r="Q149" i="25"/>
  <c r="G394" i="25"/>
  <c r="O184" i="25"/>
  <c r="H157" i="25"/>
  <c r="K141" i="25"/>
  <c r="R149" i="25"/>
  <c r="R162" i="25"/>
  <c r="S181" i="25"/>
  <c r="I188" i="25"/>
  <c r="R394" i="25"/>
  <c r="M160" i="25"/>
  <c r="K170" i="25"/>
  <c r="L381" i="25"/>
  <c r="Q137" i="25"/>
  <c r="K137" i="25"/>
  <c r="T158" i="25"/>
  <c r="N382" i="25"/>
  <c r="O391" i="25"/>
  <c r="R142" i="25"/>
  <c r="S369" i="25"/>
  <c r="Q369" i="25"/>
  <c r="S138" i="25"/>
  <c r="N189" i="25"/>
  <c r="P385" i="25"/>
  <c r="Q370" i="25"/>
  <c r="I141" i="25"/>
  <c r="O377" i="25"/>
  <c r="L189" i="25"/>
  <c r="M381" i="25"/>
  <c r="M372" i="25"/>
  <c r="L369" i="25"/>
  <c r="J144" i="25"/>
  <c r="K186" i="25"/>
  <c r="L146" i="25"/>
  <c r="I169" i="25"/>
  <c r="I154" i="25"/>
  <c r="F195" i="25"/>
  <c r="F168" i="25"/>
  <c r="Q179" i="25"/>
  <c r="H392" i="25"/>
  <c r="I189" i="25"/>
  <c r="S176" i="25"/>
  <c r="M147" i="25"/>
  <c r="S386" i="25"/>
  <c r="R368" i="25"/>
  <c r="R372" i="25"/>
  <c r="M168" i="25"/>
  <c r="R188" i="25"/>
  <c r="R392" i="25"/>
  <c r="R148" i="25"/>
  <c r="P370" i="25"/>
  <c r="K152" i="25"/>
  <c r="F139" i="25"/>
  <c r="R187" i="25"/>
  <c r="P376" i="25"/>
  <c r="K382" i="25"/>
  <c r="J383" i="25"/>
  <c r="S150" i="25"/>
  <c r="J375" i="25"/>
  <c r="F387" i="25"/>
  <c r="T179" i="25"/>
  <c r="H183" i="25"/>
  <c r="F373" i="25"/>
  <c r="G177" i="25"/>
  <c r="O176" i="25"/>
  <c r="H172" i="25"/>
  <c r="L395" i="25"/>
  <c r="N393" i="25"/>
  <c r="M192" i="25"/>
  <c r="T371" i="25"/>
  <c r="Q377" i="25"/>
  <c r="G163" i="25"/>
  <c r="T177" i="25"/>
  <c r="P182" i="25"/>
  <c r="I183" i="25"/>
  <c r="J188" i="25"/>
  <c r="N378" i="25"/>
  <c r="L154" i="25"/>
  <c r="Q395" i="25"/>
  <c r="H179" i="25"/>
  <c r="O192" i="25"/>
  <c r="P390" i="25"/>
  <c r="Q156" i="25"/>
  <c r="Q153" i="25"/>
  <c r="Q171" i="25"/>
  <c r="N389" i="25"/>
  <c r="G157" i="25"/>
  <c r="G161" i="25"/>
  <c r="G370" i="25"/>
  <c r="M373" i="25"/>
  <c r="N183" i="25"/>
  <c r="R173" i="25"/>
  <c r="H391" i="25"/>
  <c r="L376" i="25"/>
  <c r="F183" i="25"/>
  <c r="M370" i="25"/>
  <c r="L163" i="25"/>
  <c r="J382" i="25"/>
  <c r="O169" i="25"/>
  <c r="F193" i="25"/>
  <c r="F152" i="25"/>
  <c r="F395" i="25"/>
  <c r="F154" i="25"/>
  <c r="J194" i="25"/>
  <c r="I155" i="25"/>
  <c r="O175" i="25"/>
  <c r="L175" i="25"/>
  <c r="H149" i="25"/>
  <c r="I159" i="25"/>
  <c r="M189" i="25"/>
  <c r="P155" i="25"/>
  <c r="L371" i="25"/>
  <c r="P158" i="25"/>
  <c r="M186" i="25"/>
  <c r="F173" i="25"/>
  <c r="P136" i="25"/>
  <c r="N379" i="25"/>
  <c r="T153" i="25"/>
  <c r="S189" i="25"/>
  <c r="H390" i="25"/>
  <c r="M175" i="25"/>
  <c r="P183" i="25"/>
  <c r="S185" i="25"/>
  <c r="K396" i="25"/>
  <c r="K149" i="25"/>
  <c r="J174" i="25"/>
  <c r="M174" i="25"/>
  <c r="R370" i="25"/>
  <c r="I138" i="25"/>
  <c r="M179" i="25"/>
  <c r="G187" i="25"/>
  <c r="R163" i="25"/>
  <c r="S182" i="25"/>
  <c r="H389" i="25"/>
  <c r="M188" i="25"/>
  <c r="Q390" i="25"/>
  <c r="L384" i="25"/>
  <c r="G141" i="25"/>
  <c r="J186" i="25"/>
  <c r="T171" i="25"/>
  <c r="O143" i="25"/>
  <c r="H187" i="25"/>
  <c r="O178" i="25"/>
  <c r="S378" i="25"/>
  <c r="O381" i="25"/>
  <c r="O369" i="25"/>
  <c r="T186" i="25"/>
  <c r="I146" i="25"/>
  <c r="R146" i="25"/>
  <c r="Q368" i="25"/>
  <c r="K157" i="25"/>
  <c r="N390" i="25"/>
  <c r="J156" i="25"/>
  <c r="P373" i="25"/>
  <c r="M176" i="25"/>
  <c r="L169" i="25"/>
  <c r="O191" i="25"/>
  <c r="K177" i="25"/>
  <c r="G194" i="25"/>
  <c r="G189" i="25"/>
  <c r="H379" i="25"/>
  <c r="K167" i="25"/>
  <c r="G192" i="25"/>
  <c r="O383" i="25"/>
  <c r="I374" i="25"/>
  <c r="S161" i="25"/>
  <c r="I195" i="25"/>
  <c r="T372" i="25"/>
  <c r="H148" i="25"/>
  <c r="P138" i="25"/>
  <c r="H378" i="25"/>
  <c r="K377" i="25"/>
  <c r="F169" i="25"/>
  <c r="N169" i="25"/>
  <c r="O156" i="25"/>
  <c r="K190" i="25"/>
  <c r="R382" i="25"/>
  <c r="I164" i="25"/>
  <c r="F396" i="25"/>
  <c r="G377" i="25"/>
  <c r="J145" i="25"/>
  <c r="S164" i="25"/>
  <c r="P177" i="25"/>
  <c r="F381" i="25"/>
  <c r="K173" i="25"/>
  <c r="Q389" i="25"/>
  <c r="R192" i="25"/>
  <c r="I395" i="25"/>
  <c r="N161" i="25"/>
  <c r="G184" i="25"/>
  <c r="O371" i="25"/>
  <c r="O181" i="25"/>
  <c r="P371" i="25"/>
  <c r="F383" i="25"/>
  <c r="F137" i="25"/>
  <c r="M173" i="25"/>
  <c r="G181" i="25"/>
  <c r="J169" i="25"/>
  <c r="H377" i="25"/>
  <c r="P140" i="25"/>
  <c r="F147" i="25"/>
  <c r="N153" i="25"/>
  <c r="I396" i="25"/>
  <c r="I153" i="25"/>
  <c r="J163" i="25"/>
  <c r="H177" i="25"/>
  <c r="M170" i="25"/>
  <c r="H180" i="25"/>
  <c r="O172" i="25"/>
  <c r="H173" i="25"/>
  <c r="L383" i="25"/>
  <c r="I148" i="25"/>
  <c r="H370" i="25"/>
  <c r="M375" i="25"/>
  <c r="T148" i="25"/>
  <c r="O159" i="25"/>
  <c r="F181" i="25"/>
  <c r="I391" i="25"/>
  <c r="H147" i="25"/>
  <c r="M144" i="25"/>
  <c r="L158" i="25"/>
  <c r="F386" i="25"/>
  <c r="G368" i="25"/>
  <c r="S178" i="25"/>
  <c r="S390" i="25"/>
  <c r="K184" i="25"/>
  <c r="O188" i="25"/>
  <c r="F187" i="25"/>
  <c r="H383" i="25"/>
  <c r="I150" i="25"/>
  <c r="N391" i="25"/>
  <c r="H371" i="25"/>
  <c r="N148" i="25"/>
  <c r="S167" i="25"/>
  <c r="H174" i="25"/>
  <c r="K191" i="25"/>
  <c r="N375" i="25"/>
  <c r="P137" i="25"/>
  <c r="R191" i="25"/>
  <c r="T189" i="25"/>
  <c r="Q148" i="25"/>
  <c r="T183" i="25"/>
  <c r="I386" i="25"/>
  <c r="I161" i="25"/>
  <c r="P154" i="25"/>
  <c r="R386" i="25"/>
  <c r="S195" i="25"/>
  <c r="H156" i="25"/>
  <c r="Q191" i="25"/>
  <c r="F388" i="25"/>
  <c r="I394" i="25"/>
  <c r="M396" i="25"/>
  <c r="G153" i="25"/>
  <c r="K368" i="25"/>
  <c r="F146" i="25"/>
  <c r="P372" i="25"/>
  <c r="R377" i="25"/>
  <c r="Q374" i="25"/>
  <c r="Q141" i="25"/>
  <c r="I167" i="25"/>
  <c r="I187" i="25"/>
  <c r="M154" i="25"/>
  <c r="I387" i="25"/>
  <c r="R178" i="25"/>
  <c r="P393" i="25"/>
  <c r="T152" i="25"/>
  <c r="G164" i="25"/>
  <c r="G395" i="25"/>
  <c r="T139" i="25"/>
  <c r="K172" i="25"/>
  <c r="P144" i="25"/>
  <c r="G137" i="25"/>
  <c r="S174" i="25"/>
  <c r="L172" i="25"/>
  <c r="H386" i="25"/>
  <c r="I137" i="25"/>
  <c r="T160" i="25"/>
  <c r="T168" i="25"/>
  <c r="N178" i="25"/>
  <c r="I152" i="25"/>
  <c r="J376" i="25"/>
  <c r="P187" i="25"/>
  <c r="F141" i="25"/>
  <c r="P156" i="25"/>
  <c r="R161" i="25"/>
  <c r="R136" i="25"/>
  <c r="O155" i="25"/>
  <c r="G387" i="25"/>
  <c r="O149" i="25"/>
  <c r="K371" i="25"/>
  <c r="S179" i="25"/>
  <c r="J167" i="25"/>
  <c r="K375" i="25"/>
  <c r="H150" i="25"/>
  <c r="I145" i="25"/>
  <c r="K390" i="25"/>
  <c r="N396" i="25"/>
  <c r="O394" i="25"/>
  <c r="P388" i="25"/>
  <c r="T381" i="25"/>
  <c r="K158" i="25"/>
  <c r="O384" i="25"/>
  <c r="T178" i="25"/>
  <c r="G152" i="25"/>
  <c r="T156" i="25"/>
  <c r="S187" i="25"/>
  <c r="Q190" i="25"/>
  <c r="J152" i="25"/>
  <c r="F378" i="25"/>
  <c r="M382" i="25"/>
  <c r="Q138" i="25"/>
  <c r="M386" i="25"/>
  <c r="I171" i="25"/>
  <c r="Q155" i="25"/>
  <c r="T378" i="25"/>
  <c r="H388" i="25"/>
  <c r="M389" i="25"/>
  <c r="K154" i="25"/>
  <c r="I175" i="25"/>
  <c r="G193" i="25"/>
  <c r="J191" i="25"/>
  <c r="N392" i="25"/>
  <c r="I162" i="25"/>
  <c r="G382" i="25"/>
  <c r="O372" i="25"/>
  <c r="S394" i="25"/>
  <c r="F144" i="25"/>
  <c r="F382" i="25"/>
  <c r="M182" i="25"/>
  <c r="R186" i="25"/>
  <c r="O388" i="25"/>
  <c r="S193" i="25"/>
  <c r="L176" i="25"/>
  <c r="M183" i="25"/>
  <c r="M162" i="25"/>
  <c r="R395" i="25"/>
  <c r="L145" i="25"/>
  <c r="T142" i="25"/>
  <c r="N177" i="25"/>
  <c r="M388" i="25"/>
  <c r="J143" i="25"/>
  <c r="K136" i="25"/>
  <c r="Q152" i="25"/>
  <c r="P176" i="25"/>
  <c r="R381" i="25"/>
  <c r="H194" i="25"/>
  <c r="G173" i="25"/>
  <c r="N143" i="25"/>
  <c r="O382" i="25"/>
  <c r="K174" i="25"/>
  <c r="O180" i="25"/>
  <c r="N162" i="25"/>
  <c r="K139" i="25"/>
  <c r="H193" i="25"/>
  <c r="N146" i="25"/>
  <c r="N168" i="25"/>
  <c r="S153" i="25"/>
  <c r="R143" i="25"/>
  <c r="K373" i="25"/>
  <c r="F153" i="25"/>
  <c r="I182" i="25"/>
  <c r="L162" i="25"/>
  <c r="S152" i="25"/>
  <c r="P379" i="25"/>
  <c r="K160" i="25"/>
  <c r="N151" i="25"/>
  <c r="G150" i="25"/>
  <c r="N371" i="25"/>
  <c r="Q170" i="25"/>
  <c r="F368" i="25"/>
  <c r="P386" i="25"/>
  <c r="M156" i="25"/>
  <c r="L142" i="25"/>
  <c r="P180" i="25"/>
  <c r="T170" i="25"/>
  <c r="M161" i="25"/>
  <c r="R154" i="25"/>
  <c r="K378" i="25"/>
  <c r="P395" i="25"/>
  <c r="N173" i="25"/>
  <c r="R385" i="25"/>
  <c r="K153" i="25"/>
  <c r="O146" i="25"/>
  <c r="H139" i="25"/>
  <c r="J390" i="25"/>
  <c r="O174" i="25"/>
  <c r="L389" i="25"/>
  <c r="N376" i="25"/>
  <c r="N158" i="25"/>
  <c r="H368" i="25"/>
  <c r="L181" i="25"/>
  <c r="N370" i="25"/>
  <c r="S158" i="25"/>
  <c r="N373" i="25"/>
  <c r="J155" i="25"/>
  <c r="J147" i="25"/>
  <c r="R389" i="25"/>
  <c r="O167" i="25"/>
  <c r="O189" i="25"/>
  <c r="N395" i="25"/>
  <c r="O370" i="25"/>
  <c r="H146" i="25"/>
  <c r="P170" i="25"/>
  <c r="R374" i="25"/>
  <c r="J160" i="25"/>
  <c r="H380" i="25"/>
  <c r="I178" i="25"/>
  <c r="P184" i="25"/>
  <c r="F158" i="25"/>
  <c r="T375" i="25"/>
  <c r="Q388" i="25"/>
  <c r="S377" i="25"/>
  <c r="O182" i="25"/>
  <c r="H170" i="25"/>
  <c r="N174" i="25"/>
  <c r="G393" i="25"/>
  <c r="Q146" i="25"/>
  <c r="Q382" i="25"/>
  <c r="P179" i="25"/>
  <c r="J148" i="25"/>
  <c r="P149" i="25"/>
  <c r="J193" i="25"/>
  <c r="T384" i="25"/>
  <c r="T415" i="25"/>
  <c r="J258" i="25"/>
  <c r="P279" i="25"/>
  <c r="P210" i="25"/>
  <c r="J209" i="25"/>
  <c r="J278" i="25"/>
  <c r="P244" i="25"/>
  <c r="Q413" i="25"/>
  <c r="Q276" i="25"/>
  <c r="Q207" i="25"/>
  <c r="G424" i="25"/>
  <c r="N239" i="25"/>
  <c r="H235" i="25"/>
  <c r="O247" i="25"/>
  <c r="S408" i="25"/>
  <c r="Q419" i="25"/>
  <c r="T406" i="25"/>
  <c r="F288" i="25"/>
  <c r="F219" i="25"/>
  <c r="P249" i="25"/>
  <c r="I243" i="25"/>
  <c r="H411" i="25"/>
  <c r="J290" i="25"/>
  <c r="J221" i="25"/>
  <c r="R405" i="25"/>
  <c r="P235" i="25"/>
  <c r="H207" i="25"/>
  <c r="H276" i="25"/>
  <c r="O401" i="25"/>
  <c r="N426" i="25"/>
  <c r="O254" i="25"/>
  <c r="O232" i="25"/>
  <c r="R420" i="25"/>
  <c r="J277" i="25"/>
  <c r="J208" i="25"/>
  <c r="J216" i="25"/>
  <c r="J285" i="25"/>
  <c r="N404" i="25"/>
  <c r="S288" i="25"/>
  <c r="S219" i="25"/>
  <c r="N401" i="25"/>
  <c r="L246" i="25"/>
  <c r="H399" i="25"/>
  <c r="N219" i="25"/>
  <c r="N288" i="25"/>
  <c r="N407" i="25"/>
  <c r="L420" i="25"/>
  <c r="O239" i="25"/>
  <c r="J421" i="25"/>
  <c r="H200" i="25"/>
  <c r="H269" i="25"/>
  <c r="O276" i="25"/>
  <c r="O207" i="25"/>
  <c r="K214" i="25"/>
  <c r="K283" i="25"/>
  <c r="R416" i="25"/>
  <c r="N238" i="25"/>
  <c r="P426" i="25"/>
  <c r="K409" i="25"/>
  <c r="R215" i="25"/>
  <c r="R284" i="25"/>
  <c r="M291" i="25"/>
  <c r="M222" i="25"/>
  <c r="T235" i="25"/>
  <c r="P245" i="25"/>
  <c r="L272" i="25"/>
  <c r="L203" i="25"/>
  <c r="M217" i="25"/>
  <c r="M286" i="25"/>
  <c r="P417" i="25"/>
  <c r="F399" i="25"/>
  <c r="Q235" i="25"/>
  <c r="N402" i="25"/>
  <c r="G211" i="25"/>
  <c r="G280" i="25"/>
  <c r="N281" i="25"/>
  <c r="N212" i="25"/>
  <c r="K290" i="25"/>
  <c r="K221" i="25"/>
  <c r="P410" i="25"/>
  <c r="S282" i="25"/>
  <c r="S213" i="25"/>
  <c r="L223" i="25"/>
  <c r="L292" i="25"/>
  <c r="I247" i="25"/>
  <c r="F214" i="25"/>
  <c r="F283" i="25"/>
  <c r="K404" i="25"/>
  <c r="R273" i="25"/>
  <c r="R204" i="25"/>
  <c r="S214" i="25"/>
  <c r="S283" i="25"/>
  <c r="N233" i="25"/>
  <c r="N276" i="25"/>
  <c r="N207" i="25"/>
  <c r="H258" i="25"/>
  <c r="K269" i="25"/>
  <c r="K200" i="25"/>
  <c r="N292" i="25"/>
  <c r="N223" i="25"/>
  <c r="O245" i="25"/>
  <c r="K239" i="25"/>
  <c r="O413" i="25"/>
  <c r="N273" i="25"/>
  <c r="N204" i="25"/>
  <c r="G238" i="25"/>
  <c r="H259" i="25"/>
  <c r="R412" i="25"/>
  <c r="P241" i="25"/>
  <c r="Q213" i="25"/>
  <c r="Q282" i="25"/>
  <c r="K266" i="25"/>
  <c r="K197" i="25"/>
  <c r="J273" i="25"/>
  <c r="J204" i="25"/>
  <c r="M419" i="25"/>
  <c r="N242" i="25"/>
  <c r="T272" i="25"/>
  <c r="T203" i="25"/>
  <c r="L275" i="25"/>
  <c r="L206" i="25"/>
  <c r="R426" i="25"/>
  <c r="M223" i="25"/>
  <c r="M292" i="25"/>
  <c r="M248" i="25"/>
  <c r="L241" i="25"/>
  <c r="S258" i="25"/>
  <c r="O419" i="25"/>
  <c r="R251" i="25"/>
  <c r="M247" i="25"/>
  <c r="F413" i="25"/>
  <c r="F274" i="25"/>
  <c r="F205" i="25"/>
  <c r="S425" i="25"/>
  <c r="O403" i="25"/>
  <c r="G413" i="25"/>
  <c r="I292" i="25"/>
  <c r="I223" i="25"/>
  <c r="N423" i="25"/>
  <c r="J256" i="25"/>
  <c r="G258" i="25"/>
  <c r="I240" i="25"/>
  <c r="K284" i="25"/>
  <c r="K215" i="25"/>
  <c r="M420" i="25"/>
  <c r="H419" i="25"/>
  <c r="T409" i="25"/>
  <c r="Q216" i="25"/>
  <c r="Q285" i="25"/>
  <c r="I236" i="25"/>
  <c r="M417" i="25"/>
  <c r="Q268" i="25"/>
  <c r="Q199" i="25"/>
  <c r="M413" i="25"/>
  <c r="F409" i="25"/>
  <c r="J213" i="25"/>
  <c r="J282" i="25"/>
  <c r="Q255" i="25"/>
  <c r="S252" i="25"/>
  <c r="T286" i="25"/>
  <c r="T217" i="25"/>
  <c r="G282" i="25"/>
  <c r="G213" i="25"/>
  <c r="T243" i="25"/>
  <c r="O415" i="25"/>
  <c r="K288" i="25"/>
  <c r="K219" i="25"/>
  <c r="T412" i="25"/>
  <c r="P419" i="25"/>
  <c r="O425" i="25"/>
  <c r="K421" i="25"/>
  <c r="I275" i="25"/>
  <c r="I206" i="25"/>
  <c r="H280" i="25"/>
  <c r="H211" i="25"/>
  <c r="K406" i="25"/>
  <c r="J232" i="25"/>
  <c r="S244" i="25"/>
  <c r="K402" i="25"/>
  <c r="O279" i="25"/>
  <c r="O210" i="25"/>
  <c r="G418" i="25"/>
  <c r="O285" i="25"/>
  <c r="O216" i="25"/>
  <c r="R197" i="25"/>
  <c r="R266" i="25"/>
  <c r="R291" i="25"/>
  <c r="R222" i="25"/>
  <c r="P217" i="25"/>
  <c r="P286" i="25"/>
  <c r="F271" i="25"/>
  <c r="F202" i="25"/>
  <c r="P252" i="25"/>
  <c r="J407" i="25"/>
  <c r="I213" i="25"/>
  <c r="I282" i="25"/>
  <c r="N243" i="25"/>
  <c r="T233" i="25"/>
  <c r="T221" i="25"/>
  <c r="T290" i="25"/>
  <c r="I198" i="25"/>
  <c r="I267" i="25"/>
  <c r="H417" i="25"/>
  <c r="L237" i="25"/>
  <c r="S239" i="25"/>
  <c r="G198" i="25"/>
  <c r="G267" i="25"/>
  <c r="P205" i="25"/>
  <c r="P274" i="25"/>
  <c r="K237" i="25"/>
  <c r="T269" i="25"/>
  <c r="T200" i="25"/>
  <c r="G426" i="25"/>
  <c r="T282" i="25"/>
  <c r="T213" i="25"/>
  <c r="P424" i="25"/>
  <c r="R243" i="25"/>
  <c r="I418" i="25"/>
  <c r="M215" i="25"/>
  <c r="M284" i="25"/>
  <c r="I252" i="25"/>
  <c r="I232" i="25"/>
  <c r="Q202" i="25"/>
  <c r="Q271" i="25"/>
  <c r="Q405" i="25"/>
  <c r="R408" i="25"/>
  <c r="P403" i="25"/>
  <c r="F276" i="25"/>
  <c r="F207" i="25"/>
  <c r="K399" i="25"/>
  <c r="G283" i="25"/>
  <c r="G214" i="25"/>
  <c r="I425" i="25"/>
  <c r="F419" i="25"/>
  <c r="Q256" i="25"/>
  <c r="H286" i="25"/>
  <c r="H217" i="25"/>
  <c r="R417" i="25"/>
  <c r="P284" i="25"/>
  <c r="P215" i="25"/>
  <c r="I291" i="25"/>
  <c r="I222" i="25"/>
  <c r="I417" i="25"/>
  <c r="T248" i="25"/>
  <c r="Q278" i="25"/>
  <c r="Q209" i="25"/>
  <c r="T254" i="25"/>
  <c r="R256" i="25"/>
  <c r="P267" i="25"/>
  <c r="P198" i="25"/>
  <c r="N406" i="25"/>
  <c r="K256" i="25"/>
  <c r="H239" i="25"/>
  <c r="S232" i="25"/>
  <c r="N278" i="25"/>
  <c r="N209" i="25"/>
  <c r="H402" i="25"/>
  <c r="N422" i="25"/>
  <c r="I280" i="25"/>
  <c r="I211" i="25"/>
  <c r="H414" i="25"/>
  <c r="F252" i="25"/>
  <c r="O253" i="25"/>
  <c r="K249" i="25"/>
  <c r="S421" i="25"/>
  <c r="S243" i="25"/>
  <c r="G399" i="25"/>
  <c r="F417" i="25"/>
  <c r="L219" i="25"/>
  <c r="L288" i="25"/>
  <c r="M205" i="25"/>
  <c r="M274" i="25"/>
  <c r="H208" i="25"/>
  <c r="H277" i="25"/>
  <c r="I422" i="25"/>
  <c r="F246" i="25"/>
  <c r="O220" i="25"/>
  <c r="O289" i="25"/>
  <c r="T209" i="25"/>
  <c r="T278" i="25"/>
  <c r="M406" i="25"/>
  <c r="H401" i="25"/>
  <c r="I278" i="25"/>
  <c r="I209" i="25"/>
  <c r="L414" i="25"/>
  <c r="H238" i="25"/>
  <c r="O237" i="25"/>
  <c r="H245" i="25"/>
  <c r="M235" i="25"/>
  <c r="H242" i="25"/>
  <c r="J293" i="25"/>
  <c r="J224" i="25"/>
  <c r="I214" i="25"/>
  <c r="I283" i="25"/>
  <c r="N283" i="25"/>
  <c r="N214" i="25"/>
  <c r="F208" i="25"/>
  <c r="F277" i="25"/>
  <c r="P201" i="25"/>
  <c r="P270" i="25"/>
  <c r="H408" i="25"/>
  <c r="J234" i="25"/>
  <c r="G246" i="25"/>
  <c r="M238" i="25"/>
  <c r="F198" i="25"/>
  <c r="F267" i="25"/>
  <c r="F414" i="25"/>
  <c r="P402" i="25"/>
  <c r="O246" i="25"/>
  <c r="O402" i="25"/>
  <c r="G249" i="25"/>
  <c r="N222" i="25"/>
  <c r="N291" i="25"/>
  <c r="I426" i="25"/>
  <c r="R257" i="25"/>
  <c r="Q420" i="25"/>
  <c r="K238" i="25"/>
  <c r="F412" i="25"/>
  <c r="P242" i="25"/>
  <c r="J275" i="25"/>
  <c r="J206" i="25"/>
  <c r="G408" i="25"/>
  <c r="R413" i="25"/>
  <c r="K255" i="25"/>
  <c r="O286" i="25"/>
  <c r="O217" i="25"/>
  <c r="N234" i="25"/>
  <c r="F234" i="25"/>
  <c r="K408" i="25"/>
  <c r="H409" i="25"/>
  <c r="P199" i="25"/>
  <c r="P268" i="25"/>
  <c r="H209" i="25"/>
  <c r="H278" i="25"/>
  <c r="T403" i="25"/>
  <c r="S222" i="25"/>
  <c r="S291" i="25"/>
  <c r="I405" i="25"/>
  <c r="O414" i="25"/>
  <c r="G257" i="25"/>
  <c r="K232" i="25"/>
  <c r="H410" i="25"/>
  <c r="G254" i="25"/>
  <c r="G259" i="25"/>
  <c r="K242" i="25"/>
  <c r="O256" i="25"/>
  <c r="L234" i="25"/>
  <c r="M241" i="25"/>
  <c r="P404" i="25"/>
  <c r="J217" i="25"/>
  <c r="J286" i="25"/>
  <c r="N421" i="25"/>
  <c r="K218" i="25"/>
  <c r="K287" i="25"/>
  <c r="Q399" i="25"/>
  <c r="R207" i="25"/>
  <c r="R276" i="25"/>
  <c r="I207" i="25"/>
  <c r="I276" i="25"/>
  <c r="T251" i="25"/>
  <c r="O400" i="25"/>
  <c r="O412" i="25"/>
  <c r="S409" i="25"/>
  <c r="O243" i="25"/>
  <c r="H252" i="25"/>
  <c r="O273" i="25"/>
  <c r="O204" i="25"/>
  <c r="T236" i="25"/>
  <c r="J251" i="25"/>
  <c r="G271" i="25"/>
  <c r="G202" i="25"/>
  <c r="L415" i="25"/>
  <c r="Q421" i="25"/>
  <c r="M253" i="25"/>
  <c r="H420" i="25"/>
  <c r="S247" i="25"/>
  <c r="R224" i="25"/>
  <c r="R293" i="25"/>
  <c r="G252" i="25"/>
  <c r="M244" i="25"/>
  <c r="I199" i="25"/>
  <c r="I268" i="25"/>
  <c r="R401" i="25"/>
  <c r="M239" i="25"/>
  <c r="J239" i="25"/>
  <c r="K279" i="25"/>
  <c r="K210" i="25"/>
  <c r="S250" i="25"/>
  <c r="P248" i="25"/>
  <c r="M240" i="25"/>
  <c r="H421" i="25"/>
  <c r="S254" i="25"/>
  <c r="T214" i="25"/>
  <c r="T283" i="25"/>
  <c r="N410" i="25"/>
  <c r="P197" i="25"/>
  <c r="P266" i="25"/>
  <c r="F238" i="25"/>
  <c r="M251" i="25"/>
  <c r="P288" i="25"/>
  <c r="P219" i="25"/>
  <c r="L402" i="25"/>
  <c r="P285" i="25"/>
  <c r="P216" i="25"/>
  <c r="M254" i="25"/>
  <c r="I220" i="25"/>
  <c r="I289" i="25"/>
  <c r="H210" i="25"/>
  <c r="H279" i="25"/>
  <c r="L240" i="25"/>
  <c r="O240" i="25"/>
  <c r="I216" i="25"/>
  <c r="I285" i="25"/>
  <c r="J259" i="25"/>
  <c r="F284" i="25"/>
  <c r="F215" i="25"/>
  <c r="F426" i="25"/>
  <c r="F282" i="25"/>
  <c r="F213" i="25"/>
  <c r="F258" i="25"/>
  <c r="O234" i="25"/>
  <c r="J413" i="25"/>
  <c r="L293" i="25"/>
  <c r="L224" i="25"/>
  <c r="M401" i="25"/>
  <c r="F248" i="25"/>
  <c r="L407" i="25"/>
  <c r="H422" i="25"/>
  <c r="R238" i="25"/>
  <c r="N248" i="25"/>
  <c r="M404" i="25"/>
  <c r="G401" i="25"/>
  <c r="G222" i="25"/>
  <c r="G291" i="25"/>
  <c r="G218" i="25"/>
  <c r="G287" i="25"/>
  <c r="N420" i="25"/>
  <c r="Q236" i="25"/>
  <c r="Q214" i="25"/>
  <c r="Q283" i="25"/>
  <c r="Q286" i="25"/>
  <c r="Q217" i="25"/>
  <c r="P421" i="25"/>
  <c r="O257" i="25"/>
  <c r="H244" i="25"/>
  <c r="Q426" i="25"/>
  <c r="L215" i="25"/>
  <c r="L284" i="25"/>
  <c r="N409" i="25"/>
  <c r="J253" i="25"/>
  <c r="I248" i="25"/>
  <c r="P247" i="25"/>
  <c r="T242" i="25"/>
  <c r="G224" i="25"/>
  <c r="G293" i="25"/>
  <c r="Q408" i="25"/>
  <c r="T402" i="25"/>
  <c r="M257" i="25"/>
  <c r="N424" i="25"/>
  <c r="L426" i="25"/>
  <c r="H237" i="25"/>
  <c r="O241" i="25"/>
  <c r="G242" i="25"/>
  <c r="F404" i="25"/>
  <c r="H248" i="25"/>
  <c r="T244" i="25"/>
  <c r="F418" i="25"/>
  <c r="J406" i="25"/>
  <c r="S280" i="25"/>
  <c r="S211" i="25"/>
  <c r="J414" i="25"/>
  <c r="K413" i="25"/>
  <c r="P407" i="25"/>
  <c r="R252" i="25"/>
  <c r="F200" i="25"/>
  <c r="F269" i="25"/>
  <c r="K282" i="25"/>
  <c r="K213" i="25"/>
  <c r="P401" i="25"/>
  <c r="R278" i="25"/>
  <c r="R209" i="25"/>
  <c r="R423" i="25"/>
  <c r="R253" i="25"/>
  <c r="M233" i="25"/>
  <c r="R403" i="25"/>
  <c r="R399" i="25"/>
  <c r="S417" i="25"/>
  <c r="M208" i="25"/>
  <c r="M277" i="25"/>
  <c r="S241" i="25"/>
  <c r="I254" i="25"/>
  <c r="H423" i="25"/>
  <c r="Q244" i="25"/>
  <c r="F233" i="25"/>
  <c r="I215" i="25"/>
  <c r="I284" i="25"/>
  <c r="I234" i="25"/>
  <c r="L276" i="25"/>
  <c r="L207" i="25"/>
  <c r="K251" i="25"/>
  <c r="J205" i="25"/>
  <c r="J274" i="25"/>
  <c r="L400" i="25"/>
  <c r="M403" i="25"/>
  <c r="M412" i="25"/>
  <c r="L254" i="25"/>
  <c r="O408" i="25"/>
  <c r="I271" i="25"/>
  <c r="I202" i="25"/>
  <c r="Q401" i="25"/>
  <c r="P416" i="25"/>
  <c r="N254" i="25"/>
  <c r="S268" i="25"/>
  <c r="S199" i="25"/>
  <c r="Q400" i="25"/>
  <c r="S400" i="25"/>
  <c r="R203" i="25"/>
  <c r="R272" i="25"/>
  <c r="O422" i="25"/>
  <c r="N413" i="25"/>
  <c r="T219" i="25"/>
  <c r="T288" i="25"/>
  <c r="K267" i="25"/>
  <c r="K198" i="25"/>
  <c r="Q198" i="25"/>
  <c r="Q267" i="25"/>
  <c r="L412" i="25"/>
  <c r="K235" i="25"/>
  <c r="M290" i="25"/>
  <c r="M221" i="25"/>
  <c r="R425" i="25"/>
  <c r="I253" i="25"/>
  <c r="S246" i="25"/>
  <c r="R223" i="25"/>
  <c r="R292" i="25"/>
  <c r="R279" i="25"/>
  <c r="R210" i="25"/>
  <c r="K202" i="25"/>
  <c r="K271" i="25"/>
  <c r="H287" i="25"/>
  <c r="H218" i="25"/>
  <c r="O249" i="25"/>
  <c r="G425" i="25"/>
  <c r="Q279" i="25"/>
  <c r="Q210" i="25"/>
  <c r="S234" i="25"/>
  <c r="H236" i="25"/>
  <c r="N249" i="25"/>
  <c r="M266" i="25"/>
  <c r="M197" i="25"/>
  <c r="K417" i="25"/>
  <c r="P233" i="25"/>
  <c r="K273" i="25"/>
  <c r="K204" i="25"/>
  <c r="H406" i="25"/>
  <c r="O212" i="25"/>
  <c r="O281" i="25"/>
  <c r="F209" i="25"/>
  <c r="F278" i="25"/>
  <c r="J223" i="25"/>
  <c r="J292" i="25"/>
  <c r="Q417" i="25"/>
  <c r="L208" i="25"/>
  <c r="L277" i="25"/>
  <c r="H254" i="25"/>
  <c r="T197" i="25"/>
  <c r="T266" i="25"/>
  <c r="H251" i="25"/>
  <c r="N418" i="25"/>
  <c r="F254" i="25"/>
  <c r="J401" i="25"/>
  <c r="O277" i="25"/>
  <c r="O208" i="25"/>
  <c r="J403" i="25"/>
  <c r="T422" i="25"/>
  <c r="M220" i="25"/>
  <c r="M289" i="25"/>
  <c r="R424" i="25"/>
  <c r="J240" i="25"/>
  <c r="Q418" i="25"/>
  <c r="R270" i="25"/>
  <c r="R201" i="25"/>
  <c r="F204" i="25"/>
  <c r="F273" i="25"/>
  <c r="N217" i="25"/>
  <c r="N286" i="25"/>
  <c r="J245" i="25"/>
  <c r="T237" i="25"/>
  <c r="J249" i="25"/>
  <c r="I419" i="25"/>
  <c r="O269" i="25"/>
  <c r="O200" i="25"/>
  <c r="F232" i="25"/>
  <c r="N411" i="25"/>
  <c r="I423" i="25"/>
  <c r="F407" i="25"/>
  <c r="S267" i="25"/>
  <c r="S198" i="25"/>
  <c r="S270" i="25"/>
  <c r="S201" i="25"/>
  <c r="R239" i="25"/>
  <c r="H404" i="25"/>
  <c r="K223" i="25"/>
  <c r="K292" i="25"/>
  <c r="T401" i="25"/>
  <c r="Q215" i="25"/>
  <c r="Q284" i="25"/>
  <c r="O272" i="25"/>
  <c r="O203" i="25"/>
  <c r="K236" i="25"/>
  <c r="M402" i="25"/>
  <c r="K403" i="25"/>
  <c r="F220" i="25"/>
  <c r="F289" i="25"/>
  <c r="G411" i="25"/>
  <c r="L413" i="25"/>
  <c r="F410" i="25"/>
  <c r="K401" i="25"/>
  <c r="L283" i="25"/>
  <c r="L214" i="25"/>
  <c r="O405" i="25"/>
  <c r="S242" i="25"/>
  <c r="S286" i="25"/>
  <c r="S217" i="25"/>
  <c r="I238" i="25"/>
  <c r="H246" i="25"/>
  <c r="Q245" i="25"/>
  <c r="J267" i="25"/>
  <c r="J198" i="25"/>
  <c r="G233" i="25"/>
  <c r="H288" i="25"/>
  <c r="H219" i="25"/>
  <c r="L236" i="25"/>
  <c r="N417" i="25"/>
  <c r="M252" i="25"/>
  <c r="G235" i="25"/>
  <c r="J242" i="25"/>
  <c r="S207" i="25"/>
  <c r="S276" i="25"/>
  <c r="I256" i="25"/>
  <c r="J271" i="25"/>
  <c r="J202" i="25"/>
  <c r="N259" i="25"/>
  <c r="L235" i="25"/>
  <c r="S238" i="25"/>
  <c r="H256" i="25"/>
  <c r="R233" i="25"/>
  <c r="G234" i="25"/>
  <c r="I400" i="25"/>
  <c r="M276" i="25"/>
  <c r="M207" i="25"/>
  <c r="O219" i="25"/>
  <c r="O288" i="25"/>
  <c r="P237" i="25"/>
  <c r="I258" i="25"/>
  <c r="G416" i="25"/>
  <c r="P224" i="25"/>
  <c r="P293" i="25"/>
  <c r="H272" i="25"/>
  <c r="H203" i="25"/>
  <c r="T419" i="25"/>
  <c r="T289" i="25"/>
  <c r="T220" i="25"/>
  <c r="O252" i="25"/>
  <c r="M399" i="25"/>
  <c r="L197" i="25"/>
  <c r="L266" i="25"/>
  <c r="P236" i="25"/>
  <c r="Q249" i="25"/>
  <c r="M232" i="25"/>
  <c r="P258" i="25"/>
  <c r="G232" i="25"/>
  <c r="L409" i="25"/>
  <c r="I413" i="25"/>
  <c r="L252" i="25"/>
  <c r="R419" i="25"/>
  <c r="L269" i="25"/>
  <c r="L200" i="25"/>
  <c r="P246" i="25"/>
  <c r="L218" i="25"/>
  <c r="L287" i="25"/>
  <c r="K217" i="25"/>
  <c r="K286" i="25"/>
  <c r="K410" i="25"/>
  <c r="Q223" i="25"/>
  <c r="Q292" i="25"/>
  <c r="Q251" i="25"/>
  <c r="O421" i="25"/>
  <c r="J266" i="25"/>
  <c r="J197" i="25"/>
  <c r="R247" i="25"/>
  <c r="L259" i="25"/>
  <c r="J203" i="25"/>
  <c r="J272" i="25"/>
  <c r="S202" i="25"/>
  <c r="S271" i="25"/>
  <c r="T423" i="25"/>
  <c r="M408" i="25"/>
  <c r="I421" i="25"/>
  <c r="Q269" i="25"/>
  <c r="Q200" i="25"/>
  <c r="H216" i="25"/>
  <c r="H285" i="25"/>
  <c r="R267" i="25"/>
  <c r="R198" i="25"/>
  <c r="Q242" i="25"/>
  <c r="Q415" i="25"/>
  <c r="T287" i="25"/>
  <c r="T218" i="25"/>
  <c r="M256" i="25"/>
  <c r="R218" i="25"/>
  <c r="R287" i="25"/>
  <c r="K247" i="25"/>
  <c r="R211" i="25"/>
  <c r="R280" i="25"/>
  <c r="T252" i="25"/>
  <c r="Q266" i="25"/>
  <c r="Q197" i="25"/>
  <c r="S292" i="25"/>
  <c r="S223" i="25"/>
  <c r="S236" i="25"/>
  <c r="T405" i="25"/>
  <c r="S422" i="25"/>
  <c r="F292" i="25"/>
  <c r="F223" i="25"/>
  <c r="S406" i="25"/>
  <c r="I410" i="25"/>
  <c r="F211" i="25"/>
  <c r="F280" i="25"/>
  <c r="T234" i="25"/>
  <c r="K201" i="25"/>
  <c r="K270" i="25"/>
  <c r="S416" i="25"/>
  <c r="K407" i="25"/>
  <c r="Q257" i="25"/>
  <c r="I219" i="25"/>
  <c r="I288" i="25"/>
  <c r="L251" i="25"/>
  <c r="H418" i="25"/>
  <c r="K203" i="25"/>
  <c r="K272" i="25"/>
  <c r="L250" i="25"/>
  <c r="G240" i="25"/>
  <c r="J276" i="25"/>
  <c r="J207" i="25"/>
  <c r="K424" i="25"/>
  <c r="G275" i="25"/>
  <c r="G206" i="25"/>
  <c r="J408" i="25"/>
  <c r="R277" i="25"/>
  <c r="R208" i="25"/>
  <c r="I415" i="25"/>
  <c r="T408" i="25"/>
  <c r="P409" i="25"/>
  <c r="P256" i="25"/>
  <c r="G277" i="25"/>
  <c r="G208" i="25"/>
  <c r="J425" i="25"/>
  <c r="G256" i="25"/>
  <c r="M198" i="25"/>
  <c r="M267" i="25"/>
  <c r="K211" i="25"/>
  <c r="K280" i="25"/>
  <c r="H240" i="25"/>
  <c r="G400" i="25"/>
  <c r="L222" i="25"/>
  <c r="L291" i="25"/>
  <c r="F400" i="25"/>
  <c r="F259" i="25"/>
  <c r="L249" i="25"/>
  <c r="N211" i="25"/>
  <c r="N280" i="25"/>
  <c r="O238" i="25"/>
  <c r="K412" i="25"/>
  <c r="F408" i="25"/>
  <c r="S423" i="25"/>
  <c r="Q270" i="25"/>
  <c r="Q201" i="25"/>
  <c r="J411" i="25"/>
  <c r="N285" i="25"/>
  <c r="N216" i="25"/>
  <c r="S411" i="25"/>
  <c r="O426" i="25"/>
  <c r="M246" i="25"/>
  <c r="N218" i="25"/>
  <c r="N287" i="25"/>
  <c r="O202" i="25"/>
  <c r="O271" i="25"/>
  <c r="O420" i="25"/>
  <c r="K426" i="25"/>
  <c r="M250" i="25"/>
  <c r="Q412" i="25"/>
  <c r="G404" i="25"/>
  <c r="S277" i="25"/>
  <c r="S208" i="25"/>
  <c r="T425" i="25"/>
  <c r="P259" i="25"/>
  <c r="N250" i="25"/>
  <c r="T206" i="25"/>
  <c r="T275" i="25"/>
  <c r="P239" i="25"/>
  <c r="F272" i="25"/>
  <c r="F203" i="25"/>
  <c r="P243" i="25"/>
  <c r="S251" i="25"/>
  <c r="Q258" i="25"/>
  <c r="N215" i="25"/>
  <c r="N284" i="25"/>
  <c r="S269" i="25"/>
  <c r="S200" i="25"/>
  <c r="F422" i="25"/>
  <c r="Q224" i="25"/>
  <c r="Q293" i="25"/>
  <c r="N415" i="25"/>
  <c r="P412" i="25"/>
  <c r="N277" i="25"/>
  <c r="N208" i="25"/>
  <c r="K275" i="25"/>
  <c r="K206" i="25"/>
  <c r="I420" i="25"/>
  <c r="T232" i="25"/>
  <c r="J238" i="25"/>
  <c r="L244" i="25"/>
  <c r="N220" i="25"/>
  <c r="N289" i="25"/>
  <c r="T258" i="25"/>
  <c r="L405" i="25"/>
  <c r="G236" i="25"/>
  <c r="F406" i="25"/>
  <c r="J284" i="25"/>
  <c r="J215" i="25"/>
  <c r="G422" i="25"/>
  <c r="O206" i="25"/>
  <c r="O275" i="25"/>
  <c r="L424" i="25"/>
  <c r="I407" i="25"/>
  <c r="R241" i="25"/>
  <c r="T421" i="25"/>
  <c r="H266" i="25"/>
  <c r="H197" i="25"/>
  <c r="J235" i="25"/>
  <c r="T267" i="25"/>
  <c r="T198" i="25"/>
  <c r="R286" i="25"/>
  <c r="R217" i="25"/>
  <c r="F411" i="25"/>
  <c r="J420" i="25"/>
  <c r="L411" i="25"/>
  <c r="L239" i="25"/>
  <c r="N210" i="25"/>
  <c r="N279" i="25"/>
  <c r="F249" i="25"/>
  <c r="T416" i="25"/>
  <c r="T256" i="25"/>
  <c r="F421" i="25"/>
  <c r="Q280" i="25"/>
  <c r="Q211" i="25"/>
  <c r="N237" i="25"/>
  <c r="H407" i="25"/>
  <c r="R246" i="25"/>
  <c r="L253" i="25"/>
  <c r="P278" i="25"/>
  <c r="P209" i="25"/>
  <c r="L408" i="25"/>
  <c r="L248" i="25"/>
  <c r="L199" i="25"/>
  <c r="L268" i="25"/>
  <c r="S414" i="25"/>
  <c r="R414" i="25"/>
  <c r="P399" i="25"/>
  <c r="O218" i="25"/>
  <c r="O287" i="25"/>
  <c r="K248" i="25"/>
  <c r="J423" i="25"/>
  <c r="Q259" i="25"/>
  <c r="M271" i="25"/>
  <c r="M202" i="25"/>
  <c r="T270" i="25"/>
  <c r="T201" i="25"/>
  <c r="S419" i="25"/>
  <c r="M213" i="25"/>
  <c r="M282" i="25"/>
  <c r="I237" i="25"/>
  <c r="T255" i="25"/>
  <c r="P418" i="25"/>
  <c r="H270" i="25"/>
  <c r="H201" i="25"/>
  <c r="Q208" i="25"/>
  <c r="Q277" i="25"/>
  <c r="I246" i="25"/>
  <c r="P422" i="25"/>
  <c r="I245" i="25"/>
  <c r="G200" i="25"/>
  <c r="G269" i="25"/>
  <c r="I403" i="25"/>
  <c r="P406" i="25"/>
  <c r="P425" i="25"/>
  <c r="G212" i="25"/>
  <c r="G281" i="25"/>
  <c r="K250" i="25"/>
  <c r="Q425" i="25"/>
  <c r="F281" i="25"/>
  <c r="F212" i="25"/>
  <c r="H400" i="25"/>
  <c r="I239" i="25"/>
  <c r="Q247" i="25"/>
  <c r="N267" i="25"/>
  <c r="N198" i="25"/>
  <c r="I250" i="25"/>
  <c r="T202" i="25"/>
  <c r="T271" i="25"/>
  <c r="K425" i="25"/>
  <c r="G289" i="25"/>
  <c r="G220" i="25"/>
  <c r="N400" i="25"/>
  <c r="Q212" i="25"/>
  <c r="Q281" i="25"/>
  <c r="J243" i="25"/>
  <c r="L289" i="25"/>
  <c r="L220" i="25"/>
  <c r="T404" i="25"/>
  <c r="F405" i="25"/>
  <c r="M255" i="25"/>
  <c r="P269" i="25"/>
  <c r="P200" i="25"/>
  <c r="Q243" i="25"/>
  <c r="O283" i="25"/>
  <c r="O214" i="25"/>
  <c r="G248" i="25"/>
  <c r="H271" i="25"/>
  <c r="H202" i="25"/>
  <c r="L401" i="25"/>
  <c r="G421" i="25"/>
  <c r="S410" i="25"/>
  <c r="O258" i="25"/>
  <c r="G290" i="25"/>
  <c r="G221" i="25"/>
  <c r="G245" i="25"/>
  <c r="L238" i="25"/>
  <c r="K277" i="25"/>
  <c r="K208" i="25"/>
  <c r="R406" i="25"/>
  <c r="F257" i="25"/>
  <c r="N282" i="25"/>
  <c r="N213" i="25"/>
  <c r="J409" i="25"/>
  <c r="J199" i="25"/>
  <c r="J268" i="25"/>
  <c r="N290" i="25"/>
  <c r="N221" i="25"/>
  <c r="I205" i="25"/>
  <c r="I274" i="25"/>
  <c r="T399" i="25"/>
  <c r="N241" i="25"/>
  <c r="G244" i="25"/>
  <c r="K244" i="25"/>
  <c r="T249" i="25"/>
  <c r="L399" i="25"/>
  <c r="Q402" i="25"/>
  <c r="K252" i="25"/>
  <c r="F424" i="25"/>
  <c r="N203" i="25"/>
  <c r="N272" i="25"/>
  <c r="J241" i="25"/>
  <c r="Q407" i="25"/>
  <c r="F244" i="25"/>
  <c r="H292" i="25"/>
  <c r="H223" i="25"/>
  <c r="R422" i="25"/>
  <c r="M293" i="25"/>
  <c r="M224" i="25"/>
  <c r="J254" i="25"/>
  <c r="N235" i="25"/>
  <c r="P415" i="25"/>
  <c r="N412" i="25"/>
  <c r="P414" i="25"/>
  <c r="F240" i="25"/>
  <c r="N245" i="25"/>
  <c r="M212" i="25"/>
  <c r="M281" i="25"/>
  <c r="O213" i="25"/>
  <c r="O282" i="25"/>
  <c r="T240" i="25"/>
  <c r="Q422" i="25"/>
  <c r="J410" i="25"/>
  <c r="S220" i="25"/>
  <c r="S289" i="25"/>
  <c r="R236" i="25"/>
  <c r="P283" i="25"/>
  <c r="P214" i="25"/>
  <c r="S403" i="25"/>
  <c r="K243" i="25"/>
  <c r="K240" i="25"/>
  <c r="F216" i="25"/>
  <c r="F285" i="25"/>
  <c r="R213" i="25"/>
  <c r="R282" i="25"/>
  <c r="N205" i="25"/>
  <c r="N274" i="25"/>
  <c r="F415" i="25"/>
  <c r="R254" i="25"/>
  <c r="I251" i="25"/>
  <c r="T285" i="25"/>
  <c r="T216" i="25"/>
  <c r="S290" i="25"/>
  <c r="S221" i="25"/>
  <c r="K222" i="25"/>
  <c r="K291" i="25"/>
  <c r="G253" i="25"/>
  <c r="F416" i="25"/>
  <c r="R242" i="25"/>
  <c r="R250" i="25"/>
  <c r="T208" i="25"/>
  <c r="T277" i="25"/>
  <c r="M405" i="25"/>
  <c r="T246" i="25"/>
  <c r="G417" i="25"/>
  <c r="O215" i="25"/>
  <c r="O284" i="25"/>
  <c r="S235" i="25"/>
  <c r="P202" i="25"/>
  <c r="P271" i="25"/>
  <c r="M424" i="25"/>
  <c r="S407" i="25"/>
  <c r="O242" i="25"/>
  <c r="R275" i="25"/>
  <c r="R206" i="25"/>
  <c r="L416" i="25"/>
  <c r="R235" i="25"/>
  <c r="I424" i="25"/>
  <c r="L273" i="25"/>
  <c r="L204" i="25"/>
  <c r="T239" i="25"/>
  <c r="H413" i="25"/>
  <c r="Q233" i="25"/>
  <c r="K418" i="25"/>
  <c r="S415" i="25"/>
  <c r="S284" i="25"/>
  <c r="S215" i="25"/>
  <c r="K423" i="25"/>
  <c r="T410" i="25"/>
  <c r="J236" i="25"/>
  <c r="L290" i="25"/>
  <c r="L221" i="25"/>
  <c r="L257" i="25"/>
  <c r="R411" i="25"/>
  <c r="M245" i="25"/>
  <c r="K414" i="25"/>
  <c r="Q404" i="25"/>
  <c r="O255" i="25"/>
  <c r="I412" i="25"/>
  <c r="F290" i="25"/>
  <c r="F221" i="25"/>
  <c r="H215" i="25"/>
  <c r="H284" i="25"/>
  <c r="K293" i="25"/>
  <c r="K224" i="25"/>
  <c r="M425" i="25"/>
  <c r="S404" i="25"/>
  <c r="K245" i="25"/>
  <c r="G255" i="25"/>
  <c r="P411" i="25"/>
  <c r="J237" i="25"/>
  <c r="P250" i="25"/>
  <c r="T426" i="25"/>
  <c r="P234" i="25"/>
  <c r="F239" i="25"/>
  <c r="R290" i="25"/>
  <c r="R221" i="25"/>
  <c r="I257" i="25"/>
  <c r="M410" i="25"/>
  <c r="L255" i="25"/>
  <c r="P289" i="25"/>
  <c r="P220" i="25"/>
  <c r="Q291" i="25"/>
  <c r="Q222" i="25"/>
  <c r="K415" i="25"/>
  <c r="J233" i="25"/>
  <c r="M279" i="25"/>
  <c r="M210" i="25"/>
  <c r="K257" i="25"/>
  <c r="T291" i="25"/>
  <c r="T222" i="25"/>
  <c r="Q275" i="25"/>
  <c r="Q206" i="25"/>
  <c r="F241" i="25"/>
  <c r="L403" i="25"/>
  <c r="I255" i="25"/>
  <c r="S233" i="25"/>
  <c r="Q423" i="25"/>
  <c r="O211" i="25"/>
  <c r="O280" i="25"/>
  <c r="T424" i="25"/>
  <c r="F255" i="25"/>
  <c r="J252" i="25"/>
  <c r="J200" i="25"/>
  <c r="J269" i="25"/>
  <c r="G241" i="25"/>
  <c r="G285" i="25"/>
  <c r="G216" i="25"/>
  <c r="I244" i="25"/>
  <c r="H425" i="25"/>
  <c r="P287" i="25"/>
  <c r="P218" i="25"/>
  <c r="H416" i="25"/>
  <c r="T241" i="25"/>
  <c r="F253" i="25"/>
  <c r="L258" i="25"/>
  <c r="T293" i="25"/>
  <c r="T224" i="25"/>
  <c r="G420" i="25"/>
  <c r="L209" i="25"/>
  <c r="L278" i="25"/>
  <c r="Q409" i="25"/>
  <c r="R421" i="25"/>
  <c r="M400" i="25"/>
  <c r="H222" i="25"/>
  <c r="H291" i="25"/>
  <c r="S256" i="25"/>
  <c r="F256" i="25"/>
  <c r="L417" i="25"/>
  <c r="P206" i="25"/>
  <c r="P275" i="25"/>
  <c r="S402" i="25"/>
  <c r="I408" i="25"/>
  <c r="K254" i="25"/>
  <c r="O424" i="25"/>
  <c r="S203" i="25"/>
  <c r="S272" i="25"/>
  <c r="H281" i="25"/>
  <c r="H212" i="25"/>
  <c r="P232" i="25"/>
  <c r="P211" i="25"/>
  <c r="P280" i="25"/>
  <c r="H257" i="25"/>
  <c r="Q287" i="25"/>
  <c r="Q218" i="25"/>
  <c r="L198" i="25"/>
  <c r="L267" i="25"/>
  <c r="P257" i="25"/>
  <c r="I266" i="25"/>
  <c r="I197" i="25"/>
  <c r="L270" i="25"/>
  <c r="L201" i="25"/>
  <c r="K419" i="25"/>
  <c r="N202" i="25"/>
  <c r="N271" i="25"/>
  <c r="H275" i="25"/>
  <c r="H206" i="25"/>
  <c r="G419" i="25"/>
  <c r="J248" i="25"/>
  <c r="G284" i="25"/>
  <c r="G215" i="25"/>
  <c r="R258" i="25"/>
  <c r="J219" i="25"/>
  <c r="J288" i="25"/>
  <c r="I401" i="25"/>
  <c r="R244" i="25"/>
  <c r="P253" i="25"/>
  <c r="F206" i="25"/>
  <c r="F275" i="25"/>
  <c r="J201" i="25"/>
  <c r="J270" i="25"/>
  <c r="F423" i="25"/>
  <c r="M423" i="25"/>
  <c r="Q232" i="25"/>
  <c r="R407" i="25"/>
  <c r="K411" i="25"/>
  <c r="O267" i="25"/>
  <c r="O198" i="25"/>
  <c r="F291" i="25"/>
  <c r="F222" i="25"/>
  <c r="S278" i="25"/>
  <c r="S209" i="25"/>
  <c r="L419" i="25"/>
  <c r="J418" i="25"/>
  <c r="P240" i="25"/>
  <c r="O197" i="25"/>
  <c r="O266" i="25"/>
  <c r="H205" i="25"/>
  <c r="H274" i="25"/>
  <c r="R248" i="25"/>
  <c r="G407" i="25"/>
  <c r="S285" i="25"/>
  <c r="S216" i="25"/>
  <c r="P254" i="25"/>
  <c r="M218" i="25"/>
  <c r="M287" i="25"/>
  <c r="L202" i="25"/>
  <c r="L271" i="25"/>
  <c r="J416" i="25"/>
  <c r="N270" i="25"/>
  <c r="N201" i="25"/>
  <c r="I416" i="25"/>
  <c r="L421" i="25"/>
  <c r="O416" i="25"/>
  <c r="S281" i="25"/>
  <c r="S212" i="25"/>
  <c r="I409" i="25"/>
  <c r="H415" i="25"/>
  <c r="O407" i="25"/>
  <c r="J279" i="25"/>
  <c r="J210" i="25"/>
  <c r="R289" i="25"/>
  <c r="R220" i="25"/>
  <c r="R400" i="25"/>
  <c r="N232" i="25"/>
  <c r="J281" i="25"/>
  <c r="J212" i="25"/>
  <c r="G247" i="25"/>
  <c r="R404" i="25"/>
  <c r="S240" i="25"/>
  <c r="R288" i="25"/>
  <c r="R219" i="25"/>
  <c r="K253" i="25"/>
  <c r="F287" i="25"/>
  <c r="F218" i="25"/>
  <c r="N200" i="25"/>
  <c r="N269" i="25"/>
  <c r="M283" i="25"/>
  <c r="M214" i="25"/>
  <c r="T418" i="25"/>
  <c r="M422" i="25"/>
  <c r="Q414" i="25"/>
  <c r="L280" i="25"/>
  <c r="L211" i="25"/>
  <c r="G415" i="25"/>
  <c r="P207" i="25"/>
  <c r="P276" i="25"/>
  <c r="O423" i="25"/>
  <c r="S255" i="25"/>
  <c r="F201" i="25"/>
  <c r="F270" i="25"/>
  <c r="F286" i="25"/>
  <c r="F217" i="25"/>
  <c r="T413" i="25"/>
  <c r="K285" i="25"/>
  <c r="K216" i="25"/>
  <c r="Q406" i="25"/>
  <c r="F242" i="25"/>
  <c r="L212" i="25"/>
  <c r="L281" i="25"/>
  <c r="N246" i="25"/>
  <c r="Q248" i="25"/>
  <c r="T247" i="25"/>
  <c r="N247" i="25"/>
  <c r="G410" i="25"/>
  <c r="O244" i="25"/>
  <c r="I233" i="25"/>
  <c r="S253" i="25"/>
  <c r="T223" i="25"/>
  <c r="T292" i="25"/>
  <c r="K400" i="25"/>
  <c r="I414" i="25"/>
  <c r="G217" i="25"/>
  <c r="G286" i="25"/>
  <c r="J222" i="25"/>
  <c r="J291" i="25"/>
  <c r="H234" i="25"/>
  <c r="G197" i="25"/>
  <c r="G266" i="25"/>
  <c r="O417" i="25"/>
  <c r="I270" i="25"/>
  <c r="I201" i="25"/>
  <c r="T199" i="25"/>
  <c r="T268" i="25"/>
  <c r="N403" i="25"/>
  <c r="Q424" i="25"/>
  <c r="T276" i="25"/>
  <c r="T207" i="25"/>
  <c r="T204" i="25"/>
  <c r="T273" i="25"/>
  <c r="L232" i="25"/>
  <c r="S218" i="25"/>
  <c r="S287" i="25"/>
  <c r="L285" i="25"/>
  <c r="L216" i="25"/>
  <c r="R402" i="25"/>
  <c r="Q241" i="25"/>
  <c r="M237" i="25"/>
  <c r="M407" i="25"/>
  <c r="J214" i="25"/>
  <c r="J283" i="25"/>
  <c r="T250" i="25"/>
  <c r="J244" i="25"/>
  <c r="K422" i="25"/>
  <c r="F243" i="25"/>
  <c r="Q237" i="25"/>
  <c r="Q410" i="25"/>
  <c r="F251" i="25"/>
  <c r="N414" i="25"/>
  <c r="G207" i="25"/>
  <c r="G276" i="25"/>
  <c r="N293" i="25"/>
  <c r="N224" i="25"/>
  <c r="K209" i="25"/>
  <c r="K278" i="25"/>
  <c r="Q416" i="25"/>
  <c r="F402" i="25"/>
  <c r="S248" i="25"/>
  <c r="T414" i="25"/>
  <c r="N236" i="25"/>
  <c r="R415" i="25"/>
  <c r="P413" i="25"/>
  <c r="P221" i="25"/>
  <c r="P290" i="25"/>
  <c r="N419" i="25"/>
  <c r="O399" i="25"/>
  <c r="M258" i="25"/>
  <c r="M270" i="25"/>
  <c r="M201" i="25"/>
  <c r="P255" i="25"/>
  <c r="S405" i="25"/>
  <c r="I269" i="25"/>
  <c r="I200" i="25"/>
  <c r="K233" i="25"/>
  <c r="P212" i="25"/>
  <c r="P281" i="25"/>
  <c r="N257" i="25"/>
  <c r="H199" i="25"/>
  <c r="H268" i="25"/>
  <c r="M280" i="25"/>
  <c r="M211" i="25"/>
  <c r="G239" i="25"/>
  <c r="Q411" i="25"/>
  <c r="Q234" i="25"/>
  <c r="O251" i="25"/>
  <c r="O221" i="25"/>
  <c r="O290" i="25"/>
  <c r="S293" i="25"/>
  <c r="S224" i="25"/>
  <c r="G199" i="25"/>
  <c r="G268" i="25"/>
  <c r="I272" i="25"/>
  <c r="I203" i="25"/>
  <c r="K420" i="25"/>
  <c r="Q403" i="25"/>
  <c r="F401" i="25"/>
  <c r="M269" i="25"/>
  <c r="M200" i="25"/>
  <c r="T284" i="25"/>
  <c r="T215" i="25"/>
  <c r="P223" i="25"/>
  <c r="P292" i="25"/>
  <c r="H405" i="25"/>
  <c r="J405" i="25"/>
  <c r="I287" i="25"/>
  <c r="I218" i="25"/>
  <c r="G402" i="25"/>
  <c r="Q250" i="25"/>
  <c r="L423" i="25"/>
  <c r="H289" i="25"/>
  <c r="H220" i="25"/>
  <c r="O233" i="25"/>
  <c r="M272" i="25"/>
  <c r="M203" i="25"/>
  <c r="Q219" i="25"/>
  <c r="Q288" i="25"/>
  <c r="Q239" i="25"/>
  <c r="L286" i="25"/>
  <c r="L217" i="25"/>
  <c r="O406" i="25"/>
  <c r="T238" i="25"/>
  <c r="L418" i="25"/>
  <c r="P400" i="25"/>
  <c r="J402" i="25"/>
  <c r="L233" i="25"/>
  <c r="H221" i="25"/>
  <c r="H290" i="25"/>
  <c r="G409" i="25"/>
  <c r="J399" i="25"/>
  <c r="R249" i="25"/>
  <c r="M278" i="25"/>
  <c r="M209" i="25"/>
  <c r="M243" i="25"/>
  <c r="J255" i="25"/>
  <c r="H249" i="25"/>
  <c r="O223" i="25"/>
  <c r="O292" i="25"/>
  <c r="F235" i="25"/>
  <c r="O259" i="25"/>
  <c r="Q246" i="25"/>
  <c r="M242" i="25"/>
  <c r="G412" i="25"/>
  <c r="H243" i="25"/>
  <c r="O410" i="25"/>
  <c r="R199" i="25"/>
  <c r="R268" i="25"/>
  <c r="G205" i="25"/>
  <c r="G274" i="25"/>
  <c r="N255" i="25"/>
  <c r="Q203" i="25"/>
  <c r="Q272" i="25"/>
  <c r="S401" i="25"/>
  <c r="Q273" i="25"/>
  <c r="Q204" i="25"/>
  <c r="I224" i="25"/>
  <c r="I293" i="25"/>
  <c r="R212" i="25"/>
  <c r="R281" i="25"/>
  <c r="Q289" i="25"/>
  <c r="Q220" i="25"/>
  <c r="M249" i="25"/>
  <c r="G223" i="25"/>
  <c r="G292" i="25"/>
  <c r="L404" i="25"/>
  <c r="H403" i="25"/>
  <c r="L425" i="25"/>
  <c r="F403" i="25"/>
  <c r="F293" i="25"/>
  <c r="F224" i="25"/>
  <c r="S399" i="25"/>
  <c r="S412" i="25"/>
  <c r="F268" i="25"/>
  <c r="F199" i="25"/>
  <c r="K416" i="25"/>
  <c r="M416" i="25"/>
  <c r="O236" i="25"/>
  <c r="N425" i="25"/>
  <c r="J250" i="25"/>
  <c r="F210" i="25"/>
  <c r="F279" i="25"/>
  <c r="I411" i="25"/>
  <c r="T257" i="25"/>
  <c r="F250" i="25"/>
  <c r="L422" i="25"/>
  <c r="T417" i="25"/>
  <c r="I281" i="25"/>
  <c r="I212" i="25"/>
  <c r="R245" i="25"/>
  <c r="H213" i="25"/>
  <c r="H282" i="25"/>
  <c r="O404" i="25"/>
  <c r="I404" i="25"/>
  <c r="R418" i="25"/>
  <c r="M216" i="25"/>
  <c r="M285" i="25"/>
  <c r="T411" i="25"/>
  <c r="N405" i="25"/>
  <c r="L406" i="25"/>
  <c r="P291" i="25"/>
  <c r="P222" i="25"/>
  <c r="G288" i="25"/>
  <c r="G219" i="25"/>
  <c r="T420" i="25"/>
  <c r="I402" i="25"/>
  <c r="G414" i="25"/>
  <c r="O268" i="25"/>
  <c r="O199" i="25"/>
  <c r="K405" i="25"/>
  <c r="S426" i="25"/>
  <c r="T259" i="25"/>
  <c r="M418" i="25"/>
  <c r="K258" i="25"/>
  <c r="M236" i="25"/>
  <c r="L256" i="25"/>
  <c r="R205" i="25"/>
  <c r="R274" i="25"/>
  <c r="I221" i="25"/>
  <c r="I290" i="25"/>
  <c r="S249" i="25"/>
  <c r="K205" i="25"/>
  <c r="K274" i="25"/>
  <c r="O248" i="25"/>
  <c r="G406" i="25"/>
  <c r="R259" i="25"/>
  <c r="H241" i="25"/>
  <c r="G250" i="25"/>
  <c r="O418" i="25"/>
  <c r="J404" i="25"/>
  <c r="Q254" i="25"/>
  <c r="I242" i="25"/>
  <c r="I241" i="25"/>
  <c r="L282" i="25"/>
  <c r="L213" i="25"/>
  <c r="P273" i="25"/>
  <c r="P204" i="25"/>
  <c r="O409" i="25"/>
  <c r="H283" i="25"/>
  <c r="H214" i="25"/>
  <c r="J246" i="25"/>
  <c r="G243" i="25"/>
  <c r="N416" i="25"/>
  <c r="S273" i="25"/>
  <c r="S204" i="25"/>
  <c r="F266" i="25"/>
  <c r="F197" i="25"/>
  <c r="K246" i="25"/>
  <c r="H253" i="25"/>
  <c r="T407" i="25"/>
  <c r="N399" i="25"/>
  <c r="J424" i="25"/>
  <c r="F237" i="25"/>
  <c r="G423" i="25"/>
  <c r="R240" i="25"/>
  <c r="N268" i="25"/>
  <c r="N199" i="25"/>
  <c r="H233" i="25"/>
  <c r="I279" i="25"/>
  <c r="I210" i="25"/>
  <c r="S279" i="25"/>
  <c r="S210" i="25"/>
  <c r="I217" i="25"/>
  <c r="I286" i="25"/>
  <c r="J417" i="25"/>
  <c r="M421" i="25"/>
  <c r="Q238" i="25"/>
  <c r="N253" i="25"/>
  <c r="L247" i="25"/>
  <c r="N275" i="25"/>
  <c r="N206" i="25"/>
  <c r="J211" i="25"/>
  <c r="J280" i="25"/>
  <c r="N251" i="25"/>
  <c r="S418" i="25"/>
  <c r="G237" i="25"/>
  <c r="R202" i="25"/>
  <c r="R271" i="25"/>
  <c r="S245" i="25"/>
  <c r="F425" i="25"/>
  <c r="K212" i="25"/>
  <c r="K281" i="25"/>
  <c r="H250" i="25"/>
  <c r="K241" i="25"/>
  <c r="P408" i="25"/>
  <c r="G210" i="25"/>
  <c r="G279" i="25"/>
  <c r="S266" i="25"/>
  <c r="S197" i="25"/>
  <c r="T212" i="25"/>
  <c r="T281" i="25"/>
  <c r="M234" i="25"/>
  <c r="T280" i="25"/>
  <c r="T211" i="25"/>
  <c r="S413" i="25"/>
  <c r="H198" i="25"/>
  <c r="H267" i="25"/>
  <c r="R285" i="25"/>
  <c r="R216" i="25"/>
  <c r="H412" i="25"/>
  <c r="S420" i="25"/>
  <c r="M268" i="25"/>
  <c r="M199" i="25"/>
  <c r="G405" i="25"/>
  <c r="M409" i="25"/>
  <c r="S424" i="25"/>
  <c r="G251" i="25"/>
  <c r="O293" i="25"/>
  <c r="O224" i="25"/>
  <c r="P405" i="25"/>
  <c r="M411" i="25"/>
  <c r="T274" i="25"/>
  <c r="T205" i="25"/>
  <c r="R234" i="25"/>
  <c r="M426" i="25"/>
  <c r="N240" i="25"/>
  <c r="S257" i="25"/>
  <c r="O411" i="25"/>
  <c r="M273" i="25"/>
  <c r="M204" i="25"/>
  <c r="N252" i="25"/>
  <c r="I259" i="25"/>
  <c r="J412" i="25"/>
  <c r="S275" i="25"/>
  <c r="S206" i="25"/>
  <c r="L242" i="25"/>
  <c r="K220" i="25"/>
  <c r="K289" i="25"/>
  <c r="H204" i="25"/>
  <c r="H273" i="25"/>
  <c r="N244" i="25"/>
  <c r="L245" i="25"/>
  <c r="P420" i="25"/>
  <c r="N258" i="25"/>
  <c r="K268" i="25"/>
  <c r="K199" i="25"/>
  <c r="Q252" i="25"/>
  <c r="H224" i="25"/>
  <c r="H293" i="25"/>
  <c r="I406" i="25"/>
  <c r="J289" i="25"/>
  <c r="J220" i="25"/>
  <c r="O235" i="25"/>
  <c r="S259" i="25"/>
  <c r="N408" i="25"/>
  <c r="Q205" i="25"/>
  <c r="Q274" i="25"/>
  <c r="R269" i="25"/>
  <c r="R200" i="25"/>
  <c r="I399" i="25"/>
  <c r="J422" i="25"/>
  <c r="J426" i="25"/>
  <c r="P282" i="25"/>
  <c r="P213" i="25"/>
  <c r="Q221" i="25"/>
  <c r="Q290" i="25"/>
  <c r="P251" i="25"/>
  <c r="L410" i="25"/>
  <c r="K234" i="25"/>
  <c r="K276" i="25"/>
  <c r="K207" i="25"/>
  <c r="Q253" i="25"/>
  <c r="H247" i="25"/>
  <c r="J419" i="25"/>
  <c r="R409" i="25"/>
  <c r="G270" i="25"/>
  <c r="G201" i="25"/>
  <c r="L279" i="25"/>
  <c r="L210" i="25"/>
  <c r="H232" i="25"/>
  <c r="R410" i="25"/>
  <c r="T400" i="25"/>
  <c r="M414" i="25"/>
  <c r="O222" i="25"/>
  <c r="O291" i="25"/>
  <c r="R255" i="25"/>
  <c r="N197" i="25"/>
  <c r="N266" i="25"/>
  <c r="G403" i="25"/>
  <c r="I204" i="25"/>
  <c r="I273" i="25"/>
  <c r="F236" i="25"/>
  <c r="P238" i="25"/>
  <c r="T253" i="25"/>
  <c r="H424" i="25"/>
  <c r="H255" i="25"/>
  <c r="J400" i="25"/>
  <c r="G278" i="25"/>
  <c r="G209" i="25"/>
  <c r="O209" i="25"/>
  <c r="O278" i="25"/>
  <c r="H426" i="25"/>
  <c r="I249" i="25"/>
  <c r="I235" i="25"/>
  <c r="M259" i="25"/>
  <c r="K259" i="25"/>
  <c r="L243" i="25"/>
  <c r="G273" i="25"/>
  <c r="G204" i="25"/>
  <c r="O250" i="25"/>
  <c r="G203" i="25"/>
  <c r="G272" i="25"/>
  <c r="J415" i="25"/>
  <c r="N256" i="25"/>
  <c r="F420" i="25"/>
  <c r="R237" i="25"/>
  <c r="M275" i="25"/>
  <c r="M206" i="25"/>
  <c r="J287" i="25"/>
  <c r="J218" i="25"/>
  <c r="O205" i="25"/>
  <c r="O274" i="25"/>
  <c r="I208" i="25"/>
  <c r="I277" i="25"/>
  <c r="P208" i="25"/>
  <c r="P277" i="25"/>
  <c r="J257" i="25"/>
  <c r="S237" i="25"/>
  <c r="F247" i="25"/>
  <c r="J247" i="25"/>
  <c r="R283" i="25"/>
  <c r="R214" i="25"/>
  <c r="T279" i="25"/>
  <c r="T210" i="25"/>
  <c r="O201" i="25"/>
  <c r="O270" i="25"/>
  <c r="P203" i="25"/>
  <c r="P272" i="25"/>
  <c r="F245" i="25"/>
  <c r="L205" i="25"/>
  <c r="L274" i="25"/>
  <c r="R232" i="25"/>
  <c r="M219" i="25"/>
  <c r="M288" i="25"/>
  <c r="Q240" i="25"/>
  <c r="P423" i="25"/>
  <c r="T245" i="25"/>
  <c r="S274" i="25"/>
  <c r="S205" i="25"/>
  <c r="M415" i="25"/>
  <c r="S406" i="16"/>
  <c r="T406" i="16"/>
  <c r="Q407" i="16"/>
  <c r="T405" i="16"/>
  <c r="S405" i="16"/>
  <c r="D369" i="25"/>
  <c r="F229" i="25"/>
  <c r="T429" i="25"/>
  <c r="T229" i="25"/>
  <c r="R261" i="25"/>
  <c r="I429" i="25"/>
  <c r="S298" i="25"/>
  <c r="N298" i="25"/>
  <c r="I261" i="25"/>
  <c r="S429" i="25"/>
  <c r="Q229" i="25"/>
  <c r="O429" i="25"/>
  <c r="H298" i="25"/>
  <c r="L229" i="25"/>
  <c r="H261" i="25"/>
  <c r="R298" i="25"/>
  <c r="O229" i="25"/>
  <c r="N429" i="25"/>
  <c r="Q429" i="25"/>
  <c r="K298" i="25"/>
  <c r="K261" i="25"/>
  <c r="I229" i="25"/>
  <c r="M429" i="25"/>
  <c r="S261" i="25"/>
  <c r="F429" i="25"/>
  <c r="J298" i="25"/>
  <c r="F298" i="25"/>
  <c r="P229" i="25"/>
  <c r="F261" i="25"/>
  <c r="R429" i="25"/>
  <c r="N261" i="25"/>
  <c r="O298" i="25"/>
  <c r="T298" i="25"/>
  <c r="L429" i="25"/>
  <c r="M298" i="25"/>
  <c r="H229" i="25"/>
  <c r="G298" i="25"/>
  <c r="G261" i="25"/>
  <c r="K429" i="25"/>
  <c r="K229" i="25"/>
  <c r="M261" i="25"/>
  <c r="G429" i="25"/>
  <c r="P429" i="25"/>
  <c r="L298" i="25"/>
  <c r="Q261" i="25"/>
  <c r="G229" i="25"/>
  <c r="P261" i="25"/>
  <c r="J229" i="25"/>
  <c r="J261" i="25"/>
  <c r="H429" i="25"/>
  <c r="M229" i="25"/>
  <c r="L261" i="25"/>
  <c r="S229" i="25"/>
  <c r="I298" i="25"/>
  <c r="J429" i="25"/>
  <c r="P298" i="25"/>
  <c r="Q298" i="25"/>
  <c r="T261" i="25"/>
  <c r="O261" i="25"/>
  <c r="N229" i="25"/>
  <c r="R229" i="25"/>
  <c r="R263" i="25"/>
  <c r="G263" i="25"/>
  <c r="S407" i="16"/>
  <c r="Q408" i="16"/>
  <c r="T407" i="16"/>
  <c r="B114" i="135" a="1"/>
  <c r="B115" i="135" a="1"/>
  <c r="B116" i="135" a="1"/>
  <c r="B117" i="135" a="1"/>
  <c r="B118" i="135" a="1"/>
  <c r="J2" i="145"/>
  <c r="U82" i="135"/>
  <c r="K2" i="145"/>
  <c r="Q263" i="25"/>
  <c r="F263" i="25"/>
  <c r="T263" i="25"/>
  <c r="K263" i="25"/>
  <c r="O263" i="25"/>
  <c r="M263" i="25"/>
  <c r="I263" i="25"/>
  <c r="L263" i="25"/>
  <c r="J263" i="25"/>
  <c r="N263" i="25"/>
  <c r="H263" i="25"/>
  <c r="P263" i="25"/>
  <c r="S263" i="25"/>
  <c r="Q409" i="16"/>
  <c r="T408" i="16"/>
  <c r="S408" i="16"/>
  <c r="AK78" i="135"/>
  <c r="B155" i="135"/>
  <c r="E155" i="135"/>
  <c r="U84" i="135"/>
  <c r="U89" i="135"/>
  <c r="U87" i="135"/>
  <c r="U83" i="135"/>
  <c r="O2" i="145"/>
  <c r="W2" i="145"/>
  <c r="U2" i="145"/>
  <c r="P2" i="145"/>
  <c r="X2" i="145"/>
  <c r="AK75" i="135"/>
  <c r="B34" i="135"/>
  <c r="R34" i="135"/>
  <c r="AK67" i="135"/>
  <c r="B149" i="135"/>
  <c r="O149" i="135"/>
  <c r="B158" i="135"/>
  <c r="P158" i="135"/>
  <c r="R2" i="145"/>
  <c r="AK77" i="135"/>
  <c r="B110" i="135"/>
  <c r="AK74" i="135"/>
  <c r="B108" i="135"/>
  <c r="M116" i="135"/>
  <c r="M172" i="135"/>
  <c r="B106" i="135"/>
  <c r="K114" i="135"/>
  <c r="K170" i="135"/>
  <c r="AK62" i="135"/>
  <c r="AK70" i="135"/>
  <c r="AK66" i="135"/>
  <c r="B81" i="135"/>
  <c r="K81" i="135"/>
  <c r="B169" i="135"/>
  <c r="K169" i="135"/>
  <c r="B33" i="135"/>
  <c r="L33" i="135"/>
  <c r="L94" i="135"/>
  <c r="B90" i="135"/>
  <c r="J90" i="135"/>
  <c r="B75" i="135"/>
  <c r="M75" i="135"/>
  <c r="V90" i="135"/>
  <c r="B84" i="135"/>
  <c r="Q84" i="135"/>
  <c r="V85" i="135"/>
  <c r="B91" i="135"/>
  <c r="B168" i="135"/>
  <c r="G168" i="135"/>
  <c r="U88" i="135"/>
  <c r="B89" i="135"/>
  <c r="M89" i="135"/>
  <c r="B161" i="135"/>
  <c r="K161" i="135"/>
  <c r="B86" i="135"/>
  <c r="L86" i="135"/>
  <c r="B117" i="135"/>
  <c r="AK65" i="135"/>
  <c r="AK56" i="135"/>
  <c r="AK63" i="135"/>
  <c r="B167" i="135"/>
  <c r="L167" i="135"/>
  <c r="B77" i="135"/>
  <c r="I77" i="135"/>
  <c r="B72" i="135"/>
  <c r="N72" i="135"/>
  <c r="V89" i="135"/>
  <c r="W39" i="135"/>
  <c r="W40" i="135"/>
  <c r="W44" i="135"/>
  <c r="W45" i="135"/>
  <c r="W46" i="135"/>
  <c r="S2" i="145"/>
  <c r="Q2" i="145"/>
  <c r="L2" i="145"/>
  <c r="T2" i="145"/>
  <c r="M2" i="145"/>
  <c r="AK76" i="135"/>
  <c r="B118" i="135"/>
  <c r="B37" i="135"/>
  <c r="I37" i="135"/>
  <c r="B36" i="135"/>
  <c r="F36" i="135"/>
  <c r="F97" i="135"/>
  <c r="B107" i="135"/>
  <c r="I115" i="135"/>
  <c r="I171" i="135"/>
  <c r="B114" i="135"/>
  <c r="AK64" i="135"/>
  <c r="AK61" i="135"/>
  <c r="AK53" i="135"/>
  <c r="AK59" i="135"/>
  <c r="AK71" i="135"/>
  <c r="AK58" i="135"/>
  <c r="B76" i="135"/>
  <c r="R76" i="135"/>
  <c r="U90" i="135"/>
  <c r="B153" i="135"/>
  <c r="I153" i="135"/>
  <c r="B164" i="135"/>
  <c r="J164" i="135"/>
  <c r="B73" i="135"/>
  <c r="I73" i="135"/>
  <c r="B157" i="135"/>
  <c r="K157" i="135"/>
  <c r="V87" i="135"/>
  <c r="B160" i="135"/>
  <c r="O160" i="135"/>
  <c r="V84" i="135"/>
  <c r="B159" i="135"/>
  <c r="L159" i="135"/>
  <c r="B166" i="135"/>
  <c r="V36" i="135"/>
  <c r="V37" i="135"/>
  <c r="V39" i="135"/>
  <c r="V40" i="135"/>
  <c r="V44" i="135"/>
  <c r="V30" i="135"/>
  <c r="B71" i="135"/>
  <c r="M71" i="135"/>
  <c r="V86" i="135"/>
  <c r="B162" i="135"/>
  <c r="R162" i="135"/>
  <c r="B150" i="135"/>
  <c r="P150" i="135"/>
  <c r="B116" i="135"/>
  <c r="AK68" i="135"/>
  <c r="AK54" i="135"/>
  <c r="B154" i="135"/>
  <c r="R154" i="135"/>
  <c r="B87" i="135"/>
  <c r="B156" i="135"/>
  <c r="I156" i="135"/>
  <c r="N2" i="145"/>
  <c r="V2" i="145"/>
  <c r="B109" i="135"/>
  <c r="Q117" i="135"/>
  <c r="Q173" i="135"/>
  <c r="B35" i="135"/>
  <c r="F35" i="135"/>
  <c r="F96" i="135"/>
  <c r="B115" i="135"/>
  <c r="AK73" i="135"/>
  <c r="AK52" i="135"/>
  <c r="AK57" i="135"/>
  <c r="AK72" i="135"/>
  <c r="AK55" i="135"/>
  <c r="AK60" i="135"/>
  <c r="AK69" i="135"/>
  <c r="B152" i="135"/>
  <c r="B79" i="135"/>
  <c r="J79" i="135"/>
  <c r="U85" i="135"/>
  <c r="B83" i="135"/>
  <c r="I83" i="135"/>
  <c r="B82" i="135"/>
  <c r="B74" i="135"/>
  <c r="Q74" i="135"/>
  <c r="B85" i="135"/>
  <c r="R85" i="135"/>
  <c r="B165" i="135"/>
  <c r="O165" i="135"/>
  <c r="U86" i="135"/>
  <c r="B78" i="135"/>
  <c r="M78" i="135"/>
  <c r="B70" i="135"/>
  <c r="J70" i="135"/>
  <c r="U81" i="135"/>
  <c r="B88" i="135"/>
  <c r="F88" i="135"/>
  <c r="V88" i="135"/>
  <c r="B151" i="135"/>
  <c r="I151" i="135"/>
  <c r="B163" i="135"/>
  <c r="R163" i="135"/>
  <c r="S409" i="16"/>
  <c r="T409" i="16"/>
  <c r="G91" i="135"/>
  <c r="K91" i="135"/>
  <c r="O91" i="135"/>
  <c r="D91" i="135"/>
  <c r="H91" i="135"/>
  <c r="L91" i="135"/>
  <c r="P91" i="135"/>
  <c r="E91" i="135"/>
  <c r="I91" i="135"/>
  <c r="M91" i="135"/>
  <c r="Q91" i="135"/>
  <c r="F91" i="135"/>
  <c r="J91" i="135"/>
  <c r="N91" i="135"/>
  <c r="R91" i="135"/>
  <c r="F155" i="135"/>
  <c r="O155" i="135"/>
  <c r="P155" i="135"/>
  <c r="AF78" i="135"/>
  <c r="AE78" i="135"/>
  <c r="AI78" i="135"/>
  <c r="W78" i="135"/>
  <c r="AB78" i="135"/>
  <c r="AA78" i="135"/>
  <c r="AD78" i="135"/>
  <c r="Y78" i="135"/>
  <c r="AJ78" i="135"/>
  <c r="V78" i="135"/>
  <c r="X78" i="135"/>
  <c r="AC78" i="135"/>
  <c r="AG78" i="135"/>
  <c r="Z78" i="135"/>
  <c r="AH78" i="135"/>
  <c r="H155" i="135"/>
  <c r="N155" i="135"/>
  <c r="K155" i="135"/>
  <c r="I155" i="135"/>
  <c r="G155" i="135"/>
  <c r="M158" i="135"/>
  <c r="P116" i="135"/>
  <c r="P172" i="135"/>
  <c r="P157" i="135"/>
  <c r="M155" i="135"/>
  <c r="L155" i="135"/>
  <c r="R155" i="135"/>
  <c r="Q155" i="135"/>
  <c r="N158" i="135"/>
  <c r="G167" i="135"/>
  <c r="K158" i="135"/>
  <c r="P33" i="135"/>
  <c r="N167" i="135"/>
  <c r="D155" i="135"/>
  <c r="H90" i="135"/>
  <c r="H36" i="135"/>
  <c r="H97" i="135"/>
  <c r="F33" i="135"/>
  <c r="F94" i="135"/>
  <c r="K84" i="135"/>
  <c r="P71" i="135"/>
  <c r="H164" i="135"/>
  <c r="P164" i="135"/>
  <c r="P159" i="135"/>
  <c r="M90" i="135"/>
  <c r="J155" i="135"/>
  <c r="P36" i="135"/>
  <c r="P90" i="135"/>
  <c r="H71" i="135"/>
  <c r="D58" i="145"/>
  <c r="P77" i="135"/>
  <c r="H156" i="135"/>
  <c r="G116" i="135"/>
  <c r="G172" i="135"/>
  <c r="N89" i="135"/>
  <c r="H116" i="135"/>
  <c r="H172" i="135"/>
  <c r="D59" i="145"/>
  <c r="N116" i="135"/>
  <c r="N172" i="135"/>
  <c r="F77" i="135"/>
  <c r="M77" i="135"/>
  <c r="P76" i="135"/>
  <c r="P156" i="135"/>
  <c r="P115" i="135"/>
  <c r="P171" i="135"/>
  <c r="H76" i="135"/>
  <c r="H168" i="135"/>
  <c r="P169" i="135"/>
  <c r="P73" i="135"/>
  <c r="C60" i="145"/>
  <c r="N33" i="135"/>
  <c r="P167" i="135"/>
  <c r="H167" i="135"/>
  <c r="H84" i="135"/>
  <c r="F72" i="135"/>
  <c r="M84" i="135"/>
  <c r="G84" i="135"/>
  <c r="F167" i="135"/>
  <c r="M33" i="135"/>
  <c r="P84" i="135"/>
  <c r="H33" i="135"/>
  <c r="H94" i="135"/>
  <c r="G33" i="135"/>
  <c r="G94" i="135"/>
  <c r="D57" i="145"/>
  <c r="N84" i="135"/>
  <c r="F84" i="135"/>
  <c r="K33" i="135"/>
  <c r="K94" i="135"/>
  <c r="M167" i="135"/>
  <c r="J77" i="135"/>
  <c r="O167" i="135"/>
  <c r="Q116" i="135"/>
  <c r="Q172" i="135"/>
  <c r="N70" i="135"/>
  <c r="H149" i="135"/>
  <c r="P149" i="135"/>
  <c r="P160" i="135"/>
  <c r="P70" i="135"/>
  <c r="H160" i="135"/>
  <c r="H159" i="135"/>
  <c r="G115" i="135"/>
  <c r="G171" i="135"/>
  <c r="K167" i="135"/>
  <c r="M149" i="135"/>
  <c r="J33" i="135"/>
  <c r="J94" i="135"/>
  <c r="P117" i="135"/>
  <c r="P173" i="135"/>
  <c r="F117" i="135"/>
  <c r="F173" i="135"/>
  <c r="F160" i="135"/>
  <c r="K72" i="135"/>
  <c r="Q165" i="135"/>
  <c r="I71" i="135"/>
  <c r="K85" i="135"/>
  <c r="F114" i="135"/>
  <c r="F170" i="135"/>
  <c r="F149" i="135"/>
  <c r="L83" i="135"/>
  <c r="N168" i="135"/>
  <c r="M86" i="135"/>
  <c r="P153" i="135"/>
  <c r="G70" i="135"/>
  <c r="G81" i="135"/>
  <c r="G83" i="135"/>
  <c r="N34" i="135"/>
  <c r="N81" i="135"/>
  <c r="F83" i="135"/>
  <c r="K76" i="135"/>
  <c r="M114" i="135"/>
  <c r="M170" i="135"/>
  <c r="L115" i="135"/>
  <c r="L171" i="135"/>
  <c r="O116" i="135"/>
  <c r="O172" i="135"/>
  <c r="I163" i="135"/>
  <c r="P151" i="135"/>
  <c r="H162" i="135"/>
  <c r="H75" i="135"/>
  <c r="G169" i="135"/>
  <c r="N169" i="135"/>
  <c r="N83" i="135"/>
  <c r="K160" i="135"/>
  <c r="K156" i="135"/>
  <c r="L151" i="135"/>
  <c r="R35" i="135"/>
  <c r="J149" i="135"/>
  <c r="J156" i="135"/>
  <c r="O164" i="135"/>
  <c r="R81" i="135"/>
  <c r="I158" i="135"/>
  <c r="P114" i="135"/>
  <c r="P170" i="135"/>
  <c r="P81" i="135"/>
  <c r="G75" i="135"/>
  <c r="G161" i="135"/>
  <c r="F75" i="135"/>
  <c r="K75" i="135"/>
  <c r="M79" i="135"/>
  <c r="M161" i="135"/>
  <c r="L149" i="135"/>
  <c r="R159" i="135"/>
  <c r="J158" i="135"/>
  <c r="O78" i="135"/>
  <c r="Q78" i="135"/>
  <c r="P89" i="135"/>
  <c r="P72" i="135"/>
  <c r="P162" i="135"/>
  <c r="P161" i="135"/>
  <c r="P75" i="135"/>
  <c r="H74" i="135"/>
  <c r="H157" i="135"/>
  <c r="H79" i="135"/>
  <c r="H163" i="135"/>
  <c r="H161" i="135"/>
  <c r="G114" i="135"/>
  <c r="G170" i="135"/>
  <c r="G90" i="135"/>
  <c r="G77" i="135"/>
  <c r="G165" i="135"/>
  <c r="G158" i="135"/>
  <c r="N149" i="135"/>
  <c r="N75" i="135"/>
  <c r="N77" i="135"/>
  <c r="F116" i="135"/>
  <c r="F172" i="135"/>
  <c r="F157" i="135"/>
  <c r="F89" i="135"/>
  <c r="F156" i="135"/>
  <c r="F90" i="135"/>
  <c r="F85" i="135"/>
  <c r="K116" i="135"/>
  <c r="K172" i="135"/>
  <c r="K149" i="135"/>
  <c r="K90" i="135"/>
  <c r="K78" i="135"/>
  <c r="M76" i="135"/>
  <c r="M81" i="135"/>
  <c r="L81" i="135"/>
  <c r="L160" i="135"/>
  <c r="L77" i="135"/>
  <c r="R78" i="135"/>
  <c r="R71" i="135"/>
  <c r="R70" i="135"/>
  <c r="J115" i="135"/>
  <c r="J171" i="135"/>
  <c r="J78" i="135"/>
  <c r="J163" i="135"/>
  <c r="O89" i="135"/>
  <c r="O85" i="135"/>
  <c r="Q162" i="135"/>
  <c r="I36" i="135"/>
  <c r="I97" i="135"/>
  <c r="I84" i="135"/>
  <c r="O72" i="135"/>
  <c r="Q72" i="135"/>
  <c r="H72" i="135"/>
  <c r="H81" i="135"/>
  <c r="H158" i="135"/>
  <c r="G72" i="135"/>
  <c r="F158" i="135"/>
  <c r="R161" i="135"/>
  <c r="I78" i="135"/>
  <c r="P35" i="135"/>
  <c r="H153" i="135"/>
  <c r="H89" i="135"/>
  <c r="H77" i="135"/>
  <c r="G117" i="135"/>
  <c r="G173" i="135"/>
  <c r="G149" i="135"/>
  <c r="G160" i="135"/>
  <c r="G89" i="135"/>
  <c r="N114" i="135"/>
  <c r="N170" i="135"/>
  <c r="N90" i="135"/>
  <c r="N163" i="135"/>
  <c r="N161" i="135"/>
  <c r="F161" i="135"/>
  <c r="F81" i="135"/>
  <c r="K89" i="135"/>
  <c r="K77" i="135"/>
  <c r="M115" i="135"/>
  <c r="M171" i="135"/>
  <c r="M156" i="135"/>
  <c r="M70" i="135"/>
  <c r="L164" i="135"/>
  <c r="L163" i="135"/>
  <c r="R164" i="135"/>
  <c r="R73" i="135"/>
  <c r="J151" i="135"/>
  <c r="J71" i="135"/>
  <c r="J83" i="135"/>
  <c r="O73" i="135"/>
  <c r="Q160" i="135"/>
  <c r="I160" i="135"/>
  <c r="I70" i="135"/>
  <c r="D82" i="135"/>
  <c r="E82" i="135"/>
  <c r="Q152" i="135"/>
  <c r="E152" i="135"/>
  <c r="D152" i="135"/>
  <c r="H87" i="135"/>
  <c r="E87" i="135"/>
  <c r="D87" i="135"/>
  <c r="D166" i="135"/>
  <c r="E166" i="135"/>
  <c r="Y71" i="135"/>
  <c r="AA71" i="135"/>
  <c r="Z71" i="135"/>
  <c r="AG71" i="135"/>
  <c r="W71" i="135"/>
  <c r="AE71" i="135"/>
  <c r="AD71" i="135"/>
  <c r="AH71" i="135"/>
  <c r="AJ71" i="135"/>
  <c r="AI71" i="135"/>
  <c r="AB71" i="135"/>
  <c r="V71" i="135"/>
  <c r="AC71" i="135"/>
  <c r="X71" i="135"/>
  <c r="AF71" i="135"/>
  <c r="G153" i="135"/>
  <c r="N152" i="135"/>
  <c r="F153" i="135"/>
  <c r="K153" i="135"/>
  <c r="R168" i="135"/>
  <c r="D168" i="135"/>
  <c r="E168" i="135"/>
  <c r="K118" i="135"/>
  <c r="K174" i="135"/>
  <c r="E118" i="135"/>
  <c r="E174" i="135"/>
  <c r="D118" i="135"/>
  <c r="D174" i="135"/>
  <c r="L152" i="135"/>
  <c r="L82" i="135"/>
  <c r="R37" i="135"/>
  <c r="R87" i="135"/>
  <c r="J37" i="135"/>
  <c r="O34" i="135"/>
  <c r="O86" i="135"/>
  <c r="Q34" i="135"/>
  <c r="V69" i="135"/>
  <c r="AI69" i="135"/>
  <c r="AA69" i="135"/>
  <c r="AH69" i="135"/>
  <c r="AE69" i="135"/>
  <c r="X69" i="135"/>
  <c r="Y69" i="135"/>
  <c r="AG69" i="135"/>
  <c r="Z69" i="135"/>
  <c r="AJ69" i="135"/>
  <c r="AF69" i="135"/>
  <c r="AC69" i="135"/>
  <c r="AD69" i="135"/>
  <c r="W69" i="135"/>
  <c r="AB69" i="135"/>
  <c r="I35" i="135"/>
  <c r="I96" i="135"/>
  <c r="E35" i="135"/>
  <c r="E96" i="135"/>
  <c r="D35" i="135"/>
  <c r="D96" i="135"/>
  <c r="P37" i="135"/>
  <c r="P82" i="135"/>
  <c r="P163" i="135"/>
  <c r="P88" i="135"/>
  <c r="P83" i="135"/>
  <c r="H118" i="135"/>
  <c r="H174" i="135"/>
  <c r="H83" i="135"/>
  <c r="H151" i="135"/>
  <c r="H82" i="135"/>
  <c r="H88" i="135"/>
  <c r="H70" i="135"/>
  <c r="H166" i="135"/>
  <c r="Z44" i="135"/>
  <c r="Z45" i="135"/>
  <c r="Z46" i="135"/>
  <c r="Z39" i="135"/>
  <c r="Z40" i="135"/>
  <c r="C61" i="145"/>
  <c r="E60" i="145"/>
  <c r="C59" i="145"/>
  <c r="E57" i="145"/>
  <c r="AI54" i="135"/>
  <c r="AB54" i="135"/>
  <c r="V54" i="135"/>
  <c r="Z54" i="135"/>
  <c r="W54" i="135"/>
  <c r="AE54" i="135"/>
  <c r="X54" i="135"/>
  <c r="AA54" i="135"/>
  <c r="AC54" i="135"/>
  <c r="AD54" i="135"/>
  <c r="Y54" i="135"/>
  <c r="AH54" i="135"/>
  <c r="AJ54" i="135"/>
  <c r="AG54" i="135"/>
  <c r="AF54" i="135"/>
  <c r="E162" i="135"/>
  <c r="D162" i="135"/>
  <c r="V45" i="135"/>
  <c r="E159" i="135"/>
  <c r="D159" i="135"/>
  <c r="D157" i="135"/>
  <c r="E157" i="135"/>
  <c r="AI59" i="135"/>
  <c r="X59" i="135"/>
  <c r="AG59" i="135"/>
  <c r="AA59" i="135"/>
  <c r="AJ59" i="135"/>
  <c r="V59" i="135"/>
  <c r="AC59" i="135"/>
  <c r="AD59" i="135"/>
  <c r="AF59" i="135"/>
  <c r="AH59" i="135"/>
  <c r="Y59" i="135"/>
  <c r="AE59" i="135"/>
  <c r="AB59" i="135"/>
  <c r="W59" i="135"/>
  <c r="Z59" i="135"/>
  <c r="G37" i="135"/>
  <c r="G35" i="135"/>
  <c r="G96" i="135"/>
  <c r="G164" i="135"/>
  <c r="G76" i="135"/>
  <c r="G166" i="135"/>
  <c r="N118" i="135"/>
  <c r="N174" i="135"/>
  <c r="N36" i="135"/>
  <c r="N74" i="135"/>
  <c r="N79" i="135"/>
  <c r="N71" i="135"/>
  <c r="N88" i="135"/>
  <c r="N151" i="135"/>
  <c r="N73" i="135"/>
  <c r="N165" i="135"/>
  <c r="AF39" i="135"/>
  <c r="AF40" i="135"/>
  <c r="AF44" i="135"/>
  <c r="AF45" i="135"/>
  <c r="AF46" i="135"/>
  <c r="F37" i="135"/>
  <c r="F115" i="135"/>
  <c r="F171" i="135"/>
  <c r="F164" i="135"/>
  <c r="F74" i="135"/>
  <c r="F86" i="135"/>
  <c r="F151" i="135"/>
  <c r="F165" i="135"/>
  <c r="F71" i="135"/>
  <c r="F168" i="135"/>
  <c r="F87" i="135"/>
  <c r="F82" i="135"/>
  <c r="K117" i="135"/>
  <c r="K173" i="135"/>
  <c r="K115" i="135"/>
  <c r="K171" i="135"/>
  <c r="K152" i="135"/>
  <c r="K151" i="135"/>
  <c r="K79" i="135"/>
  <c r="K165" i="135"/>
  <c r="K83" i="135"/>
  <c r="K70" i="135"/>
  <c r="AC39" i="135"/>
  <c r="AC40" i="135"/>
  <c r="AC44" i="135"/>
  <c r="AC45" i="135"/>
  <c r="AC46" i="135"/>
  <c r="M36" i="135"/>
  <c r="M95" i="135"/>
  <c r="M153" i="135"/>
  <c r="M159" i="135"/>
  <c r="M163" i="135"/>
  <c r="M151" i="135"/>
  <c r="M87" i="135"/>
  <c r="M165" i="135"/>
  <c r="M157" i="135"/>
  <c r="E72" i="135"/>
  <c r="D72" i="135"/>
  <c r="AH56" i="135"/>
  <c r="AB56" i="135"/>
  <c r="Z56" i="135"/>
  <c r="AJ56" i="135"/>
  <c r="AI56" i="135"/>
  <c r="V56" i="135"/>
  <c r="AG56" i="135"/>
  <c r="AD56" i="135"/>
  <c r="W56" i="135"/>
  <c r="AF56" i="135"/>
  <c r="AC56" i="135"/>
  <c r="Y56" i="135"/>
  <c r="X56" i="135"/>
  <c r="AE56" i="135"/>
  <c r="AA56" i="135"/>
  <c r="D161" i="135"/>
  <c r="E161" i="135"/>
  <c r="E75" i="135"/>
  <c r="D75" i="135"/>
  <c r="E81" i="135"/>
  <c r="D81" i="135"/>
  <c r="H114" i="135"/>
  <c r="H170" i="135"/>
  <c r="D114" i="135"/>
  <c r="D170" i="135"/>
  <c r="E114" i="135"/>
  <c r="E170" i="135"/>
  <c r="AC77" i="135"/>
  <c r="AI77" i="135"/>
  <c r="AG77" i="135"/>
  <c r="Y77" i="135"/>
  <c r="AJ77" i="135"/>
  <c r="AB77" i="135"/>
  <c r="AD77" i="135"/>
  <c r="W77" i="135"/>
  <c r="AA77" i="135"/>
  <c r="AH77" i="135"/>
  <c r="AF77" i="135"/>
  <c r="Z77" i="135"/>
  <c r="X77" i="135"/>
  <c r="V77" i="135"/>
  <c r="AE77" i="135"/>
  <c r="L36" i="135"/>
  <c r="L97" i="135"/>
  <c r="L114" i="135"/>
  <c r="L170" i="135"/>
  <c r="L154" i="135"/>
  <c r="L153" i="135"/>
  <c r="L162" i="135"/>
  <c r="L76" i="135"/>
  <c r="L79" i="135"/>
  <c r="L71" i="135"/>
  <c r="L161" i="135"/>
  <c r="L73" i="135"/>
  <c r="L165" i="135"/>
  <c r="L70" i="135"/>
  <c r="AD39" i="135"/>
  <c r="AD40" i="135"/>
  <c r="AD44" i="135"/>
  <c r="AD45" i="135"/>
  <c r="AD46" i="135"/>
  <c r="L158" i="135"/>
  <c r="E158" i="135"/>
  <c r="D158" i="135"/>
  <c r="AD75" i="135"/>
  <c r="Z75" i="135"/>
  <c r="AB75" i="135"/>
  <c r="W75" i="135"/>
  <c r="AC75" i="135"/>
  <c r="AH75" i="135"/>
  <c r="AG75" i="135"/>
  <c r="AI75" i="135"/>
  <c r="AE75" i="135"/>
  <c r="AA75" i="135"/>
  <c r="Y75" i="135"/>
  <c r="AJ75" i="135"/>
  <c r="X75" i="135"/>
  <c r="V75" i="135"/>
  <c r="AF75" i="135"/>
  <c r="R36" i="135"/>
  <c r="R114" i="135"/>
  <c r="R170" i="135"/>
  <c r="R153" i="135"/>
  <c r="R33" i="135"/>
  <c r="R86" i="135"/>
  <c r="R90" i="135"/>
  <c r="R157" i="135"/>
  <c r="R156" i="135"/>
  <c r="R82" i="135"/>
  <c r="R75" i="135"/>
  <c r="J36" i="135"/>
  <c r="J97" i="135"/>
  <c r="J34" i="135"/>
  <c r="J95" i="135"/>
  <c r="J72" i="135"/>
  <c r="J162" i="135"/>
  <c r="J74" i="135"/>
  <c r="J152" i="135"/>
  <c r="J81" i="135"/>
  <c r="J86" i="135"/>
  <c r="J75" i="135"/>
  <c r="J87" i="135"/>
  <c r="O117" i="135"/>
  <c r="O173" i="135"/>
  <c r="O35" i="135"/>
  <c r="O79" i="135"/>
  <c r="O153" i="135"/>
  <c r="O159" i="135"/>
  <c r="O71" i="135"/>
  <c r="O166" i="135"/>
  <c r="O151" i="135"/>
  <c r="O158" i="135"/>
  <c r="O156" i="135"/>
  <c r="Q115" i="135"/>
  <c r="Q171" i="135"/>
  <c r="Q164" i="135"/>
  <c r="Q154" i="135"/>
  <c r="Q71" i="135"/>
  <c r="Q79" i="135"/>
  <c r="Q75" i="135"/>
  <c r="Q153" i="135"/>
  <c r="Q77" i="135"/>
  <c r="Q161" i="135"/>
  <c r="Q87" i="135"/>
  <c r="I118" i="135"/>
  <c r="I174" i="135"/>
  <c r="I154" i="135"/>
  <c r="I33" i="135"/>
  <c r="I94" i="135"/>
  <c r="I79" i="135"/>
  <c r="I72" i="135"/>
  <c r="I75" i="135"/>
  <c r="I81" i="135"/>
  <c r="I152" i="135"/>
  <c r="E88" i="135"/>
  <c r="D88" i="135"/>
  <c r="X72" i="135"/>
  <c r="AC72" i="135"/>
  <c r="AA72" i="135"/>
  <c r="AF72" i="135"/>
  <c r="AD72" i="135"/>
  <c r="AJ72" i="135"/>
  <c r="AH72" i="135"/>
  <c r="W72" i="135"/>
  <c r="AB72" i="135"/>
  <c r="Y72" i="135"/>
  <c r="AG72" i="135"/>
  <c r="V72" i="135"/>
  <c r="AI72" i="135"/>
  <c r="Z72" i="135"/>
  <c r="AE72" i="135"/>
  <c r="D150" i="135"/>
  <c r="E150" i="135"/>
  <c r="W64" i="135"/>
  <c r="AA64" i="135"/>
  <c r="Y64" i="135"/>
  <c r="AG64" i="135"/>
  <c r="AF64" i="135"/>
  <c r="AB64" i="135"/>
  <c r="AH64" i="135"/>
  <c r="AJ64" i="135"/>
  <c r="V64" i="135"/>
  <c r="AI64" i="135"/>
  <c r="AE64" i="135"/>
  <c r="AD64" i="135"/>
  <c r="X64" i="135"/>
  <c r="Z64" i="135"/>
  <c r="AC64" i="135"/>
  <c r="F150" i="135"/>
  <c r="M37" i="135"/>
  <c r="M96" i="135"/>
  <c r="X63" i="135"/>
  <c r="AA63" i="135"/>
  <c r="V63" i="135"/>
  <c r="AF63" i="135"/>
  <c r="AH63" i="135"/>
  <c r="AD63" i="135"/>
  <c r="W63" i="135"/>
  <c r="AJ63" i="135"/>
  <c r="AE63" i="135"/>
  <c r="AC63" i="135"/>
  <c r="AG63" i="135"/>
  <c r="Y63" i="135"/>
  <c r="Z63" i="135"/>
  <c r="AI63" i="135"/>
  <c r="AB63" i="135"/>
  <c r="Q169" i="135"/>
  <c r="D169" i="135"/>
  <c r="E169" i="135"/>
  <c r="O88" i="135"/>
  <c r="Q88" i="135"/>
  <c r="Q166" i="135"/>
  <c r="Q150" i="135"/>
  <c r="I82" i="135"/>
  <c r="AA39" i="135"/>
  <c r="AA40" i="135"/>
  <c r="AA44" i="135"/>
  <c r="AA45" i="135"/>
  <c r="AA46" i="135"/>
  <c r="D165" i="135"/>
  <c r="E165" i="135"/>
  <c r="AJ57" i="135"/>
  <c r="W57" i="135"/>
  <c r="AI57" i="135"/>
  <c r="AH57" i="135"/>
  <c r="AE57" i="135"/>
  <c r="AF57" i="135"/>
  <c r="AC57" i="135"/>
  <c r="Z57" i="135"/>
  <c r="AG57" i="135"/>
  <c r="X57" i="135"/>
  <c r="AA57" i="135"/>
  <c r="AD57" i="135"/>
  <c r="AB57" i="135"/>
  <c r="V57" i="135"/>
  <c r="Y57" i="135"/>
  <c r="E151" i="135"/>
  <c r="D151" i="135"/>
  <c r="D70" i="135"/>
  <c r="E70" i="135"/>
  <c r="M85" i="135"/>
  <c r="E85" i="135"/>
  <c r="D85" i="135"/>
  <c r="V60" i="135"/>
  <c r="AF60" i="135"/>
  <c r="AC60" i="135"/>
  <c r="AE60" i="135"/>
  <c r="AG60" i="135"/>
  <c r="AA60" i="135"/>
  <c r="AB60" i="135"/>
  <c r="AH60" i="135"/>
  <c r="AD60" i="135"/>
  <c r="W60" i="135"/>
  <c r="AJ60" i="135"/>
  <c r="Y60" i="135"/>
  <c r="X60" i="135"/>
  <c r="AI60" i="135"/>
  <c r="Z60" i="135"/>
  <c r="AB52" i="135"/>
  <c r="V52" i="135"/>
  <c r="AE52" i="135"/>
  <c r="AG52" i="135"/>
  <c r="AJ52" i="135"/>
  <c r="AF52" i="135"/>
  <c r="X52" i="135"/>
  <c r="AC52" i="135"/>
  <c r="AI52" i="135"/>
  <c r="AD52" i="135"/>
  <c r="Z52" i="135"/>
  <c r="AH52" i="135"/>
  <c r="AA52" i="135"/>
  <c r="Y52" i="135"/>
  <c r="W52" i="135"/>
  <c r="J117" i="135"/>
  <c r="J173" i="135"/>
  <c r="E117" i="135"/>
  <c r="E173" i="135"/>
  <c r="D117" i="135"/>
  <c r="D173" i="135"/>
  <c r="P154" i="135"/>
  <c r="P86" i="135"/>
  <c r="P152" i="135"/>
  <c r="P165" i="135"/>
  <c r="P78" i="135"/>
  <c r="P85" i="135"/>
  <c r="P168" i="135"/>
  <c r="H117" i="135"/>
  <c r="H173" i="135"/>
  <c r="H35" i="135"/>
  <c r="H96" i="135"/>
  <c r="H86" i="135"/>
  <c r="H154" i="135"/>
  <c r="H85" i="135"/>
  <c r="H78" i="135"/>
  <c r="E61" i="145"/>
  <c r="D60" i="145"/>
  <c r="E58" i="145"/>
  <c r="C57" i="145"/>
  <c r="AJ68" i="135"/>
  <c r="Z68" i="135"/>
  <c r="AA68" i="135"/>
  <c r="Y68" i="135"/>
  <c r="W68" i="135"/>
  <c r="AG68" i="135"/>
  <c r="X68" i="135"/>
  <c r="AE68" i="135"/>
  <c r="AI68" i="135"/>
  <c r="AB68" i="135"/>
  <c r="AF68" i="135"/>
  <c r="AC68" i="135"/>
  <c r="AH68" i="135"/>
  <c r="V68" i="135"/>
  <c r="AD68" i="135"/>
  <c r="H73" i="135"/>
  <c r="E73" i="135"/>
  <c r="D73" i="135"/>
  <c r="Q76" i="135"/>
  <c r="E76" i="135"/>
  <c r="D76" i="135"/>
  <c r="AD53" i="135"/>
  <c r="W53" i="135"/>
  <c r="Z53" i="135"/>
  <c r="AJ53" i="135"/>
  <c r="AG53" i="135"/>
  <c r="AI53" i="135"/>
  <c r="AA53" i="135"/>
  <c r="AE53" i="135"/>
  <c r="Y53" i="135"/>
  <c r="AB53" i="135"/>
  <c r="AC53" i="135"/>
  <c r="AF53" i="135"/>
  <c r="X53" i="135"/>
  <c r="AH53" i="135"/>
  <c r="V53" i="135"/>
  <c r="H115" i="135"/>
  <c r="H171" i="135"/>
  <c r="D115" i="135"/>
  <c r="D171" i="135"/>
  <c r="E115" i="135"/>
  <c r="E171" i="135"/>
  <c r="AB76" i="135"/>
  <c r="Z76" i="135"/>
  <c r="AI76" i="135"/>
  <c r="W76" i="135"/>
  <c r="AD76" i="135"/>
  <c r="AH76" i="135"/>
  <c r="AG76" i="135"/>
  <c r="AF76" i="135"/>
  <c r="AC76" i="135"/>
  <c r="AJ76" i="135"/>
  <c r="V76" i="135"/>
  <c r="X76" i="135"/>
  <c r="AE76" i="135"/>
  <c r="Y76" i="135"/>
  <c r="AA76" i="135"/>
  <c r="G34" i="135"/>
  <c r="G95" i="135"/>
  <c r="G71" i="135"/>
  <c r="G74" i="135"/>
  <c r="G79" i="135"/>
  <c r="G157" i="135"/>
  <c r="G150" i="135"/>
  <c r="G162" i="135"/>
  <c r="G163" i="135"/>
  <c r="G156" i="135"/>
  <c r="G87" i="135"/>
  <c r="N117" i="135"/>
  <c r="N173" i="135"/>
  <c r="N115" i="135"/>
  <c r="N171" i="135"/>
  <c r="N164" i="135"/>
  <c r="N166" i="135"/>
  <c r="N160" i="135"/>
  <c r="N82" i="135"/>
  <c r="N86" i="135"/>
  <c r="N85" i="135"/>
  <c r="N87" i="135"/>
  <c r="F76" i="135"/>
  <c r="F169" i="135"/>
  <c r="F78" i="135"/>
  <c r="F162" i="135"/>
  <c r="F163" i="135"/>
  <c r="F152" i="135"/>
  <c r="F79" i="135"/>
  <c r="F159" i="135"/>
  <c r="F73" i="135"/>
  <c r="K37" i="135"/>
  <c r="K35" i="135"/>
  <c r="K96" i="135"/>
  <c r="K164" i="135"/>
  <c r="K154" i="135"/>
  <c r="K87" i="135"/>
  <c r="K88" i="135"/>
  <c r="K162" i="135"/>
  <c r="K163" i="135"/>
  <c r="K168" i="135"/>
  <c r="M118" i="135"/>
  <c r="M174" i="135"/>
  <c r="M34" i="135"/>
  <c r="M169" i="135"/>
  <c r="M83" i="135"/>
  <c r="M72" i="135"/>
  <c r="M162" i="135"/>
  <c r="M73" i="135"/>
  <c r="M168" i="135"/>
  <c r="W36" i="135"/>
  <c r="W37" i="135"/>
  <c r="E77" i="135"/>
  <c r="D77" i="135"/>
  <c r="Z65" i="135"/>
  <c r="AJ65" i="135"/>
  <c r="AE65" i="135"/>
  <c r="AC65" i="135"/>
  <c r="AH65" i="135"/>
  <c r="AB65" i="135"/>
  <c r="AD65" i="135"/>
  <c r="X65" i="135"/>
  <c r="V65" i="135"/>
  <c r="AF65" i="135"/>
  <c r="W65" i="135"/>
  <c r="AA65" i="135"/>
  <c r="AG65" i="135"/>
  <c r="AI65" i="135"/>
  <c r="Y65" i="135"/>
  <c r="I89" i="135"/>
  <c r="E89" i="135"/>
  <c r="D89" i="135"/>
  <c r="O90" i="135"/>
  <c r="E90" i="135"/>
  <c r="D90" i="135"/>
  <c r="AD66" i="135"/>
  <c r="X66" i="135"/>
  <c r="Z66" i="135"/>
  <c r="AA66" i="135"/>
  <c r="Y66" i="135"/>
  <c r="AF66" i="135"/>
  <c r="AJ66" i="135"/>
  <c r="V66" i="135"/>
  <c r="AG66" i="135"/>
  <c r="AC66" i="135"/>
  <c r="AH66" i="135"/>
  <c r="AI66" i="135"/>
  <c r="AE66" i="135"/>
  <c r="AB66" i="135"/>
  <c r="W66" i="135"/>
  <c r="I116" i="135"/>
  <c r="I172" i="135"/>
  <c r="E116" i="135"/>
  <c r="E172" i="135"/>
  <c r="D116" i="135"/>
  <c r="D172" i="135"/>
  <c r="L118" i="135"/>
  <c r="L174" i="135"/>
  <c r="L116" i="135"/>
  <c r="L172" i="135"/>
  <c r="L34" i="135"/>
  <c r="L95" i="135"/>
  <c r="L75" i="135"/>
  <c r="L169" i="135"/>
  <c r="L72" i="135"/>
  <c r="L156" i="135"/>
  <c r="L87" i="135"/>
  <c r="L85" i="135"/>
  <c r="I149" i="135"/>
  <c r="D149" i="135"/>
  <c r="E149" i="135"/>
  <c r="R118" i="135"/>
  <c r="R174" i="135"/>
  <c r="R116" i="135"/>
  <c r="R172" i="135"/>
  <c r="R169" i="135"/>
  <c r="R72" i="135"/>
  <c r="R149" i="135"/>
  <c r="R160" i="135"/>
  <c r="R152" i="135"/>
  <c r="R165" i="135"/>
  <c r="R166" i="135"/>
  <c r="R83" i="135"/>
  <c r="AJ39" i="135"/>
  <c r="AJ40" i="135"/>
  <c r="AJ44" i="135"/>
  <c r="AJ45" i="135"/>
  <c r="AJ46" i="135"/>
  <c r="J116" i="135"/>
  <c r="J172" i="135"/>
  <c r="J114" i="135"/>
  <c r="J170" i="135"/>
  <c r="J160" i="135"/>
  <c r="J76" i="135"/>
  <c r="J89" i="135"/>
  <c r="J157" i="135"/>
  <c r="J85" i="135"/>
  <c r="J168" i="135"/>
  <c r="J166" i="135"/>
  <c r="J165" i="135"/>
  <c r="O37" i="135"/>
  <c r="O115" i="135"/>
  <c r="O171" i="135"/>
  <c r="O77" i="135"/>
  <c r="O169" i="135"/>
  <c r="O162" i="135"/>
  <c r="O70" i="135"/>
  <c r="O152" i="135"/>
  <c r="O168" i="135"/>
  <c r="O161" i="135"/>
  <c r="O75" i="135"/>
  <c r="O150" i="135"/>
  <c r="Q37" i="135"/>
  <c r="Q35" i="135"/>
  <c r="Q149" i="135"/>
  <c r="Q89" i="135"/>
  <c r="Q81" i="135"/>
  <c r="Q168" i="135"/>
  <c r="Q70" i="135"/>
  <c r="Q90" i="135"/>
  <c r="Q158" i="135"/>
  <c r="Q85" i="135"/>
  <c r="Q82" i="135"/>
  <c r="I114" i="135"/>
  <c r="I170" i="135"/>
  <c r="I169" i="135"/>
  <c r="I157" i="135"/>
  <c r="I159" i="135"/>
  <c r="I150" i="135"/>
  <c r="I161" i="135"/>
  <c r="I76" i="135"/>
  <c r="I166" i="135"/>
  <c r="AH39" i="135"/>
  <c r="AH40" i="135"/>
  <c r="AH44" i="135"/>
  <c r="AH45" i="135"/>
  <c r="AH46" i="135"/>
  <c r="M154" i="135"/>
  <c r="E154" i="135"/>
  <c r="D154" i="135"/>
  <c r="W30" i="135"/>
  <c r="X30" i="135"/>
  <c r="E153" i="135"/>
  <c r="D153" i="135"/>
  <c r="D37" i="135"/>
  <c r="E37" i="135"/>
  <c r="G82" i="135"/>
  <c r="N154" i="135"/>
  <c r="X39" i="135"/>
  <c r="X40" i="135"/>
  <c r="X44" i="135"/>
  <c r="X45" i="135"/>
  <c r="X46" i="135"/>
  <c r="X36" i="135"/>
  <c r="X37" i="135"/>
  <c r="M166" i="135"/>
  <c r="M82" i="135"/>
  <c r="Q86" i="135"/>
  <c r="E86" i="135"/>
  <c r="D86" i="135"/>
  <c r="W62" i="135"/>
  <c r="AF62" i="135"/>
  <c r="AG62" i="135"/>
  <c r="AD62" i="135"/>
  <c r="AJ62" i="135"/>
  <c r="Y62" i="135"/>
  <c r="V62" i="135"/>
  <c r="Z62" i="135"/>
  <c r="AE62" i="135"/>
  <c r="AI62" i="135"/>
  <c r="X62" i="135"/>
  <c r="AB62" i="135"/>
  <c r="AC62" i="135"/>
  <c r="AA62" i="135"/>
  <c r="AH62" i="135"/>
  <c r="L37" i="135"/>
  <c r="E34" i="135"/>
  <c r="E95" i="135"/>
  <c r="D34" i="135"/>
  <c r="D95" i="135"/>
  <c r="J154" i="135"/>
  <c r="O118" i="135"/>
  <c r="O174" i="135"/>
  <c r="Q118" i="135"/>
  <c r="Q174" i="135"/>
  <c r="I86" i="135"/>
  <c r="O163" i="135"/>
  <c r="E163" i="135"/>
  <c r="D163" i="135"/>
  <c r="E83" i="135"/>
  <c r="D83" i="135"/>
  <c r="E78" i="135"/>
  <c r="D78" i="135"/>
  <c r="E74" i="135"/>
  <c r="D74" i="135"/>
  <c r="D79" i="135"/>
  <c r="E79" i="135"/>
  <c r="AG55" i="135"/>
  <c r="Z55" i="135"/>
  <c r="V55" i="135"/>
  <c r="AJ55" i="135"/>
  <c r="AC55" i="135"/>
  <c r="AB55" i="135"/>
  <c r="AH55" i="135"/>
  <c r="W55" i="135"/>
  <c r="AF55" i="135"/>
  <c r="AD55" i="135"/>
  <c r="AA55" i="135"/>
  <c r="AI55" i="135"/>
  <c r="X55" i="135"/>
  <c r="Y55" i="135"/>
  <c r="AE55" i="135"/>
  <c r="AH73" i="135"/>
  <c r="W73" i="135"/>
  <c r="AB73" i="135"/>
  <c r="AI73" i="135"/>
  <c r="AD73" i="135"/>
  <c r="Z73" i="135"/>
  <c r="Y73" i="135"/>
  <c r="AE73" i="135"/>
  <c r="AA73" i="135"/>
  <c r="V73" i="135"/>
  <c r="AC73" i="135"/>
  <c r="AJ73" i="135"/>
  <c r="AG73" i="135"/>
  <c r="AF73" i="135"/>
  <c r="X73" i="135"/>
  <c r="P118" i="135"/>
  <c r="P174" i="135"/>
  <c r="P34" i="135"/>
  <c r="P74" i="135"/>
  <c r="P79" i="135"/>
  <c r="P166" i="135"/>
  <c r="P87" i="135"/>
  <c r="H37" i="135"/>
  <c r="H34" i="135"/>
  <c r="H95" i="135"/>
  <c r="H169" i="135"/>
  <c r="H152" i="135"/>
  <c r="H150" i="135"/>
  <c r="H165" i="135"/>
  <c r="Q156" i="135"/>
  <c r="D156" i="135"/>
  <c r="E156" i="135"/>
  <c r="D61" i="145"/>
  <c r="E59" i="145"/>
  <c r="C58" i="145"/>
  <c r="D71" i="135"/>
  <c r="E71" i="135"/>
  <c r="D160" i="135"/>
  <c r="E160" i="135"/>
  <c r="M164" i="135"/>
  <c r="D164" i="135"/>
  <c r="E164" i="135"/>
  <c r="Y58" i="135"/>
  <c r="AA58" i="135"/>
  <c r="AC58" i="135"/>
  <c r="AF58" i="135"/>
  <c r="W58" i="135"/>
  <c r="AJ58" i="135"/>
  <c r="X58" i="135"/>
  <c r="AD58" i="135"/>
  <c r="AH58" i="135"/>
  <c r="V58" i="135"/>
  <c r="AE58" i="135"/>
  <c r="AG58" i="135"/>
  <c r="AB58" i="135"/>
  <c r="Z58" i="135"/>
  <c r="AI58" i="135"/>
  <c r="AI61" i="135"/>
  <c r="AF61" i="135"/>
  <c r="AH61" i="135"/>
  <c r="W61" i="135"/>
  <c r="AJ61" i="135"/>
  <c r="X61" i="135"/>
  <c r="AB61" i="135"/>
  <c r="AD61" i="135"/>
  <c r="V61" i="135"/>
  <c r="AG61" i="135"/>
  <c r="AE61" i="135"/>
  <c r="AC61" i="135"/>
  <c r="Z61" i="135"/>
  <c r="Y61" i="135"/>
  <c r="AA61" i="135"/>
  <c r="D36" i="135"/>
  <c r="D97" i="135"/>
  <c r="E36" i="135"/>
  <c r="E97" i="135"/>
  <c r="G118" i="135"/>
  <c r="G174" i="135"/>
  <c r="G36" i="135"/>
  <c r="G97" i="135"/>
  <c r="G151" i="135"/>
  <c r="G154" i="135"/>
  <c r="G88" i="135"/>
  <c r="G152" i="135"/>
  <c r="G86" i="135"/>
  <c r="G73" i="135"/>
  <c r="G85" i="135"/>
  <c r="G78" i="135"/>
  <c r="G159" i="135"/>
  <c r="Y39" i="135"/>
  <c r="Y40" i="135"/>
  <c r="Y44" i="135"/>
  <c r="Y45" i="135"/>
  <c r="Y46" i="135"/>
  <c r="N37" i="135"/>
  <c r="N35" i="135"/>
  <c r="N76" i="135"/>
  <c r="N153" i="135"/>
  <c r="N157" i="135"/>
  <c r="N156" i="135"/>
  <c r="N162" i="135"/>
  <c r="N78" i="135"/>
  <c r="N159" i="135"/>
  <c r="N150" i="135"/>
  <c r="F118" i="135"/>
  <c r="F174" i="135"/>
  <c r="F34" i="135"/>
  <c r="F95" i="135"/>
  <c r="F154" i="135"/>
  <c r="F166" i="135"/>
  <c r="F70" i="135"/>
  <c r="K36" i="135"/>
  <c r="K97" i="135"/>
  <c r="K34" i="135"/>
  <c r="K95" i="135"/>
  <c r="K82" i="135"/>
  <c r="K74" i="135"/>
  <c r="K71" i="135"/>
  <c r="K86" i="135"/>
  <c r="K166" i="135"/>
  <c r="K159" i="135"/>
  <c r="K150" i="135"/>
  <c r="K73" i="135"/>
  <c r="M117" i="135"/>
  <c r="M173" i="135"/>
  <c r="M35" i="135"/>
  <c r="M94" i="135"/>
  <c r="M152" i="135"/>
  <c r="M160" i="135"/>
  <c r="M74" i="135"/>
  <c r="M88" i="135"/>
  <c r="M150" i="135"/>
  <c r="AE39" i="135"/>
  <c r="AE40" i="135"/>
  <c r="AE44" i="135"/>
  <c r="AE45" i="135"/>
  <c r="AE46" i="135"/>
  <c r="I167" i="135"/>
  <c r="D167" i="135"/>
  <c r="E167" i="135"/>
  <c r="D84" i="135"/>
  <c r="E84" i="135"/>
  <c r="D33" i="135"/>
  <c r="D94" i="135"/>
  <c r="E33" i="135"/>
  <c r="E94" i="135"/>
  <c r="AG70" i="135"/>
  <c r="AH70" i="135"/>
  <c r="AA70" i="135"/>
  <c r="V70" i="135"/>
  <c r="AF70" i="135"/>
  <c r="W70" i="135"/>
  <c r="AC70" i="135"/>
  <c r="AB70" i="135"/>
  <c r="AI70" i="135"/>
  <c r="Z70" i="135"/>
  <c r="AD70" i="135"/>
  <c r="Y70" i="135"/>
  <c r="AJ70" i="135"/>
  <c r="X70" i="135"/>
  <c r="AE70" i="135"/>
  <c r="Z74" i="135"/>
  <c r="W74" i="135"/>
  <c r="X74" i="135"/>
  <c r="V74" i="135"/>
  <c r="AI74" i="135"/>
  <c r="AF74" i="135"/>
  <c r="AJ74" i="135"/>
  <c r="AA74" i="135"/>
  <c r="AE74" i="135"/>
  <c r="Y74" i="135"/>
  <c r="AD74" i="135"/>
  <c r="AG74" i="135"/>
  <c r="AC74" i="135"/>
  <c r="AH74" i="135"/>
  <c r="AB74" i="135"/>
  <c r="L117" i="135"/>
  <c r="L173" i="135"/>
  <c r="L35" i="135"/>
  <c r="L96" i="135"/>
  <c r="L84" i="135"/>
  <c r="L74" i="135"/>
  <c r="L88" i="135"/>
  <c r="L89" i="135"/>
  <c r="L157" i="135"/>
  <c r="L78" i="135"/>
  <c r="L166" i="135"/>
  <c r="L168" i="135"/>
  <c r="L150" i="135"/>
  <c r="L90" i="135"/>
  <c r="AG67" i="135"/>
  <c r="AE67" i="135"/>
  <c r="V67" i="135"/>
  <c r="Z67" i="135"/>
  <c r="AA67" i="135"/>
  <c r="AC67" i="135"/>
  <c r="AB67" i="135"/>
  <c r="AD67" i="135"/>
  <c r="AI67" i="135"/>
  <c r="AH67" i="135"/>
  <c r="X67" i="135"/>
  <c r="Y67" i="135"/>
  <c r="AF67" i="135"/>
  <c r="AJ67" i="135"/>
  <c r="W67" i="135"/>
  <c r="R117" i="135"/>
  <c r="R173" i="135"/>
  <c r="R115" i="135"/>
  <c r="R171" i="135"/>
  <c r="R89" i="135"/>
  <c r="R74" i="135"/>
  <c r="R84" i="135"/>
  <c r="R88" i="135"/>
  <c r="R167" i="135"/>
  <c r="R151" i="135"/>
  <c r="R79" i="135"/>
  <c r="R150" i="135"/>
  <c r="R77" i="135"/>
  <c r="R158" i="135"/>
  <c r="J118" i="135"/>
  <c r="J174" i="135"/>
  <c r="J35" i="135"/>
  <c r="J96" i="135"/>
  <c r="J84" i="135"/>
  <c r="J169" i="135"/>
  <c r="J153" i="135"/>
  <c r="J167" i="135"/>
  <c r="J73" i="135"/>
  <c r="J161" i="135"/>
  <c r="J88" i="135"/>
  <c r="J82" i="135"/>
  <c r="J159" i="135"/>
  <c r="J150" i="135"/>
  <c r="AB39" i="135"/>
  <c r="AB40" i="135"/>
  <c r="AB44" i="135"/>
  <c r="AB45" i="135"/>
  <c r="AB46" i="135"/>
  <c r="O36" i="135"/>
  <c r="O114" i="135"/>
  <c r="O170" i="135"/>
  <c r="O74" i="135"/>
  <c r="O84" i="135"/>
  <c r="O154" i="135"/>
  <c r="O157" i="135"/>
  <c r="O76" i="135"/>
  <c r="O33" i="135"/>
  <c r="O81" i="135"/>
  <c r="O83" i="135"/>
  <c r="O87" i="135"/>
  <c r="O82" i="135"/>
  <c r="AG39" i="135"/>
  <c r="AG40" i="135"/>
  <c r="AG44" i="135"/>
  <c r="AG45" i="135"/>
  <c r="AG46" i="135"/>
  <c r="Q36" i="135"/>
  <c r="Q114" i="135"/>
  <c r="Q170" i="135"/>
  <c r="Q83" i="135"/>
  <c r="Q157" i="135"/>
  <c r="Q151" i="135"/>
  <c r="Q33" i="135"/>
  <c r="Q167" i="135"/>
  <c r="Q159" i="135"/>
  <c r="Q73" i="135"/>
  <c r="Q163" i="135"/>
  <c r="AI44" i="135"/>
  <c r="AI45" i="135"/>
  <c r="AI46" i="135"/>
  <c r="AI39" i="135"/>
  <c r="AI40" i="135"/>
  <c r="I117" i="135"/>
  <c r="I173" i="135"/>
  <c r="I34" i="135"/>
  <c r="I95" i="135"/>
  <c r="I74" i="135"/>
  <c r="I162" i="135"/>
  <c r="I88" i="135"/>
  <c r="I168" i="135"/>
  <c r="I87" i="135"/>
  <c r="I164" i="135"/>
  <c r="I85" i="135"/>
  <c r="I90" i="135"/>
  <c r="I165" i="135"/>
  <c r="AN78" i="135"/>
  <c r="U154" i="135"/>
  <c r="AN64" i="135"/>
  <c r="Y36" i="135"/>
  <c r="Y37" i="135"/>
  <c r="AN66" i="135"/>
  <c r="AN65" i="135"/>
  <c r="Y30" i="135"/>
  <c r="U164" i="135"/>
  <c r="U169" i="135"/>
  <c r="U156" i="135"/>
  <c r="U167" i="135"/>
  <c r="AN74" i="135"/>
  <c r="U166" i="135"/>
  <c r="U155" i="135"/>
  <c r="U162" i="135"/>
  <c r="U148" i="135"/>
  <c r="AN53" i="135"/>
  <c r="U168" i="135"/>
  <c r="AN75" i="135"/>
  <c r="AN56" i="135"/>
  <c r="AL44" i="135"/>
  <c r="AN54" i="135"/>
  <c r="AN69" i="135"/>
  <c r="AN67" i="135"/>
  <c r="AN61" i="135"/>
  <c r="AN52" i="135"/>
  <c r="V46" i="135"/>
  <c r="V47" i="135"/>
  <c r="W47" i="135"/>
  <c r="X47" i="135"/>
  <c r="Y47" i="135"/>
  <c r="Z47" i="135"/>
  <c r="AA47" i="135"/>
  <c r="AB47" i="135"/>
  <c r="AC47" i="135"/>
  <c r="AD47" i="135"/>
  <c r="AE47" i="135"/>
  <c r="AF47" i="135"/>
  <c r="AG47" i="135"/>
  <c r="AH47" i="135"/>
  <c r="AI47" i="135"/>
  <c r="AJ47" i="135"/>
  <c r="U173" i="135"/>
  <c r="U163" i="135"/>
  <c r="AN62" i="135"/>
  <c r="U152" i="135"/>
  <c r="U153" i="135"/>
  <c r="AN76" i="135"/>
  <c r="U170" i="135"/>
  <c r="AN68" i="135"/>
  <c r="AN57" i="135"/>
  <c r="AN63" i="135"/>
  <c r="U157" i="135"/>
  <c r="AN77" i="135"/>
  <c r="U160" i="135"/>
  <c r="AN59" i="135"/>
  <c r="U158" i="135"/>
  <c r="U161" i="135"/>
  <c r="AN71" i="135"/>
  <c r="U159" i="135"/>
  <c r="AN55" i="135"/>
  <c r="U172" i="135"/>
  <c r="AN60" i="135"/>
  <c r="AN70" i="135"/>
  <c r="AN58" i="135"/>
  <c r="AN73" i="135"/>
  <c r="U171" i="135"/>
  <c r="U150" i="135"/>
  <c r="U149" i="135"/>
  <c r="AN72" i="135"/>
  <c r="U165" i="135"/>
  <c r="U151" i="135"/>
  <c r="Z36" i="135"/>
  <c r="Z37" i="135"/>
  <c r="Z30" i="135"/>
  <c r="AA36" i="135"/>
  <c r="AA37" i="135"/>
  <c r="AA30" i="135"/>
  <c r="AB36" i="135"/>
  <c r="AB37" i="135"/>
  <c r="AB30" i="135"/>
  <c r="AC36" i="135"/>
  <c r="AC37" i="135"/>
  <c r="AC30" i="135"/>
  <c r="AD36" i="135"/>
  <c r="AD37" i="135"/>
  <c r="AD30" i="135"/>
  <c r="AE36" i="135"/>
  <c r="AE37" i="135"/>
  <c r="AE30" i="135"/>
  <c r="AF36" i="135"/>
  <c r="AG36" i="135"/>
  <c r="AF30" i="135"/>
  <c r="AF37" i="135"/>
  <c r="AG30" i="135"/>
  <c r="AG37" i="135"/>
  <c r="AH36" i="135"/>
  <c r="AH37" i="135"/>
  <c r="AI36" i="135"/>
  <c r="AH30" i="135"/>
  <c r="AI30" i="135"/>
  <c r="AJ30" i="135"/>
  <c r="AK30" i="135"/>
  <c r="AI37" i="135"/>
  <c r="AJ36" i="135"/>
  <c r="AJ37" i="135"/>
  <c r="AI31" i="135"/>
  <c r="V31" i="135"/>
  <c r="X31" i="135"/>
  <c r="W31" i="135"/>
  <c r="Y31" i="135"/>
  <c r="Z31" i="135"/>
  <c r="AA31" i="135"/>
  <c r="AB31" i="135"/>
  <c r="AC31" i="135"/>
  <c r="AD31" i="135"/>
  <c r="AE31" i="135"/>
  <c r="AF31" i="135"/>
  <c r="AG31" i="135"/>
  <c r="AH31" i="135"/>
  <c r="AE32" i="135"/>
  <c r="AA32" i="135"/>
  <c r="Z32" i="135"/>
  <c r="X32" i="135"/>
  <c r="AF32" i="135"/>
  <c r="AB32" i="135"/>
  <c r="AI32" i="135"/>
  <c r="AH32" i="135"/>
  <c r="AD32" i="135"/>
  <c r="AG32" i="135"/>
  <c r="AC32" i="135"/>
  <c r="Y32" i="135"/>
  <c r="B87" i="165"/>
  <c r="B183" i="165"/>
  <c r="S120" i="165"/>
  <c r="C87" i="165"/>
  <c r="D87" i="165"/>
  <c r="C183" i="165"/>
  <c r="D183" i="165"/>
  <c r="E87" i="165"/>
  <c r="AV156" i="165"/>
  <c r="AV157" i="165"/>
  <c r="E183" i="165"/>
  <c r="F87" i="165"/>
  <c r="T8" i="13" a="1"/>
  <c r="BC156" i="165"/>
  <c r="BC157" i="165"/>
  <c r="AD156" i="165"/>
  <c r="AD157" i="165"/>
  <c r="AU156" i="165"/>
  <c r="AU157" i="165"/>
  <c r="AZ156" i="165"/>
  <c r="AZ157" i="165"/>
  <c r="AB156" i="165"/>
  <c r="AB157" i="165"/>
  <c r="AP156" i="165"/>
  <c r="AP157" i="165"/>
  <c r="BA156" i="165"/>
  <c r="BA157" i="165"/>
  <c r="AJ156" i="165"/>
  <c r="AJ157" i="165"/>
  <c r="F183" i="165"/>
  <c r="G87" i="165"/>
  <c r="AM156" i="165"/>
  <c r="AM157" i="165"/>
  <c r="AC156" i="165"/>
  <c r="AC157" i="165"/>
  <c r="BB156" i="165"/>
  <c r="BB157" i="165"/>
  <c r="AK156" i="165"/>
  <c r="AK157" i="165"/>
  <c r="AY156" i="165"/>
  <c r="AY157" i="165"/>
  <c r="Z156" i="165"/>
  <c r="T8" i="13"/>
  <c r="AE156" i="165"/>
  <c r="AE157" i="165"/>
  <c r="AQ156" i="165"/>
  <c r="AQ157" i="165"/>
  <c r="AS156" i="165"/>
  <c r="AS157" i="165"/>
  <c r="AW156" i="165"/>
  <c r="AW157" i="165"/>
  <c r="AA156" i="165"/>
  <c r="AA157" i="165"/>
  <c r="AI156" i="165"/>
  <c r="AI157" i="165"/>
  <c r="AL156" i="165"/>
  <c r="AL157" i="165"/>
  <c r="AX156" i="165"/>
  <c r="AX157" i="165"/>
  <c r="AF156" i="165"/>
  <c r="AF157" i="165"/>
  <c r="AT156" i="165"/>
  <c r="AT157" i="165"/>
  <c r="AN156" i="165"/>
  <c r="AN157" i="165"/>
  <c r="AH156" i="165"/>
  <c r="AH157" i="165"/>
  <c r="AR156" i="165"/>
  <c r="AR157" i="165"/>
  <c r="AG156" i="165"/>
  <c r="AG157" i="165"/>
  <c r="AO156" i="165"/>
  <c r="AO157" i="165"/>
  <c r="A93" i="52"/>
  <c r="Z157" i="165"/>
  <c r="S153" i="165" a="1"/>
  <c r="G183" i="165"/>
  <c r="H87" i="165"/>
  <c r="H183" i="165"/>
  <c r="I87" i="165"/>
  <c r="U169" i="165"/>
  <c r="S157" i="165"/>
  <c r="T94" i="165"/>
  <c r="W169" i="165"/>
  <c r="V182" i="165"/>
  <c r="U164" i="165"/>
  <c r="T177" i="165"/>
  <c r="U114" i="165"/>
  <c r="U182" i="165"/>
  <c r="T155" i="165"/>
  <c r="U92" i="165"/>
  <c r="T159" i="165"/>
  <c r="U96" i="165"/>
  <c r="V160" i="165"/>
  <c r="S175" i="165"/>
  <c r="T112" i="165"/>
  <c r="S163" i="165"/>
  <c r="T100" i="165"/>
  <c r="W157" i="165"/>
  <c r="V170" i="165"/>
  <c r="U183" i="165"/>
  <c r="T165" i="165"/>
  <c r="U102" i="165"/>
  <c r="S178" i="165"/>
  <c r="T115" i="165"/>
  <c r="W180" i="165"/>
  <c r="T183" i="165"/>
  <c r="U120" i="165"/>
  <c r="W156" i="165"/>
  <c r="S159" i="165"/>
  <c r="T96" i="165"/>
  <c r="U161" i="165"/>
  <c r="W161" i="165"/>
  <c r="V174" i="165"/>
  <c r="U156" i="165"/>
  <c r="T169" i="165"/>
  <c r="U106" i="165"/>
  <c r="S182" i="165"/>
  <c r="T119" i="165"/>
  <c r="W172" i="165"/>
  <c r="T175" i="165"/>
  <c r="U112" i="165"/>
  <c r="V176" i="165"/>
  <c r="W175" i="165"/>
  <c r="T156" i="165"/>
  <c r="U93" i="165"/>
  <c r="S169" i="165"/>
  <c r="T106" i="165"/>
  <c r="W181" i="165"/>
  <c r="V163" i="165"/>
  <c r="U176" i="165"/>
  <c r="T158" i="165"/>
  <c r="U95" i="165"/>
  <c r="S180" i="165"/>
  <c r="T117" i="165"/>
  <c r="V168" i="165"/>
  <c r="T174" i="165"/>
  <c r="U111" i="165"/>
  <c r="T160" i="165"/>
  <c r="U97" i="165"/>
  <c r="S173" i="165"/>
  <c r="T110" i="165"/>
  <c r="W154" i="165"/>
  <c r="V167" i="165"/>
  <c r="U180" i="165"/>
  <c r="S176" i="165"/>
  <c r="T113" i="165"/>
  <c r="U178" i="165"/>
  <c r="W179" i="165"/>
  <c r="S171" i="165"/>
  <c r="T108" i="165"/>
  <c r="T162" i="165"/>
  <c r="U99" i="165"/>
  <c r="W167" i="165"/>
  <c r="S161" i="165"/>
  <c r="T98" i="165"/>
  <c r="W173" i="165"/>
  <c r="V155" i="165"/>
  <c r="U168" i="165"/>
  <c r="T181" i="165"/>
  <c r="U118" i="165"/>
  <c r="U174" i="165"/>
  <c r="W176" i="165"/>
  <c r="T178" i="165"/>
  <c r="U115" i="165"/>
  <c r="U177" i="165"/>
  <c r="T166" i="165"/>
  <c r="U103" i="165"/>
  <c r="S165" i="165"/>
  <c r="T102" i="165"/>
  <c r="W177" i="165"/>
  <c r="V159" i="165"/>
  <c r="U172" i="165"/>
  <c r="T154" i="165"/>
  <c r="U91" i="165"/>
  <c r="U166" i="165"/>
  <c r="W168" i="165"/>
  <c r="T170" i="165"/>
  <c r="U107" i="165"/>
  <c r="V180" i="165"/>
  <c r="U159" i="165"/>
  <c r="T172" i="165"/>
  <c r="U109" i="165"/>
  <c r="S154" i="165"/>
  <c r="T91" i="165"/>
  <c r="W166" i="165"/>
  <c r="V179" i="165"/>
  <c r="V177" i="165"/>
  <c r="V173" i="165"/>
  <c r="W159" i="165"/>
  <c r="S179" i="165"/>
  <c r="T116" i="165"/>
  <c r="U163" i="165"/>
  <c r="T176" i="165"/>
  <c r="U113" i="165"/>
  <c r="S158" i="165"/>
  <c r="T95" i="165"/>
  <c r="W170" i="165"/>
  <c r="V183" i="165"/>
  <c r="V169" i="165"/>
  <c r="S172" i="165"/>
  <c r="T109" i="165"/>
  <c r="U173" i="165"/>
  <c r="W164" i="165"/>
  <c r="W183" i="165"/>
  <c r="V172" i="165"/>
  <c r="T164" i="165"/>
  <c r="U101" i="165"/>
  <c r="S177" i="165"/>
  <c r="T114" i="165"/>
  <c r="W158" i="165"/>
  <c r="V171" i="165"/>
  <c r="U153" i="165"/>
  <c r="V90" i="165"/>
  <c r="S168" i="165"/>
  <c r="T105" i="165"/>
  <c r="U170" i="165"/>
  <c r="W171" i="165"/>
  <c r="T182" i="165"/>
  <c r="U119" i="165"/>
  <c r="U155" i="165"/>
  <c r="T168" i="165"/>
  <c r="U105" i="165"/>
  <c r="S181" i="165"/>
  <c r="T118" i="165"/>
  <c r="W162" i="165"/>
  <c r="V175" i="165"/>
  <c r="U157" i="165"/>
  <c r="S160" i="165"/>
  <c r="T97" i="165"/>
  <c r="U162" i="165"/>
  <c r="W163" i="165"/>
  <c r="V153" i="165"/>
  <c r="V162" i="165"/>
  <c r="U175" i="165"/>
  <c r="T157" i="165"/>
  <c r="U94" i="165"/>
  <c r="S170" i="165"/>
  <c r="T107" i="165"/>
  <c r="W182" i="165"/>
  <c r="T171" i="165"/>
  <c r="U108" i="165"/>
  <c r="T167" i="165"/>
  <c r="U104" i="165"/>
  <c r="V164" i="165"/>
  <c r="W153" i="165"/>
  <c r="V166" i="165"/>
  <c r="U179" i="165"/>
  <c r="T161" i="165"/>
  <c r="U98" i="165"/>
  <c r="S174" i="165"/>
  <c r="T111" i="165"/>
  <c r="W155" i="165"/>
  <c r="T163" i="165"/>
  <c r="U100" i="165"/>
  <c r="V165" i="165"/>
  <c r="S167" i="165"/>
  <c r="T104" i="165"/>
  <c r="W160" i="165"/>
  <c r="V157" i="165"/>
  <c r="V154" i="165"/>
  <c r="U167" i="165"/>
  <c r="T180" i="165"/>
  <c r="U117" i="165"/>
  <c r="S162" i="165"/>
  <c r="T99" i="165"/>
  <c r="W174" i="165"/>
  <c r="V156" i="165"/>
  <c r="V161" i="165"/>
  <c r="S164" i="165"/>
  <c r="T101" i="165"/>
  <c r="U165" i="165"/>
  <c r="U154" i="165"/>
  <c r="V158" i="165"/>
  <c r="U171" i="165"/>
  <c r="T153" i="165"/>
  <c r="U90" i="165"/>
  <c r="S166" i="165"/>
  <c r="T103" i="165"/>
  <c r="W178" i="165"/>
  <c r="T179" i="165"/>
  <c r="U116" i="165"/>
  <c r="V181" i="165"/>
  <c r="S183" i="165"/>
  <c r="T120" i="165"/>
  <c r="S156" i="165"/>
  <c r="T93" i="165"/>
  <c r="S153" i="165"/>
  <c r="T90" i="165"/>
  <c r="W165" i="165"/>
  <c r="V178" i="165"/>
  <c r="U160" i="165"/>
  <c r="T173" i="165"/>
  <c r="U110" i="165"/>
  <c r="S155" i="165"/>
  <c r="T92" i="165"/>
  <c r="U158" i="165"/>
  <c r="U181" i="165"/>
  <c r="V95" i="165"/>
  <c r="Q158" i="165"/>
  <c r="V91" i="165"/>
  <c r="Q154" i="165"/>
  <c r="V104" i="165"/>
  <c r="Q167" i="165"/>
  <c r="V98" i="165"/>
  <c r="Q161" i="165"/>
  <c r="V102" i="165"/>
  <c r="Q165" i="165"/>
  <c r="V94" i="165"/>
  <c r="Q157" i="165"/>
  <c r="V107" i="165"/>
  <c r="Q170" i="165"/>
  <c r="V109" i="165"/>
  <c r="Q172" i="165"/>
  <c r="Q174" i="165"/>
  <c r="V111" i="165"/>
  <c r="V117" i="165"/>
  <c r="Q180" i="165"/>
  <c r="V93" i="165"/>
  <c r="Q156" i="165"/>
  <c r="Q164" i="165"/>
  <c r="V101" i="165"/>
  <c r="V106" i="165"/>
  <c r="Q169" i="165"/>
  <c r="V108" i="165"/>
  <c r="Q171" i="165"/>
  <c r="V116" i="165"/>
  <c r="Q179" i="165"/>
  <c r="V92" i="165"/>
  <c r="Q155" i="165"/>
  <c r="Q163" i="165"/>
  <c r="V100" i="165"/>
  <c r="V114" i="165"/>
  <c r="Q177" i="165"/>
  <c r="V113" i="165"/>
  <c r="Q176" i="165"/>
  <c r="I183" i="165"/>
  <c r="J87" i="165"/>
  <c r="V118" i="165"/>
  <c r="Q181" i="165"/>
  <c r="V97" i="165"/>
  <c r="Q160" i="165"/>
  <c r="V112" i="165"/>
  <c r="Q175" i="165"/>
  <c r="V99" i="165"/>
  <c r="Q162" i="165"/>
  <c r="V110" i="165"/>
  <c r="Q173" i="165"/>
  <c r="V96" i="165"/>
  <c r="Q159" i="165"/>
  <c r="V103" i="165"/>
  <c r="Q166" i="165"/>
  <c r="V105" i="165"/>
  <c r="Q168" i="165"/>
  <c r="V115" i="165"/>
  <c r="Q178" i="165"/>
  <c r="V120" i="165"/>
  <c r="Q183" i="165"/>
  <c r="V119" i="165"/>
  <c r="Q182" i="165"/>
  <c r="J183" i="165"/>
  <c r="K87" i="165"/>
  <c r="K183" i="165"/>
  <c r="L87" i="165"/>
  <c r="L183" i="165"/>
  <c r="M87" i="165"/>
  <c r="M183" i="165"/>
  <c r="N87" i="165"/>
  <c r="N183" i="165"/>
  <c r="O87" i="165"/>
  <c r="O183" i="165"/>
  <c r="P87" i="165"/>
  <c r="P183" i="165"/>
  <c r="H94" i="13"/>
  <c r="B330" i="13"/>
  <c r="A94" i="13"/>
  <c r="C387" i="13"/>
  <c r="I94" i="13"/>
  <c r="G94" i="13"/>
  <c r="H96" i="13"/>
  <c r="G95" i="13"/>
  <c r="H95" i="13"/>
  <c r="A96" i="13"/>
  <c r="I96" i="13"/>
  <c r="A95" i="13"/>
  <c r="I95" i="13"/>
  <c r="G97" i="13"/>
  <c r="AH217" i="23" a="1"/>
  <c r="AH221" i="23"/>
  <c r="AC221" i="23"/>
  <c r="AH219" i="23"/>
  <c r="Y219" i="23"/>
  <c r="AH223" i="23"/>
  <c r="AF223" i="23"/>
  <c r="AH229" i="23"/>
  <c r="AB229" i="23"/>
  <c r="U229" i="23"/>
  <c r="Y229" i="23"/>
  <c r="AH225" i="23"/>
  <c r="S225" i="23"/>
  <c r="V225" i="23"/>
  <c r="X225" i="23"/>
  <c r="AH217" i="23"/>
  <c r="U217" i="23"/>
  <c r="AB217" i="23"/>
  <c r="V217" i="23"/>
  <c r="AH220" i="23"/>
  <c r="W220" i="23"/>
  <c r="AD223" i="23"/>
  <c r="AH234" i="23"/>
  <c r="AE234" i="23"/>
  <c r="Z234" i="23"/>
  <c r="X234" i="23"/>
  <c r="Y220" i="23"/>
  <c r="W225" i="23"/>
  <c r="T225" i="23"/>
  <c r="W217" i="23"/>
  <c r="T234" i="23"/>
  <c r="AD234" i="23"/>
  <c r="AF234" i="23"/>
  <c r="AD217" i="23"/>
  <c r="AA225" i="23"/>
  <c r="Z225" i="23"/>
  <c r="AG234" i="23"/>
  <c r="S234" i="23"/>
  <c r="Y225" i="23"/>
  <c r="AC225" i="23"/>
  <c r="AG225" i="23"/>
  <c r="AG217" i="23"/>
  <c r="AC219" i="23"/>
  <c r="AF220" i="23"/>
  <c r="AC217" i="23"/>
  <c r="AG223" i="23"/>
  <c r="AB223" i="23"/>
  <c r="W223" i="23"/>
  <c r="AA229" i="23"/>
  <c r="AG229" i="23"/>
  <c r="AF229" i="23"/>
  <c r="Z229" i="23"/>
  <c r="T220" i="23"/>
  <c r="Z223" i="23"/>
  <c r="AF217" i="23"/>
  <c r="Y223" i="23"/>
  <c r="AC234" i="23"/>
  <c r="U220" i="23"/>
  <c r="AD225" i="23"/>
  <c r="AB234" i="23"/>
  <c r="AE220" i="23"/>
  <c r="AG219" i="23"/>
  <c r="AD221" i="23"/>
  <c r="X223" i="23"/>
  <c r="AH228" i="23"/>
  <c r="AC228" i="23"/>
  <c r="AG228" i="23"/>
  <c r="Z228" i="23"/>
  <c r="U221" i="23"/>
  <c r="AC223" i="23"/>
  <c r="V221" i="23"/>
  <c r="W221" i="23"/>
  <c r="X221" i="23"/>
  <c r="T219" i="23"/>
  <c r="X219" i="23"/>
  <c r="AH231" i="23"/>
  <c r="S231" i="23"/>
  <c r="V231" i="23"/>
  <c r="AE231" i="23"/>
  <c r="V223" i="23"/>
  <c r="Z221" i="23"/>
  <c r="AH233" i="23"/>
  <c r="AD233" i="23"/>
  <c r="AF233" i="23"/>
  <c r="AH230" i="23"/>
  <c r="AB230" i="23"/>
  <c r="W230" i="23"/>
  <c r="AF230" i="23"/>
  <c r="AH226" i="23"/>
  <c r="AE226" i="23"/>
  <c r="U226" i="23"/>
  <c r="S226" i="23"/>
  <c r="W219" i="23"/>
  <c r="AG230" i="23"/>
  <c r="AC230" i="23"/>
  <c r="AA220" i="23"/>
  <c r="T223" i="23"/>
  <c r="AB228" i="23"/>
  <c r="U228" i="23"/>
  <c r="S228" i="23"/>
  <c r="AA228" i="23"/>
  <c r="AA221" i="23"/>
  <c r="AB221" i="23"/>
  <c r="AE219" i="23"/>
  <c r="AA219" i="23"/>
  <c r="Y231" i="23"/>
  <c r="AA231" i="23"/>
  <c r="Z231" i="23"/>
  <c r="T231" i="23"/>
  <c r="S233" i="23"/>
  <c r="Y233" i="23"/>
  <c r="T233" i="23"/>
  <c r="U233" i="23"/>
  <c r="Z230" i="23"/>
  <c r="Y230" i="23"/>
  <c r="AA230" i="23"/>
  <c r="U230" i="23"/>
  <c r="AD226" i="23"/>
  <c r="W226" i="23"/>
  <c r="AA226" i="23"/>
  <c r="AC226" i="23"/>
  <c r="Z219" i="23"/>
  <c r="AF219" i="23"/>
  <c r="U219" i="23"/>
  <c r="AD230" i="23"/>
  <c r="AE230" i="23"/>
  <c r="AH232" i="23"/>
  <c r="Z232" i="23"/>
  <c r="U232" i="23"/>
  <c r="V232" i="23"/>
  <c r="T232" i="23"/>
  <c r="AG232" i="23"/>
  <c r="AE232" i="23"/>
  <c r="AF232" i="23"/>
  <c r="AH227" i="23"/>
  <c r="AB227" i="23"/>
  <c r="T227" i="23"/>
  <c r="AD227" i="23"/>
  <c r="AC227" i="23"/>
  <c r="AA227" i="23"/>
  <c r="W227" i="23"/>
  <c r="X227" i="23"/>
  <c r="Y227" i="23"/>
  <c r="T230" i="23"/>
  <c r="AH222" i="23"/>
  <c r="AE222" i="23"/>
  <c r="AE221" i="23"/>
  <c r="S221" i="23"/>
  <c r="AG221" i="23"/>
  <c r="Y222" i="23"/>
  <c r="AB222" i="23"/>
  <c r="AC222" i="23"/>
  <c r="AD222" i="23"/>
  <c r="W222" i="23"/>
  <c r="AF222" i="23"/>
  <c r="V229" i="23"/>
  <c r="V219" i="23"/>
  <c r="S230" i="23"/>
  <c r="X229" i="23"/>
  <c r="AE229" i="23"/>
  <c r="AD229" i="23"/>
  <c r="S229" i="23"/>
  <c r="W229" i="23"/>
  <c r="S219" i="23"/>
  <c r="AD219" i="23"/>
  <c r="T228" i="23"/>
  <c r="V228" i="23"/>
  <c r="AC232" i="23"/>
  <c r="AH224" i="23"/>
  <c r="W224" i="23"/>
  <c r="AG224" i="23"/>
  <c r="U224" i="23"/>
  <c r="AA233" i="23"/>
  <c r="AB233" i="23"/>
  <c r="V226" i="23"/>
  <c r="X226" i="23"/>
  <c r="S223" i="23"/>
  <c r="AA232" i="23"/>
  <c r="AF228" i="23"/>
  <c r="Y228" i="23"/>
  <c r="AD232" i="23"/>
  <c r="S232" i="23"/>
  <c r="X224" i="23"/>
  <c r="AC224" i="23"/>
  <c r="S224" i="23"/>
  <c r="AE224" i="23"/>
  <c r="AG233" i="23"/>
  <c r="AC233" i="23"/>
  <c r="T226" i="23"/>
  <c r="AF226" i="23"/>
  <c r="W232" i="23"/>
  <c r="AB220" i="23"/>
  <c r="AE228" i="23"/>
  <c r="AB224" i="23"/>
  <c r="Y224" i="23"/>
  <c r="U225" i="23"/>
  <c r="X217" i="23"/>
  <c r="Y217" i="23"/>
  <c r="Z217" i="23"/>
  <c r="U234" i="23"/>
  <c r="V220" i="23"/>
  <c r="AC220" i="23"/>
  <c r="AA224" i="23"/>
  <c r="AA222" i="23"/>
  <c r="AD228" i="23"/>
  <c r="T222" i="23"/>
  <c r="U227" i="23"/>
  <c r="AF227" i="23"/>
  <c r="AF224" i="23"/>
  <c r="AD224" i="23"/>
  <c r="AF225" i="23"/>
  <c r="T217" i="23"/>
  <c r="V222" i="23"/>
  <c r="W234" i="23"/>
  <c r="AG220" i="23"/>
  <c r="Z224" i="23"/>
  <c r="Z222" i="23"/>
  <c r="V234" i="23"/>
  <c r="X232" i="23"/>
  <c r="X222" i="23"/>
  <c r="AF221" i="23"/>
  <c r="U222" i="23"/>
  <c r="W233" i="23"/>
  <c r="AA234" i="23"/>
  <c r="Y226" i="23"/>
  <c r="S222" i="23"/>
  <c r="X233" i="23"/>
  <c r="AB226" i="23"/>
  <c r="Y232" i="23"/>
  <c r="T221" i="23"/>
  <c r="V233" i="23"/>
  <c r="AG226" i="23"/>
  <c r="AG227" i="23"/>
  <c r="V224" i="23"/>
  <c r="AG231" i="23"/>
  <c r="W231" i="23"/>
  <c r="AD220" i="23"/>
  <c r="AE217" i="23"/>
  <c r="AE223" i="23"/>
  <c r="S227" i="23"/>
  <c r="AA217" i="23"/>
  <c r="X231" i="23"/>
  <c r="AB231" i="23"/>
  <c r="X220" i="23"/>
  <c r="Z220" i="23"/>
  <c r="T229" i="23"/>
  <c r="Z227" i="23"/>
  <c r="Z233" i="23"/>
  <c r="X230" i="23"/>
  <c r="W228" i="23"/>
  <c r="AE227" i="23"/>
  <c r="AE225" i="23"/>
  <c r="Q217" i="23" a="1"/>
  <c r="Q228" i="23"/>
  <c r="J228" i="23"/>
  <c r="D228" i="23"/>
  <c r="AD231" i="23"/>
  <c r="Q232" i="23"/>
  <c r="I232" i="23"/>
  <c r="H232" i="23"/>
  <c r="M232" i="23"/>
  <c r="Q230" i="23"/>
  <c r="M230" i="23"/>
  <c r="D230" i="23"/>
  <c r="O230" i="23"/>
  <c r="C228" i="23"/>
  <c r="F228" i="23"/>
  <c r="B228" i="23"/>
  <c r="N228" i="23"/>
  <c r="G232" i="23"/>
  <c r="F232" i="23"/>
  <c r="L232" i="23"/>
  <c r="B232" i="23"/>
  <c r="I230" i="23"/>
  <c r="K230" i="23"/>
  <c r="J230" i="23"/>
  <c r="B230" i="23"/>
  <c r="Q225" i="23"/>
  <c r="G225" i="23"/>
  <c r="C225" i="23"/>
  <c r="G228" i="23"/>
  <c r="L228" i="23"/>
  <c r="H228" i="23"/>
  <c r="E228" i="23"/>
  <c r="AC231" i="23"/>
  <c r="K232" i="23"/>
  <c r="N232" i="23"/>
  <c r="P232" i="23"/>
  <c r="J232" i="23"/>
  <c r="C230" i="23"/>
  <c r="G230" i="23"/>
  <c r="N230" i="23"/>
  <c r="L230" i="23"/>
  <c r="I228" i="23"/>
  <c r="M228" i="23"/>
  <c r="O232" i="23"/>
  <c r="H230" i="23"/>
  <c r="P228" i="23"/>
  <c r="D232" i="23"/>
  <c r="P230" i="23"/>
  <c r="Q217" i="23"/>
  <c r="H217" i="23"/>
  <c r="Q221" i="23"/>
  <c r="P221" i="23"/>
  <c r="L217" i="23"/>
  <c r="P217" i="23"/>
  <c r="Q223" i="23"/>
  <c r="F223" i="23"/>
  <c r="B221" i="23"/>
  <c r="I221" i="23"/>
  <c r="H223" i="23"/>
  <c r="Q233" i="23"/>
  <c r="M233" i="23"/>
  <c r="O233" i="23"/>
  <c r="F217" i="23"/>
  <c r="C217" i="23"/>
  <c r="Q222" i="23"/>
  <c r="K222" i="23"/>
  <c r="L223" i="23"/>
  <c r="H221" i="23"/>
  <c r="P223" i="23"/>
  <c r="N223" i="23"/>
  <c r="E221" i="23"/>
  <c r="M223" i="23"/>
  <c r="N222" i="23"/>
  <c r="B217" i="23"/>
  <c r="O217" i="23"/>
  <c r="F222" i="23"/>
  <c r="J222" i="23"/>
  <c r="E222" i="23"/>
  <c r="Q219" i="23"/>
  <c r="H219" i="23"/>
  <c r="U223" i="23"/>
  <c r="B223" i="23"/>
  <c r="C223" i="23"/>
  <c r="F219" i="23"/>
  <c r="M219" i="23"/>
  <c r="L219" i="23"/>
  <c r="F221" i="23"/>
  <c r="M221" i="23"/>
  <c r="C221" i="23"/>
  <c r="I223" i="23"/>
  <c r="B233" i="23"/>
  <c r="H233" i="23"/>
  <c r="C233" i="23"/>
  <c r="D233" i="23"/>
  <c r="N217" i="23"/>
  <c r="M217" i="23"/>
  <c r="P222" i="23"/>
  <c r="G222" i="23"/>
  <c r="K219" i="23"/>
  <c r="D219" i="23"/>
  <c r="G217" i="23"/>
  <c r="K217" i="23"/>
  <c r="K221" i="23"/>
  <c r="G223" i="23"/>
  <c r="J221" i="23"/>
  <c r="D221" i="23"/>
  <c r="I217" i="23"/>
  <c r="G221" i="23"/>
  <c r="D217" i="23"/>
  <c r="G219" i="23"/>
  <c r="O223" i="23"/>
  <c r="N219" i="23"/>
  <c r="B222" i="23"/>
  <c r="N221" i="23"/>
  <c r="J233" i="23"/>
  <c r="K233" i="23"/>
  <c r="L222" i="23"/>
  <c r="D223" i="23"/>
  <c r="E223" i="23"/>
  <c r="C219" i="23"/>
  <c r="M222" i="23"/>
  <c r="J223" i="23"/>
  <c r="J219" i="23"/>
  <c r="O219" i="23"/>
  <c r="P233" i="23"/>
  <c r="L233" i="23"/>
  <c r="C222" i="23"/>
  <c r="E217" i="23"/>
  <c r="O221" i="23"/>
  <c r="E219" i="23"/>
  <c r="I233" i="23"/>
  <c r="P219" i="23"/>
  <c r="F233" i="23"/>
  <c r="D222" i="23"/>
  <c r="E233" i="23"/>
  <c r="O222" i="23"/>
  <c r="G233" i="23"/>
  <c r="I219" i="23"/>
  <c r="Q220" i="23"/>
  <c r="K220" i="23"/>
  <c r="F220" i="23"/>
  <c r="Q229" i="23"/>
  <c r="K229" i="23"/>
  <c r="G229" i="23"/>
  <c r="D229" i="23"/>
  <c r="B220" i="23"/>
  <c r="I225" i="23"/>
  <c r="O225" i="23"/>
  <c r="Q231" i="23"/>
  <c r="G231" i="23"/>
  <c r="M231" i="23"/>
  <c r="K231" i="23"/>
  <c r="G220" i="23"/>
  <c r="L220" i="23"/>
  <c r="E220" i="23"/>
  <c r="F230" i="23"/>
  <c r="N220" i="23"/>
  <c r="J220" i="23"/>
  <c r="J229" i="23"/>
  <c r="P229" i="23"/>
  <c r="L229" i="23"/>
  <c r="O229" i="23"/>
  <c r="B225" i="23"/>
  <c r="E225" i="23"/>
  <c r="L225" i="23"/>
  <c r="K228" i="23"/>
  <c r="AF231" i="23"/>
  <c r="P231" i="23"/>
  <c r="O231" i="23"/>
  <c r="F231" i="23"/>
  <c r="E232" i="23"/>
  <c r="K225" i="23"/>
  <c r="Q234" i="23"/>
  <c r="O234" i="23"/>
  <c r="F234" i="23"/>
  <c r="K234" i="23"/>
  <c r="O220" i="23"/>
  <c r="D220" i="23"/>
  <c r="P220" i="23"/>
  <c r="M220" i="23"/>
  <c r="H220" i="23"/>
  <c r="I220" i="23"/>
  <c r="E229" i="23"/>
  <c r="M229" i="23"/>
  <c r="J225" i="23"/>
  <c r="D225" i="23"/>
  <c r="H231" i="23"/>
  <c r="I231" i="23"/>
  <c r="G234" i="23"/>
  <c r="J234" i="23"/>
  <c r="P234" i="23"/>
  <c r="H229" i="23"/>
  <c r="P225" i="23"/>
  <c r="B231" i="23"/>
  <c r="N231" i="23"/>
  <c r="D234" i="23"/>
  <c r="N234" i="23"/>
  <c r="N229" i="23"/>
  <c r="I229" i="23"/>
  <c r="C229" i="23"/>
  <c r="Q227" i="23"/>
  <c r="G227" i="23"/>
  <c r="C227" i="23"/>
  <c r="O227" i="23"/>
  <c r="L227" i="23"/>
  <c r="M227" i="23"/>
  <c r="I227" i="23"/>
  <c r="F227" i="23"/>
  <c r="P227" i="23"/>
  <c r="J227" i="23"/>
  <c r="N227" i="23"/>
  <c r="Q218" i="23"/>
  <c r="M218" i="23"/>
  <c r="F225" i="23"/>
  <c r="C231" i="23"/>
  <c r="B227" i="23"/>
  <c r="M234" i="23"/>
  <c r="H234" i="23"/>
  <c r="G218" i="23"/>
  <c r="H218" i="23"/>
  <c r="N218" i="23"/>
  <c r="H225" i="23"/>
  <c r="J231" i="23"/>
  <c r="E227" i="23"/>
  <c r="B234" i="23"/>
  <c r="P218" i="23"/>
  <c r="O218" i="23"/>
  <c r="J218" i="23"/>
  <c r="Q224" i="23"/>
  <c r="F224" i="23"/>
  <c r="J224" i="23"/>
  <c r="I224" i="23"/>
  <c r="G224" i="23"/>
  <c r="L224" i="23"/>
  <c r="B224" i="23"/>
  <c r="E224" i="23"/>
  <c r="D224" i="23"/>
  <c r="P224" i="23"/>
  <c r="F218" i="23"/>
  <c r="K224" i="23"/>
  <c r="H224" i="23"/>
  <c r="M224" i="23"/>
  <c r="K218" i="23"/>
  <c r="O224" i="23"/>
  <c r="E218" i="23"/>
  <c r="B218" i="23"/>
  <c r="D227" i="23"/>
  <c r="L218" i="23"/>
  <c r="C218" i="23"/>
  <c r="D218" i="23"/>
  <c r="K227" i="23"/>
  <c r="B229" i="23"/>
  <c r="I234" i="23"/>
  <c r="L234" i="23"/>
  <c r="D231" i="23"/>
  <c r="C234" i="23"/>
  <c r="N224" i="23"/>
  <c r="E231" i="23"/>
  <c r="AH218" i="23"/>
  <c r="T218" i="23"/>
  <c r="S218" i="23"/>
  <c r="X218" i="23"/>
  <c r="M225" i="23"/>
  <c r="AF218" i="23"/>
  <c r="AE218" i="23"/>
  <c r="Q226" i="23"/>
  <c r="G226" i="23"/>
  <c r="P226" i="23"/>
  <c r="F226" i="23"/>
  <c r="O226" i="23"/>
  <c r="J226" i="23"/>
  <c r="D226" i="23"/>
  <c r="L226" i="23"/>
  <c r="B226" i="23"/>
  <c r="K226" i="23"/>
  <c r="N226" i="23"/>
  <c r="H226" i="23"/>
  <c r="C226" i="23"/>
  <c r="M226" i="23"/>
  <c r="I226" i="23"/>
  <c r="E226" i="23"/>
  <c r="AG218" i="23"/>
  <c r="Y218" i="23"/>
  <c r="U218" i="23"/>
  <c r="AC218" i="23"/>
  <c r="AD218" i="23"/>
  <c r="Z218" i="23"/>
  <c r="V218" i="23"/>
  <c r="W218" i="23"/>
  <c r="AG222" i="23"/>
  <c r="AA223" i="23"/>
  <c r="Y221" i="23"/>
  <c r="AB225" i="23"/>
  <c r="S217" i="23"/>
  <c r="AB219" i="23"/>
  <c r="AE233" i="23"/>
  <c r="Y234" i="23"/>
  <c r="S220" i="23"/>
  <c r="V230" i="23"/>
  <c r="Z226" i="23"/>
  <c r="AC229" i="23"/>
  <c r="AA218" i="23"/>
  <c r="X228" i="23"/>
  <c r="U231" i="23"/>
  <c r="V227" i="23"/>
  <c r="AB218" i="23"/>
  <c r="AB232" i="23"/>
  <c r="T224" i="23"/>
  <c r="I222" i="23"/>
  <c r="E230" i="23"/>
  <c r="F229" i="23"/>
  <c r="L221" i="23"/>
  <c r="B219" i="23"/>
  <c r="C232" i="23"/>
  <c r="L231" i="23"/>
  <c r="K223" i="23"/>
  <c r="H222" i="23"/>
  <c r="O228" i="23"/>
  <c r="N225" i="23"/>
  <c r="J217" i="23"/>
  <c r="N233" i="23"/>
  <c r="C220" i="23"/>
  <c r="E234" i="23"/>
  <c r="C224" i="23"/>
  <c r="H227" i="23"/>
  <c r="I218" i="23"/>
  <c r="Q235" i="23"/>
  <c r="P235" i="23"/>
  <c r="O235" i="23"/>
  <c r="N235" i="23"/>
  <c r="M235" i="23"/>
  <c r="L235" i="23"/>
  <c r="K235" i="23"/>
  <c r="J235" i="23"/>
  <c r="I235" i="23"/>
  <c r="H235" i="23"/>
  <c r="G235" i="23"/>
  <c r="F235" i="23"/>
  <c r="E235" i="23"/>
  <c r="D235" i="23"/>
  <c r="C235" i="23"/>
  <c r="B235" i="23"/>
  <c r="AH235" i="23"/>
  <c r="AG235" i="23"/>
  <c r="AF235" i="23"/>
  <c r="AE235" i="23"/>
  <c r="AD235" i="23"/>
  <c r="AC235" i="23"/>
  <c r="AB235" i="23"/>
  <c r="AA235" i="23"/>
  <c r="Z235" i="23"/>
  <c r="Y235" i="23"/>
  <c r="X235" i="23"/>
  <c r="W235" i="23"/>
  <c r="V235" i="23"/>
  <c r="U235" i="23"/>
  <c r="T235" i="23"/>
  <c r="S235" i="23"/>
  <c r="U277" i="13"/>
  <c r="U276" i="13"/>
  <c r="U275" i="13"/>
  <c r="U274" i="13"/>
  <c r="U273" i="13"/>
  <c r="U272" i="13"/>
  <c r="B143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A108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G98" i="13"/>
  <c r="H98" i="13"/>
  <c r="I98" i="13"/>
  <c r="H97" i="13"/>
  <c r="I97" i="13"/>
  <c r="C101" i="13"/>
  <c r="A35" i="52"/>
  <c r="A98" i="13"/>
  <c r="A97" i="13"/>
</calcChain>
</file>

<file path=xl/comments1.xml><?xml version="1.0" encoding="utf-8"?>
<comments xmlns="http://schemas.openxmlformats.org/spreadsheetml/2006/main">
  <authors>
    <author>jim ianelli</author>
  </authors>
  <commentList>
    <comment ref="E3" authorId="0">
      <text>
        <r>
          <rPr>
            <b/>
            <sz val="9"/>
            <color indexed="81"/>
            <rFont val="Tahoma"/>
            <family val="2"/>
          </rPr>
          <t>jim ianelli:</t>
        </r>
        <r>
          <rPr>
            <sz val="9"/>
            <color indexed="81"/>
            <rFont val="Tahoma"/>
            <family val="2"/>
          </rPr>
          <t xml:space="preserve">
Omitted 1979 as bogus</t>
        </r>
      </text>
    </comment>
  </commentList>
</comments>
</file>

<file path=xl/sharedStrings.xml><?xml version="1.0" encoding="utf-8"?>
<sst xmlns="http://schemas.openxmlformats.org/spreadsheetml/2006/main" count="8475" uniqueCount="1138">
  <si>
    <t>Hmfmsy</t>
  </si>
  <si>
    <t>Adjust</t>
  </si>
  <si>
    <t>Bottom trawl survey</t>
  </si>
  <si>
    <t>No fishing</t>
  </si>
  <si>
    <t>log_q_std_area:</t>
  </si>
  <si>
    <t>wt_fut:</t>
  </si>
  <si>
    <t>CABE</t>
  </si>
  <si>
    <t>SPR_ABC</t>
  </si>
  <si>
    <t>SPR_OFL</t>
  </si>
  <si>
    <t>NOTE: Seq is F40, F35, Fmsy, C1, C2, C?</t>
  </si>
  <si>
    <t>B35</t>
  </si>
  <si>
    <t>EIT Age 1 index catchability</t>
  </si>
  <si>
    <t>Combined catchability age 3-7</t>
  </si>
  <si>
    <t>Combined catchability age 3-15</t>
  </si>
  <si>
    <t>Age_1_EIT</t>
  </si>
  <si>
    <t>EIT Age 1 index</t>
  </si>
  <si>
    <t>Prior_Like_Steepness</t>
  </si>
  <si>
    <t>Prior_Like_Catchability</t>
  </si>
  <si>
    <t>Sigma-R Out</t>
  </si>
  <si>
    <t>Sigma-R In</t>
  </si>
  <si>
    <t>q's</t>
  </si>
  <si>
    <t>sigmaR</t>
  </si>
  <si>
    <t>Fishery,</t>
  </si>
  <si>
    <t>survey,</t>
  </si>
  <si>
    <t>Fmsy,</t>
  </si>
  <si>
    <t>MSY,</t>
  </si>
  <si>
    <t>Steepness,</t>
  </si>
  <si>
    <t>Rzero,</t>
  </si>
  <si>
    <t>Bzero,</t>
  </si>
  <si>
    <t>PhiZero,</t>
  </si>
  <si>
    <t>Alpha,</t>
  </si>
  <si>
    <t>Beta,</t>
  </si>
  <si>
    <t>SPB0,</t>
  </si>
  <si>
    <t>SPRBF40,</t>
  </si>
  <si>
    <t>Fmsy2,</t>
  </si>
  <si>
    <t>From 2006 Assessment</t>
  </si>
  <si>
    <t>Current 2007 Assessment</t>
  </si>
  <si>
    <t>FutureSel</t>
  </si>
  <si>
    <t>WtFut</t>
  </si>
  <si>
    <t>B@age</t>
  </si>
  <si>
    <t>FB@age</t>
  </si>
  <si>
    <t>Number / t</t>
  </si>
  <si>
    <t>For plot</t>
  </si>
  <si>
    <t>SSB</t>
  </si>
  <si>
    <t>wt_Fut_fsh</t>
  </si>
  <si>
    <t>wt_Fut_ssb</t>
  </si>
  <si>
    <t>2007 est FutSel</t>
  </si>
  <si>
    <t>Fishable biomass change due to mean weight</t>
  </si>
  <si>
    <t>Fishable biomass change due to selectivity</t>
  </si>
  <si>
    <t>Fishable biomass change due to N</t>
  </si>
  <si>
    <t>Fishable biomass change due N, selectivity, and mean wt</t>
  </si>
  <si>
    <t>Effective N Fishery age</t>
  </si>
  <si>
    <t>Effective N Fishery Length</t>
  </si>
  <si>
    <t>BTS Catchability ages 5-15 in std area (pre 1987)</t>
  </si>
  <si>
    <t>future_SSB</t>
  </si>
  <si>
    <t>B_Bnofsh</t>
  </si>
  <si>
    <t>EIT Catchability ages 2-6</t>
  </si>
  <si>
    <t>BTS Catchability ages 5-15</t>
  </si>
  <si>
    <t>2003 Assessment</t>
  </si>
  <si>
    <t>Bmsy2</t>
  </si>
  <si>
    <t>Fmsy2</t>
  </si>
  <si>
    <t>lnFmsy2</t>
  </si>
  <si>
    <t>Fmsy (HM)</t>
  </si>
  <si>
    <t>Fmsy (AM)</t>
  </si>
  <si>
    <t>Num_parameters_Estimated</t>
  </si>
  <si>
    <t>lnFmsy</t>
  </si>
  <si>
    <t>#</t>
  </si>
  <si>
    <t>of</t>
  </si>
  <si>
    <t>Number</t>
  </si>
  <si>
    <t>SpawnBiomass</t>
  </si>
  <si>
    <t>SbStd</t>
  </si>
  <si>
    <t>NOTE: Catch_future goes from endyr+1 while Future SpBiom starts at endyr</t>
  </si>
  <si>
    <t>#Wts</t>
  </si>
  <si>
    <t>Biomass at age</t>
  </si>
  <si>
    <t># Bottom trawl survey mean wt at age</t>
  </si>
  <si>
    <t>1+</t>
  </si>
  <si>
    <t>4+</t>
  </si>
  <si>
    <t>7+</t>
  </si>
  <si>
    <t>5+</t>
  </si>
  <si>
    <t>6+</t>
  </si>
  <si>
    <t>3+</t>
  </si>
  <si>
    <t>2+</t>
  </si>
  <si>
    <t>9+</t>
  </si>
  <si>
    <t>10+</t>
  </si>
  <si>
    <t>BTS_Q * selectivity * N * wt</t>
  </si>
  <si>
    <t>11+</t>
  </si>
  <si>
    <t>12+</t>
  </si>
  <si>
    <t>13+</t>
  </si>
  <si>
    <t>15+</t>
  </si>
  <si>
    <t>14+</t>
  </si>
  <si>
    <t>Product???</t>
  </si>
  <si>
    <t>Fraction of survey biomass</t>
  </si>
  <si>
    <t>Observed Survey N</t>
  </si>
  <si>
    <t>Observed Survey Biomass</t>
  </si>
  <si>
    <t>Observed Survey Biomass Cumulated</t>
  </si>
  <si>
    <t>1990 Cagean</t>
  </si>
  <si>
    <t>1990 VPA</t>
  </si>
  <si>
    <t>Natural Mortality</t>
  </si>
  <si>
    <t>SAM</t>
  </si>
  <si>
    <t>VPA2</t>
  </si>
  <si>
    <t>1997 VPA</t>
  </si>
  <si>
    <t>RMSE Survey</t>
  </si>
  <si>
    <t>-ln Likelihoods</t>
  </si>
  <si>
    <t>2000 Assessment</t>
  </si>
  <si>
    <t>Survey Biomass</t>
  </si>
  <si>
    <t>Survey Numbers</t>
  </si>
  <si>
    <t>Residuals</t>
  </si>
  <si>
    <t>Official Biomass Est</t>
  </si>
  <si>
    <t>Model abs 6+ Numbers</t>
  </si>
  <si>
    <t>Model abs age 1-5 Numbers</t>
  </si>
  <si>
    <t>Model</t>
  </si>
  <si>
    <t>Max</t>
  </si>
  <si>
    <t>Steepness</t>
  </si>
  <si>
    <t>Alpha_Beta_of_Prior</t>
  </si>
  <si>
    <t xml:space="preserve">Bzero SR </t>
  </si>
  <si>
    <t>Biomass 3+ from 1998 Assessment</t>
  </si>
  <si>
    <t>No Fishing</t>
  </si>
  <si>
    <t>With Fishing (F40)</t>
  </si>
  <si>
    <t>Bottom Trawl Survey</t>
  </si>
  <si>
    <t>EIT Survey</t>
  </si>
  <si>
    <t>Spawning_Biomass</t>
  </si>
  <si>
    <t>EIT</t>
  </si>
  <si>
    <t>Bottom Trawl</t>
  </si>
  <si>
    <t>Avg</t>
  </si>
  <si>
    <t>log_avgrec</t>
  </si>
  <si>
    <t>pred_rec</t>
  </si>
  <si>
    <t>Fishery age composition fits</t>
  </si>
  <si>
    <t>Predicted</t>
  </si>
  <si>
    <t>Observed</t>
  </si>
  <si>
    <t>Fmort</t>
  </si>
  <si>
    <t>Wt age age schedules</t>
  </si>
  <si>
    <t>Vidar's</t>
  </si>
  <si>
    <t>Survey</t>
  </si>
  <si>
    <t>Pick</t>
  </si>
  <si>
    <t>Fishery Avg</t>
  </si>
  <si>
    <t>Wt at age</t>
  </si>
  <si>
    <t>HydroSurvey</t>
  </si>
  <si>
    <t>wt</t>
  </si>
  <si>
    <t>Maturity</t>
  </si>
  <si>
    <t>Actual F's</t>
  </si>
  <si>
    <t>Biomass</t>
  </si>
  <si>
    <t>Total Biomass</t>
  </si>
  <si>
    <t>Year Class</t>
  </si>
  <si>
    <t>spawn</t>
  </si>
  <si>
    <t>Fishery 
Selectivity</t>
  </si>
  <si>
    <t>HydroAcoustic</t>
  </si>
  <si>
    <t>Alpha</t>
  </si>
  <si>
    <t>Year</t>
  </si>
  <si>
    <t>F</t>
  </si>
  <si>
    <t>8+</t>
  </si>
  <si>
    <t>F40%</t>
  </si>
  <si>
    <t>B40%</t>
  </si>
  <si>
    <t>Avg Recruitment (all yrs)</t>
  </si>
  <si>
    <t>Percent of B40% spawners</t>
  </si>
  <si>
    <t>Estimated</t>
  </si>
  <si>
    <t>Catch</t>
  </si>
  <si>
    <t>and</t>
  </si>
  <si>
    <t>Survival</t>
  </si>
  <si>
    <t>at</t>
  </si>
  <si>
    <t>age</t>
  </si>
  <si>
    <t>N</t>
  </si>
  <si>
    <t>selectivity</t>
  </si>
  <si>
    <t>trawl</t>
  </si>
  <si>
    <t>hydro</t>
  </si>
  <si>
    <t>survey</t>
  </si>
  <si>
    <t>Fishery</t>
  </si>
  <si>
    <t>observed</t>
  </si>
  <si>
    <t>P</t>
  </si>
  <si>
    <t>size</t>
  </si>
  <si>
    <t>Hydro</t>
  </si>
  <si>
    <t>Pred.</t>
  </si>
  <si>
    <t>numbers</t>
  </si>
  <si>
    <t>Obs.</t>
  </si>
  <si>
    <t>year</t>
  </si>
  <si>
    <t>available</t>
  </si>
  <si>
    <t>biomass</t>
  </si>
  <si>
    <t>by</t>
  </si>
  <si>
    <t>Age</t>
  </si>
  <si>
    <t>Recruitment</t>
  </si>
  <si>
    <t>Selectivity</t>
  </si>
  <si>
    <t>index</t>
  </si>
  <si>
    <t>name</t>
  </si>
  <si>
    <t>value</t>
  </si>
  <si>
    <t>std</t>
  </si>
  <si>
    <t>log_avg_F</t>
  </si>
  <si>
    <t>log_F_devs</t>
  </si>
  <si>
    <t>begbiom</t>
  </si>
  <si>
    <t>DepletionSpawners</t>
  </si>
  <si>
    <t>Current_Spawners</t>
  </si>
  <si>
    <t>Low CI inc</t>
  </si>
  <si>
    <t>Hi CI Increment</t>
  </si>
  <si>
    <t>Low CI</t>
  </si>
  <si>
    <t>Upper CI</t>
  </si>
  <si>
    <t>Est</t>
  </si>
  <si>
    <t>q Bottom trawl</t>
  </si>
  <si>
    <t>q Hydro acoustic</t>
  </si>
  <si>
    <t>Sum survey q's</t>
  </si>
  <si>
    <t>Age 3+ Biomass</t>
  </si>
  <si>
    <t>StdDev</t>
  </si>
  <si>
    <t>CV</t>
  </si>
  <si>
    <t>larv_rec_devs</t>
  </si>
  <si>
    <t>Rhat</t>
  </si>
  <si>
    <t>Beta</t>
  </si>
  <si>
    <t>Spawners</t>
  </si>
  <si>
    <t>for</t>
  </si>
  <si>
    <t>plotting</t>
  </si>
  <si>
    <t>log_rec_devs</t>
  </si>
  <si>
    <t>rechat</t>
  </si>
  <si>
    <t>Stock</t>
  </si>
  <si>
    <t>Pred</t>
  </si>
  <si>
    <t>3 year olds</t>
  </si>
  <si>
    <t>Year class w/o env</t>
  </si>
  <si>
    <t>Deviations due to env</t>
  </si>
  <si>
    <t>RMSE Env</t>
  </si>
  <si>
    <t>Residual RMSE</t>
  </si>
  <si>
    <t>Total</t>
  </si>
  <si>
    <t>Due to Stock</t>
  </si>
  <si>
    <t>Ln(rec)</t>
  </si>
  <si>
    <t>rec_dev_future</t>
  </si>
  <si>
    <t>catch_future</t>
  </si>
  <si>
    <t>F40</t>
  </si>
  <si>
    <t>F35</t>
  </si>
  <si>
    <t>F30</t>
  </si>
  <si>
    <t>F35%</t>
  </si>
  <si>
    <t>F30%</t>
  </si>
  <si>
    <t>Zscore</t>
  </si>
  <si>
    <t>Harmonic Means</t>
  </si>
  <si>
    <t xml:space="preserve">F40 </t>
  </si>
  <si>
    <t xml:space="preserve">F30 </t>
  </si>
  <si>
    <t>maturity</t>
  </si>
  <si>
    <t>Female Spawner Biomass</t>
  </si>
  <si>
    <t>Age 1 recruitment</t>
  </si>
  <si>
    <t>97/74-79</t>
  </si>
  <si>
    <t>97/64-80</t>
  </si>
  <si>
    <t>85/80</t>
  </si>
  <si>
    <t>97/85</t>
  </si>
  <si>
    <t>85/74</t>
  </si>
  <si>
    <t>85/64</t>
  </si>
  <si>
    <t>97/ltaverage</t>
  </si>
  <si>
    <t>Fmsy</t>
  </si>
  <si>
    <t>Rmsy</t>
  </si>
  <si>
    <t>Bmsy</t>
  </si>
  <si>
    <t>Bcur_Bmsy</t>
  </si>
  <si>
    <t>F40_spb</t>
  </si>
  <si>
    <t>F40_catch</t>
  </si>
  <si>
    <t>Biomass 3+</t>
  </si>
  <si>
    <t>SPR Lines</t>
  </si>
  <si>
    <t>Wt</t>
  </si>
  <si>
    <t>Spawners w/o Fishing</t>
  </si>
  <si>
    <t>SER</t>
  </si>
  <si>
    <t>Average</t>
  </si>
  <si>
    <t>Full Selection F</t>
  </si>
  <si>
    <t>Average F</t>
  </si>
  <si>
    <t>Real Spawners</t>
  </si>
  <si>
    <t>age_3_plus_biom</t>
  </si>
  <si>
    <t>Fits</t>
  </si>
  <si>
    <t>Natural</t>
  </si>
  <si>
    <t>Mortality</t>
  </si>
  <si>
    <t>Recruitment Residuals</t>
  </si>
  <si>
    <t>Effective N Bottom trawl survey</t>
  </si>
  <si>
    <t>Effective N Hydro acoustic survey</t>
  </si>
  <si>
    <t>RMSE</t>
  </si>
  <si>
    <t>Effective N</t>
  </si>
  <si>
    <t>CV Rec</t>
  </si>
  <si>
    <t>Corrected</t>
  </si>
  <si>
    <t>Alph1</t>
  </si>
  <si>
    <t>Bet1</t>
  </si>
  <si>
    <t>MSY</t>
  </si>
  <si>
    <t>Spawning Biomass</t>
  </si>
  <si>
    <t>Future</t>
  </si>
  <si>
    <t>Numbers</t>
  </si>
  <si>
    <t>in</t>
  </si>
  <si>
    <t>(for</t>
  </si>
  <si>
    <t>Fmsy)</t>
  </si>
  <si>
    <t>Percent of Bmsy% spawners</t>
  </si>
  <si>
    <t>Full Selection F's</t>
  </si>
  <si>
    <t>Stock condition</t>
  </si>
  <si>
    <t>MSY (long-term expectation)</t>
  </si>
  <si>
    <t>CV Recruitment (process error)</t>
  </si>
  <si>
    <t>Yield Considerations</t>
  </si>
  <si>
    <t/>
  </si>
  <si>
    <t>10yr average</t>
  </si>
  <si>
    <t>Spawners in 2003</t>
  </si>
  <si>
    <t>Cumulative Score</t>
  </si>
  <si>
    <t>1998 wt at age</t>
  </si>
  <si>
    <t>F40% (average F)</t>
  </si>
  <si>
    <t>ExpValue</t>
  </si>
  <si>
    <t xml:space="preserve"> </t>
  </si>
  <si>
    <t>Avg Recruitment (since 1978)</t>
  </si>
  <si>
    <t>CV Recruitment (since 1978)</t>
  </si>
  <si>
    <t>log_Rzero</t>
  </si>
  <si>
    <t>Cagean  1991</t>
  </si>
  <si>
    <t>CPUE</t>
  </si>
  <si>
    <t>Japanese</t>
  </si>
  <si>
    <t>Fendyr_Fmsy</t>
  </si>
  <si>
    <t>CPUE_like</t>
  </si>
  <si>
    <t>BTS_Q</t>
  </si>
  <si>
    <t>EIT_Q</t>
  </si>
  <si>
    <t>AvgBTS_Sel</t>
  </si>
  <si>
    <t>AvgEIT_Sel</t>
  </si>
  <si>
    <t>average N</t>
  </si>
  <si>
    <t>1979-2000</t>
  </si>
  <si>
    <t>EIT N</t>
  </si>
  <si>
    <t>BTS N</t>
  </si>
  <si>
    <t>Average q</t>
  </si>
  <si>
    <t>BTS_Sel</t>
  </si>
  <si>
    <t>EIT_Sel</t>
  </si>
  <si>
    <t>Q</t>
  </si>
  <si>
    <t>Temperature</t>
  </si>
  <si>
    <t>q</t>
  </si>
  <si>
    <t>mean</t>
  </si>
  <si>
    <t xml:space="preserve">Spawning Biomass Goes from last year of model to endyr of projections </t>
  </si>
  <si>
    <t>Std</t>
  </si>
  <si>
    <t>Constant Catch</t>
  </si>
  <si>
    <t>SER_Fmsy</t>
  </si>
  <si>
    <t>SER @ Fmsy</t>
  </si>
  <si>
    <t>Good ones</t>
  </si>
  <si>
    <t>EIT_q_norm</t>
  </si>
  <si>
    <t>BTS_q_norm</t>
  </si>
  <si>
    <t>BTS Selectivity</t>
  </si>
  <si>
    <t>Survey age 10+</t>
  </si>
  <si>
    <t>F257:$T$257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</si>
  <si>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</si>
  <si>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</si>
  <si>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</si>
  <si>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</si>
  <si>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</si>
  <si>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</si>
  <si>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</si>
  <si>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</si>
  <si>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</si>
  <si>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</si>
  <si>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</si>
  <si>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</si>
  <si>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s</t>
  </si>
  <si>
    <t>t</t>
  </si>
  <si>
    <t>Pearson Residuals</t>
  </si>
  <si>
    <t>Std/Est</t>
  </si>
  <si>
    <t>HarmMean</t>
  </si>
  <si>
    <t>ExplBiomass</t>
  </si>
  <si>
    <t>Stdev</t>
  </si>
  <si>
    <t>LCI</t>
  </si>
  <si>
    <t>UCI</t>
  </si>
  <si>
    <t>Adjusted for mid-year</t>
  </si>
  <si>
    <t>Age 3+ 
Biomass</t>
  </si>
  <si>
    <t>Model 1</t>
  </si>
  <si>
    <t>Current</t>
  </si>
  <si>
    <t>Assess.</t>
  </si>
  <si>
    <t>Model age 3+ biomass</t>
  </si>
  <si>
    <t>1+ Biomass estimates</t>
  </si>
  <si>
    <t>log_q_bts</t>
  </si>
  <si>
    <t>log_q_eit</t>
  </si>
  <si>
    <t>2002 Catch Est</t>
  </si>
  <si>
    <t>2002 Assessment</t>
  </si>
  <si>
    <t>YearClass</t>
  </si>
  <si>
    <t>Age 1</t>
  </si>
  <si>
    <t>2stderrs</t>
  </si>
  <si>
    <t>MeanValu</t>
  </si>
  <si>
    <t>Old</t>
  </si>
  <si>
    <t>Young (age 1 - 3)</t>
  </si>
  <si>
    <t>Ages 4-9</t>
  </si>
  <si>
    <t>BTS Sel</t>
  </si>
  <si>
    <t>parameters</t>
  </si>
  <si>
    <t>=</t>
  </si>
  <si>
    <t>Objective</t>
  </si>
  <si>
    <t>function</t>
  </si>
  <si>
    <t>Maximum</t>
  </si>
  <si>
    <t>gradient</t>
  </si>
  <si>
    <t>component</t>
  </si>
  <si>
    <t>log_avgrec:</t>
  </si>
  <si>
    <t>log_avginit:</t>
  </si>
  <si>
    <t>log_avg_F:</t>
  </si>
  <si>
    <t>natmort_phi:</t>
  </si>
  <si>
    <t>log_q_bts:</t>
  </si>
  <si>
    <t>bt_slope:</t>
  </si>
  <si>
    <t>log_q_eit:</t>
  </si>
  <si>
    <t>log_Rzero:</t>
  </si>
  <si>
    <t>steepness:</t>
  </si>
  <si>
    <t>log_q_cpue:</t>
  </si>
  <si>
    <t>log_initdevs:</t>
  </si>
  <si>
    <t>log_rec_devs:</t>
  </si>
  <si>
    <t>larv_rec_devs:</t>
  </si>
  <si>
    <t>log_F_devs:</t>
  </si>
  <si>
    <t>sigr:</t>
  </si>
  <si>
    <t>sel_devs_fsh:</t>
  </si>
  <si>
    <t>sel_devs_bts:</t>
  </si>
  <si>
    <t>sel_devs_eit:</t>
  </si>
  <si>
    <t>sel_coffs_fsh:</t>
  </si>
  <si>
    <t>sel_coffs_bts:</t>
  </si>
  <si>
    <t>sel_coffs_eit:</t>
  </si>
  <si>
    <t>sel_slp_bts:</t>
  </si>
  <si>
    <t>sel_a50_bts:</t>
  </si>
  <si>
    <t>sel_age_one:</t>
  </si>
  <si>
    <t>sel_slp_bts_dev:</t>
  </si>
  <si>
    <t>sel_a50_bts_dev:</t>
  </si>
  <si>
    <t>sel_one_bts_dev:</t>
  </si>
  <si>
    <t>sel_dif1_fsh:</t>
  </si>
  <si>
    <t>sel_a501_fsh:</t>
  </si>
  <si>
    <t>sel_trm2_fsh:</t>
  </si>
  <si>
    <t>sel_dif2_fsh:</t>
  </si>
  <si>
    <t>sel_dif1_fsh_dev:</t>
  </si>
  <si>
    <t>sel_a501_fsh_dev:</t>
  </si>
  <si>
    <t>sel_trm2_fsh_dev:</t>
  </si>
  <si>
    <t>cv_bts:</t>
  </si>
  <si>
    <t>cv_eit:</t>
  </si>
  <si>
    <t>rec_dev_future:</t>
  </si>
  <si>
    <t>2004 Model 1</t>
  </si>
  <si>
    <t>2004 Model 1 with revised EIT age data</t>
  </si>
  <si>
    <t>Model 1 
revised EIT age data</t>
  </si>
  <si>
    <t>2004 Assessment</t>
  </si>
  <si>
    <t>2006 Age 3+ Biomass</t>
  </si>
  <si>
    <t>2000 year-class</t>
  </si>
  <si>
    <t>age 6-9</t>
  </si>
  <si>
    <t>age 5-14</t>
  </si>
  <si>
    <t>SDNR</t>
  </si>
  <si>
    <t>SDNR?</t>
  </si>
  <si>
    <t>Stderr</t>
  </si>
  <si>
    <t>NormRes</t>
  </si>
  <si>
    <t>BTS</t>
  </si>
  <si>
    <t>StdErr</t>
  </si>
  <si>
    <t>SDNR Fishery</t>
  </si>
  <si>
    <t>SDNR BTS</t>
  </si>
  <si>
    <t>SDNR EIT</t>
  </si>
  <si>
    <t>SDNR BTS N</t>
  </si>
  <si>
    <t>SDNR EIT N</t>
  </si>
  <si>
    <t>Trawl Survey RMSE</t>
  </si>
  <si>
    <t>Hydro survey RMSE</t>
  </si>
  <si>
    <t>Young</t>
  </si>
  <si>
    <t>Med</t>
  </si>
  <si>
    <t>2005 Assessment</t>
  </si>
  <si>
    <t>2007 Age 3+ Biomass</t>
  </si>
  <si>
    <t>(CV) 2005 YC</t>
  </si>
  <si>
    <t>1964 Age 3+ Biomass</t>
  </si>
  <si>
    <t>1965 Age 3+ Biomass</t>
  </si>
  <si>
    <t>1966 Age 3+ Biomass</t>
  </si>
  <si>
    <t>1967 Age 3+ Biomass</t>
  </si>
  <si>
    <t>1968 Age 3+ Biomass</t>
  </si>
  <si>
    <t>1969 Age 3+ Biomass</t>
  </si>
  <si>
    <t>1970 Age 3+ Biomass</t>
  </si>
  <si>
    <t>1971 Age 3+ Biomass</t>
  </si>
  <si>
    <t>1972 Age 3+ Biomass</t>
  </si>
  <si>
    <t>1973 Age 3+ Biomass</t>
  </si>
  <si>
    <t>1974 Age 3+ Biomass</t>
  </si>
  <si>
    <t>1975 Age 3+ Biomass</t>
  </si>
  <si>
    <t>1976 Age 3+ Biomass</t>
  </si>
  <si>
    <t>1977 Age 3+ Biomass</t>
  </si>
  <si>
    <t>1978 Age 3+ Biomass</t>
  </si>
  <si>
    <t>1979 Age 3+ Biomass</t>
  </si>
  <si>
    <t>1980 Age 3+ Biomass</t>
  </si>
  <si>
    <t>1981 Age 3+ Biomass</t>
  </si>
  <si>
    <t>1982 Age 3+ Biomass</t>
  </si>
  <si>
    <t>1983 Age 3+ Biomass</t>
  </si>
  <si>
    <t>1984 Age 3+ Biomass</t>
  </si>
  <si>
    <t>1985 Age 3+ Biomass</t>
  </si>
  <si>
    <t>1986 Age 3+ Biomass</t>
  </si>
  <si>
    <t>1987 Age 3+ Biomass</t>
  </si>
  <si>
    <t>1988 Age 3+ Biomass</t>
  </si>
  <si>
    <t>1989 Age 3+ Biomass</t>
  </si>
  <si>
    <t>1990 Age 3+ Biomass</t>
  </si>
  <si>
    <t>1991 Age 3+ Biomass</t>
  </si>
  <si>
    <t>1992 Age 3+ Biomass</t>
  </si>
  <si>
    <t>1993 Age 3+ Biomass</t>
  </si>
  <si>
    <t>1994 Age 3+ Biomass</t>
  </si>
  <si>
    <t>1995 Age 3+ Biomass</t>
  </si>
  <si>
    <t>1996 Age 3+ Biomass</t>
  </si>
  <si>
    <t>1997 Age 3+ Biomass</t>
  </si>
  <si>
    <t>1998 Age 3+ Biomass</t>
  </si>
  <si>
    <t>1999 Age 3+ Biomass</t>
  </si>
  <si>
    <t>2000 Age 3+ Biomass</t>
  </si>
  <si>
    <t>2001 Age 3+ Biomass</t>
  </si>
  <si>
    <t>2002 Age 3+ Biomass</t>
  </si>
  <si>
    <t>2003 Age 3+ Biomass</t>
  </si>
  <si>
    <t>2004 Age 3+ Biomass</t>
  </si>
  <si>
    <t>2005 Age 3+ Biomass</t>
  </si>
  <si>
    <t>Approx EIT Biomass</t>
  </si>
  <si>
    <t>Model EIT Biomass</t>
  </si>
  <si>
    <t>Spawning biomass</t>
  </si>
  <si>
    <t>GM_Biom</t>
  </si>
  <si>
    <t>HM_Fmsyr</t>
  </si>
  <si>
    <t>AM_Fmsyr</t>
  </si>
  <si>
    <t>C_F40</t>
  </si>
  <si>
    <t>C_F35</t>
  </si>
  <si>
    <t>SSB_F40</t>
  </si>
  <si>
    <t>SSB_F35</t>
  </si>
  <si>
    <t>ABC_HM</t>
  </si>
  <si>
    <t>OFL_AM</t>
  </si>
  <si>
    <t>1989YC</t>
  </si>
  <si>
    <t>1989YC.sd</t>
  </si>
  <si>
    <t>1992YC</t>
  </si>
  <si>
    <t>1992YC.sd</t>
  </si>
  <si>
    <t>1996YC</t>
  </si>
  <si>
    <t>1996YC.sd</t>
  </si>
  <si>
    <t>2000YC</t>
  </si>
  <si>
    <t>2000YC.sd</t>
  </si>
  <si>
    <t>GM_Biom2</t>
  </si>
  <si>
    <t>ABC_HM2</t>
  </si>
  <si>
    <t>OFL_AM2</t>
  </si>
  <si>
    <t>SER_future</t>
  </si>
  <si>
    <t>Avg_3yr_Catch</t>
  </si>
  <si>
    <t>FOFL = Fmsy</t>
  </si>
  <si>
    <t>Adjust_1</t>
  </si>
  <si>
    <t>Adjust_2</t>
  </si>
  <si>
    <t>B100%</t>
  </si>
  <si>
    <t>LCI subtract</t>
  </si>
  <si>
    <t>UCI Add</t>
  </si>
  <si>
    <t>LCI sub</t>
  </si>
  <si>
    <t>2*std</t>
  </si>
  <si>
    <t>Recrutiment</t>
  </si>
  <si>
    <t>2StdErrs</t>
  </si>
  <si>
    <t>Longterm SER avg</t>
  </si>
  <si>
    <t>Recent 10-yr avg</t>
  </si>
  <si>
    <t>Current SER</t>
  </si>
  <si>
    <t>Max over last 20 yrs</t>
  </si>
  <si>
    <t>N at age</t>
  </si>
  <si>
    <t>Fut_2yr_Catch</t>
  </si>
  <si>
    <t>2008 Age 3+ Biomass</t>
  </si>
  <si>
    <t>2009 Age 3+ Biomass</t>
  </si>
  <si>
    <t>Mean</t>
  </si>
  <si>
    <t>poll2007Cabe.dat</t>
  </si>
  <si>
    <t>BTS N std errors</t>
  </si>
  <si>
    <t>2006 Assessment</t>
  </si>
  <si>
    <t>2006 MnWt</t>
  </si>
  <si>
    <t>2007MntWt</t>
  </si>
  <si>
    <t>Wt_Fut</t>
  </si>
  <si>
    <t>N_Endyr</t>
  </si>
  <si>
    <t>wt_Fut</t>
  </si>
  <si>
    <t>2007 N</t>
  </si>
  <si>
    <t>2008 N</t>
  </si>
  <si>
    <t>Prior_h</t>
  </si>
  <si>
    <t>Prior_q</t>
  </si>
  <si>
    <t>Mean wt</t>
  </si>
  <si>
    <t>(with current mean wt)</t>
  </si>
  <si>
    <t>(with last year's mean wt)</t>
  </si>
  <si>
    <t>2008 Cumulative biomass at age from 2006</t>
  </si>
  <si>
    <t>2008 Cumulative biomass at age from current model</t>
  </si>
  <si>
    <t>2006 year-class</t>
  </si>
  <si>
    <t>CV 2000 YC</t>
  </si>
  <si>
    <t>Current model</t>
  </si>
  <si>
    <t>2006 assessment</t>
  </si>
  <si>
    <t>Catch_and_indices-----------------------------</t>
  </si>
  <si>
    <t>Fishery_Catch</t>
  </si>
  <si>
    <t>Bottom_Trawl_Like</t>
  </si>
  <si>
    <t>EIT_N2+_Like</t>
  </si>
  <si>
    <t>EIT_N1_Like</t>
  </si>
  <si>
    <t>AgeComps--------------------------------------</t>
  </si>
  <si>
    <t>Fishery_age_Like</t>
  </si>
  <si>
    <t>Fishery_Length_Like</t>
  </si>
  <si>
    <t>Bottom_Trawl_age_Like</t>
  </si>
  <si>
    <t>EIT_Age_Like</t>
  </si>
  <si>
    <t>Priors</t>
  </si>
  <si>
    <t>---------------------------------------</t>
  </si>
  <si>
    <t>F_penalty</t>
  </si>
  <si>
    <t>Rec_Like_1</t>
  </si>
  <si>
    <t>Rec_Like_2</t>
  </si>
  <si>
    <t>Rec_Like_3</t>
  </si>
  <si>
    <t>Rec_Like_4</t>
  </si>
  <si>
    <t>Rec_Like_5</t>
  </si>
  <si>
    <t>Rec_Like_6</t>
  </si>
  <si>
    <t>sel_Like_1</t>
  </si>
  <si>
    <t>sel_Like_2</t>
  </si>
  <si>
    <t>sel_Like_3</t>
  </si>
  <si>
    <t>sel_Like_devs_1</t>
  </si>
  <si>
    <t>sel_Like_devs_2</t>
  </si>
  <si>
    <t>sel_Like_devs_3</t>
  </si>
  <si>
    <t>sel_avg_fishery</t>
  </si>
  <si>
    <t>sel_avg_BTS</t>
  </si>
  <si>
    <t>sel_avg_EIT</t>
  </si>
  <si>
    <t>Totals----------------------------------------</t>
  </si>
  <si>
    <t>Without_prior</t>
  </si>
  <si>
    <t>With_Priors</t>
  </si>
  <si>
    <t>Future_Selectivity</t>
  </si>
  <si>
    <t>Biomass with Catch=1.0 mmt</t>
  </si>
  <si>
    <t>1.0 million t catch</t>
  </si>
  <si>
    <t>SUMPRODUCT((1-B3:P3),B3:P3)/SUMXMY2(B3:P3,S3:AG3)</t>
  </si>
  <si>
    <t xml:space="preserve"> Std Dev Report Stuff</t>
  </si>
  <si>
    <t>2007 Assessment</t>
  </si>
  <si>
    <t>Population 4+</t>
  </si>
  <si>
    <t>Population 3+</t>
  </si>
  <si>
    <t>Population 2+</t>
  </si>
  <si>
    <t>Population 1+</t>
  </si>
  <si>
    <t>EIT Aggregate</t>
  </si>
  <si>
    <t>EIT since 1994</t>
  </si>
  <si>
    <t>SumEIT</t>
  </si>
  <si>
    <t>SumN_EIT</t>
  </si>
  <si>
    <t>SumBTS</t>
  </si>
  <si>
    <t>SumNbts</t>
  </si>
  <si>
    <t>2010 Age 3+ Biomass</t>
  </si>
  <si>
    <t>number</t>
  </si>
  <si>
    <t>Hauls</t>
  </si>
  <si>
    <t>Target</t>
  </si>
  <si>
    <t># Average:</t>
  </si>
  <si>
    <t>2008 Fishery Length frequency</t>
  </si>
  <si>
    <t>From 2007 Assessment</t>
  </si>
  <si>
    <t xml:space="preserve">1963 YC </t>
  </si>
  <si>
    <t xml:space="preserve">1964 YC </t>
  </si>
  <si>
    <t xml:space="preserve">1965 YC </t>
  </si>
  <si>
    <t xml:space="preserve">1966 YC </t>
  </si>
  <si>
    <t xml:space="preserve">1967 YC </t>
  </si>
  <si>
    <t xml:space="preserve">1968 YC </t>
  </si>
  <si>
    <t xml:space="preserve">1969 YC </t>
  </si>
  <si>
    <t xml:space="preserve">1970 YC </t>
  </si>
  <si>
    <t xml:space="preserve">1971 YC </t>
  </si>
  <si>
    <t xml:space="preserve">1972 YC </t>
  </si>
  <si>
    <t xml:space="preserve">1973 YC </t>
  </si>
  <si>
    <t xml:space="preserve">1974 YC </t>
  </si>
  <si>
    <t xml:space="preserve">1975 YC </t>
  </si>
  <si>
    <t xml:space="preserve">1976 YC </t>
  </si>
  <si>
    <t xml:space="preserve">1977 YC </t>
  </si>
  <si>
    <t xml:space="preserve">1978 YC </t>
  </si>
  <si>
    <t xml:space="preserve">1979 YC </t>
  </si>
  <si>
    <t xml:space="preserve">1980 YC </t>
  </si>
  <si>
    <t xml:space="preserve">1981 YC </t>
  </si>
  <si>
    <t xml:space="preserve">1982 YC </t>
  </si>
  <si>
    <t xml:space="preserve">1983 YC </t>
  </si>
  <si>
    <t xml:space="preserve">1984 YC </t>
  </si>
  <si>
    <t xml:space="preserve">1985 YC </t>
  </si>
  <si>
    <t xml:space="preserve">1986 YC </t>
  </si>
  <si>
    <t xml:space="preserve">1987 YC </t>
  </si>
  <si>
    <t xml:space="preserve">1988 YC </t>
  </si>
  <si>
    <t xml:space="preserve">1989 YC </t>
  </si>
  <si>
    <t xml:space="preserve">1990 YC </t>
  </si>
  <si>
    <t xml:space="preserve">1991 YC </t>
  </si>
  <si>
    <t xml:space="preserve">1992 YC </t>
  </si>
  <si>
    <t xml:space="preserve">1993 YC </t>
  </si>
  <si>
    <t xml:space="preserve">1994 YC </t>
  </si>
  <si>
    <t xml:space="preserve">1995 YC </t>
  </si>
  <si>
    <t xml:space="preserve">1996 YC </t>
  </si>
  <si>
    <t xml:space="preserve">1997 YC </t>
  </si>
  <si>
    <t xml:space="preserve">1998 YC </t>
  </si>
  <si>
    <t xml:space="preserve">1999 YC </t>
  </si>
  <si>
    <t xml:space="preserve">2000 YC </t>
  </si>
  <si>
    <t xml:space="preserve">2001 YC </t>
  </si>
  <si>
    <t xml:space="preserve">2002 YC </t>
  </si>
  <si>
    <t xml:space="preserve">2003 YC </t>
  </si>
  <si>
    <t xml:space="preserve">2004 YC </t>
  </si>
  <si>
    <t xml:space="preserve">2005 YC </t>
  </si>
  <si>
    <t xml:space="preserve">2006 YC </t>
  </si>
  <si>
    <t xml:space="preserve">2007 YC </t>
  </si>
  <si>
    <t>Biomass with Catch=0.8 mmt</t>
  </si>
  <si>
    <t>Regress Catch HM Abc</t>
  </si>
  <si>
    <t>Fixed catch</t>
  </si>
  <si>
    <t>Adjustment in next year</t>
  </si>
  <si>
    <t>SSB in 2 yrs</t>
  </si>
  <si>
    <t>Adjust in 2 years</t>
  </si>
  <si>
    <t>OFL cur_yr+2</t>
  </si>
  <si>
    <t>ABC cur_yr+2</t>
  </si>
  <si>
    <t>SD</t>
  </si>
  <si>
    <t>B/B0</t>
  </si>
  <si>
    <t>Stat</t>
  </si>
  <si>
    <t>Interpolates to get 
P(B&lt;0.2B0)</t>
  </si>
  <si>
    <t>No</t>
  </si>
  <si>
    <t>Current Assessment</t>
  </si>
  <si>
    <t xml:space="preserve">Stock-recruitment </t>
  </si>
  <si>
    <t>Wt used in 2007</t>
  </si>
  <si>
    <t>Current wts-at-age</t>
  </si>
  <si>
    <t>Ratio HM/AM</t>
  </si>
  <si>
    <t>2009 OFL</t>
  </si>
  <si>
    <t>2010 ABC</t>
  </si>
  <si>
    <t>2010 OFL</t>
  </si>
  <si>
    <t>2010 Adj</t>
  </si>
  <si>
    <t>(CV)</t>
  </si>
  <si>
    <t>Recs</t>
  </si>
  <si>
    <t>EITSel</t>
  </si>
  <si>
    <t>Obs_Pred_BTS_Biomass</t>
  </si>
  <si>
    <t>2010 ABC|catch</t>
  </si>
  <si>
    <t>2008 Estimates</t>
  </si>
  <si>
    <t>2008 Assessment</t>
  </si>
  <si>
    <t>Obs_Pred_EIT_Biomass</t>
  </si>
  <si>
    <t>Pred_EIT_N_age</t>
  </si>
  <si>
    <t>Average stock</t>
  </si>
  <si>
    <t>Average EIT</t>
  </si>
  <si>
    <t>Population</t>
  </si>
  <si>
    <t>Stock-Rec_Residuals</t>
  </si>
  <si>
    <t>At 800 kt of catch</t>
  </si>
  <si>
    <t>At 1,00 kt of catch</t>
  </si>
  <si>
    <t xml:space="preserve">Predicted </t>
  </si>
  <si>
    <t>2008 year-class</t>
  </si>
  <si>
    <t>(CV) 2008 YC</t>
  </si>
  <si>
    <t>Years</t>
  </si>
  <si>
    <t>Combined_Indices_CV</t>
  </si>
  <si>
    <t>Likelihood</t>
  </si>
  <si>
    <t xml:space="preserve">2008 YC </t>
  </si>
  <si>
    <t>2011 Age 3+ Biomass</t>
  </si>
  <si>
    <t>Avail_BTS</t>
  </si>
  <si>
    <t>Avail_EIT</t>
  </si>
  <si>
    <t>Bottom-trawl survey 2009</t>
  </si>
  <si>
    <t>2008 Stock-recruitment curve</t>
  </si>
  <si>
    <t>Adj 2010</t>
  </si>
  <si>
    <t>Hardwired no fishing</t>
  </si>
  <si>
    <t>=E454-E454/EXP(2*SQRT(LN(1+F454^2/E454^2)))</t>
  </si>
  <si>
    <t>=R4*EXP(2*SQRT(LN(1+S4^2/R4^2)))</t>
  </si>
  <si>
    <t>M</t>
  </si>
  <si>
    <t>N's</t>
  </si>
  <si>
    <t>SSB w/ fishing</t>
  </si>
  <si>
    <t>SSB No fishing</t>
  </si>
  <si>
    <t>Mass at age</t>
  </si>
  <si>
    <t>N at endofYrW/Fishing</t>
  </si>
  <si>
    <t>N at EndofYr Nofishing</t>
  </si>
  <si>
    <t>7+ avg F</t>
  </si>
  <si>
    <t>N-wtd Avg 7+ F</t>
  </si>
  <si>
    <t>avg_age_msy</t>
  </si>
  <si>
    <t>avgwt_msy</t>
  </si>
  <si>
    <t>Last year 2010</t>
  </si>
  <si>
    <t>Yrs.</t>
  </si>
  <si>
    <t>Future_Catch</t>
  </si>
  <si>
    <t>Cat_Fut</t>
  </si>
  <si>
    <t>SSBNext</t>
  </si>
  <si>
    <t>AdjNext</t>
  </si>
  <si>
    <t>ABC1</t>
  </si>
  <si>
    <t>OFL1</t>
  </si>
  <si>
    <t>SSB2yrs</t>
  </si>
  <si>
    <t>Adj2yrs</t>
  </si>
  <si>
    <t>ABC2</t>
  </si>
  <si>
    <t>OFL2</t>
  </si>
  <si>
    <t>relative</t>
  </si>
  <si>
    <t>to</t>
  </si>
  <si>
    <t>Bzero</t>
  </si>
  <si>
    <t>(and</t>
  </si>
  <si>
    <t>SD):</t>
  </si>
  <si>
    <t>Plus</t>
  </si>
  <si>
    <t>minus</t>
  </si>
  <si>
    <t>from</t>
  </si>
  <si>
    <t>mode</t>
  </si>
  <si>
    <t>(normal</t>
  </si>
  <si>
    <t>approx)</t>
  </si>
  <si>
    <t>sensitivity</t>
  </si>
  <si>
    <t>low:</t>
  </si>
  <si>
    <t>mode:</t>
  </si>
  <si>
    <t>high:</t>
  </si>
  <si>
    <t>adjustment</t>
  </si>
  <si>
    <t>below</t>
  </si>
  <si>
    <t>Bmsy...</t>
  </si>
  <si>
    <t>Fut_Cat</t>
  </si>
  <si>
    <t>ABC_biom</t>
  </si>
  <si>
    <t>gm_b</t>
  </si>
  <si>
    <t>MSYR</t>
  </si>
  <si>
    <t>with</t>
  </si>
  <si>
    <t>younger</t>
  </si>
  <si>
    <t>(shifted</t>
  </si>
  <si>
    <t>down</t>
  </si>
  <si>
    <t>one</t>
  </si>
  <si>
    <t>group)</t>
  </si>
  <si>
    <t>Shift</t>
  </si>
  <si>
    <t>hm_f</t>
  </si>
  <si>
    <t>am_f</t>
  </si>
  <si>
    <t>2009 YC</t>
  </si>
  <si>
    <t>Sel</t>
  </si>
  <si>
    <t xml:space="preserve">S </t>
  </si>
  <si>
    <t>Z</t>
  </si>
  <si>
    <t>S</t>
  </si>
  <si>
    <t>N proportino</t>
  </si>
  <si>
    <t>Wt prop</t>
  </si>
  <si>
    <t>Prop wt</t>
  </si>
  <si>
    <t>Prop N</t>
  </si>
  <si>
    <t>N total</t>
  </si>
  <si>
    <t>Z's</t>
  </si>
  <si>
    <t>Fishery 2009</t>
  </si>
  <si>
    <t>Bottom-trawl survey 2010</t>
  </si>
  <si>
    <t>2010 From 2009 assessment</t>
  </si>
  <si>
    <t>2010 N from current</t>
  </si>
  <si>
    <t>2009 current assessment</t>
  </si>
  <si>
    <t>2009 From 2009 assessment</t>
  </si>
  <si>
    <t>Current assessment</t>
  </si>
  <si>
    <t xml:space="preserve">Selectivity from 2009 assessment </t>
  </si>
  <si>
    <t>Cumulative wt 2009 assessment</t>
  </si>
  <si>
    <t>Difference</t>
  </si>
  <si>
    <t>CABE_E</t>
  </si>
  <si>
    <t>Current assessment for 2010 and beyond</t>
  </si>
  <si>
    <t>2009 as updated in 2010</t>
  </si>
  <si>
    <t>As assumed in 2009 assessment for 2009 and beyond</t>
  </si>
  <si>
    <t>Rec</t>
  </si>
  <si>
    <t>Fmsyr</t>
  </si>
  <si>
    <t>EIT Biomass</t>
  </si>
  <si>
    <t>Spawning</t>
  </si>
  <si>
    <t>Fishable</t>
  </si>
  <si>
    <t>Fishable w/ 2009 Ns</t>
  </si>
  <si>
    <t>ABC</t>
  </si>
  <si>
    <t>TAC</t>
  </si>
  <si>
    <t>1977-2010 average</t>
  </si>
  <si>
    <t>AvgWts</t>
  </si>
  <si>
    <t>Fishery selectivity</t>
  </si>
  <si>
    <t>wts</t>
  </si>
  <si>
    <t>use</t>
  </si>
  <si>
    <t>2009 Wt</t>
  </si>
  <si>
    <t>Fishable time-varying selectivity</t>
  </si>
  <si>
    <t>AT survey age composition fits</t>
  </si>
  <si>
    <t>2011 from 2009 assessment</t>
  </si>
  <si>
    <t>2011 from current</t>
  </si>
  <si>
    <t>Projected 2011 wt in 2009 assessment</t>
  </si>
  <si>
    <t>Projected 2011 wt in current assessment</t>
  </si>
  <si>
    <t>Buffer</t>
  </si>
  <si>
    <t>Selectivity in 2009 as estimated in 2010</t>
  </si>
  <si>
    <t>2009 selectivity assumption for 2009</t>
  </si>
  <si>
    <t>Change in "fishable biomass"</t>
  </si>
  <si>
    <t>AVO_Biom_Like</t>
  </si>
  <si>
    <t>AVO Biomass</t>
  </si>
  <si>
    <t>2009 Results</t>
  </si>
  <si>
    <t>Age 1-4 biomass</t>
  </si>
  <si>
    <t>Fractions (not Fs)</t>
  </si>
  <si>
    <t>5-yr Average</t>
  </si>
  <si>
    <t>5-yr Max</t>
  </si>
  <si>
    <t>5-yr Min</t>
  </si>
  <si>
    <t>AVO</t>
  </si>
  <si>
    <t>Fishery 2010</t>
  </si>
  <si>
    <t>Bottom-trawl survey 2011</t>
  </si>
  <si>
    <t>SPR</t>
  </si>
  <si>
    <t>900 t catch</t>
  </si>
  <si>
    <t>2010 Assessment</t>
  </si>
  <si>
    <t xml:space="preserve">2010 YC </t>
  </si>
  <si>
    <t>As assumed in 2010 assessment for 2010 and beyond</t>
  </si>
  <si>
    <t>Current assessment for 2011 and beyond</t>
  </si>
  <si>
    <t>2010 as updated in 2011</t>
  </si>
  <si>
    <t>AvgRec since 77</t>
  </si>
  <si>
    <t>gm_b(i)</t>
  </si>
  <si>
    <t>*</t>
  </si>
  <si>
    <t>gm_b2(i)</t>
  </si>
  <si>
    <t>2012 Yield F35% (F2010=F35%)</t>
  </si>
  <si>
    <t>SDNR AVO</t>
  </si>
  <si>
    <t>RMSE AVO</t>
  </si>
  <si>
    <t>2012 Tier 1 adjustment to OFL and ABC</t>
  </si>
  <si>
    <t>Fishable Bmsy</t>
  </si>
  <si>
    <t>AVO Data</t>
  </si>
  <si>
    <t>AVO data excluded</t>
  </si>
  <si>
    <t>Bcur/Bnofishing</t>
  </si>
  <si>
    <t>Sigma</t>
  </si>
  <si>
    <t>LB</t>
  </si>
  <si>
    <t>UB</t>
  </si>
  <si>
    <t>2012 Age 3+ Biomass</t>
  </si>
  <si>
    <t>2013 Age 3+ Biomass</t>
  </si>
  <si>
    <t>2012 (in 2011)</t>
  </si>
  <si>
    <t>N 2011 last year</t>
  </si>
  <si>
    <t>N 2011 This year</t>
  </si>
  <si>
    <t>Mn2011 wt</t>
  </si>
  <si>
    <t>Fcur_Fmsy</t>
  </si>
  <si>
    <t>Bcur2_Bmsy</t>
  </si>
  <si>
    <t>Fishery 2011</t>
  </si>
  <si>
    <t>Fishery 2012</t>
  </si>
  <si>
    <t>Bottom-trawl survey 2012</t>
  </si>
  <si>
    <t>AT Survey 2009</t>
  </si>
  <si>
    <t>AT Survey 2010</t>
  </si>
  <si>
    <t>AT Survey 2012</t>
  </si>
  <si>
    <t>Mean Wt</t>
  </si>
  <si>
    <t>2012 SSB/Bmsy</t>
  </si>
  <si>
    <t>B2012 / B(no fishing since 1978)</t>
  </si>
  <si>
    <t>2014 Age 3+ Biomass</t>
  </si>
  <si>
    <t>2014 SSB</t>
  </si>
  <si>
    <t>2014 Fishable biomass (GM)</t>
  </si>
  <si>
    <t>2013 Yield F35%</t>
  </si>
  <si>
    <t xml:space="preserve">2011 YC </t>
  </si>
  <si>
    <t>2015 Age 3+ Biomass</t>
  </si>
  <si>
    <t>3-8</t>
  </si>
  <si>
    <t>N Next year</t>
  </si>
  <si>
    <t>2013 SSB (at time of spawning, 1,100 kt)</t>
  </si>
  <si>
    <t>log_q_avo:</t>
  </si>
  <si>
    <t>mod0.4.dat</t>
  </si>
  <si>
    <t>Average since 1991</t>
  </si>
  <si>
    <t>Mod1.2_ApproxSigR</t>
  </si>
  <si>
    <t>repl_F</t>
  </si>
  <si>
    <t>Bottom-trawl survey 2013</t>
  </si>
  <si>
    <t>Mod2.0_Stans</t>
  </si>
  <si>
    <t>mod2.0.dat</t>
  </si>
  <si>
    <t>From 2012 Assessment</t>
  </si>
  <si>
    <t>Mod1.7_BH_Ignore78_diffuse</t>
  </si>
  <si>
    <t>Mod1.4_Ignore78</t>
  </si>
  <si>
    <t>Prob 2010 SSB&lt;B40%</t>
  </si>
  <si>
    <t>2013S pawning biomass</t>
  </si>
  <si>
    <t>Ratio 2013/2014 age 3+ biomass</t>
  </si>
  <si>
    <t>2015 SSB</t>
  </si>
  <si>
    <t>2014 SSB (at time of spawning, Fmsy)</t>
  </si>
  <si>
    <t>2014 SSB (at time of spawning, F40%)</t>
  </si>
  <si>
    <t xml:space="preserve">2012 YC </t>
  </si>
  <si>
    <t>(CV) 2011 YC</t>
  </si>
  <si>
    <t>2015 Fishable biomass (GM)</t>
  </si>
  <si>
    <t>OFL</t>
  </si>
  <si>
    <t>future_SSB(1</t>
  </si>
  <si>
    <t>styr_fut)</t>
  </si>
  <si>
    <t>future_SSB(2</t>
  </si>
  <si>
    <t>catch_future(1</t>
  </si>
  <si>
    <t>catch_future(2</t>
  </si>
  <si>
    <t>gm_b(1)</t>
  </si>
  <si>
    <t>gm_b2(1)</t>
  </si>
  <si>
    <t>adj_1(1)</t>
  </si>
  <si>
    <t>adj_2(1)</t>
  </si>
  <si>
    <t>mean(obs_catch(endyr_r-3</t>
  </si>
  <si>
    <t>endyr_r))</t>
  </si>
  <si>
    <t>pred_rec(1990)</t>
  </si>
  <si>
    <t>pred_rec(1993)</t>
  </si>
  <si>
    <t>pred_rec(1997)</t>
  </si>
  <si>
    <t>pred_rec(2001)</t>
  </si>
  <si>
    <t>Cat_Fut(i)</t>
  </si>
  <si>
    <t>SSB_1(i)</t>
  </si>
  <si>
    <t>adj_1(i)</t>
  </si>
  <si>
    <t>SSB_2(i)</t>
  </si>
  <si>
    <t>adj_2(i)</t>
  </si>
  <si>
    <t>Year 2014 MSYR ABC</t>
  </si>
  <si>
    <t>Year 2014 MSYR OFL</t>
  </si>
  <si>
    <t>Year 2015 MSYR ABC (C2014=Avg)</t>
  </si>
  <si>
    <t>Year 2015 MSYR OFL(C2014=Avg)</t>
  </si>
  <si>
    <t>2014 Yield F40% (F2012=F40%)</t>
  </si>
  <si>
    <t>0.50</t>
  </si>
  <si>
    <t>0.520</t>
  </si>
  <si>
    <t>0.588</t>
  </si>
  <si>
    <t>0.585</t>
  </si>
  <si>
    <t>0.297</t>
  </si>
  <si>
    <t>Mod1.5_Ignore78_ConservPrior</t>
  </si>
  <si>
    <t>0.326</t>
  </si>
  <si>
    <t>Mod1.2</t>
  </si>
  <si>
    <t>Mod1.3</t>
  </si>
  <si>
    <t>Mod1.4</t>
  </si>
  <si>
    <t>Mod1.5</t>
  </si>
  <si>
    <t>Mod1.7</t>
  </si>
  <si>
    <t>repl_F:</t>
  </si>
  <si>
    <t>std.dev</t>
  </si>
  <si>
    <t>log_avginit</t>
  </si>
  <si>
    <t>log_q_std_area</t>
  </si>
  <si>
    <t>steepness</t>
  </si>
  <si>
    <t>log_q_cpue</t>
  </si>
  <si>
    <t>log_q_avo</t>
  </si>
  <si>
    <t>log_initdevs</t>
  </si>
  <si>
    <t>sel_devs_fsh</t>
  </si>
  <si>
    <t>sel_devs_eit</t>
  </si>
  <si>
    <t>sel_coffs_fsh</t>
  </si>
  <si>
    <t>sel_coffs_eit</t>
  </si>
  <si>
    <t>sel_slp_bts</t>
  </si>
  <si>
    <t>sel_a50_bts</t>
  </si>
  <si>
    <t>sel_age_one</t>
  </si>
  <si>
    <t>sel_slp_bts_dev</t>
  </si>
  <si>
    <t>sel_a50_bts_dev</t>
  </si>
  <si>
    <t>sel_one_bts_dev</t>
  </si>
  <si>
    <t>q_all</t>
  </si>
  <si>
    <t>endyr_N</t>
  </si>
  <si>
    <t>Percent_Bzero</t>
  </si>
  <si>
    <t>Percent_Bzero_1</t>
  </si>
  <si>
    <t>Percent_Bzero_2</t>
  </si>
  <si>
    <t>Percent_B100</t>
  </si>
  <si>
    <t>Percent_B100_1</t>
  </si>
  <si>
    <t>Percent_B100_2</t>
  </si>
  <si>
    <t>q_temp</t>
  </si>
  <si>
    <t>Bcur_Bmean</t>
  </si>
  <si>
    <t>Bcur3_Bcur</t>
  </si>
  <si>
    <t>Bcur3_Bmean</t>
  </si>
  <si>
    <t>Bcur2_B20</t>
  </si>
  <si>
    <t>LTA1_5R</t>
  </si>
  <si>
    <t>LTA1_5</t>
  </si>
  <si>
    <t>MatAgeDiv1</t>
  </si>
  <si>
    <t>MatAgeDiv2</t>
  </si>
  <si>
    <t>RelEffort</t>
  </si>
  <si>
    <t>SB100</t>
  </si>
  <si>
    <t>ABC_biom2</t>
  </si>
  <si>
    <t>Type</t>
  </si>
  <si>
    <t>Scale</t>
  </si>
  <si>
    <t>Output</t>
  </si>
  <si>
    <t>SelFsh</t>
  </si>
  <si>
    <t>SelInd</t>
  </si>
  <si>
    <t>Row Labels</t>
  </si>
  <si>
    <t>Grand Total</t>
  </si>
  <si>
    <t>Count of name</t>
  </si>
  <si>
    <t>2013 (in 2013)</t>
  </si>
  <si>
    <t>2013 (in 2012)</t>
  </si>
  <si>
    <t>model0_0</t>
  </si>
  <si>
    <t>0.489</t>
  </si>
  <si>
    <t>model_0_4</t>
  </si>
  <si>
    <t>0.493</t>
  </si>
  <si>
    <t>Mod0.0</t>
  </si>
  <si>
    <t>Mod0.4</t>
  </si>
  <si>
    <t>Mod1.1_EstSigr</t>
  </si>
  <si>
    <t>0.624</t>
  </si>
  <si>
    <t>FreeSigR</t>
  </si>
  <si>
    <t>0.453</t>
  </si>
  <si>
    <t>model_0_5_MeanWtCh</t>
  </si>
  <si>
    <t>mod0.5.dat</t>
  </si>
  <si>
    <t>0.486</t>
  </si>
  <si>
    <t>Bottom trawl 2014</t>
  </si>
  <si>
    <t>Bottom trawl 2013</t>
  </si>
  <si>
    <t>Acoustic trawl 2014</t>
  </si>
  <si>
    <t>Fishery 2013</t>
  </si>
  <si>
    <t>Summary!$E$62:$E$96</t>
  </si>
  <si>
    <t>[1]</t>
  </si>
  <si>
    <t>WHp</t>
  </si>
  <si>
    <t>Peel</t>
  </si>
  <si>
    <t>TermYr</t>
  </si>
  <si>
    <t>AT Survey 2014</t>
  </si>
  <si>
    <t>Bottom-trawl survey 2014</t>
  </si>
  <si>
    <t>2016,</t>
  </si>
  <si>
    <t>adj_1(1),1</t>
  </si>
  <si>
    <t>adj_2(1),1</t>
  </si>
  <si>
    <t>Cat_Fut,</t>
  </si>
  <si>
    <t>adj_1(i),1</t>
  </si>
  <si>
    <t>adj_2(i),1</t>
  </si>
  <si>
    <t>Cat_Fut(i),1001.77</t>
  </si>
  <si>
    <t>Cat_Fut(i),951.686</t>
  </si>
  <si>
    <t>Cat_Fut(i),904.102</t>
  </si>
  <si>
    <t>Cat_Fut(i),858.897</t>
  </si>
  <si>
    <t>Cat_Fut(i),815.952</t>
  </si>
  <si>
    <t>Cat_Fut(i),775.154</t>
  </si>
  <si>
    <t>Cat_Fut(i),736.397</t>
  </si>
  <si>
    <t>Cat_Fut(i),699.577</t>
  </si>
  <si>
    <t>Pmature</t>
  </si>
  <si>
    <t>2017,</t>
  </si>
  <si>
    <t>Cat_Fut(i),1637</t>
  </si>
  <si>
    <t>Cat_Fut(i),1554</t>
  </si>
  <si>
    <t>future_SSB(1,styr_fut),3541.97</t>
  </si>
  <si>
    <t>future_SSB(2,styr_fut),3525.16</t>
  </si>
  <si>
    <t>catch_future(1,styr_fut),666.103</t>
  </si>
  <si>
    <t>catch_future(2,styr_fut),798.881</t>
  </si>
  <si>
    <t>hm_f,0.624029</t>
  </si>
  <si>
    <t>am_f,0.740763</t>
  </si>
  <si>
    <t>gm_b(1),6761.46</t>
  </si>
  <si>
    <t>gm_b2(1),6087.23</t>
  </si>
  <si>
    <t>mean(obs_catch(endyr_r-3,endyr_r)),1268.72</t>
  </si>
  <si>
    <t>SPR_ABC,0.230118</t>
  </si>
  <si>
    <t>SPR_OFL,0.193855</t>
  </si>
  <si>
    <t>pred_rec(1990),51584.8</t>
  </si>
  <si>
    <t>pred_rec(1993),46599.5</t>
  </si>
  <si>
    <t>pred_rec(1997),33443.4</t>
  </si>
  <si>
    <t>pred_rec(2001),37573.1</t>
  </si>
  <si>
    <t>SSB_1(i),3335.38</t>
  </si>
  <si>
    <t>SSB_2(i),3078.81</t>
  </si>
  <si>
    <t>SSB_1(i),3351.72</t>
  </si>
  <si>
    <t>SSB_2(i),3141.69</t>
  </si>
  <si>
    <t>SSB_1(i),3455.16</t>
  </si>
  <si>
    <t>SSB_2(i),3556.88</t>
  </si>
  <si>
    <t>SSB_1(i),3464.11</t>
  </si>
  <si>
    <t>SSB_2(i),3594.34</t>
  </si>
  <si>
    <t>SSB_1(i),3472.56</t>
  </si>
  <si>
    <t>SSB_2(i),3629.91</t>
  </si>
  <si>
    <t>SSB_1(i),3480.53</t>
  </si>
  <si>
    <t>SSB_2(i),3663.68</t>
  </si>
  <si>
    <t>SSB_1(i),3488.05</t>
  </si>
  <si>
    <t>SSB_2(i),3695.74</t>
  </si>
  <si>
    <t>SSB_1(i),3495.15</t>
  </si>
  <si>
    <t>SSB_2(i),3726.19</t>
  </si>
  <si>
    <t>SSB_1(i),3501.85</t>
  </si>
  <si>
    <t>SSB_2(i),3755.11</t>
  </si>
  <si>
    <t>SSB_1(i),3508.19</t>
  </si>
  <si>
    <t>SSB_2(i),3782.56</t>
  </si>
  <si>
    <t>Stan_Index</t>
  </si>
  <si>
    <t>pm2015_stan.dat</t>
  </si>
  <si>
    <t>ABC,4219.35</t>
  </si>
  <si>
    <t>OFL,5008.64</t>
  </si>
  <si>
    <t>ABC,3798.61</t>
  </si>
  <si>
    <t>OFL,4509.2</t>
  </si>
  <si>
    <t>adj_1(i),4219.35</t>
  </si>
  <si>
    <t>adj_1(i),5008.64</t>
  </si>
  <si>
    <t>adj_2(i),3798.61</t>
  </si>
  <si>
    <t>adj_2(i),4509.2</t>
  </si>
  <si>
    <t>adj_2(i),3865.13</t>
  </si>
  <si>
    <t>adj_2(i),4588.17</t>
  </si>
  <si>
    <t>adj_2(i),4313.45</t>
  </si>
  <si>
    <t>adj_2(i),5120.35</t>
  </si>
  <si>
    <t>adj_2(i),4354.57</t>
  </si>
  <si>
    <t>adj_2(i),5169.16</t>
  </si>
  <si>
    <t>adj_2(i),4393.7</t>
  </si>
  <si>
    <t>adj_2(i),5215.62</t>
  </si>
  <si>
    <t>adj_2(i),4430.94</t>
  </si>
  <si>
    <t>adj_2(i),5259.82</t>
  </si>
  <si>
    <t>adj_2(i),4466.37</t>
  </si>
  <si>
    <t>adj_2(i),5301.87</t>
  </si>
  <si>
    <t>adj_2(i),4500.07</t>
  </si>
  <si>
    <t>adj_2(i),5341.88</t>
  </si>
  <si>
    <t>adj_2(i),4532.13</t>
  </si>
  <si>
    <t>adj_2(i),5379.94</t>
  </si>
  <si>
    <t>adj_2(i),4562.63</t>
  </si>
  <si>
    <t>adj_2(i),5416.14</t>
  </si>
  <si>
    <t>future_SSB(1,styr_fut),3675.11</t>
  </si>
  <si>
    <t>future_SSB(2,styr_fut),3658.14</t>
  </si>
  <si>
    <t>catch_future(1,styr_fut),663.652</t>
  </si>
  <si>
    <t>catch_future(2,styr_fut),796.006</t>
  </si>
  <si>
    <t>hm_f,0.400886</t>
  </si>
  <si>
    <t>am_f,0.513744</t>
  </si>
  <si>
    <t>gm_b(1),7607.7</t>
  </si>
  <si>
    <t>gm_b2(1),6891.65</t>
  </si>
  <si>
    <t>SPR_ABC,0.320491</t>
  </si>
  <si>
    <t>SPR_OFL,0.250086</t>
  </si>
  <si>
    <t>pred_rec(1990),49805.9</t>
  </si>
  <si>
    <t>pred_rec(1993),47637.2</t>
  </si>
  <si>
    <t>pred_rec(1997),31384</t>
  </si>
  <si>
    <t>pred_rec(2001),36319.2</t>
  </si>
  <si>
    <t>SSB_1(i),3466.38</t>
  </si>
  <si>
    <t>SSB_2(i),3200.54</t>
  </si>
  <si>
    <t>SSB_1(i),3482.91</t>
  </si>
  <si>
    <t>SSB_2(i),3263.4</t>
  </si>
  <si>
    <t>SSB_1(i),3587.43</t>
  </si>
  <si>
    <t>SSB_2(i),3677.96</t>
  </si>
  <si>
    <t>SSB_1(i),3596.48</t>
  </si>
  <si>
    <t>SSB_2(i),3715.33</t>
  </si>
  <si>
    <t>SSB_1(i),3605.01</t>
  </si>
  <si>
    <t>SSB_2(i),3750.79</t>
  </si>
  <si>
    <t>SSB_1(i),3613.06</t>
  </si>
  <si>
    <t>SSB_2(i),3784.47</t>
  </si>
  <si>
    <t>SSB_1(i),3620.65</t>
  </si>
  <si>
    <t>SSB_2(i),3816.43</t>
  </si>
  <si>
    <t>SSB_1(i),3627.82</t>
  </si>
  <si>
    <t>SSB_2(i),3846.78</t>
  </si>
  <si>
    <t>SSB_1(i),3634.6</t>
  </si>
  <si>
    <t>SSB_2(i),3875.6</t>
  </si>
  <si>
    <t>SSB_1(i),3641</t>
  </si>
  <si>
    <t>SSB_2(i),3902.97</t>
  </si>
  <si>
    <t>ABC,3049.82</t>
  </si>
  <si>
    <t>OFL,3908.41</t>
  </si>
  <si>
    <t>ABC,2762.76</t>
  </si>
  <si>
    <t>OFL,3540.54</t>
  </si>
  <si>
    <t>adj_1(i),3049.82</t>
  </si>
  <si>
    <t>adj_1(i),3908.41</t>
  </si>
  <si>
    <t>adj_2(i),2762.76</t>
  </si>
  <si>
    <t>adj_2(i),3540.54</t>
  </si>
  <si>
    <t>adj_2(i),2811.75</t>
  </si>
  <si>
    <t>adj_2(i),3603.32</t>
  </si>
  <si>
    <t>adj_2(i),3141.6</t>
  </si>
  <si>
    <t>adj_2(i),4026.03</t>
  </si>
  <si>
    <t>adj_2(i),3171.84</t>
  </si>
  <si>
    <t>adj_2(i),4064.78</t>
  </si>
  <si>
    <t>adj_2(i),3200.61</t>
  </si>
  <si>
    <t>adj_2(i),4101.65</t>
  </si>
  <si>
    <t>adj_2(i),3227.98</t>
  </si>
  <si>
    <t>adj_2(i),4136.73</t>
  </si>
  <si>
    <t>adj_2(i),3254.02</t>
  </si>
  <si>
    <t>adj_2(i),4170.11</t>
  </si>
  <si>
    <t>adj_2(i),3278.8</t>
  </si>
  <si>
    <t>adj_2(i),4201.85</t>
  </si>
  <si>
    <t>adj_2(i),3302.36</t>
  </si>
  <si>
    <t>adj_2(i),4232.05</t>
  </si>
  <si>
    <t>adj_2(i),3324.77</t>
  </si>
  <si>
    <t>adj_2(i),4260.77</t>
  </si>
  <si>
    <t>nan</t>
  </si>
  <si>
    <t>Model_16.1</t>
  </si>
  <si>
    <t>../dat/pm2016_ddc_3.0mTuned.dat</t>
  </si>
  <si>
    <t>Fishery 2015</t>
  </si>
  <si>
    <t>Bottom Trawl survey 2015</t>
  </si>
  <si>
    <t>Bottom trawl survey 2016</t>
  </si>
  <si>
    <t>Acoustic trawl 2016</t>
  </si>
  <si>
    <t>BTS Biomass</t>
  </si>
  <si>
    <t>BTS Abundance</t>
  </si>
  <si>
    <t>ATS Biomass</t>
  </si>
  <si>
    <t>ATS Abundance</t>
  </si>
  <si>
    <t xml:space="preserve">BTS </t>
  </si>
  <si>
    <t>Abundance</t>
  </si>
  <si>
    <t xml:space="preserve">ATS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</si>
</sst>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"/>
    <numFmt numFmtId="167" formatCode="_(* #,##0.000_);_(* \(#,##0.000\);_(* &quot;-&quot;??_);_(@_)"/>
    <numFmt numFmtId="168" formatCode="0.0%"/>
    <numFmt numFmtId="169" formatCode="0.00000"/>
    <numFmt numFmtId="170" formatCode="0.000"/>
    <numFmt numFmtId="171" formatCode="mmmm\ d"/>
    <numFmt numFmtId="172" formatCode="\(0%\)"/>
    <numFmt numFmtId="173" formatCode="#,##0.000"/>
    <numFmt numFmtId="174" formatCode="\(#,##0\)"/>
    <numFmt numFmtId="175" formatCode="#,##0.0"/>
  </numFmts>
  <fonts count="54" x14ac:knownFonts="1">
    <font>
      <sz val="10"/>
      <name val="Arial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b/>
      <sz val="18"/>
      <name val="Arial"/>
      <family val="2"/>
    </font>
    <font>
      <b/>
      <sz val="10"/>
      <color indexed="10"/>
      <name val="Arial"/>
      <family val="2"/>
    </font>
    <font>
      <b/>
      <sz val="12"/>
      <color indexed="13"/>
      <name val="Arial"/>
      <family val="2"/>
    </font>
    <font>
      <b/>
      <sz val="12"/>
      <color indexed="10"/>
      <name val="Arial"/>
      <family val="2"/>
    </font>
    <font>
      <b/>
      <sz val="10"/>
      <name val="Arial"/>
      <family val="2"/>
    </font>
    <font>
      <b/>
      <sz val="24"/>
      <color indexed="10"/>
      <name val="Arial"/>
      <family val="2"/>
    </font>
    <font>
      <b/>
      <sz val="24"/>
      <color indexed="50"/>
      <name val="Arial"/>
      <family val="2"/>
    </font>
    <font>
      <sz val="10"/>
      <name val="Arial"/>
      <family val="2"/>
    </font>
    <font>
      <sz val="8"/>
      <name val="Times New Roman"/>
      <family val="1"/>
    </font>
    <font>
      <b/>
      <sz val="8"/>
      <name val="Times New Roman"/>
      <family val="1"/>
    </font>
    <font>
      <b/>
      <sz val="14"/>
      <color indexed="50"/>
      <name val="Arial"/>
      <family val="2"/>
    </font>
    <font>
      <b/>
      <sz val="24"/>
      <name val="Arial"/>
      <family val="2"/>
    </font>
    <font>
      <b/>
      <sz val="24"/>
      <color indexed="57"/>
      <name val="Arial"/>
      <family val="2"/>
    </font>
    <font>
      <b/>
      <sz val="18"/>
      <color indexed="50"/>
      <name val="Arial"/>
      <family val="2"/>
    </font>
    <font>
      <sz val="8"/>
      <name val="Euclid"/>
      <family val="1"/>
    </font>
    <font>
      <sz val="11"/>
      <name val="Eucli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Times New Roman"/>
      <family val="1"/>
    </font>
    <font>
      <sz val="10"/>
      <name val="Times New Roman"/>
      <family val="1"/>
    </font>
    <font>
      <sz val="14"/>
      <name val="Tahoma"/>
      <family val="2"/>
    </font>
    <font>
      <sz val="8"/>
      <name val="Tahoma"/>
      <family val="2"/>
    </font>
    <font>
      <sz val="22"/>
      <name val="Arial"/>
      <family val="2"/>
    </font>
    <font>
      <b/>
      <sz val="20"/>
      <color indexed="51"/>
      <name val="Arial"/>
      <family val="2"/>
    </font>
    <font>
      <sz val="8"/>
      <name val="Arial"/>
      <family val="2"/>
    </font>
    <font>
      <b/>
      <sz val="20"/>
      <color indexed="50"/>
      <name val="Tahoma"/>
      <family val="2"/>
    </font>
    <font>
      <b/>
      <sz val="32"/>
      <color indexed="16"/>
      <name val="Tahoma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22"/>
      <name val="Arial"/>
      <family val="2"/>
    </font>
    <font>
      <b/>
      <sz val="28"/>
      <name val="Arial"/>
      <family val="2"/>
    </font>
    <font>
      <b/>
      <sz val="22"/>
      <color rgb="FFFF0000"/>
      <name val="Tahoma"/>
      <family val="2"/>
    </font>
    <font>
      <u/>
      <sz val="10"/>
      <color theme="11"/>
      <name val="Arial"/>
      <family val="2"/>
    </font>
    <font>
      <u/>
      <sz val="10"/>
      <name val="Arial"/>
      <family val="2"/>
    </font>
    <font>
      <b/>
      <sz val="11"/>
      <color indexed="50"/>
      <name val="Arial"/>
      <family val="2"/>
    </font>
    <font>
      <sz val="11"/>
      <name val="Arial"/>
      <family val="2"/>
    </font>
    <font>
      <b/>
      <sz val="20"/>
      <color rgb="FFFF0000"/>
      <name val="Tahoma"/>
      <family val="2"/>
    </font>
    <font>
      <b/>
      <sz val="10"/>
      <color rgb="FFDD0806"/>
      <name val="Arial"/>
      <family val="2"/>
    </font>
    <font>
      <b/>
      <sz val="12"/>
      <color indexed="50"/>
      <name val="Arial"/>
      <family val="2"/>
    </font>
    <font>
      <b/>
      <sz val="32"/>
      <color rgb="FF000000"/>
      <name val="Arial"/>
    </font>
    <font>
      <b/>
      <sz val="32"/>
      <color rgb="FF000000"/>
      <name val="Arial Narrow"/>
    </font>
    <font>
      <sz val="32"/>
      <color rgb="FF000000"/>
      <name val="Arial Narrow"/>
    </font>
    <font>
      <b/>
      <sz val="32"/>
      <color rgb="FFFF0000"/>
      <name val="Arial Narrow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CF305"/>
        <bgColor rgb="FF000000"/>
      </patternFill>
    </fill>
    <fill>
      <patternFill patternType="solid">
        <fgColor rgb="FFE7EDEF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000000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05">
    <xf numFmtId="0" fontId="0" fillId="0" borderId="0"/>
    <xf numFmtId="43" fontId="6" fillId="0" borderId="0" applyFont="0" applyFill="0" applyBorder="0" applyAlignment="0" applyProtection="0"/>
    <xf numFmtId="0" fontId="39" fillId="7" borderId="0" applyNumberFormat="0" applyBorder="0" applyAlignment="0" applyProtection="0"/>
    <xf numFmtId="0" fontId="6" fillId="0" borderId="0"/>
    <xf numFmtId="0" fontId="38" fillId="0" borderId="0"/>
    <xf numFmtId="0" fontId="31" fillId="0" borderId="0"/>
    <xf numFmtId="0" fontId="31" fillId="0" borderId="0"/>
    <xf numFmtId="9" fontId="6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0" fontId="2" fillId="0" borderId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278">
    <xf numFmtId="0" fontId="0" fillId="0" borderId="0" xfId="0"/>
    <xf numFmtId="11" fontId="0" fillId="0" borderId="0" xfId="0" applyNumberFormat="1"/>
    <xf numFmtId="0" fontId="8" fillId="0" borderId="0" xfId="0" applyFont="1" applyAlignment="1">
      <alignment horizontal="center" vertical="top"/>
    </xf>
    <xf numFmtId="164" fontId="0" fillId="0" borderId="0" xfId="1" applyNumberFormat="1" applyFont="1"/>
    <xf numFmtId="0" fontId="5" fillId="0" borderId="0" xfId="0" applyFont="1"/>
    <xf numFmtId="0" fontId="0" fillId="0" borderId="0" xfId="0" applyAlignment="1">
      <alignment horizontal="centerContinuous"/>
    </xf>
    <xf numFmtId="1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0" fontId="5" fillId="0" borderId="0" xfId="0" applyFont="1" applyAlignment="1">
      <alignment wrapText="1"/>
    </xf>
    <xf numFmtId="0" fontId="11" fillId="0" borderId="0" xfId="0" applyFont="1"/>
    <xf numFmtId="170" fontId="0" fillId="0" borderId="0" xfId="0" applyNumberFormat="1"/>
    <xf numFmtId="164" fontId="0" fillId="0" borderId="0" xfId="0" applyNumberFormat="1"/>
    <xf numFmtId="0" fontId="5" fillId="2" borderId="0" xfId="0" applyFont="1" applyFill="1" applyAlignment="1">
      <alignment horizontal="right"/>
    </xf>
    <xf numFmtId="0" fontId="5" fillId="2" borderId="1" xfId="0" applyFont="1" applyFill="1" applyBorder="1"/>
    <xf numFmtId="169" fontId="0" fillId="0" borderId="0" xfId="0" applyNumberFormat="1"/>
    <xf numFmtId="0" fontId="13" fillId="3" borderId="0" xfId="0" applyFont="1" applyFill="1"/>
    <xf numFmtId="0" fontId="14" fillId="4" borderId="0" xfId="0" applyFont="1" applyFill="1"/>
    <xf numFmtId="0" fontId="13" fillId="4" borderId="0" xfId="0" applyFont="1" applyFill="1"/>
    <xf numFmtId="9" fontId="0" fillId="0" borderId="0" xfId="7" applyFont="1"/>
    <xf numFmtId="2" fontId="0" fillId="0" borderId="0" xfId="0" applyNumberFormat="1"/>
    <xf numFmtId="0" fontId="15" fillId="0" borderId="0" xfId="0" applyFont="1"/>
    <xf numFmtId="0" fontId="17" fillId="0" borderId="0" xfId="0" applyFont="1" applyAlignment="1">
      <alignment horizontal="right" vertical="top"/>
    </xf>
    <xf numFmtId="9" fontId="0" fillId="0" borderId="0" xfId="0" applyNumberFormat="1"/>
    <xf numFmtId="43" fontId="0" fillId="0" borderId="0" xfId="0" applyNumberFormat="1"/>
    <xf numFmtId="0" fontId="0" fillId="4" borderId="0" xfId="0" applyFill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73" fontId="0" fillId="0" borderId="0" xfId="0" applyNumberFormat="1"/>
    <xf numFmtId="0" fontId="15" fillId="0" borderId="2" xfId="0" applyFont="1" applyBorder="1"/>
    <xf numFmtId="0" fontId="0" fillId="0" borderId="0" xfId="0" applyNumberFormat="1"/>
    <xf numFmtId="9" fontId="15" fillId="0" borderId="0" xfId="1" applyNumberFormat="1" applyFont="1"/>
    <xf numFmtId="174" fontId="0" fillId="0" borderId="0" xfId="0" applyNumberFormat="1"/>
    <xf numFmtId="0" fontId="21" fillId="0" borderId="0" xfId="0" applyFont="1" applyAlignment="1">
      <alignment horizontal="center" vertical="top"/>
    </xf>
    <xf numFmtId="0" fontId="0" fillId="0" borderId="0" xfId="7" applyNumberFormat="1" applyFont="1"/>
    <xf numFmtId="170" fontId="0" fillId="0" borderId="0" xfId="7" applyNumberFormat="1" applyFont="1"/>
    <xf numFmtId="0" fontId="15" fillId="4" borderId="0" xfId="0" applyFont="1" applyFill="1"/>
    <xf numFmtId="0" fontId="0" fillId="0" borderId="0" xfId="1" applyNumberFormat="1" applyFont="1"/>
    <xf numFmtId="0" fontId="23" fillId="0" borderId="0" xfId="0" applyFont="1" applyAlignment="1">
      <alignment horizontal="centerContinuous" vertical="top"/>
    </xf>
    <xf numFmtId="0" fontId="24" fillId="0" borderId="0" xfId="0" applyFont="1" applyAlignment="1">
      <alignment horizontal="right" vertical="top"/>
    </xf>
    <xf numFmtId="2" fontId="15" fillId="4" borderId="0" xfId="0" applyNumberFormat="1" applyFont="1" applyFill="1"/>
    <xf numFmtId="0" fontId="18" fillId="0" borderId="0" xfId="0" applyFont="1"/>
    <xf numFmtId="3" fontId="18" fillId="0" borderId="0" xfId="0" applyNumberFormat="1" applyFont="1"/>
    <xf numFmtId="172" fontId="18" fillId="0" borderId="0" xfId="0" applyNumberFormat="1" applyFont="1"/>
    <xf numFmtId="9" fontId="10" fillId="0" borderId="0" xfId="7" applyFont="1"/>
    <xf numFmtId="9" fontId="18" fillId="0" borderId="0" xfId="1" applyNumberFormat="1" applyFont="1"/>
    <xf numFmtId="2" fontId="18" fillId="0" borderId="0" xfId="0" applyNumberFormat="1" applyFont="1"/>
    <xf numFmtId="170" fontId="18" fillId="5" borderId="0" xfId="0" applyNumberFormat="1" applyFont="1" applyFill="1"/>
    <xf numFmtId="170" fontId="18" fillId="0" borderId="0" xfId="0" applyNumberFormat="1" applyFont="1"/>
    <xf numFmtId="1" fontId="18" fillId="0" borderId="0" xfId="0" applyNumberFormat="1" applyFont="1"/>
    <xf numFmtId="171" fontId="18" fillId="0" borderId="0" xfId="1" applyNumberFormat="1" applyFont="1"/>
    <xf numFmtId="171" fontId="18" fillId="0" borderId="0" xfId="1" quotePrefix="1" applyNumberFormat="1" applyFont="1"/>
    <xf numFmtId="3" fontId="15" fillId="0" borderId="0" xfId="0" applyNumberFormat="1" applyFont="1"/>
    <xf numFmtId="0" fontId="9" fillId="0" borderId="0" xfId="0" applyFont="1"/>
    <xf numFmtId="0" fontId="15" fillId="0" borderId="0" xfId="0" quotePrefix="1" applyFont="1"/>
    <xf numFmtId="0" fontId="18" fillId="0" borderId="2" xfId="0" applyFont="1" applyBorder="1"/>
    <xf numFmtId="172" fontId="18" fillId="0" borderId="0" xfId="0" applyNumberFormat="1" applyFont="1" applyBorder="1"/>
    <xf numFmtId="170" fontId="18" fillId="0" borderId="2" xfId="0" applyNumberFormat="1" applyFont="1" applyBorder="1"/>
    <xf numFmtId="0" fontId="15" fillId="0" borderId="0" xfId="0" applyFont="1" applyFill="1"/>
    <xf numFmtId="170" fontId="15" fillId="0" borderId="0" xfId="7" applyNumberFormat="1" applyFont="1"/>
    <xf numFmtId="0" fontId="0" fillId="0" borderId="0" xfId="0" applyNumberFormat="1" applyFill="1"/>
    <xf numFmtId="0" fontId="15" fillId="0" borderId="0" xfId="0" applyNumberFormat="1" applyFont="1" applyFill="1"/>
    <xf numFmtId="164" fontId="15" fillId="0" borderId="0" xfId="1" applyNumberFormat="1" applyFont="1"/>
    <xf numFmtId="164" fontId="15" fillId="0" borderId="0" xfId="1" applyNumberFormat="1" applyFont="1" applyAlignment="1">
      <alignment wrapText="1"/>
    </xf>
    <xf numFmtId="168" fontId="0" fillId="0" borderId="0" xfId="0" applyNumberFormat="1"/>
    <xf numFmtId="0" fontId="18" fillId="0" borderId="0" xfId="0" quotePrefix="1" applyFont="1"/>
    <xf numFmtId="0" fontId="18" fillId="6" borderId="0" xfId="0" quotePrefix="1" applyFont="1" applyFill="1"/>
    <xf numFmtId="0" fontId="0" fillId="4" borderId="0" xfId="0" applyNumberFormat="1" applyFill="1"/>
    <xf numFmtId="3" fontId="0" fillId="0" borderId="0" xfId="1" applyNumberFormat="1" applyFont="1"/>
    <xf numFmtId="2" fontId="18" fillId="5" borderId="0" xfId="0" applyNumberFormat="1" applyFont="1" applyFill="1" applyAlignment="1">
      <alignment horizontal="right"/>
    </xf>
    <xf numFmtId="0" fontId="0" fillId="0" borderId="0" xfId="0" applyAlignment="1">
      <alignment horizontal="right"/>
    </xf>
    <xf numFmtId="0" fontId="29" fillId="0" borderId="0" xfId="0" applyFont="1"/>
    <xf numFmtId="3" fontId="0" fillId="0" borderId="0" xfId="7" applyNumberFormat="1" applyFont="1"/>
    <xf numFmtId="170" fontId="18" fillId="0" borderId="0" xfId="0" applyNumberFormat="1" applyFont="1" applyBorder="1"/>
    <xf numFmtId="0" fontId="18" fillId="0" borderId="0" xfId="0" applyFont="1" applyBorder="1"/>
    <xf numFmtId="0" fontId="18" fillId="6" borderId="0" xfId="0" quotePrefix="1" applyFont="1" applyFill="1" applyBorder="1"/>
    <xf numFmtId="0" fontId="0" fillId="0" borderId="0" xfId="0" applyBorder="1"/>
    <xf numFmtId="0" fontId="31" fillId="0" borderId="0" xfId="5"/>
    <xf numFmtId="3" fontId="18" fillId="0" borderId="0" xfId="0" quotePrefix="1" applyNumberFormat="1" applyFont="1"/>
    <xf numFmtId="0" fontId="15" fillId="0" borderId="0" xfId="0" applyFont="1" applyAlignment="1">
      <alignment wrapText="1"/>
    </xf>
    <xf numFmtId="0" fontId="33" fillId="0" borderId="0" xfId="0" applyNumberFormat="1" applyFont="1"/>
    <xf numFmtId="3" fontId="18" fillId="0" borderId="0" xfId="0" applyNumberFormat="1" applyFont="1" applyBorder="1"/>
    <xf numFmtId="9" fontId="18" fillId="0" borderId="0" xfId="0" applyNumberFormat="1" applyFont="1"/>
    <xf numFmtId="3" fontId="15" fillId="2" borderId="0" xfId="0" applyNumberFormat="1" applyFont="1" applyFill="1"/>
    <xf numFmtId="3" fontId="15" fillId="2" borderId="2" xfId="0" applyNumberFormat="1" applyFont="1" applyFill="1" applyBorder="1"/>
    <xf numFmtId="0" fontId="18" fillId="6" borderId="2" xfId="0" quotePrefix="1" applyFont="1" applyFill="1" applyBorder="1"/>
    <xf numFmtId="0" fontId="15" fillId="0" borderId="0" xfId="0" applyNumberFormat="1" applyFont="1"/>
    <xf numFmtId="3" fontId="15" fillId="2" borderId="0" xfId="0" applyNumberFormat="1" applyFont="1" applyFill="1" applyBorder="1"/>
    <xf numFmtId="0" fontId="15" fillId="0" borderId="0" xfId="0" applyFont="1" applyBorder="1"/>
    <xf numFmtId="9" fontId="15" fillId="0" borderId="0" xfId="0" applyNumberFormat="1" applyFont="1"/>
    <xf numFmtId="9" fontId="15" fillId="0" borderId="0" xfId="1" quotePrefix="1" applyNumberFormat="1" applyFont="1"/>
    <xf numFmtId="0" fontId="18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0" fontId="18" fillId="0" borderId="0" xfId="0" quotePrefix="1" applyFont="1" applyAlignment="1">
      <alignment horizontal="right"/>
    </xf>
    <xf numFmtId="0" fontId="18" fillId="5" borderId="0" xfId="0" applyFont="1" applyFill="1" applyAlignment="1">
      <alignment horizontal="right"/>
    </xf>
    <xf numFmtId="3" fontId="0" fillId="0" borderId="0" xfId="0" applyNumberFormat="1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34" fillId="0" borderId="0" xfId="0" applyFont="1" applyAlignment="1">
      <alignment horizontal="center" vertical="top"/>
    </xf>
    <xf numFmtId="3" fontId="29" fillId="0" borderId="0" xfId="0" applyNumberFormat="1" applyFont="1"/>
    <xf numFmtId="2" fontId="18" fillId="0" borderId="0" xfId="0" quotePrefix="1" applyNumberFormat="1" applyFont="1"/>
    <xf numFmtId="0" fontId="12" fillId="0" borderId="0" xfId="0" applyFont="1"/>
    <xf numFmtId="0" fontId="0" fillId="0" borderId="0" xfId="0" applyNumberFormat="1" applyAlignment="1">
      <alignment horizontal="right"/>
    </xf>
    <xf numFmtId="9" fontId="18" fillId="0" borderId="0" xfId="0" quotePrefix="1" applyNumberFormat="1" applyFont="1"/>
    <xf numFmtId="170" fontId="15" fillId="0" borderId="0" xfId="1" applyNumberFormat="1" applyFont="1"/>
    <xf numFmtId="0" fontId="24" fillId="0" borderId="0" xfId="0" applyFont="1" applyAlignment="1">
      <alignment horizontal="left" vertical="center"/>
    </xf>
    <xf numFmtId="2" fontId="18" fillId="0" borderId="0" xfId="1" quotePrefix="1" applyNumberFormat="1" applyFont="1"/>
    <xf numFmtId="0" fontId="18" fillId="0" borderId="0" xfId="0" applyFont="1" applyFill="1" applyBorder="1"/>
    <xf numFmtId="0" fontId="17" fillId="0" borderId="0" xfId="0" applyFont="1" applyAlignment="1">
      <alignment horizontal="left" vertical="top"/>
    </xf>
    <xf numFmtId="3" fontId="0" fillId="0" borderId="6" xfId="0" applyNumberFormat="1" applyBorder="1"/>
    <xf numFmtId="3" fontId="0" fillId="0" borderId="7" xfId="0" applyNumberFormat="1" applyBorder="1"/>
    <xf numFmtId="3" fontId="0" fillId="0" borderId="8" xfId="0" applyNumberFormat="1" applyBorder="1"/>
    <xf numFmtId="3" fontId="0" fillId="0" borderId="9" xfId="0" applyNumberFormat="1" applyBorder="1"/>
    <xf numFmtId="3" fontId="0" fillId="0" borderId="1" xfId="0" applyNumberFormat="1" applyBorder="1"/>
    <xf numFmtId="0" fontId="12" fillId="4" borderId="11" xfId="0" applyFont="1" applyFill="1" applyBorder="1"/>
    <xf numFmtId="0" fontId="0" fillId="0" borderId="0" xfId="0" quotePrefix="1"/>
    <xf numFmtId="3" fontId="18" fillId="6" borderId="0" xfId="0" quotePrefix="1" applyNumberFormat="1" applyFont="1" applyFill="1"/>
    <xf numFmtId="0" fontId="31" fillId="0" borderId="0" xfId="6"/>
    <xf numFmtId="3" fontId="31" fillId="0" borderId="0" xfId="6" applyNumberFormat="1"/>
    <xf numFmtId="0" fontId="31" fillId="0" borderId="0" xfId="6" applyNumberFormat="1"/>
    <xf numFmtId="0" fontId="12" fillId="4" borderId="0" xfId="0" applyNumberFormat="1" applyFont="1" applyFill="1"/>
    <xf numFmtId="0" fontId="5" fillId="0" borderId="0" xfId="0" applyFont="1" applyAlignment="1">
      <alignment horizontal="right"/>
    </xf>
    <xf numFmtId="0" fontId="6" fillId="0" borderId="0" xfId="3" applyNumberFormat="1"/>
    <xf numFmtId="9" fontId="6" fillId="0" borderId="0" xfId="3" applyNumberFormat="1"/>
    <xf numFmtId="3" fontId="6" fillId="0" borderId="0" xfId="3" applyNumberFormat="1"/>
    <xf numFmtId="0" fontId="6" fillId="0" borderId="0" xfId="3" applyNumberFormat="1" applyAlignment="1">
      <alignment horizontal="right"/>
    </xf>
    <xf numFmtId="0" fontId="5" fillId="0" borderId="0" xfId="3" applyNumberFormat="1" applyFont="1"/>
    <xf numFmtId="3" fontId="5" fillId="0" borderId="0" xfId="3" applyNumberFormat="1" applyFont="1"/>
    <xf numFmtId="170" fontId="6" fillId="0" borderId="0" xfId="3" applyNumberFormat="1"/>
    <xf numFmtId="0" fontId="12" fillId="4" borderId="0" xfId="3" applyNumberFormat="1" applyFont="1" applyFill="1"/>
    <xf numFmtId="0" fontId="10" fillId="0" borderId="12" xfId="3" applyFont="1" applyBorder="1"/>
    <xf numFmtId="3" fontId="0" fillId="0" borderId="0" xfId="0" quotePrefix="1" applyNumberFormat="1"/>
    <xf numFmtId="0" fontId="6" fillId="0" borderId="0" xfId="0" applyFont="1"/>
    <xf numFmtId="0" fontId="6" fillId="6" borderId="0" xfId="0" applyFont="1" applyFill="1"/>
    <xf numFmtId="2" fontId="0" fillId="0" borderId="0" xfId="1" applyNumberFormat="1" applyFont="1"/>
    <xf numFmtId="0" fontId="12" fillId="4" borderId="0" xfId="0" applyFont="1" applyFill="1"/>
    <xf numFmtId="0" fontId="5" fillId="4" borderId="0" xfId="0" applyNumberFormat="1" applyFont="1" applyFill="1"/>
    <xf numFmtId="0" fontId="5" fillId="4" borderId="0" xfId="0" applyFont="1" applyFill="1"/>
    <xf numFmtId="0" fontId="36" fillId="0" borderId="0" xfId="0" applyFont="1" applyAlignment="1">
      <alignment horizontal="right" vertical="top"/>
    </xf>
    <xf numFmtId="9" fontId="5" fillId="0" borderId="0" xfId="0" applyNumberFormat="1" applyFont="1"/>
    <xf numFmtId="0" fontId="5" fillId="0" borderId="0" xfId="0" applyNumberFormat="1" applyFont="1"/>
    <xf numFmtId="3" fontId="5" fillId="0" borderId="0" xfId="0" applyNumberFormat="1" applyFont="1"/>
    <xf numFmtId="0" fontId="10" fillId="0" borderId="12" xfId="0" applyNumberFormat="1" applyFont="1" applyBorder="1"/>
    <xf numFmtId="3" fontId="29" fillId="0" borderId="0" xfId="0" applyNumberFormat="1" applyFont="1" applyAlignment="1">
      <alignment horizontal="center"/>
    </xf>
    <xf numFmtId="3" fontId="12" fillId="4" borderId="0" xfId="0" applyNumberFormat="1" applyFont="1" applyFill="1"/>
    <xf numFmtId="0" fontId="38" fillId="0" borderId="0" xfId="4"/>
    <xf numFmtId="3" fontId="39" fillId="7" borderId="0" xfId="2" applyNumberFormat="1"/>
    <xf numFmtId="3" fontId="38" fillId="0" borderId="0" xfId="4" applyNumberFormat="1"/>
    <xf numFmtId="9" fontId="12" fillId="0" borderId="0" xfId="7" applyFont="1"/>
    <xf numFmtId="0" fontId="20" fillId="0" borderId="0" xfId="0" applyNumberFormat="1" applyFont="1"/>
    <xf numFmtId="172" fontId="18" fillId="0" borderId="0" xfId="0" quotePrefix="1" applyNumberFormat="1" applyFont="1"/>
    <xf numFmtId="170" fontId="18" fillId="5" borderId="0" xfId="1" applyNumberFormat="1" applyFont="1" applyFill="1"/>
    <xf numFmtId="164" fontId="18" fillId="2" borderId="0" xfId="1" quotePrefix="1" applyNumberFormat="1" applyFont="1" applyFill="1"/>
    <xf numFmtId="9" fontId="0" fillId="8" borderId="0" xfId="0" applyNumberFormat="1" applyFill="1"/>
    <xf numFmtId="9" fontId="6" fillId="0" borderId="0" xfId="0" applyNumberFormat="1" applyFont="1"/>
    <xf numFmtId="0" fontId="22" fillId="0" borderId="0" xfId="0" applyFont="1"/>
    <xf numFmtId="3" fontId="0" fillId="0" borderId="2" xfId="0" applyNumberFormat="1" applyBorder="1"/>
    <xf numFmtId="0" fontId="0" fillId="0" borderId="2" xfId="0" applyBorder="1"/>
    <xf numFmtId="0" fontId="29" fillId="9" borderId="0" xfId="0" applyFont="1" applyFill="1" applyAlignment="1">
      <alignment horizontal="right" vertical="center" wrapText="1"/>
    </xf>
    <xf numFmtId="0" fontId="29" fillId="0" borderId="0" xfId="0" applyFont="1" applyAlignment="1">
      <alignment horizontal="right" vertical="center" wrapText="1"/>
    </xf>
    <xf numFmtId="0" fontId="29" fillId="0" borderId="13" xfId="0" applyFont="1" applyBorder="1" applyAlignment="1">
      <alignment horizontal="right" vertical="center" wrapText="1"/>
    </xf>
    <xf numFmtId="0" fontId="29" fillId="9" borderId="1" xfId="0" applyFont="1" applyFill="1" applyBorder="1" applyAlignment="1">
      <alignment horizontal="right" vertical="center" wrapText="1"/>
    </xf>
    <xf numFmtId="0" fontId="29" fillId="0" borderId="10" xfId="0" applyFont="1" applyBorder="1" applyAlignment="1">
      <alignment horizontal="right" vertical="center" wrapText="1"/>
    </xf>
    <xf numFmtId="0" fontId="40" fillId="0" borderId="0" xfId="0" applyFont="1"/>
    <xf numFmtId="3" fontId="15" fillId="0" borderId="0" xfId="0" applyNumberFormat="1" applyFont="1" applyAlignment="1">
      <alignment horizontal="right"/>
    </xf>
    <xf numFmtId="0" fontId="18" fillId="6" borderId="0" xfId="0" quotePrefix="1" applyFont="1" applyFill="1" applyAlignment="1">
      <alignment horizontal="right"/>
    </xf>
    <xf numFmtId="0" fontId="29" fillId="0" borderId="0" xfId="0" applyFont="1" applyAlignment="1">
      <alignment horizontal="right" vertical="center"/>
    </xf>
    <xf numFmtId="3" fontId="29" fillId="0" borderId="0" xfId="0" applyNumberFormat="1" applyFont="1" applyAlignment="1">
      <alignment horizontal="right" vertical="center"/>
    </xf>
    <xf numFmtId="0" fontId="5" fillId="6" borderId="0" xfId="0" quotePrefix="1" applyFont="1" applyFill="1"/>
    <xf numFmtId="170" fontId="15" fillId="2" borderId="0" xfId="0" applyNumberFormat="1" applyFont="1" applyFill="1" applyBorder="1"/>
    <xf numFmtId="9" fontId="18" fillId="2" borderId="0" xfId="1" quotePrefix="1" applyNumberFormat="1" applyFont="1" applyFill="1"/>
    <xf numFmtId="3" fontId="0" fillId="0" borderId="0" xfId="0" applyNumberFormat="1" applyBorder="1"/>
    <xf numFmtId="3" fontId="18" fillId="0" borderId="0" xfId="0" applyNumberFormat="1" applyFont="1" applyBorder="1" applyAlignment="1">
      <alignment horizontal="right"/>
    </xf>
    <xf numFmtId="3" fontId="18" fillId="0" borderId="2" xfId="0" quotePrefix="1" applyNumberFormat="1" applyFont="1" applyBorder="1" applyAlignment="1">
      <alignment horizontal="right"/>
    </xf>
    <xf numFmtId="0" fontId="18" fillId="0" borderId="2" xfId="0" quotePrefix="1" applyFont="1" applyBorder="1"/>
    <xf numFmtId="0" fontId="4" fillId="0" borderId="0" xfId="8"/>
    <xf numFmtId="0" fontId="6" fillId="0" borderId="0" xfId="8" quotePrefix="1" applyFont="1"/>
    <xf numFmtId="0" fontId="6" fillId="0" borderId="0" xfId="8" applyFont="1"/>
    <xf numFmtId="0" fontId="4" fillId="0" borderId="0" xfId="8" applyNumberFormat="1"/>
    <xf numFmtId="0" fontId="4" fillId="0" borderId="0" xfId="8" quotePrefix="1"/>
    <xf numFmtId="171" fontId="6" fillId="0" borderId="0" xfId="9" quotePrefix="1" applyNumberFormat="1" applyFont="1"/>
    <xf numFmtId="2" fontId="6" fillId="0" borderId="0" xfId="8" applyNumberFormat="1" applyFont="1"/>
    <xf numFmtId="2" fontId="4" fillId="0" borderId="0" xfId="8" applyNumberFormat="1"/>
    <xf numFmtId="2" fontId="6" fillId="0" borderId="0" xfId="9" quotePrefix="1" applyNumberFormat="1" applyFont="1"/>
    <xf numFmtId="171" fontId="6" fillId="0" borderId="0" xfId="9" applyNumberFormat="1" applyFont="1"/>
    <xf numFmtId="0" fontId="29" fillId="0" borderId="14" xfId="0" applyFont="1" applyBorder="1" applyAlignment="1">
      <alignment horizontal="center" vertical="center"/>
    </xf>
    <xf numFmtId="0" fontId="29" fillId="0" borderId="14" xfId="0" applyFont="1" applyBorder="1" applyAlignment="1">
      <alignment horizontal="right" vertical="center" wrapText="1" indent="1"/>
    </xf>
    <xf numFmtId="0" fontId="29" fillId="0" borderId="14" xfId="0" applyFont="1" applyBorder="1" applyAlignment="1">
      <alignment horizontal="right" vertical="center" indent="1"/>
    </xf>
    <xf numFmtId="0" fontId="29" fillId="0" borderId="0" xfId="0" applyFont="1" applyAlignment="1">
      <alignment horizontal="center" vertical="center"/>
    </xf>
    <xf numFmtId="3" fontId="29" fillId="0" borderId="0" xfId="0" applyNumberFormat="1" applyFont="1" applyAlignment="1">
      <alignment horizontal="right" vertical="center" wrapText="1"/>
    </xf>
    <xf numFmtId="0" fontId="29" fillId="0" borderId="1" xfId="0" applyFont="1" applyBorder="1" applyAlignment="1">
      <alignment horizontal="center" vertical="center"/>
    </xf>
    <xf numFmtId="3" fontId="29" fillId="0" borderId="1" xfId="0" applyNumberFormat="1" applyFont="1" applyBorder="1" applyAlignment="1">
      <alignment horizontal="right" vertical="center" wrapText="1"/>
    </xf>
    <xf numFmtId="9" fontId="15" fillId="2" borderId="0" xfId="0" quotePrefix="1" applyNumberFormat="1" applyFont="1" applyFill="1" applyBorder="1"/>
    <xf numFmtId="0" fontId="29" fillId="0" borderId="1" xfId="0" applyFont="1" applyBorder="1" applyAlignment="1">
      <alignment horizontal="right" vertical="center" wrapText="1"/>
    </xf>
    <xf numFmtId="170" fontId="0" fillId="0" borderId="0" xfId="0" applyNumberFormat="1" applyAlignment="1">
      <alignment horizontal="right"/>
    </xf>
    <xf numFmtId="2" fontId="5" fillId="0" borderId="0" xfId="0" applyNumberFormat="1" applyFont="1"/>
    <xf numFmtId="0" fontId="40" fillId="0" borderId="0" xfId="0" applyFont="1" applyAlignment="1">
      <alignment horizontal="center" vertical="center" textRotation="90"/>
    </xf>
    <xf numFmtId="9" fontId="31" fillId="0" borderId="0" xfId="6" applyNumberFormat="1"/>
    <xf numFmtId="0" fontId="29" fillId="0" borderId="4" xfId="0" applyFont="1" applyBorder="1" applyAlignment="1">
      <alignment horizontal="right" vertical="center"/>
    </xf>
    <xf numFmtId="0" fontId="29" fillId="0" borderId="1" xfId="0" applyFont="1" applyBorder="1" applyAlignment="1">
      <alignment horizontal="right" vertical="center"/>
    </xf>
    <xf numFmtId="3" fontId="29" fillId="0" borderId="1" xfId="0" applyNumberFormat="1" applyFont="1" applyBorder="1" applyAlignment="1">
      <alignment horizontal="right" vertical="center"/>
    </xf>
    <xf numFmtId="3" fontId="29" fillId="0" borderId="7" xfId="0" applyNumberFormat="1" applyFont="1" applyBorder="1" applyAlignment="1">
      <alignment horizontal="right" vertical="center"/>
    </xf>
    <xf numFmtId="0" fontId="41" fillId="0" borderId="0" xfId="0" applyFont="1"/>
    <xf numFmtId="3" fontId="15" fillId="0" borderId="0" xfId="1" applyNumberFormat="1" applyFont="1"/>
    <xf numFmtId="0" fontId="18" fillId="0" borderId="0" xfId="0" quotePrefix="1" applyFont="1" applyBorder="1"/>
    <xf numFmtId="11" fontId="0" fillId="0" borderId="0" xfId="0" quotePrefix="1" applyNumberFormat="1"/>
    <xf numFmtId="0" fontId="29" fillId="11" borderId="0" xfId="0" applyFont="1" applyFill="1" applyAlignment="1">
      <alignment horizontal="right" vertical="center"/>
    </xf>
    <xf numFmtId="0" fontId="29" fillId="10" borderId="1" xfId="0" applyFont="1" applyFill="1" applyBorder="1" applyAlignment="1">
      <alignment horizontal="right" vertical="center"/>
    </xf>
    <xf numFmtId="3" fontId="6" fillId="2" borderId="0" xfId="0" applyNumberFormat="1" applyFont="1" applyFill="1"/>
    <xf numFmtId="3" fontId="6" fillId="2" borderId="0" xfId="0" applyNumberFormat="1" applyFont="1" applyFill="1" applyBorder="1"/>
    <xf numFmtId="3" fontId="6" fillId="2" borderId="2" xfId="0" applyNumberFormat="1" applyFont="1" applyFill="1" applyBorder="1"/>
    <xf numFmtId="170" fontId="6" fillId="2" borderId="0" xfId="0" applyNumberFormat="1" applyFont="1" applyFill="1" applyBorder="1"/>
    <xf numFmtId="9" fontId="6" fillId="2" borderId="0" xfId="0" quotePrefix="1" applyNumberFormat="1" applyFont="1" applyFill="1" applyBorder="1"/>
    <xf numFmtId="9" fontId="18" fillId="0" borderId="0" xfId="0" applyNumberFormat="1" applyFont="1" applyBorder="1"/>
    <xf numFmtId="0" fontId="40" fillId="0" borderId="0" xfId="0" applyFont="1" applyAlignment="1">
      <alignment horizontal="center" vertical="center" textRotation="90"/>
    </xf>
    <xf numFmtId="0" fontId="11" fillId="0" borderId="0" xfId="0" applyFont="1" applyAlignment="1"/>
    <xf numFmtId="0" fontId="40" fillId="0" borderId="0" xfId="0" applyFont="1" applyAlignment="1">
      <alignment horizontal="center" vertical="center" textRotation="90"/>
    </xf>
    <xf numFmtId="0" fontId="10" fillId="0" borderId="0" xfId="3" applyFont="1" applyBorder="1"/>
    <xf numFmtId="3" fontId="15" fillId="0" borderId="0" xfId="0" quotePrefix="1" applyNumberFormat="1" applyFont="1" applyAlignment="1">
      <alignment horizontal="right"/>
    </xf>
    <xf numFmtId="175" fontId="18" fillId="0" borderId="0" xfId="0" applyNumberFormat="1" applyFont="1"/>
    <xf numFmtId="175" fontId="18" fillId="0" borderId="0" xfId="0" quotePrefix="1" applyNumberFormat="1" applyFont="1"/>
    <xf numFmtId="175" fontId="0" fillId="0" borderId="0" xfId="0" applyNumberFormat="1"/>
    <xf numFmtId="0" fontId="42" fillId="0" borderId="0" xfId="5" applyFont="1"/>
    <xf numFmtId="0" fontId="31" fillId="0" borderId="0" xfId="5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0" fillId="0" borderId="0" xfId="0" applyFont="1" applyAlignment="1">
      <alignment horizontal="center" vertical="center" textRotation="90"/>
    </xf>
    <xf numFmtId="0" fontId="44" fillId="0" borderId="0" xfId="0" applyNumberFormat="1" applyFont="1"/>
    <xf numFmtId="0" fontId="45" fillId="0" borderId="0" xfId="0" applyFont="1" applyAlignment="1">
      <alignment horizontal="right" vertical="top"/>
    </xf>
    <xf numFmtId="0" fontId="46" fillId="0" borderId="0" xfId="0" applyFont="1"/>
    <xf numFmtId="0" fontId="0" fillId="0" borderId="15" xfId="0" applyNumberFormat="1" applyBorder="1"/>
    <xf numFmtId="0" fontId="47" fillId="0" borderId="0" xfId="0" applyFont="1" applyAlignment="1">
      <alignment horizontal="center" vertical="center"/>
    </xf>
    <xf numFmtId="0" fontId="1" fillId="0" borderId="0" xfId="73"/>
    <xf numFmtId="11" fontId="1" fillId="0" borderId="0" xfId="73" applyNumberFormat="1"/>
    <xf numFmtId="0" fontId="36" fillId="0" borderId="16" xfId="0" applyFont="1" applyBorder="1" applyAlignment="1">
      <alignment horizontal="right" vertical="top"/>
    </xf>
    <xf numFmtId="3" fontId="29" fillId="0" borderId="0" xfId="0" applyNumberFormat="1" applyFont="1" applyBorder="1" applyAlignment="1">
      <alignment horizontal="center"/>
    </xf>
    <xf numFmtId="0" fontId="0" fillId="0" borderId="0" xfId="0" applyNumberFormat="1" applyBorder="1"/>
    <xf numFmtId="0" fontId="40" fillId="0" borderId="0" xfId="0" applyFont="1" applyAlignment="1">
      <alignment horizontal="center" vertical="center" textRotation="90"/>
    </xf>
    <xf numFmtId="0" fontId="48" fillId="12" borderId="0" xfId="0" applyFont="1" applyFill="1"/>
    <xf numFmtId="0" fontId="19" fillId="0" borderId="0" xfId="0" applyNumberFormat="1" applyFont="1"/>
    <xf numFmtId="0" fontId="20" fillId="0" borderId="4" xfId="0" applyNumberFormat="1" applyFont="1" applyBorder="1" applyAlignment="1">
      <alignment horizontal="right" vertical="top" wrapText="1"/>
    </xf>
    <xf numFmtId="0" fontId="20" fillId="0" borderId="0" xfId="0" applyNumberFormat="1" applyFont="1" applyBorder="1" applyAlignment="1">
      <alignment horizontal="right" vertical="top" wrapText="1"/>
    </xf>
    <xf numFmtId="0" fontId="20" fillId="0" borderId="5" xfId="0" applyNumberFormat="1" applyFont="1" applyBorder="1" applyAlignment="1">
      <alignment horizontal="right" vertical="top" wrapText="1"/>
    </xf>
    <xf numFmtId="0" fontId="19" fillId="0" borderId="0" xfId="0" applyNumberFormat="1" applyFont="1" applyAlignment="1">
      <alignment horizontal="center" vertical="top" wrapText="1"/>
    </xf>
    <xf numFmtId="0" fontId="19" fillId="0" borderId="0" xfId="0" applyNumberFormat="1" applyFont="1" applyAlignment="1">
      <alignment horizontal="right" vertical="top" wrapText="1"/>
    </xf>
    <xf numFmtId="0" fontId="19" fillId="0" borderId="1" xfId="0" applyNumberFormat="1" applyFont="1" applyBorder="1" applyAlignment="1">
      <alignment horizontal="right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19" fillId="0" borderId="0" xfId="0" applyNumberFormat="1" applyFont="1" applyBorder="1" applyAlignment="1">
      <alignment horizontal="right" vertical="top" wrapText="1"/>
    </xf>
    <xf numFmtId="0" fontId="19" fillId="0" borderId="0" xfId="0" applyNumberFormat="1" applyFont="1" applyBorder="1" applyAlignment="1">
      <alignment horizontal="center" vertical="top" wrapText="1"/>
    </xf>
    <xf numFmtId="0" fontId="30" fillId="0" borderId="0" xfId="0" applyNumberFormat="1" applyFont="1"/>
    <xf numFmtId="0" fontId="25" fillId="0" borderId="0" xfId="0" applyNumberFormat="1" applyFont="1" applyAlignment="1">
      <alignment horizontal="right" vertical="top" wrapText="1"/>
    </xf>
    <xf numFmtId="0" fontId="29" fillId="0" borderId="0" xfId="0" applyNumberFormat="1" applyFont="1" applyAlignment="1">
      <alignment horizontal="right" vertical="top" wrapText="1"/>
    </xf>
    <xf numFmtId="0" fontId="25" fillId="0" borderId="0" xfId="0" applyNumberFormat="1" applyFont="1" applyAlignment="1">
      <alignment vertical="top"/>
    </xf>
    <xf numFmtId="0" fontId="25" fillId="0" borderId="0" xfId="0" applyNumberFormat="1" applyFont="1" applyAlignment="1">
      <alignment horizontal="center" vertical="top" wrapText="1"/>
    </xf>
    <xf numFmtId="0" fontId="26" fillId="0" borderId="3" xfId="0" applyNumberFormat="1" applyFont="1" applyBorder="1" applyAlignment="1">
      <alignment horizontal="right" vertical="top" wrapText="1"/>
    </xf>
    <xf numFmtId="0" fontId="49" fillId="0" borderId="0" xfId="0" applyFont="1" applyAlignment="1">
      <alignment horizontal="right" vertical="top"/>
    </xf>
    <xf numFmtId="0" fontId="16" fillId="0" borderId="0" xfId="0" applyFont="1" applyAlignment="1">
      <alignment horizontal="center" vertical="top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vertical="center"/>
    </xf>
    <xf numFmtId="0" fontId="22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37" fillId="0" borderId="0" xfId="0" applyFont="1" applyAlignment="1">
      <alignment horizontal="center" vertical="top"/>
    </xf>
    <xf numFmtId="0" fontId="40" fillId="0" borderId="0" xfId="0" applyFont="1" applyAlignment="1">
      <alignment horizontal="center" vertical="center" textRotation="90"/>
    </xf>
    <xf numFmtId="0" fontId="11" fillId="0" borderId="0" xfId="0" applyFont="1" applyAlignment="1">
      <alignment horizontal="center"/>
    </xf>
    <xf numFmtId="0" fontId="0" fillId="0" borderId="12" xfId="0" applyBorder="1"/>
    <xf numFmtId="0" fontId="51" fillId="13" borderId="0" xfId="0" applyFont="1" applyFill="1" applyAlignment="1">
      <alignment horizontal="right" wrapText="1" readingOrder="1"/>
    </xf>
    <xf numFmtId="0" fontId="51" fillId="13" borderId="17" xfId="0" applyFont="1" applyFill="1" applyBorder="1" applyAlignment="1">
      <alignment horizontal="right" wrapText="1" readingOrder="1"/>
    </xf>
    <xf numFmtId="0" fontId="52" fillId="13" borderId="18" xfId="0" applyFont="1" applyFill="1" applyBorder="1" applyAlignment="1">
      <alignment horizontal="right" wrapText="1" readingOrder="1"/>
    </xf>
    <xf numFmtId="0" fontId="53" fillId="13" borderId="18" xfId="0" applyFont="1" applyFill="1" applyBorder="1" applyAlignment="1">
      <alignment horizontal="right" wrapText="1" readingOrder="1"/>
    </xf>
    <xf numFmtId="0" fontId="52" fillId="13" borderId="19" xfId="0" applyFont="1" applyFill="1" applyBorder="1" applyAlignment="1">
      <alignment horizontal="right" wrapText="1" readingOrder="1"/>
    </xf>
    <xf numFmtId="0" fontId="53" fillId="13" borderId="19" xfId="0" applyFont="1" applyFill="1" applyBorder="1" applyAlignment="1">
      <alignment horizontal="right" wrapText="1" readingOrder="1"/>
    </xf>
    <xf numFmtId="0" fontId="51" fillId="13" borderId="0" xfId="0" applyFont="1" applyFill="1" applyAlignment="1">
      <alignment horizontal="right" wrapText="1" readingOrder="1"/>
    </xf>
    <xf numFmtId="0" fontId="51" fillId="13" borderId="17" xfId="0" applyFont="1" applyFill="1" applyBorder="1" applyAlignment="1">
      <alignment horizontal="right" wrapText="1" readingOrder="1"/>
    </xf>
    <xf numFmtId="0" fontId="50" fillId="13" borderId="0" xfId="0" applyFont="1" applyFill="1" applyAlignment="1">
      <alignment horizontal="right" wrapText="1" readingOrder="1"/>
    </xf>
    <xf numFmtId="0" fontId="50" fillId="13" borderId="17" xfId="0" applyFont="1" applyFill="1" applyBorder="1" applyAlignment="1">
      <alignment horizontal="right" wrapText="1" readingOrder="1"/>
    </xf>
  </cellXfs>
  <cellStyles count="105">
    <cellStyle name="Comma" xfId="1" builtinId="3"/>
    <cellStyle name="Comma 2" xfId="9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Neutral" xfId="2" builtinId="28"/>
    <cellStyle name="Normal" xfId="0" builtinId="0"/>
    <cellStyle name="Normal 2" xfId="3"/>
    <cellStyle name="Normal 3" xfId="4"/>
    <cellStyle name="Normal 4" xfId="8"/>
    <cellStyle name="Normal 5" xfId="10"/>
    <cellStyle name="Normal 6" xfId="11"/>
    <cellStyle name="Normal 7" xfId="73"/>
    <cellStyle name="Normal_Book3" xfId="5"/>
    <cellStyle name="Normal_Book4" xfId="6"/>
    <cellStyle name="Percent" xfId="7" builtinId="5"/>
  </cellStyles>
  <dxfs count="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04B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63" Type="http://schemas.openxmlformats.org/officeDocument/2006/relationships/pivotCacheDefinition" Target="pivotCache/pivotCacheDefinition1.xml"/><Relationship Id="rId64" Type="http://schemas.openxmlformats.org/officeDocument/2006/relationships/theme" Target="theme/theme1.xml"/><Relationship Id="rId65" Type="http://schemas.openxmlformats.org/officeDocument/2006/relationships/styles" Target="styles.xml"/><Relationship Id="rId66" Type="http://schemas.openxmlformats.org/officeDocument/2006/relationships/sharedStrings" Target="sharedStrings.xml"/><Relationship Id="rId67" Type="http://schemas.openxmlformats.org/officeDocument/2006/relationships/calcChain" Target="calcChain.xml"/><Relationship Id="rId50" Type="http://schemas.openxmlformats.org/officeDocument/2006/relationships/chartsheet" Target="chartsheets/sheet19.xml"/><Relationship Id="rId51" Type="http://schemas.openxmlformats.org/officeDocument/2006/relationships/worksheet" Target="worksheets/sheet32.xml"/><Relationship Id="rId52" Type="http://schemas.openxmlformats.org/officeDocument/2006/relationships/worksheet" Target="worksheets/sheet33.xml"/><Relationship Id="rId53" Type="http://schemas.openxmlformats.org/officeDocument/2006/relationships/chartsheet" Target="chartsheets/sheet20.xml"/><Relationship Id="rId54" Type="http://schemas.openxmlformats.org/officeDocument/2006/relationships/chartsheet" Target="chartsheets/sheet21.xml"/><Relationship Id="rId55" Type="http://schemas.openxmlformats.org/officeDocument/2006/relationships/chartsheet" Target="chartsheets/sheet22.xml"/><Relationship Id="rId56" Type="http://schemas.openxmlformats.org/officeDocument/2006/relationships/worksheet" Target="worksheets/sheet34.xml"/><Relationship Id="rId57" Type="http://schemas.openxmlformats.org/officeDocument/2006/relationships/worksheet" Target="worksheets/sheet35.xml"/><Relationship Id="rId58" Type="http://schemas.openxmlformats.org/officeDocument/2006/relationships/worksheet" Target="worksheets/sheet36.xml"/><Relationship Id="rId59" Type="http://schemas.openxmlformats.org/officeDocument/2006/relationships/externalLink" Target="externalLinks/externalLink1.xml"/><Relationship Id="rId40" Type="http://schemas.openxmlformats.org/officeDocument/2006/relationships/chartsheet" Target="chartsheets/sheet13.xml"/><Relationship Id="rId41" Type="http://schemas.openxmlformats.org/officeDocument/2006/relationships/worksheet" Target="worksheets/sheet28.xml"/><Relationship Id="rId42" Type="http://schemas.openxmlformats.org/officeDocument/2006/relationships/worksheet" Target="worksheets/sheet29.xml"/><Relationship Id="rId43" Type="http://schemas.openxmlformats.org/officeDocument/2006/relationships/worksheet" Target="worksheets/sheet30.xml"/><Relationship Id="rId44" Type="http://schemas.openxmlformats.org/officeDocument/2006/relationships/chartsheet" Target="chartsheets/sheet14.xml"/><Relationship Id="rId45" Type="http://schemas.openxmlformats.org/officeDocument/2006/relationships/chartsheet" Target="chartsheets/sheet15.xml"/><Relationship Id="rId46" Type="http://schemas.openxmlformats.org/officeDocument/2006/relationships/chartsheet" Target="chartsheets/sheet16.xml"/><Relationship Id="rId47" Type="http://schemas.openxmlformats.org/officeDocument/2006/relationships/chartsheet" Target="chartsheets/sheet17.xml"/><Relationship Id="rId48" Type="http://schemas.openxmlformats.org/officeDocument/2006/relationships/worksheet" Target="worksheets/sheet31.xml"/><Relationship Id="rId49" Type="http://schemas.openxmlformats.org/officeDocument/2006/relationships/chartsheet" Target="chartsheets/sheet1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30" Type="http://schemas.openxmlformats.org/officeDocument/2006/relationships/worksheet" Target="worksheets/sheet24.xml"/><Relationship Id="rId31" Type="http://schemas.openxmlformats.org/officeDocument/2006/relationships/worksheet" Target="worksheets/sheet25.xml"/><Relationship Id="rId32" Type="http://schemas.openxmlformats.org/officeDocument/2006/relationships/worksheet" Target="worksheets/sheet26.xml"/><Relationship Id="rId33" Type="http://schemas.openxmlformats.org/officeDocument/2006/relationships/chartsheet" Target="chartsheets/sheet7.xml"/><Relationship Id="rId34" Type="http://schemas.openxmlformats.org/officeDocument/2006/relationships/chartsheet" Target="chartsheets/sheet8.xml"/><Relationship Id="rId35" Type="http://schemas.openxmlformats.org/officeDocument/2006/relationships/chartsheet" Target="chartsheets/sheet9.xml"/><Relationship Id="rId36" Type="http://schemas.openxmlformats.org/officeDocument/2006/relationships/worksheet" Target="worksheets/sheet27.xml"/><Relationship Id="rId37" Type="http://schemas.openxmlformats.org/officeDocument/2006/relationships/chartsheet" Target="chartsheets/sheet10.xml"/><Relationship Id="rId38" Type="http://schemas.openxmlformats.org/officeDocument/2006/relationships/chartsheet" Target="chartsheets/sheet11.xml"/><Relationship Id="rId39" Type="http://schemas.openxmlformats.org/officeDocument/2006/relationships/chartsheet" Target="chartsheets/sheet12.xml"/><Relationship Id="rId20" Type="http://schemas.openxmlformats.org/officeDocument/2006/relationships/chartsheet" Target="chartsheets/sheet3.xml"/><Relationship Id="rId21" Type="http://schemas.openxmlformats.org/officeDocument/2006/relationships/worksheet" Target="worksheets/sheet18.xml"/><Relationship Id="rId22" Type="http://schemas.openxmlformats.org/officeDocument/2006/relationships/chartsheet" Target="chartsheets/sheet4.xml"/><Relationship Id="rId23" Type="http://schemas.openxmlformats.org/officeDocument/2006/relationships/worksheet" Target="worksheets/sheet19.xml"/><Relationship Id="rId24" Type="http://schemas.openxmlformats.org/officeDocument/2006/relationships/chartsheet" Target="chartsheets/sheet5.xml"/><Relationship Id="rId25" Type="http://schemas.openxmlformats.org/officeDocument/2006/relationships/worksheet" Target="worksheets/sheet20.xml"/><Relationship Id="rId26" Type="http://schemas.openxmlformats.org/officeDocument/2006/relationships/worksheet" Target="worksheets/sheet21.xml"/><Relationship Id="rId27" Type="http://schemas.openxmlformats.org/officeDocument/2006/relationships/chartsheet" Target="chartsheets/sheet6.xml"/><Relationship Id="rId28" Type="http://schemas.openxmlformats.org/officeDocument/2006/relationships/worksheet" Target="worksheets/sheet22.xml"/><Relationship Id="rId29" Type="http://schemas.openxmlformats.org/officeDocument/2006/relationships/worksheet" Target="worksheets/sheet23.xml"/><Relationship Id="rId60" Type="http://schemas.openxmlformats.org/officeDocument/2006/relationships/externalLink" Target="externalLinks/externalLink2.xml"/><Relationship Id="rId61" Type="http://schemas.openxmlformats.org/officeDocument/2006/relationships/externalLink" Target="externalLinks/externalLink3.xml"/><Relationship Id="rId62" Type="http://schemas.openxmlformats.org/officeDocument/2006/relationships/externalLink" Target="externalLinks/externalLink4.xml"/><Relationship Id="rId10" Type="http://schemas.openxmlformats.org/officeDocument/2006/relationships/worksheet" Target="worksheets/sheet9.xml"/><Relationship Id="rId11" Type="http://schemas.openxmlformats.org/officeDocument/2006/relationships/chartsheet" Target="chartsheets/sheet2.xml"/><Relationship Id="rId12" Type="http://schemas.openxmlformats.org/officeDocument/2006/relationships/worksheet" Target="worksheets/sheet1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05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29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2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252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2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43840177580471"/>
          <c:y val="0.0570962479608488"/>
          <c:w val="0.925638179800222"/>
          <c:h val="0.867862969004894"/>
        </c:manualLayout>
      </c:layout>
      <c:scatterChart>
        <c:scatterStyle val="lineMarker"/>
        <c:varyColors val="0"/>
        <c:ser>
          <c:idx val="0"/>
          <c:order val="0"/>
          <c:xVal>
            <c:numRef>
              <c:f>AgeData!$B$87:$P$87</c:f>
              <c:numCache>
                <c:formatCode>#,##0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AgeData!$B$89:$P$89</c:f>
              <c:numCache>
                <c:formatCode>0%</c:formatCode>
                <c:ptCount val="15"/>
                <c:pt idx="0">
                  <c:v>0.228666439829849</c:v>
                </c:pt>
                <c:pt idx="1">
                  <c:v>0.373218239677095</c:v>
                </c:pt>
                <c:pt idx="2">
                  <c:v>0.393675315378883</c:v>
                </c:pt>
                <c:pt idx="3">
                  <c:v>0.333654865266554</c:v>
                </c:pt>
                <c:pt idx="4">
                  <c:v>0.326568887254832</c:v>
                </c:pt>
                <c:pt idx="5">
                  <c:v>0.25432032100955</c:v>
                </c:pt>
                <c:pt idx="6">
                  <c:v>0.272619287205234</c:v>
                </c:pt>
                <c:pt idx="7">
                  <c:v>0.277183442646737</c:v>
                </c:pt>
                <c:pt idx="8">
                  <c:v>0.224303907817911</c:v>
                </c:pt>
                <c:pt idx="9">
                  <c:v>0.302679908919203</c:v>
                </c:pt>
                <c:pt idx="10">
                  <c:v>0.450594265197324</c:v>
                </c:pt>
                <c:pt idx="11">
                  <c:v>0.200104495921657</c:v>
                </c:pt>
                <c:pt idx="12">
                  <c:v>0.138219811023321</c:v>
                </c:pt>
                <c:pt idx="13">
                  <c:v>0.154114260477374</c:v>
                </c:pt>
                <c:pt idx="14">
                  <c:v>0.130011717802868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AgeData!$A$96</c:f>
              <c:strCache>
                <c:ptCount val="1"/>
                <c:pt idx="0">
                  <c:v>EIT since 1994</c:v>
                </c:pt>
              </c:strCache>
            </c:strRef>
          </c:tx>
          <c:xVal>
            <c:numRef>
              <c:f>AgeData!$B$87:$P$87</c:f>
              <c:numCache>
                <c:formatCode>#,##0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AgeData!$B$96:$P$96</c:f>
              <c:numCache>
                <c:formatCode>0%</c:formatCode>
                <c:ptCount val="15"/>
                <c:pt idx="0">
                  <c:v>0.114369048811422</c:v>
                </c:pt>
                <c:pt idx="1">
                  <c:v>0.21319921259735</c:v>
                </c:pt>
                <c:pt idx="2">
                  <c:v>0.30573015235325</c:v>
                </c:pt>
                <c:pt idx="3">
                  <c:v>0.354963454547749</c:v>
                </c:pt>
                <c:pt idx="4">
                  <c:v>0.326173923715176</c:v>
                </c:pt>
                <c:pt idx="5">
                  <c:v>0.255793780844029</c:v>
                </c:pt>
                <c:pt idx="6">
                  <c:v>0.298569742285577</c:v>
                </c:pt>
                <c:pt idx="7">
                  <c:v>0.35188132194168</c:v>
                </c:pt>
                <c:pt idx="8">
                  <c:v>0.310691349295434</c:v>
                </c:pt>
                <c:pt idx="9">
                  <c:v>0.304361169471195</c:v>
                </c:pt>
                <c:pt idx="10">
                  <c:v>0.320275242591837</c:v>
                </c:pt>
                <c:pt idx="11">
                  <c:v>0.237331734428504</c:v>
                </c:pt>
                <c:pt idx="12">
                  <c:v>0.220028291052456</c:v>
                </c:pt>
                <c:pt idx="13">
                  <c:v>0.186094836390636</c:v>
                </c:pt>
                <c:pt idx="14">
                  <c:v>0.136831542146469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AgeData!$A$99</c:f>
              <c:strCache>
                <c:ptCount val="1"/>
                <c:pt idx="0">
                  <c:v>EIT Aggregate</c:v>
                </c:pt>
              </c:strCache>
            </c:strRef>
          </c:tx>
          <c:xVal>
            <c:numRef>
              <c:f>AgeData!$B$93:$P$93</c:f>
              <c:numCache>
                <c:formatCode>#,##0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AgeData!$B$99:$P$99</c:f>
              <c:numCache>
                <c:formatCode>0%</c:formatCode>
                <c:ptCount val="15"/>
                <c:pt idx="0">
                  <c:v>0.187900708656965</c:v>
                </c:pt>
                <c:pt idx="1">
                  <c:v>0.282830885538996</c:v>
                </c:pt>
                <c:pt idx="2">
                  <c:v>0.320315865304407</c:v>
                </c:pt>
                <c:pt idx="3">
                  <c:v>0.324067985946854</c:v>
                </c:pt>
                <c:pt idx="4">
                  <c:v>0.306286789561732</c:v>
                </c:pt>
                <c:pt idx="5">
                  <c:v>0.289187938733404</c:v>
                </c:pt>
                <c:pt idx="6">
                  <c:v>0.315162863475808</c:v>
                </c:pt>
                <c:pt idx="7">
                  <c:v>0.332891676182638</c:v>
                </c:pt>
                <c:pt idx="8">
                  <c:v>0.30182719892256</c:v>
                </c:pt>
                <c:pt idx="9">
                  <c:v>0.289598976656018</c:v>
                </c:pt>
                <c:pt idx="10">
                  <c:v>0.264612558084249</c:v>
                </c:pt>
                <c:pt idx="11">
                  <c:v>0.205052523461117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560672"/>
        <c:axId val="506562448"/>
      </c:scatterChart>
      <c:valAx>
        <c:axId val="506560672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6562448"/>
        <c:crosses val="autoZero"/>
        <c:crossBetween val="midCat"/>
      </c:valAx>
      <c:valAx>
        <c:axId val="50656244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6560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260784589041"/>
          <c:y val="0.0619901724118206"/>
          <c:w val="0.163152019112452"/>
          <c:h val="0.150081578770071"/>
        </c:manualLayout>
      </c:layout>
      <c:overlay val="0"/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Biomass</a:t>
            </a:r>
          </a:p>
        </c:rich>
      </c:tx>
      <c:layout>
        <c:manualLayout>
          <c:xMode val="edge"/>
          <c:yMode val="edge"/>
          <c:x val="0.453488677287432"/>
          <c:y val="0.031460674157303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59303006409405"/>
          <c:y val="0.182022671636534"/>
          <c:w val="0.677326062101193"/>
          <c:h val="0.739326653931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Residuals!$B$3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Residuals!$A$4:$A$23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Residuals!$B$4:$B$23</c:f>
              <c:numCache>
                <c:formatCode>General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Residuals!$C$3</c:f>
              <c:strCache>
                <c:ptCount val="1"/>
                <c:pt idx="0">
                  <c:v>Predicted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Residuals!$A$4:$A$23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Residuals!$C$4:$C$23</c:f>
              <c:numCache>
                <c:formatCode>General</c:formatCode>
                <c:ptCount val="20"/>
                <c:pt idx="0">
                  <c:v>409451.437630131</c:v>
                </c:pt>
                <c:pt idx="1">
                  <c:v>598441.7523058152</c:v>
                </c:pt>
                <c:pt idx="2">
                  <c:v>533452.6253694075</c:v>
                </c:pt>
                <c:pt idx="3">
                  <c:v>642651.5992705873</c:v>
                </c:pt>
                <c:pt idx="4">
                  <c:v>581182.6713908506</c:v>
                </c:pt>
                <c:pt idx="5">
                  <c:v>693129.951236013</c:v>
                </c:pt>
                <c:pt idx="6">
                  <c:v>809870.6065641886</c:v>
                </c:pt>
                <c:pt idx="7">
                  <c:v>773673.730015072</c:v>
                </c:pt>
                <c:pt idx="8">
                  <c:v>654221.172732561</c:v>
                </c:pt>
                <c:pt idx="9">
                  <c:v>478665.517152171</c:v>
                </c:pt>
                <c:pt idx="10">
                  <c:v>418352.0599503373</c:v>
                </c:pt>
                <c:pt idx="11">
                  <c:v>443875.7850778437</c:v>
                </c:pt>
                <c:pt idx="12">
                  <c:v>467316.8016586643</c:v>
                </c:pt>
                <c:pt idx="13">
                  <c:v>349358.0155155376</c:v>
                </c:pt>
                <c:pt idx="14">
                  <c:v>293419.6502915732</c:v>
                </c:pt>
                <c:pt idx="15">
                  <c:v>344645.653858291</c:v>
                </c:pt>
                <c:pt idx="16">
                  <c:v>304118.8439711004</c:v>
                </c:pt>
                <c:pt idx="17">
                  <c:v>441212.8447139438</c:v>
                </c:pt>
                <c:pt idx="18">
                  <c:v>445146.916441094</c:v>
                </c:pt>
                <c:pt idx="19">
                  <c:v>406275.9668225686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Residuals!$N$3</c:f>
              <c:strCache>
                <c:ptCount val="1"/>
                <c:pt idx="0">
                  <c:v>Official Biomass Est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Residuals!$N$4:$N$23</c:f>
              <c:numCache>
                <c:formatCode>General</c:formatCode>
                <c:ptCount val="20"/>
                <c:pt idx="0">
                  <c:v>2855.539</c:v>
                </c:pt>
                <c:pt idx="1">
                  <c:v>6242.98</c:v>
                </c:pt>
                <c:pt idx="2">
                  <c:v>4893.536</c:v>
                </c:pt>
                <c:pt idx="3">
                  <c:v>4630.111</c:v>
                </c:pt>
                <c:pt idx="4">
                  <c:v>4896.78</c:v>
                </c:pt>
                <c:pt idx="5">
                  <c:v>5108.035</c:v>
                </c:pt>
                <c:pt idx="6">
                  <c:v>7107.258</c:v>
                </c:pt>
                <c:pt idx="7">
                  <c:v>5927.187</c:v>
                </c:pt>
                <c:pt idx="8">
                  <c:v>7125.296</c:v>
                </c:pt>
                <c:pt idx="9">
                  <c:v>5105.224</c:v>
                </c:pt>
                <c:pt idx="10">
                  <c:v>4367.87</c:v>
                </c:pt>
                <c:pt idx="11">
                  <c:v>5520.892</c:v>
                </c:pt>
                <c:pt idx="12">
                  <c:v>4977.019</c:v>
                </c:pt>
                <c:pt idx="13">
                  <c:v>5411.9</c:v>
                </c:pt>
                <c:pt idx="14">
                  <c:v>3204.106</c:v>
                </c:pt>
                <c:pt idx="15">
                  <c:v>3031.557</c:v>
                </c:pt>
                <c:pt idx="16">
                  <c:v>2212.696</c:v>
                </c:pt>
                <c:pt idx="17">
                  <c:v>3567.083</c:v>
                </c:pt>
                <c:pt idx="18">
                  <c:v>5134.616</c:v>
                </c:pt>
                <c:pt idx="19">
                  <c:v>4139.351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Residuals!$E$3</c:f>
              <c:strCache>
                <c:ptCount val="1"/>
                <c:pt idx="0">
                  <c:v>Model age 3+ biomass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Residuals!$A$4:$A$23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Residuals!$E$4:$E$23</c:f>
              <c:numCache>
                <c:formatCode>General</c:formatCode>
                <c:ptCount val="20"/>
                <c:pt idx="0">
                  <c:v>4398.116174021225</c:v>
                </c:pt>
                <c:pt idx="1">
                  <c:v>5256.71410774371</c:v>
                </c:pt>
                <c:pt idx="2">
                  <c:v>5968.557111346902</c:v>
                </c:pt>
                <c:pt idx="3">
                  <c:v>5985.221465449453</c:v>
                </c:pt>
                <c:pt idx="4">
                  <c:v>7135.222631145747</c:v>
                </c:pt>
                <c:pt idx="5">
                  <c:v>6075.953459860703</c:v>
                </c:pt>
                <c:pt idx="6">
                  <c:v>6498.045643070527</c:v>
                </c:pt>
                <c:pt idx="7">
                  <c:v>5739.81865949159</c:v>
                </c:pt>
                <c:pt idx="8">
                  <c:v>4574.719294610808</c:v>
                </c:pt>
                <c:pt idx="9">
                  <c:v>3347.603024146528</c:v>
                </c:pt>
                <c:pt idx="10">
                  <c:v>2788.256224985657</c:v>
                </c:pt>
                <c:pt idx="11">
                  <c:v>5005.28863170778</c:v>
                </c:pt>
                <c:pt idx="12">
                  <c:v>5583.54552902454</c:v>
                </c:pt>
                <c:pt idx="13">
                  <c:v>4901.717048298354</c:v>
                </c:pt>
                <c:pt idx="14">
                  <c:v>5925.095549006685</c:v>
                </c:pt>
                <c:pt idx="15">
                  <c:v>5628.063054287038</c:v>
                </c:pt>
                <c:pt idx="16">
                  <c:v>4784.033643389497</c:v>
                </c:pt>
                <c:pt idx="17">
                  <c:v>4791.51743886338</c:v>
                </c:pt>
                <c:pt idx="18">
                  <c:v>5238.15122411811</c:v>
                </c:pt>
                <c:pt idx="19">
                  <c:v>4925.739624425945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201344"/>
        <c:axId val="430793008"/>
      </c:scatterChart>
      <c:valAx>
        <c:axId val="45220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0793008"/>
        <c:crosses val="autoZero"/>
        <c:crossBetween val="midCat"/>
      </c:valAx>
      <c:valAx>
        <c:axId val="430793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201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1279527559055"/>
          <c:y val="0.310112595476127"/>
          <c:w val="0.248546664225111"/>
          <c:h val="0.1910114718806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Numbers</a:t>
            </a:r>
          </a:p>
        </c:rich>
      </c:tx>
      <c:layout>
        <c:manualLayout>
          <c:xMode val="edge"/>
          <c:yMode val="edge"/>
          <c:x val="0.449011293679614"/>
          <c:y val="0.03163017031630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52360475469219"/>
          <c:y val="0.19221456863635"/>
          <c:w val="0.726028476426463"/>
          <c:h val="0.710463975212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Residuals!$H$3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Residuals!$A$4:$A$23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Residuals!$H$4:$H$23</c:f>
              <c:numCache>
                <c:formatCode>General</c:formatCode>
                <c:ptCount val="20"/>
                <c:pt idx="0">
                  <c:v>12818.7</c:v>
                </c:pt>
                <c:pt idx="1">
                  <c:v>15926.6</c:v>
                </c:pt>
                <c:pt idx="2">
                  <c:v>10877.4</c:v>
                </c:pt>
                <c:pt idx="3">
                  <c:v>15166.2</c:v>
                </c:pt>
                <c:pt idx="4">
                  <c:v>9997.84</c:v>
                </c:pt>
                <c:pt idx="5">
                  <c:v>12858.9</c:v>
                </c:pt>
                <c:pt idx="6">
                  <c:v>18892.4</c:v>
                </c:pt>
                <c:pt idx="7">
                  <c:v>15757.8</c:v>
                </c:pt>
                <c:pt idx="8">
                  <c:v>15785.4</c:v>
                </c:pt>
                <c:pt idx="9">
                  <c:v>8479.68</c:v>
                </c:pt>
                <c:pt idx="10">
                  <c:v>8325.03</c:v>
                </c:pt>
                <c:pt idx="11">
                  <c:v>10213.1</c:v>
                </c:pt>
                <c:pt idx="12">
                  <c:v>10042.8</c:v>
                </c:pt>
                <c:pt idx="13">
                  <c:v>13415.1</c:v>
                </c:pt>
                <c:pt idx="14">
                  <c:v>6213.77</c:v>
                </c:pt>
                <c:pt idx="15">
                  <c:v>8496.35</c:v>
                </c:pt>
                <c:pt idx="16">
                  <c:v>6296.36</c:v>
                </c:pt>
                <c:pt idx="17">
                  <c:v>9138.450000000001</c:v>
                </c:pt>
                <c:pt idx="18">
                  <c:v>11305.7</c:v>
                </c:pt>
                <c:pt idx="19">
                  <c:v>8144.45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Residuals!$I$3</c:f>
              <c:strCache>
                <c:ptCount val="1"/>
                <c:pt idx="0">
                  <c:v>Predicted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Residuals!$A$4:$A$23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Residuals!$I$4:$I$23</c:f>
              <c:numCache>
                <c:formatCode>General</c:formatCode>
                <c:ptCount val="20"/>
                <c:pt idx="0">
                  <c:v>6310.33</c:v>
                </c:pt>
                <c:pt idx="1">
                  <c:v>6929.87</c:v>
                </c:pt>
                <c:pt idx="2">
                  <c:v>5254.46</c:v>
                </c:pt>
                <c:pt idx="3">
                  <c:v>6348.25</c:v>
                </c:pt>
                <c:pt idx="4">
                  <c:v>5121.55</c:v>
                </c:pt>
                <c:pt idx="5">
                  <c:v>7347.19</c:v>
                </c:pt>
                <c:pt idx="6">
                  <c:v>8657.6</c:v>
                </c:pt>
                <c:pt idx="7">
                  <c:v>7786.73</c:v>
                </c:pt>
                <c:pt idx="8">
                  <c:v>5958.58</c:v>
                </c:pt>
                <c:pt idx="9">
                  <c:v>4226.82</c:v>
                </c:pt>
                <c:pt idx="10">
                  <c:v>3952.03</c:v>
                </c:pt>
                <c:pt idx="11">
                  <c:v>4540.47</c:v>
                </c:pt>
                <c:pt idx="12">
                  <c:v>4557.5</c:v>
                </c:pt>
                <c:pt idx="13">
                  <c:v>3458.3</c:v>
                </c:pt>
                <c:pt idx="14">
                  <c:v>2700.03</c:v>
                </c:pt>
                <c:pt idx="15">
                  <c:v>3356.55</c:v>
                </c:pt>
                <c:pt idx="16">
                  <c:v>2952.98</c:v>
                </c:pt>
                <c:pt idx="17">
                  <c:v>4515.58</c:v>
                </c:pt>
                <c:pt idx="18">
                  <c:v>4539.2</c:v>
                </c:pt>
                <c:pt idx="19">
                  <c:v>3840.49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099840"/>
        <c:axId val="506854304"/>
      </c:scatterChart>
      <c:valAx>
        <c:axId val="50709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854304"/>
        <c:crosses val="autoZero"/>
        <c:crossBetween val="midCat"/>
      </c:valAx>
      <c:valAx>
        <c:axId val="50685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0998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6272206841725"/>
          <c:y val="0.489052372103122"/>
          <c:w val="0.140030601197681"/>
          <c:h val="0.09975694644008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83403999144655"/>
          <c:y val="0.0632604909436091"/>
          <c:w val="0.755928505176333"/>
          <c:h val="0.875914489988429"/>
        </c:manualLayout>
      </c:layout>
      <c:scatterChart>
        <c:scatterStyle val="lineMarker"/>
        <c:varyColors val="0"/>
        <c:ser>
          <c:idx val="0"/>
          <c:order val="0"/>
          <c:tx>
            <c:strRef>
              <c:f>Residuals!$D$34</c:f>
              <c:strCache>
                <c:ptCount val="1"/>
                <c:pt idx="0">
                  <c:v>Biomass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Residuals!$A$35:$A$54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Residuals!$D$35:$D$54</c:f>
              <c:numCache>
                <c:formatCode>General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Residuals!$J$34</c:f>
              <c:strCache>
                <c:ptCount val="1"/>
                <c:pt idx="0">
                  <c:v>Numbers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Residuals!$A$35:$A$54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Residuals!$J$35:$J$54</c:f>
              <c:numCache>
                <c:formatCode>General</c:formatCode>
                <c:ptCount val="20"/>
                <c:pt idx="0">
                  <c:v>0.0978819686531854</c:v>
                </c:pt>
                <c:pt idx="1">
                  <c:v>1.212629172319376</c:v>
                </c:pt>
                <c:pt idx="2">
                  <c:v>-0.298777122692985</c:v>
                </c:pt>
                <c:pt idx="3">
                  <c:v>1.132538467971356</c:v>
                </c:pt>
                <c:pt idx="4">
                  <c:v>-0.63326489761999</c:v>
                </c:pt>
                <c:pt idx="5">
                  <c:v>-0.348606460676151</c:v>
                </c:pt>
                <c:pt idx="6">
                  <c:v>1.76726558764634</c:v>
                </c:pt>
                <c:pt idx="7">
                  <c:v>0.75314918674162</c:v>
                </c:pt>
                <c:pt idx="8">
                  <c:v>1.584496790465974</c:v>
                </c:pt>
                <c:pt idx="9">
                  <c:v>-0.912551998032154</c:v>
                </c:pt>
                <c:pt idx="10">
                  <c:v>-0.858731116387836</c:v>
                </c:pt>
                <c:pt idx="11">
                  <c:v>-0.276516763038364</c:v>
                </c:pt>
                <c:pt idx="12">
                  <c:v>-0.360437736556178</c:v>
                </c:pt>
                <c:pt idx="13">
                  <c:v>1.642725841540791</c:v>
                </c:pt>
                <c:pt idx="14">
                  <c:v>-1.243666448181552</c:v>
                </c:pt>
                <c:pt idx="15">
                  <c:v>-0.51521644979167</c:v>
                </c:pt>
                <c:pt idx="16">
                  <c:v>-1.31998512137055</c:v>
                </c:pt>
                <c:pt idx="17">
                  <c:v>-0.746793179843255</c:v>
                </c:pt>
                <c:pt idx="18">
                  <c:v>0.213520258805074</c:v>
                </c:pt>
                <c:pt idx="19">
                  <c:v>-0.889659979953041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120064"/>
        <c:axId val="507195472"/>
      </c:scatterChart>
      <c:valAx>
        <c:axId val="50712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195472"/>
        <c:crosses val="autoZero"/>
        <c:crossBetween val="midCat"/>
      </c:valAx>
      <c:valAx>
        <c:axId val="50719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1200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3320557733631"/>
          <c:y val="0.450122676271305"/>
          <c:w val="0.126917859116983"/>
          <c:h val="0.1070562165130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Percent change from previous year's survey estimate</a:t>
            </a:r>
          </a:p>
        </c:rich>
      </c:tx>
      <c:layout>
        <c:manualLayout>
          <c:xMode val="edge"/>
          <c:yMode val="edge"/>
          <c:x val="0.170833624963546"/>
          <c:y val="0.024719101123595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19445555888613"/>
          <c:y val="0.0359550956319079"/>
          <c:w val="0.888890094523241"/>
          <c:h val="0.910113358182663"/>
        </c:manualLayout>
      </c:layout>
      <c:scatterChart>
        <c:scatterStyle val="lineMarker"/>
        <c:varyColors val="0"/>
        <c:ser>
          <c:idx val="0"/>
          <c:order val="0"/>
          <c:tx>
            <c:strRef>
              <c:f>Residuals!$O$3</c:f>
              <c:strCache>
                <c:ptCount val="1"/>
                <c:pt idx="0">
                  <c:v>Biomass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Residuals!$O$4:$O$23</c:f>
              <c:numCache>
                <c:formatCode>0%</c:formatCode>
                <c:ptCount val="20"/>
                <c:pt idx="1">
                  <c:v>1.18627026281203</c:v>
                </c:pt>
                <c:pt idx="2">
                  <c:v>-0.216153823975089</c:v>
                </c:pt>
                <c:pt idx="3">
                  <c:v>-0.0538312173446768</c:v>
                </c:pt>
                <c:pt idx="4">
                  <c:v>0.0575945155526509</c:v>
                </c:pt>
                <c:pt idx="5">
                  <c:v>0.0431416155106009</c:v>
                </c:pt>
                <c:pt idx="6">
                  <c:v>0.391387882032915</c:v>
                </c:pt>
                <c:pt idx="7">
                  <c:v>-0.166037450729944</c:v>
                </c:pt>
                <c:pt idx="8">
                  <c:v>0.202137877546296</c:v>
                </c:pt>
                <c:pt idx="9">
                  <c:v>-0.283507099213843</c:v>
                </c:pt>
                <c:pt idx="10">
                  <c:v>-0.144431272751205</c:v>
                </c:pt>
                <c:pt idx="11">
                  <c:v>0.263978094586148</c:v>
                </c:pt>
                <c:pt idx="12">
                  <c:v>-0.0985117984557567</c:v>
                </c:pt>
                <c:pt idx="13">
                  <c:v>0.0873778058713457</c:v>
                </c:pt>
                <c:pt idx="14">
                  <c:v>-0.407951735989209</c:v>
                </c:pt>
                <c:pt idx="15">
                  <c:v>-0.0538524630583383</c:v>
                </c:pt>
                <c:pt idx="16">
                  <c:v>-0.270112354806457</c:v>
                </c:pt>
                <c:pt idx="17">
                  <c:v>0.612098092101219</c:v>
                </c:pt>
                <c:pt idx="18">
                  <c:v>0.439443937805765</c:v>
                </c:pt>
                <c:pt idx="19">
                  <c:v>-0.193834358791388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Residuals!$U$3</c:f>
              <c:strCache>
                <c:ptCount val="1"/>
                <c:pt idx="0">
                  <c:v>Survey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xVal>
          <c:yVal>
            <c:numRef>
              <c:f>Residuals!$U$4:$U$23</c:f>
              <c:numCache>
                <c:formatCode>0%</c:formatCode>
                <c:ptCount val="20"/>
                <c:pt idx="1">
                  <c:v>0.242450482498225</c:v>
                </c:pt>
                <c:pt idx="2">
                  <c:v>-0.317029372245175</c:v>
                </c:pt>
                <c:pt idx="3">
                  <c:v>0.39428539908434</c:v>
                </c:pt>
                <c:pt idx="4">
                  <c:v>-0.340781474594823</c:v>
                </c:pt>
                <c:pt idx="5">
                  <c:v>0.286167812247445</c:v>
                </c:pt>
                <c:pt idx="6">
                  <c:v>0.469208097115617</c:v>
                </c:pt>
                <c:pt idx="7">
                  <c:v>-0.165918570430438</c:v>
                </c:pt>
                <c:pt idx="8">
                  <c:v>0.00175151353615355</c:v>
                </c:pt>
                <c:pt idx="9">
                  <c:v>-0.462815006271618</c:v>
                </c:pt>
                <c:pt idx="10">
                  <c:v>-0.0182377165176044</c:v>
                </c:pt>
                <c:pt idx="11">
                  <c:v>0.226794377918158</c:v>
                </c:pt>
                <c:pt idx="12">
                  <c:v>-0.0166746629329</c:v>
                </c:pt>
                <c:pt idx="13">
                  <c:v>0.335792806786952</c:v>
                </c:pt>
                <c:pt idx="14">
                  <c:v>-0.536807776311768</c:v>
                </c:pt>
                <c:pt idx="15">
                  <c:v>0.36734220931898</c:v>
                </c:pt>
                <c:pt idx="16">
                  <c:v>-0.25893354205041</c:v>
                </c:pt>
                <c:pt idx="17">
                  <c:v>0.451386197739647</c:v>
                </c:pt>
                <c:pt idx="18">
                  <c:v>0.237157285973004</c:v>
                </c:pt>
                <c:pt idx="19">
                  <c:v>-0.279615592134941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37088"/>
        <c:axId val="506647760"/>
      </c:scatterChart>
      <c:valAx>
        <c:axId val="506937088"/>
        <c:scaling>
          <c:orientation val="minMax"/>
          <c:max val="2002.0"/>
          <c:min val="1980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647760"/>
        <c:crosses val="autoZero"/>
        <c:crossBetween val="midCat"/>
        <c:majorUnit val="5.0"/>
      </c:valAx>
      <c:valAx>
        <c:axId val="50664776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9370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3612131816856"/>
          <c:y val="0.242696865139049"/>
          <c:w val="0.14583347914844"/>
          <c:h val="0.1101125954761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Percent change from previous year's numbers</a:t>
            </a:r>
          </a:p>
        </c:rich>
      </c:tx>
      <c:layout>
        <c:manualLayout>
          <c:xMode val="edge"/>
          <c:yMode val="edge"/>
          <c:x val="0.220860295688845"/>
          <c:y val="0.05133928571428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4485533802464"/>
          <c:y val="0.0357143246398104"/>
          <c:w val="0.907835463222841"/>
          <c:h val="0.90625098773519"/>
        </c:manualLayout>
      </c:layout>
      <c:barChart>
        <c:barDir val="col"/>
        <c:grouping val="clustered"/>
        <c:varyColors val="0"/>
        <c:ser>
          <c:idx val="1"/>
          <c:order val="0"/>
          <c:tx>
            <c:v>Survey est.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cat>
          <c:val>
            <c:numRef>
              <c:f>Residuals!$U$4:$U$23</c:f>
              <c:numCache>
                <c:formatCode>0%</c:formatCode>
                <c:ptCount val="20"/>
                <c:pt idx="1">
                  <c:v>0.242450482498225</c:v>
                </c:pt>
                <c:pt idx="2">
                  <c:v>-0.317029372245175</c:v>
                </c:pt>
                <c:pt idx="3">
                  <c:v>0.39428539908434</c:v>
                </c:pt>
                <c:pt idx="4">
                  <c:v>-0.340781474594823</c:v>
                </c:pt>
                <c:pt idx="5">
                  <c:v>0.286167812247445</c:v>
                </c:pt>
                <c:pt idx="6">
                  <c:v>0.469208097115617</c:v>
                </c:pt>
                <c:pt idx="7">
                  <c:v>-0.165918570430438</c:v>
                </c:pt>
                <c:pt idx="8">
                  <c:v>0.00175151353615355</c:v>
                </c:pt>
                <c:pt idx="9">
                  <c:v>-0.462815006271618</c:v>
                </c:pt>
                <c:pt idx="10">
                  <c:v>-0.0182377165176044</c:v>
                </c:pt>
                <c:pt idx="11">
                  <c:v>0.226794377918158</c:v>
                </c:pt>
                <c:pt idx="12">
                  <c:v>-0.0166746629329</c:v>
                </c:pt>
                <c:pt idx="13">
                  <c:v>0.335792806786952</c:v>
                </c:pt>
                <c:pt idx="14">
                  <c:v>-0.536807776311768</c:v>
                </c:pt>
                <c:pt idx="15">
                  <c:v>0.36734220931898</c:v>
                </c:pt>
                <c:pt idx="16">
                  <c:v>-0.25893354205041</c:v>
                </c:pt>
                <c:pt idx="17">
                  <c:v>0.451386197739647</c:v>
                </c:pt>
                <c:pt idx="18">
                  <c:v>0.237157285973004</c:v>
                </c:pt>
                <c:pt idx="19">
                  <c:v>-0.279615592134941</c:v>
                </c:pt>
              </c:numCache>
            </c:numRef>
          </c:val>
        </c:ser>
        <c:ser>
          <c:idx val="0"/>
          <c:order val="1"/>
          <c:tx>
            <c:strRef>
              <c:f>Residuals!$X$3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cat>
          <c:val>
            <c:numRef>
              <c:f>Residuals!$X$4:$X$23</c:f>
              <c:numCache>
                <c:formatCode>0%</c:formatCode>
                <c:ptCount val="20"/>
                <c:pt idx="1">
                  <c:v>0.0981787006384769</c:v>
                </c:pt>
                <c:pt idx="2">
                  <c:v>-0.241766440063089</c:v>
                </c:pt>
                <c:pt idx="3">
                  <c:v>0.20816411201151</c:v>
                </c:pt>
                <c:pt idx="4">
                  <c:v>-0.193234355924861</c:v>
                </c:pt>
                <c:pt idx="5">
                  <c:v>0.434563755113198</c:v>
                </c:pt>
                <c:pt idx="6">
                  <c:v>0.178355262352001</c:v>
                </c:pt>
                <c:pt idx="7">
                  <c:v>-0.100590232858991</c:v>
                </c:pt>
                <c:pt idx="8">
                  <c:v>-0.234777628092922</c:v>
                </c:pt>
                <c:pt idx="9">
                  <c:v>-0.290633003165184</c:v>
                </c:pt>
                <c:pt idx="10">
                  <c:v>-0.065011048495086</c:v>
                </c:pt>
                <c:pt idx="11">
                  <c:v>0.148895630853005</c:v>
                </c:pt>
                <c:pt idx="12">
                  <c:v>0.00375071303191074</c:v>
                </c:pt>
                <c:pt idx="13">
                  <c:v>-0.24118486012068</c:v>
                </c:pt>
                <c:pt idx="14">
                  <c:v>-0.219260908538877</c:v>
                </c:pt>
                <c:pt idx="15">
                  <c:v>0.243152853857179</c:v>
                </c:pt>
                <c:pt idx="16">
                  <c:v>-0.12023357316292</c:v>
                </c:pt>
                <c:pt idx="17">
                  <c:v>0.529160373588714</c:v>
                </c:pt>
                <c:pt idx="18">
                  <c:v>0.00523077877039049</c:v>
                </c:pt>
                <c:pt idx="19">
                  <c:v>-0.15392800493479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7224704"/>
        <c:axId val="505568528"/>
      </c:barChart>
      <c:catAx>
        <c:axId val="50722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56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56852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2247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5008809382698"/>
          <c:y val="0.81473308023997"/>
          <c:w val="0.142857304127307"/>
          <c:h val="0.10044642857142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Percent change from biomass in previous year</a:t>
            </a:r>
          </a:p>
        </c:rich>
      </c:tx>
      <c:layout>
        <c:manualLayout>
          <c:xMode val="edge"/>
          <c:yMode val="edge"/>
          <c:x val="0.122052850189843"/>
          <c:y val="0.023752969121140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04438824954778"/>
          <c:y val="0.0380047946722771"/>
          <c:w val="0.912621977276288"/>
          <c:h val="0.902613873466587"/>
        </c:manualLayout>
      </c:layout>
      <c:barChart>
        <c:barDir val="col"/>
        <c:grouping val="clustered"/>
        <c:varyColors val="0"/>
        <c:ser>
          <c:idx val="1"/>
          <c:order val="0"/>
          <c:tx>
            <c:v>Survey est.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cat>
          <c:val>
            <c:numRef>
              <c:f>Residuals!$O$4:$O$23</c:f>
              <c:numCache>
                <c:formatCode>0%</c:formatCode>
                <c:ptCount val="20"/>
                <c:pt idx="1">
                  <c:v>1.18627026281203</c:v>
                </c:pt>
                <c:pt idx="2">
                  <c:v>-0.216153823975089</c:v>
                </c:pt>
                <c:pt idx="3">
                  <c:v>-0.0538312173446768</c:v>
                </c:pt>
                <c:pt idx="4">
                  <c:v>0.0575945155526509</c:v>
                </c:pt>
                <c:pt idx="5">
                  <c:v>0.0431416155106009</c:v>
                </c:pt>
                <c:pt idx="6">
                  <c:v>0.391387882032915</c:v>
                </c:pt>
                <c:pt idx="7">
                  <c:v>-0.166037450729944</c:v>
                </c:pt>
                <c:pt idx="8">
                  <c:v>0.202137877546296</c:v>
                </c:pt>
                <c:pt idx="9">
                  <c:v>-0.283507099213843</c:v>
                </c:pt>
                <c:pt idx="10">
                  <c:v>-0.144431272751205</c:v>
                </c:pt>
                <c:pt idx="11">
                  <c:v>0.263978094586148</c:v>
                </c:pt>
                <c:pt idx="12">
                  <c:v>-0.0985117984557567</c:v>
                </c:pt>
                <c:pt idx="13">
                  <c:v>0.0873778058713457</c:v>
                </c:pt>
                <c:pt idx="14">
                  <c:v>-0.407951735989209</c:v>
                </c:pt>
                <c:pt idx="15">
                  <c:v>-0.0538524630583383</c:v>
                </c:pt>
                <c:pt idx="16">
                  <c:v>-0.270112354806457</c:v>
                </c:pt>
                <c:pt idx="17">
                  <c:v>0.612098092101219</c:v>
                </c:pt>
                <c:pt idx="18">
                  <c:v>0.439443937805765</c:v>
                </c:pt>
                <c:pt idx="19">
                  <c:v>-0.193834358791388</c:v>
                </c:pt>
              </c:numCache>
            </c:numRef>
          </c:val>
        </c:ser>
        <c:ser>
          <c:idx val="0"/>
          <c:order val="1"/>
          <c:tx>
            <c:strRef>
              <c:f>Residuals!$R$3</c:f>
              <c:strCache>
                <c:ptCount val="1"/>
                <c:pt idx="0">
                  <c:v>Model</c:v>
                </c:pt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Residuals!$M$4:$M$23</c:f>
              <c:numCache>
                <c:formatCode>General</c:formatCode>
                <c:ptCount val="20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</c:numCache>
            </c:numRef>
          </c:cat>
          <c:val>
            <c:numRef>
              <c:f>Residuals!$R$4:$R$23</c:f>
              <c:numCache>
                <c:formatCode>0%</c:formatCode>
                <c:ptCount val="20"/>
                <c:pt idx="1">
                  <c:v>0.461569547220407</c:v>
                </c:pt>
                <c:pt idx="2">
                  <c:v>-0.108597247244201</c:v>
                </c:pt>
                <c:pt idx="3">
                  <c:v>0.204702289777956</c:v>
                </c:pt>
                <c:pt idx="4">
                  <c:v>-0.0956489145121622</c:v>
                </c:pt>
                <c:pt idx="5">
                  <c:v>0.192619782653287</c:v>
                </c:pt>
                <c:pt idx="6">
                  <c:v>0.168425351003805</c:v>
                </c:pt>
                <c:pt idx="7">
                  <c:v>-0.0446946416572384</c:v>
                </c:pt>
                <c:pt idx="8">
                  <c:v>-0.154396553286337</c:v>
                </c:pt>
                <c:pt idx="9">
                  <c:v>-0.268342974665779</c:v>
                </c:pt>
                <c:pt idx="10">
                  <c:v>-0.12600334688964</c:v>
                </c:pt>
                <c:pt idx="11">
                  <c:v>0.0610101576421935</c:v>
                </c:pt>
                <c:pt idx="12">
                  <c:v>0.0528098566510215</c:v>
                </c:pt>
                <c:pt idx="13">
                  <c:v>-0.252417173370295</c:v>
                </c:pt>
                <c:pt idx="14">
                  <c:v>-0.160117594958907</c:v>
                </c:pt>
                <c:pt idx="15">
                  <c:v>0.174582729942641</c:v>
                </c:pt>
                <c:pt idx="16">
                  <c:v>-0.117589789493919</c:v>
                </c:pt>
                <c:pt idx="17">
                  <c:v>0.450790878173505</c:v>
                </c:pt>
                <c:pt idx="18">
                  <c:v>0.00891649410093864</c:v>
                </c:pt>
                <c:pt idx="19">
                  <c:v>-0.0873216194089242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5086064"/>
        <c:axId val="376622976"/>
      </c:barChart>
      <c:catAx>
        <c:axId val="37508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662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7662297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0860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801722600209"/>
          <c:y val="0.239905237498519"/>
          <c:w val="0.133148550605932"/>
          <c:h val="0.11401450115647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Biomass</a:t>
            </a:r>
          </a:p>
        </c:rich>
      </c:tx>
      <c:layout>
        <c:manualLayout>
          <c:xMode val="edge"/>
          <c:yMode val="edge"/>
          <c:x val="0.450677388730664"/>
          <c:y val="0.03459119496855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0251554804191"/>
          <c:y val="0.207547807180521"/>
          <c:w val="0.688588658075301"/>
          <c:h val="0.685536696444749"/>
        </c:manualLayout>
      </c:layout>
      <c:scatterChart>
        <c:scatterStyle val="lineMarker"/>
        <c:varyColors val="0"/>
        <c:ser>
          <c:idx val="1"/>
          <c:order val="0"/>
          <c:tx>
            <c:strRef>
              <c:f>Residuals!$C$3</c:f>
              <c:strCache>
                <c:ptCount val="1"/>
                <c:pt idx="0">
                  <c:v>Predicted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Residuals!$A$4:$A$24</c:f>
              <c:numCache>
                <c:formatCode>General</c:formatCode>
                <c:ptCount val="21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</c:numCache>
            </c:numRef>
          </c:xVal>
          <c:yVal>
            <c:numRef>
              <c:f>Residuals!$C$4:$C$24</c:f>
              <c:numCache>
                <c:formatCode>General</c:formatCode>
                <c:ptCount val="21"/>
                <c:pt idx="0">
                  <c:v>409451.437630131</c:v>
                </c:pt>
                <c:pt idx="1">
                  <c:v>598441.7523058152</c:v>
                </c:pt>
                <c:pt idx="2">
                  <c:v>533452.6253694075</c:v>
                </c:pt>
                <c:pt idx="3">
                  <c:v>642651.5992705873</c:v>
                </c:pt>
                <c:pt idx="4">
                  <c:v>581182.6713908506</c:v>
                </c:pt>
                <c:pt idx="5">
                  <c:v>693129.951236013</c:v>
                </c:pt>
                <c:pt idx="6">
                  <c:v>809870.6065641886</c:v>
                </c:pt>
                <c:pt idx="7">
                  <c:v>773673.730015072</c:v>
                </c:pt>
                <c:pt idx="8">
                  <c:v>654221.172732561</c:v>
                </c:pt>
                <c:pt idx="9">
                  <c:v>478665.517152171</c:v>
                </c:pt>
                <c:pt idx="10">
                  <c:v>418352.0599503373</c:v>
                </c:pt>
                <c:pt idx="11">
                  <c:v>443875.7850778437</c:v>
                </c:pt>
                <c:pt idx="12">
                  <c:v>467316.8016586643</c:v>
                </c:pt>
                <c:pt idx="13">
                  <c:v>349358.0155155376</c:v>
                </c:pt>
                <c:pt idx="14">
                  <c:v>293419.6502915732</c:v>
                </c:pt>
                <c:pt idx="15">
                  <c:v>344645.653858291</c:v>
                </c:pt>
                <c:pt idx="16">
                  <c:v>304118.8439711004</c:v>
                </c:pt>
                <c:pt idx="17">
                  <c:v>441212.8447139438</c:v>
                </c:pt>
                <c:pt idx="18">
                  <c:v>445146.916441094</c:v>
                </c:pt>
                <c:pt idx="19">
                  <c:v>406275.9668225686</c:v>
                </c:pt>
                <c:pt idx="20">
                  <c:v>486287.8896688256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Residuals!$N$3</c:f>
              <c:strCache>
                <c:ptCount val="1"/>
                <c:pt idx="0">
                  <c:v>Official Biomass Est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Residuals!$M$4:$M$24</c:f>
              <c:numCache>
                <c:formatCode>General</c:formatCode>
                <c:ptCount val="21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</c:numCache>
            </c:numRef>
          </c:xVal>
          <c:yVal>
            <c:numRef>
              <c:f>Residuals!$N$4:$N$24</c:f>
              <c:numCache>
                <c:formatCode>General</c:formatCode>
                <c:ptCount val="21"/>
                <c:pt idx="0">
                  <c:v>2855.539</c:v>
                </c:pt>
                <c:pt idx="1">
                  <c:v>6242.98</c:v>
                </c:pt>
                <c:pt idx="2">
                  <c:v>4893.536</c:v>
                </c:pt>
                <c:pt idx="3">
                  <c:v>4630.111</c:v>
                </c:pt>
                <c:pt idx="4">
                  <c:v>4896.78</c:v>
                </c:pt>
                <c:pt idx="5">
                  <c:v>5108.035</c:v>
                </c:pt>
                <c:pt idx="6">
                  <c:v>7107.258</c:v>
                </c:pt>
                <c:pt idx="7">
                  <c:v>5927.187</c:v>
                </c:pt>
                <c:pt idx="8">
                  <c:v>7125.296</c:v>
                </c:pt>
                <c:pt idx="9">
                  <c:v>5105.224</c:v>
                </c:pt>
                <c:pt idx="10">
                  <c:v>4367.87</c:v>
                </c:pt>
                <c:pt idx="11">
                  <c:v>5520.892</c:v>
                </c:pt>
                <c:pt idx="12">
                  <c:v>4977.019</c:v>
                </c:pt>
                <c:pt idx="13">
                  <c:v>5411.9</c:v>
                </c:pt>
                <c:pt idx="14">
                  <c:v>3204.106</c:v>
                </c:pt>
                <c:pt idx="15">
                  <c:v>3031.557</c:v>
                </c:pt>
                <c:pt idx="16">
                  <c:v>2212.696</c:v>
                </c:pt>
                <c:pt idx="17">
                  <c:v>3567.083</c:v>
                </c:pt>
                <c:pt idx="18">
                  <c:v>5134.616</c:v>
                </c:pt>
                <c:pt idx="19">
                  <c:v>4139.351</c:v>
                </c:pt>
                <c:pt idx="20">
                  <c:v>4820.0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Residuals!$E$3</c:f>
              <c:strCache>
                <c:ptCount val="1"/>
                <c:pt idx="0">
                  <c:v>Model age 3+ biomass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Residuals!$A$4:$A$24</c:f>
              <c:numCache>
                <c:formatCode>General</c:formatCode>
                <c:ptCount val="21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</c:numCache>
            </c:numRef>
          </c:xVal>
          <c:yVal>
            <c:numRef>
              <c:f>Residuals!$E$4:$E$24</c:f>
              <c:numCache>
                <c:formatCode>General</c:formatCode>
                <c:ptCount val="21"/>
                <c:pt idx="0">
                  <c:v>4398.116174021225</c:v>
                </c:pt>
                <c:pt idx="1">
                  <c:v>5256.71410774371</c:v>
                </c:pt>
                <c:pt idx="2">
                  <c:v>5968.557111346902</c:v>
                </c:pt>
                <c:pt idx="3">
                  <c:v>5985.221465449453</c:v>
                </c:pt>
                <c:pt idx="4">
                  <c:v>7135.222631145747</c:v>
                </c:pt>
                <c:pt idx="5">
                  <c:v>6075.953459860703</c:v>
                </c:pt>
                <c:pt idx="6">
                  <c:v>6498.045643070527</c:v>
                </c:pt>
                <c:pt idx="7">
                  <c:v>5739.81865949159</c:v>
                </c:pt>
                <c:pt idx="8">
                  <c:v>4574.719294610808</c:v>
                </c:pt>
                <c:pt idx="9">
                  <c:v>3347.603024146528</c:v>
                </c:pt>
                <c:pt idx="10">
                  <c:v>2788.256224985657</c:v>
                </c:pt>
                <c:pt idx="11">
                  <c:v>5005.28863170778</c:v>
                </c:pt>
                <c:pt idx="12">
                  <c:v>5583.54552902454</c:v>
                </c:pt>
                <c:pt idx="13">
                  <c:v>4901.717048298354</c:v>
                </c:pt>
                <c:pt idx="14">
                  <c:v>5925.095549006685</c:v>
                </c:pt>
                <c:pt idx="15">
                  <c:v>5628.063054287038</c:v>
                </c:pt>
                <c:pt idx="16">
                  <c:v>4784.033643389497</c:v>
                </c:pt>
                <c:pt idx="17">
                  <c:v>4791.51743886338</c:v>
                </c:pt>
                <c:pt idx="18">
                  <c:v>5238.15122411811</c:v>
                </c:pt>
                <c:pt idx="19">
                  <c:v>4925.739624425945</c:v>
                </c:pt>
                <c:pt idx="20">
                  <c:v>5187.43564616519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081008"/>
        <c:axId val="375082368"/>
      </c:scatterChart>
      <c:valAx>
        <c:axId val="37508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082368"/>
        <c:crosses val="autoZero"/>
        <c:crossBetween val="midCat"/>
      </c:valAx>
      <c:valAx>
        <c:axId val="37508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0810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1799448666596"/>
          <c:y val="0.116352531405272"/>
          <c:w val="0.280464419703823"/>
          <c:h val="0.182390597401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24133571085604"/>
          <c:y val="0.0653266331658298"/>
          <c:w val="0.783634372585258"/>
          <c:h val="0.82160804020100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'Selectivity Comparison'!$B$24:$P$24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'Selectivity Comparison'!$B$25:$P$25</c:f>
              <c:numCache>
                <c:formatCode>General</c:formatCode>
                <c:ptCount val="15"/>
                <c:pt idx="0">
                  <c:v>0.0177172940576629</c:v>
                </c:pt>
                <c:pt idx="1">
                  <c:v>0.0154274692397233</c:v>
                </c:pt>
                <c:pt idx="2">
                  <c:v>0.0192961933255731</c:v>
                </c:pt>
                <c:pt idx="3">
                  <c:v>0.0386000346323678</c:v>
                </c:pt>
                <c:pt idx="4">
                  <c:v>0.0995252479581333</c:v>
                </c:pt>
                <c:pt idx="5">
                  <c:v>0.230817997287131</c:v>
                </c:pt>
                <c:pt idx="6">
                  <c:v>0.308371412904405</c:v>
                </c:pt>
                <c:pt idx="7">
                  <c:v>0.389956132334125</c:v>
                </c:pt>
                <c:pt idx="8">
                  <c:v>0.453208304072189</c:v>
                </c:pt>
                <c:pt idx="9">
                  <c:v>0.642165869801537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</c:numCache>
            </c:numRef>
          </c:y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'Selectivity Comparison'!$B$24:$P$24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'Selectivity Comparison'!$B$30:$P$30</c:f>
              <c:numCache>
                <c:formatCode>General</c:formatCode>
                <c:ptCount val="15"/>
                <c:pt idx="0">
                  <c:v>0.048067102842487</c:v>
                </c:pt>
                <c:pt idx="1">
                  <c:v>0.0207470604199987</c:v>
                </c:pt>
                <c:pt idx="2">
                  <c:v>0.0449462057610861</c:v>
                </c:pt>
                <c:pt idx="3">
                  <c:v>0.0946470150531733</c:v>
                </c:pt>
                <c:pt idx="4">
                  <c:v>0.188476626070201</c:v>
                </c:pt>
                <c:pt idx="5">
                  <c:v>0.340408421605024</c:v>
                </c:pt>
                <c:pt idx="6">
                  <c:v>0.534321054913888</c:v>
                </c:pt>
                <c:pt idx="7">
                  <c:v>0.718616522137108</c:v>
                </c:pt>
                <c:pt idx="8">
                  <c:v>0.850720110723095</c:v>
                </c:pt>
                <c:pt idx="9">
                  <c:v>0.92748017830264</c:v>
                </c:pt>
                <c:pt idx="10">
                  <c:v>0.966751024258733</c:v>
                </c:pt>
                <c:pt idx="11">
                  <c:v>0.985538698502895</c:v>
                </c:pt>
                <c:pt idx="12">
                  <c:v>0.994236510379789</c:v>
                </c:pt>
                <c:pt idx="13">
                  <c:v>0.998203353539764</c:v>
                </c:pt>
                <c:pt idx="14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687568"/>
        <c:axId val="376688928"/>
      </c:scatterChart>
      <c:valAx>
        <c:axId val="37668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6688928"/>
        <c:crosses val="autoZero"/>
        <c:crossBetween val="midCat"/>
      </c:valAx>
      <c:valAx>
        <c:axId val="37668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6687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71013065114433"/>
          <c:y val="0.419597989949749"/>
          <c:w val="0.115118037429787"/>
          <c:h val="0.11055276381909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24133571085604"/>
          <c:y val="0.0653266331658298"/>
          <c:w val="0.783634372585258"/>
          <c:h val="0.82160804020100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'Selectivity Comparison'!$B$24:$P$24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'Selectivity Comparison'!$B$27:$P$27</c:f>
              <c:numCache>
                <c:formatCode>General</c:formatCode>
                <c:ptCount val="15"/>
                <c:pt idx="0">
                  <c:v>0.0323408219761499</c:v>
                </c:pt>
                <c:pt idx="1">
                  <c:v>0.0276894165247019</c:v>
                </c:pt>
                <c:pt idx="2">
                  <c:v>0.0318280451448041</c:v>
                </c:pt>
                <c:pt idx="3">
                  <c:v>0.0623397572402044</c:v>
                </c:pt>
                <c:pt idx="4">
                  <c:v>0.163981580068143</c:v>
                </c:pt>
                <c:pt idx="5">
                  <c:v>0.33209433560477</c:v>
                </c:pt>
                <c:pt idx="6">
                  <c:v>0.518646720613288</c:v>
                </c:pt>
                <c:pt idx="7">
                  <c:v>0.837393526405451</c:v>
                </c:pt>
                <c:pt idx="8">
                  <c:v>1.0</c:v>
                </c:pt>
                <c:pt idx="9">
                  <c:v>0.937995102214651</c:v>
                </c:pt>
                <c:pt idx="10">
                  <c:v>0.808241056218058</c:v>
                </c:pt>
                <c:pt idx="11">
                  <c:v>0.808241056218058</c:v>
                </c:pt>
                <c:pt idx="12">
                  <c:v>0.808241056218058</c:v>
                </c:pt>
                <c:pt idx="13">
                  <c:v>0.808241056218058</c:v>
                </c:pt>
                <c:pt idx="14">
                  <c:v>0.808241056218058</c:v>
                </c:pt>
              </c:numCache>
            </c:numRef>
          </c:y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'Selectivity Comparison'!$B$24:$P$24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'Selectivity Comparison'!$B$32:$P$32</c:f>
              <c:numCache>
                <c:formatCode>General</c:formatCode>
                <c:ptCount val="15"/>
                <c:pt idx="0">
                  <c:v>0.0619824096551848</c:v>
                </c:pt>
                <c:pt idx="1">
                  <c:v>0.0208888595483084</c:v>
                </c:pt>
                <c:pt idx="2">
                  <c:v>0.0515365295227921</c:v>
                </c:pt>
                <c:pt idx="3">
                  <c:v>0.121568027302744</c:v>
                </c:pt>
                <c:pt idx="4">
                  <c:v>0.260621373479249</c:v>
                </c:pt>
                <c:pt idx="5">
                  <c:v>0.473091853687861</c:v>
                </c:pt>
                <c:pt idx="6">
                  <c:v>0.695820867754335</c:v>
                </c:pt>
                <c:pt idx="7">
                  <c:v>0.853611842125005</c:v>
                </c:pt>
                <c:pt idx="8">
                  <c:v>0.937045450226206</c:v>
                </c:pt>
                <c:pt idx="9">
                  <c:v>0.974441687096713</c:v>
                </c:pt>
                <c:pt idx="10">
                  <c:v>0.989953518519074</c:v>
                </c:pt>
                <c:pt idx="11">
                  <c:v>0.996180056473949</c:v>
                </c:pt>
                <c:pt idx="12">
                  <c:v>0.998646665726434</c:v>
                </c:pt>
                <c:pt idx="13">
                  <c:v>0.999617905622689</c:v>
                </c:pt>
                <c:pt idx="14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070320"/>
        <c:axId val="375071680"/>
      </c:scatterChart>
      <c:valAx>
        <c:axId val="37507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071680"/>
        <c:crosses val="autoZero"/>
        <c:crossBetween val="midCat"/>
      </c:valAx>
      <c:valAx>
        <c:axId val="375071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0703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71013065114433"/>
          <c:y val="0.412060301507538"/>
          <c:w val="0.115118037429787"/>
          <c:h val="0.11055276381909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Comps'!$S$3:$AG$3</c:f>
              <c:numCache>
                <c:formatCode>General</c:formatCode>
                <c:ptCount val="15"/>
                <c:pt idx="0">
                  <c:v>0.025321</c:v>
                </c:pt>
                <c:pt idx="1">
                  <c:v>0.105571</c:v>
                </c:pt>
                <c:pt idx="2">
                  <c:v>0.165563</c:v>
                </c:pt>
                <c:pt idx="3">
                  <c:v>0.193611</c:v>
                </c:pt>
                <c:pt idx="4">
                  <c:v>0.095442</c:v>
                </c:pt>
                <c:pt idx="5">
                  <c:v>0.268407</c:v>
                </c:pt>
                <c:pt idx="6">
                  <c:v>0.120764</c:v>
                </c:pt>
                <c:pt idx="7">
                  <c:v>0.025321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Comps'!$B$3:$P$3</c:f>
              <c:numCache>
                <c:formatCode>General</c:formatCode>
                <c:ptCount val="15"/>
                <c:pt idx="0">
                  <c:v>0.0273735</c:v>
                </c:pt>
                <c:pt idx="1">
                  <c:v>0.11357</c:v>
                </c:pt>
                <c:pt idx="2">
                  <c:v>0.256278</c:v>
                </c:pt>
                <c:pt idx="3">
                  <c:v>0.186355</c:v>
                </c:pt>
                <c:pt idx="4">
                  <c:v>0.0813732</c:v>
                </c:pt>
                <c:pt idx="5">
                  <c:v>0.157209</c:v>
                </c:pt>
                <c:pt idx="6">
                  <c:v>0.0686035</c:v>
                </c:pt>
                <c:pt idx="7">
                  <c:v>0.0211355</c:v>
                </c:pt>
                <c:pt idx="8">
                  <c:v>0.0128972</c:v>
                </c:pt>
                <c:pt idx="9">
                  <c:v>0.0125964</c:v>
                </c:pt>
                <c:pt idx="10">
                  <c:v>0.0125652</c:v>
                </c:pt>
                <c:pt idx="11">
                  <c:v>0.0125407</c:v>
                </c:pt>
                <c:pt idx="12">
                  <c:v>0.0125214</c:v>
                </c:pt>
                <c:pt idx="13">
                  <c:v>0.0125022</c:v>
                </c:pt>
                <c:pt idx="14">
                  <c:v>0.0124794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025056"/>
        <c:axId val="-29135280"/>
      </c:scatterChart>
      <c:valAx>
        <c:axId val="37502505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9135280"/>
        <c:crosses val="autoZero"/>
        <c:crossBetween val="midCat"/>
      </c:valAx>
      <c:valAx>
        <c:axId val="-2913528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0250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Comps'!$S$4:$AG$4</c:f>
              <c:numCache>
                <c:formatCode>General</c:formatCode>
                <c:ptCount val="15"/>
                <c:pt idx="0">
                  <c:v>0.01417</c:v>
                </c:pt>
                <c:pt idx="1">
                  <c:v>0.015327</c:v>
                </c:pt>
                <c:pt idx="2">
                  <c:v>0.204164</c:v>
                </c:pt>
                <c:pt idx="3">
                  <c:v>0.550318</c:v>
                </c:pt>
                <c:pt idx="4">
                  <c:v>0.13476</c:v>
                </c:pt>
                <c:pt idx="5">
                  <c:v>0.033545</c:v>
                </c:pt>
                <c:pt idx="6">
                  <c:v>0.032389</c:v>
                </c:pt>
                <c:pt idx="7">
                  <c:v>0.015327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Comps'!$B$4:$P$4</c:f>
              <c:numCache>
                <c:formatCode>General</c:formatCode>
                <c:ptCount val="15"/>
                <c:pt idx="0">
                  <c:v>0.0589903</c:v>
                </c:pt>
                <c:pt idx="1">
                  <c:v>0.060616</c:v>
                </c:pt>
                <c:pt idx="2">
                  <c:v>0.199545</c:v>
                </c:pt>
                <c:pt idx="3">
                  <c:v>0.432237</c:v>
                </c:pt>
                <c:pt idx="4">
                  <c:v>0.0802297</c:v>
                </c:pt>
                <c:pt idx="5">
                  <c:v>0.033148</c:v>
                </c:pt>
                <c:pt idx="6">
                  <c:v>0.0620576</c:v>
                </c:pt>
                <c:pt idx="7">
                  <c:v>0.0272265</c:v>
                </c:pt>
                <c:pt idx="8">
                  <c:v>0.0085447</c:v>
                </c:pt>
                <c:pt idx="9">
                  <c:v>0.00531183</c:v>
                </c:pt>
                <c:pt idx="10">
                  <c:v>0.00537542</c:v>
                </c:pt>
                <c:pt idx="11">
                  <c:v>0.00536211</c:v>
                </c:pt>
                <c:pt idx="12">
                  <c:v>0.00535164</c:v>
                </c:pt>
                <c:pt idx="13">
                  <c:v>0.00534343</c:v>
                </c:pt>
                <c:pt idx="14">
                  <c:v>0.0106608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346496"/>
        <c:axId val="375123872"/>
      </c:scatterChart>
      <c:valAx>
        <c:axId val="-2934649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123872"/>
        <c:crosses val="autoZero"/>
        <c:crossBetween val="midCat"/>
      </c:valAx>
      <c:valAx>
        <c:axId val="37512387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93464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Comps'!$S$5:$AG$5</c:f>
              <c:numCache>
                <c:formatCode>General</c:formatCode>
                <c:ptCount val="15"/>
                <c:pt idx="0">
                  <c:v>0.028428</c:v>
                </c:pt>
                <c:pt idx="1">
                  <c:v>0.168302</c:v>
                </c:pt>
                <c:pt idx="2">
                  <c:v>0.057358</c:v>
                </c:pt>
                <c:pt idx="3">
                  <c:v>0.420126</c:v>
                </c:pt>
                <c:pt idx="4">
                  <c:v>0.264906</c:v>
                </c:pt>
                <c:pt idx="5">
                  <c:v>0.024151</c:v>
                </c:pt>
                <c:pt idx="6">
                  <c:v>0.026415</c:v>
                </c:pt>
                <c:pt idx="7">
                  <c:v>0.010314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Comps'!$B$5:$P$5</c:f>
              <c:numCache>
                <c:formatCode>General</c:formatCode>
                <c:ptCount val="15"/>
                <c:pt idx="0">
                  <c:v>0.0358557</c:v>
                </c:pt>
                <c:pt idx="1">
                  <c:v>0.173933</c:v>
                </c:pt>
                <c:pt idx="2">
                  <c:v>0.138429</c:v>
                </c:pt>
                <c:pt idx="3">
                  <c:v>0.328127</c:v>
                </c:pt>
                <c:pt idx="4">
                  <c:v>0.203612</c:v>
                </c:pt>
                <c:pt idx="5">
                  <c:v>0.0374704</c:v>
                </c:pt>
                <c:pt idx="6">
                  <c:v>0.0157564</c:v>
                </c:pt>
                <c:pt idx="7">
                  <c:v>0.0299623</c:v>
                </c:pt>
                <c:pt idx="8">
                  <c:v>0.0133583</c:v>
                </c:pt>
                <c:pt idx="9">
                  <c:v>0.00426352</c:v>
                </c:pt>
                <c:pt idx="10">
                  <c:v>0.00273116</c:v>
                </c:pt>
                <c:pt idx="11">
                  <c:v>0.00276386</c:v>
                </c:pt>
                <c:pt idx="12">
                  <c:v>0.00275701</c:v>
                </c:pt>
                <c:pt idx="13">
                  <c:v>0.00275163</c:v>
                </c:pt>
                <c:pt idx="14">
                  <c:v>0.0082288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845120"/>
        <c:axId val="-29289520"/>
      </c:scatterChart>
      <c:valAx>
        <c:axId val="3748451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9289520"/>
        <c:crosses val="autoZero"/>
        <c:crossBetween val="midCat"/>
      </c:valAx>
      <c:valAx>
        <c:axId val="-2928952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484512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Comps'!$S$6:$AG$6</c:f>
              <c:numCache>
                <c:formatCode>General</c:formatCode>
                <c:ptCount val="15"/>
                <c:pt idx="0">
                  <c:v>0.00946701</c:v>
                </c:pt>
                <c:pt idx="1">
                  <c:v>0.110178</c:v>
                </c:pt>
                <c:pt idx="2">
                  <c:v>0.577516</c:v>
                </c:pt>
                <c:pt idx="3">
                  <c:v>0.0876921</c:v>
                </c:pt>
                <c:pt idx="4">
                  <c:v>0.16</c:v>
                </c:pt>
                <c:pt idx="5">
                  <c:v>0.037988</c:v>
                </c:pt>
                <c:pt idx="6">
                  <c:v>0.011479</c:v>
                </c:pt>
                <c:pt idx="7">
                  <c:v>0.00568001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Comps'!$B$6:$P$6</c:f>
              <c:numCache>
                <c:formatCode>General</c:formatCode>
                <c:ptCount val="15"/>
                <c:pt idx="0">
                  <c:v>0.0482747</c:v>
                </c:pt>
                <c:pt idx="1">
                  <c:v>0.104393</c:v>
                </c:pt>
                <c:pt idx="2">
                  <c:v>0.413186</c:v>
                </c:pt>
                <c:pt idx="3">
                  <c:v>0.160814</c:v>
                </c:pt>
                <c:pt idx="4">
                  <c:v>0.134966</c:v>
                </c:pt>
                <c:pt idx="5">
                  <c:v>0.0842981</c:v>
                </c:pt>
                <c:pt idx="6">
                  <c:v>0.0161699</c:v>
                </c:pt>
                <c:pt idx="7">
                  <c:v>0.00698269</c:v>
                </c:pt>
                <c:pt idx="8">
                  <c:v>0.0135997</c:v>
                </c:pt>
                <c:pt idx="9">
                  <c:v>0.0061896</c:v>
                </c:pt>
                <c:pt idx="10">
                  <c:v>0.00201904</c:v>
                </c:pt>
                <c:pt idx="11">
                  <c:v>0.00129338</c:v>
                </c:pt>
                <c:pt idx="12">
                  <c:v>0.00130886</c:v>
                </c:pt>
                <c:pt idx="13">
                  <c:v>0.00130562</c:v>
                </c:pt>
                <c:pt idx="14">
                  <c:v>0.00519992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800976"/>
        <c:axId val="376997360"/>
      </c:scatterChart>
      <c:valAx>
        <c:axId val="3748009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6997360"/>
        <c:crosses val="autoZero"/>
        <c:crossBetween val="midCat"/>
      </c:valAx>
      <c:valAx>
        <c:axId val="37699736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48009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Comps'!$S$7:$AG$7</c:f>
              <c:numCache>
                <c:formatCode>General</c:formatCode>
                <c:ptCount val="15"/>
                <c:pt idx="0">
                  <c:v>0.032939</c:v>
                </c:pt>
                <c:pt idx="1">
                  <c:v>0.178617</c:v>
                </c:pt>
                <c:pt idx="2">
                  <c:v>0.140218</c:v>
                </c:pt>
                <c:pt idx="3">
                  <c:v>0.468517</c:v>
                </c:pt>
                <c:pt idx="4">
                  <c:v>0.10737</c:v>
                </c:pt>
                <c:pt idx="5">
                  <c:v>0.030573</c:v>
                </c:pt>
                <c:pt idx="6">
                  <c:v>0.036579</c:v>
                </c:pt>
                <c:pt idx="7">
                  <c:v>0.005187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Comps'!$B$7:$P$7</c:f>
              <c:numCache>
                <c:formatCode>General</c:formatCode>
                <c:ptCount val="15"/>
                <c:pt idx="0">
                  <c:v>0.0375294</c:v>
                </c:pt>
                <c:pt idx="1">
                  <c:v>0.153227</c:v>
                </c:pt>
                <c:pt idx="2">
                  <c:v>0.232436</c:v>
                </c:pt>
                <c:pt idx="3">
                  <c:v>0.383036</c:v>
                </c:pt>
                <c:pt idx="4">
                  <c:v>0.0726383</c:v>
                </c:pt>
                <c:pt idx="5">
                  <c:v>0.0589051</c:v>
                </c:pt>
                <c:pt idx="6">
                  <c:v>0.037423</c:v>
                </c:pt>
                <c:pt idx="7">
                  <c:v>0.00726141</c:v>
                </c:pt>
                <c:pt idx="8">
                  <c:v>0.00318024</c:v>
                </c:pt>
                <c:pt idx="9">
                  <c:v>0.00628628</c:v>
                </c:pt>
                <c:pt idx="10">
                  <c:v>0.00288725</c:v>
                </c:pt>
                <c:pt idx="11">
                  <c:v>0.000941817</c:v>
                </c:pt>
                <c:pt idx="12">
                  <c:v>0.000603318</c:v>
                </c:pt>
                <c:pt idx="13">
                  <c:v>0.00061054</c:v>
                </c:pt>
                <c:pt idx="14">
                  <c:v>0.00303462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9094224"/>
        <c:axId val="-29167152"/>
      </c:scatterChart>
      <c:valAx>
        <c:axId val="-2909422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9167152"/>
        <c:crosses val="autoZero"/>
        <c:crossBetween val="midCat"/>
      </c:valAx>
      <c:valAx>
        <c:axId val="-2916715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90942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Comps'!$S$8:$AG$8</c:f>
              <c:numCache>
                <c:formatCode>General</c:formatCode>
                <c:ptCount val="15"/>
                <c:pt idx="0">
                  <c:v>0.014678</c:v>
                </c:pt>
                <c:pt idx="1">
                  <c:v>0.0797661</c:v>
                </c:pt>
                <c:pt idx="2">
                  <c:v>0.459233</c:v>
                </c:pt>
                <c:pt idx="3">
                  <c:v>0.315684</c:v>
                </c:pt>
                <c:pt idx="4">
                  <c:v>0.10843</c:v>
                </c:pt>
                <c:pt idx="5">
                  <c:v>0.002305</c:v>
                </c:pt>
                <c:pt idx="6">
                  <c:v>0.012142</c:v>
                </c:pt>
                <c:pt idx="7">
                  <c:v>0.00776101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Comps'!$B$8:$P$8</c:f>
              <c:numCache>
                <c:formatCode>General</c:formatCode>
                <c:ptCount val="15"/>
                <c:pt idx="0">
                  <c:v>0.0422654</c:v>
                </c:pt>
                <c:pt idx="1">
                  <c:v>0.118839</c:v>
                </c:pt>
                <c:pt idx="2">
                  <c:v>0.374591</c:v>
                </c:pt>
                <c:pt idx="3">
                  <c:v>0.20664</c:v>
                </c:pt>
                <c:pt idx="4">
                  <c:v>0.167828</c:v>
                </c:pt>
                <c:pt idx="5">
                  <c:v>0.0322787</c:v>
                </c:pt>
                <c:pt idx="6">
                  <c:v>0.027034</c:v>
                </c:pt>
                <c:pt idx="7">
                  <c:v>0.0180981</c:v>
                </c:pt>
                <c:pt idx="8">
                  <c:v>0.00358203</c:v>
                </c:pt>
                <c:pt idx="9">
                  <c:v>0.00160326</c:v>
                </c:pt>
                <c:pt idx="10">
                  <c:v>0.00316921</c:v>
                </c:pt>
                <c:pt idx="11">
                  <c:v>0.00145559</c:v>
                </c:pt>
                <c:pt idx="12">
                  <c:v>0.000474814</c:v>
                </c:pt>
                <c:pt idx="13">
                  <c:v>0.00030416</c:v>
                </c:pt>
                <c:pt idx="14">
                  <c:v>0.0018377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873632"/>
        <c:axId val="-28871312"/>
      </c:scatterChart>
      <c:valAx>
        <c:axId val="-2887363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71312"/>
        <c:crosses val="autoZero"/>
        <c:crossBetween val="midCat"/>
      </c:valAx>
      <c:valAx>
        <c:axId val="-2887131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736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Comps'!$S$9:$AG$9</c:f>
              <c:numCache>
                <c:formatCode>General</c:formatCode>
                <c:ptCount val="15"/>
                <c:pt idx="0">
                  <c:v>0.156762</c:v>
                </c:pt>
                <c:pt idx="1">
                  <c:v>0.238147</c:v>
                </c:pt>
                <c:pt idx="2">
                  <c:v>0.374263</c:v>
                </c:pt>
                <c:pt idx="3">
                  <c:v>0.176699</c:v>
                </c:pt>
                <c:pt idx="4">
                  <c:v>0.034247</c:v>
                </c:pt>
                <c:pt idx="5">
                  <c:v>0.011143</c:v>
                </c:pt>
                <c:pt idx="6">
                  <c:v>0.005571</c:v>
                </c:pt>
                <c:pt idx="7">
                  <c:v>0.003168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Comps'!$B$9:$P$9</c:f>
              <c:numCache>
                <c:formatCode>General</c:formatCode>
                <c:ptCount val="15"/>
                <c:pt idx="0">
                  <c:v>0.0453969</c:v>
                </c:pt>
                <c:pt idx="1">
                  <c:v>0.156826</c:v>
                </c:pt>
                <c:pt idx="2">
                  <c:v>0.300798</c:v>
                </c:pt>
                <c:pt idx="3">
                  <c:v>0.257607</c:v>
                </c:pt>
                <c:pt idx="4">
                  <c:v>0.102503</c:v>
                </c:pt>
                <c:pt idx="5">
                  <c:v>0.0852973</c:v>
                </c:pt>
                <c:pt idx="6">
                  <c:v>0.0175392</c:v>
                </c:pt>
                <c:pt idx="7">
                  <c:v>0.0160237</c:v>
                </c:pt>
                <c:pt idx="8">
                  <c:v>0.0106017</c:v>
                </c:pt>
                <c:pt idx="9">
                  <c:v>0.00217367</c:v>
                </c:pt>
                <c:pt idx="10">
                  <c:v>0.000948617</c:v>
                </c:pt>
                <c:pt idx="11">
                  <c:v>0.00187515</c:v>
                </c:pt>
                <c:pt idx="12">
                  <c:v>0.000861244</c:v>
                </c:pt>
                <c:pt idx="13">
                  <c:v>0.000280937</c:v>
                </c:pt>
                <c:pt idx="14">
                  <c:v>0.00126729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849888"/>
        <c:axId val="-28847568"/>
      </c:scatterChart>
      <c:valAx>
        <c:axId val="-2884988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47568"/>
        <c:crosses val="autoZero"/>
        <c:crossBetween val="midCat"/>
      </c:valAx>
      <c:valAx>
        <c:axId val="-2884756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4988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Comps'!$S$10:$AG$10</c:f>
              <c:numCache>
                <c:formatCode>General</c:formatCode>
                <c:ptCount val="15"/>
                <c:pt idx="0">
                  <c:v>0.165462</c:v>
                </c:pt>
                <c:pt idx="1">
                  <c:v>0.049415</c:v>
                </c:pt>
                <c:pt idx="2">
                  <c:v>0.27603</c:v>
                </c:pt>
                <c:pt idx="3">
                  <c:v>0.185287</c:v>
                </c:pt>
                <c:pt idx="4">
                  <c:v>0.274689</c:v>
                </c:pt>
                <c:pt idx="5">
                  <c:v>0.026683</c:v>
                </c:pt>
                <c:pt idx="6">
                  <c:v>0.017515</c:v>
                </c:pt>
                <c:pt idx="7">
                  <c:v>0.004919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Comps'!$B$10:$P$10</c:f>
              <c:numCache>
                <c:formatCode>General</c:formatCode>
                <c:ptCount val="15"/>
                <c:pt idx="0">
                  <c:v>0.0298138</c:v>
                </c:pt>
                <c:pt idx="1">
                  <c:v>0.149451</c:v>
                </c:pt>
                <c:pt idx="2">
                  <c:v>0.324201</c:v>
                </c:pt>
                <c:pt idx="3">
                  <c:v>0.20158</c:v>
                </c:pt>
                <c:pt idx="4">
                  <c:v>0.160836</c:v>
                </c:pt>
                <c:pt idx="5">
                  <c:v>0.0567591</c:v>
                </c:pt>
                <c:pt idx="6">
                  <c:v>0.0479527</c:v>
                </c:pt>
                <c:pt idx="7">
                  <c:v>0.0104978</c:v>
                </c:pt>
                <c:pt idx="8">
                  <c:v>0.00898011</c:v>
                </c:pt>
                <c:pt idx="9">
                  <c:v>0.00602956</c:v>
                </c:pt>
                <c:pt idx="10">
                  <c:v>0.00114419</c:v>
                </c:pt>
                <c:pt idx="11">
                  <c:v>0.000499337</c:v>
                </c:pt>
                <c:pt idx="12">
                  <c:v>0.00098705</c:v>
                </c:pt>
                <c:pt idx="13">
                  <c:v>0.000453345</c:v>
                </c:pt>
                <c:pt idx="14">
                  <c:v>0.000814962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825472"/>
        <c:axId val="-28823152"/>
      </c:scatterChart>
      <c:valAx>
        <c:axId val="-288254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23152"/>
        <c:crosses val="autoZero"/>
        <c:crossBetween val="midCat"/>
      </c:valAx>
      <c:valAx>
        <c:axId val="-2882315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254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Comps'!$S$11:$AG$11</c:f>
              <c:numCache>
                <c:formatCode>General</c:formatCode>
                <c:ptCount val="15"/>
                <c:pt idx="0">
                  <c:v>0.031428</c:v>
                </c:pt>
                <c:pt idx="1">
                  <c:v>0.151596</c:v>
                </c:pt>
                <c:pt idx="2">
                  <c:v>0.349715</c:v>
                </c:pt>
                <c:pt idx="3">
                  <c:v>0.280079</c:v>
                </c:pt>
                <c:pt idx="4">
                  <c:v>0.117347</c:v>
                </c:pt>
                <c:pt idx="5">
                  <c:v>0.046028</c:v>
                </c:pt>
                <c:pt idx="6">
                  <c:v>0.017471</c:v>
                </c:pt>
                <c:pt idx="7">
                  <c:v>0.00633501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Comps'!$B$11:$P$11</c:f>
              <c:numCache>
                <c:formatCode>General</c:formatCode>
                <c:ptCount val="15"/>
                <c:pt idx="0">
                  <c:v>0.0210618</c:v>
                </c:pt>
                <c:pt idx="1">
                  <c:v>0.119727</c:v>
                </c:pt>
                <c:pt idx="2">
                  <c:v>0.331646</c:v>
                </c:pt>
                <c:pt idx="3">
                  <c:v>0.246482</c:v>
                </c:pt>
                <c:pt idx="4">
                  <c:v>0.124459</c:v>
                </c:pt>
                <c:pt idx="5">
                  <c:v>0.0838332</c:v>
                </c:pt>
                <c:pt idx="6">
                  <c:v>0.0303888</c:v>
                </c:pt>
                <c:pt idx="7">
                  <c:v>0.0280684</c:v>
                </c:pt>
                <c:pt idx="8">
                  <c:v>0.00541314</c:v>
                </c:pt>
                <c:pt idx="9">
                  <c:v>0.00447973</c:v>
                </c:pt>
                <c:pt idx="10">
                  <c:v>0.00269704</c:v>
                </c:pt>
                <c:pt idx="11">
                  <c:v>0.000511797</c:v>
                </c:pt>
                <c:pt idx="12">
                  <c:v>0.000223355</c:v>
                </c:pt>
                <c:pt idx="13">
                  <c:v>0.00044151</c:v>
                </c:pt>
                <c:pt idx="14">
                  <c:v>0.000567317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25696"/>
        <c:axId val="431920704"/>
      </c:scatterChart>
      <c:valAx>
        <c:axId val="43272569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920704"/>
        <c:crosses val="autoZero"/>
        <c:crossBetween val="midCat"/>
      </c:valAx>
      <c:valAx>
        <c:axId val="43192070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7256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Comps'!$S$12:$AG$12</c:f>
              <c:numCache>
                <c:formatCode>General</c:formatCode>
                <c:ptCount val="15"/>
                <c:pt idx="0">
                  <c:v>0.011129</c:v>
                </c:pt>
                <c:pt idx="1">
                  <c:v>0.100338</c:v>
                </c:pt>
                <c:pt idx="2">
                  <c:v>0.121466</c:v>
                </c:pt>
                <c:pt idx="3">
                  <c:v>0.264054</c:v>
                </c:pt>
                <c:pt idx="4">
                  <c:v>0.202123</c:v>
                </c:pt>
                <c:pt idx="5">
                  <c:v>0.13807</c:v>
                </c:pt>
                <c:pt idx="6">
                  <c:v>0.0768219</c:v>
                </c:pt>
                <c:pt idx="7">
                  <c:v>0.0556429</c:v>
                </c:pt>
                <c:pt idx="8">
                  <c:v>0.024972</c:v>
                </c:pt>
                <c:pt idx="9">
                  <c:v>0.00449799</c:v>
                </c:pt>
                <c:pt idx="10">
                  <c:v>0.000565999</c:v>
                </c:pt>
                <c:pt idx="11">
                  <c:v>0.00015</c:v>
                </c:pt>
                <c:pt idx="12">
                  <c:v>3.25E-5</c:v>
                </c:pt>
                <c:pt idx="13">
                  <c:v>0.000138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Comps'!$B$12:$P$12</c:f>
              <c:numCache>
                <c:formatCode>General</c:formatCode>
                <c:ptCount val="15"/>
                <c:pt idx="0">
                  <c:v>0.0454927</c:v>
                </c:pt>
                <c:pt idx="1">
                  <c:v>0.132861</c:v>
                </c:pt>
                <c:pt idx="2">
                  <c:v>0.251905</c:v>
                </c:pt>
                <c:pt idx="3">
                  <c:v>0.249194</c:v>
                </c:pt>
                <c:pt idx="4">
                  <c:v>0.153786</c:v>
                </c:pt>
                <c:pt idx="5">
                  <c:v>0.0742366</c:v>
                </c:pt>
                <c:pt idx="6">
                  <c:v>0.0500424</c:v>
                </c:pt>
                <c:pt idx="7">
                  <c:v>0.0194406</c:v>
                </c:pt>
                <c:pt idx="8">
                  <c:v>0.0158961</c:v>
                </c:pt>
                <c:pt idx="9">
                  <c:v>0.00283761</c:v>
                </c:pt>
                <c:pt idx="10">
                  <c:v>0.00216374</c:v>
                </c:pt>
                <c:pt idx="11">
                  <c:v>0.00130269</c:v>
                </c:pt>
                <c:pt idx="12">
                  <c:v>0.000247202</c:v>
                </c:pt>
                <c:pt idx="13">
                  <c:v>0.000107882</c:v>
                </c:pt>
                <c:pt idx="14">
                  <c:v>0.000487271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180000"/>
        <c:axId val="507207200"/>
      </c:scatterChart>
      <c:valAx>
        <c:axId val="50718000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207200"/>
        <c:crosses val="autoZero"/>
        <c:crossBetween val="midCat"/>
      </c:valAx>
      <c:valAx>
        <c:axId val="50720720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18000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Comps'!$S$13:$AG$13</c:f>
              <c:numCache>
                <c:formatCode>General</c:formatCode>
                <c:ptCount val="15"/>
                <c:pt idx="0">
                  <c:v>0.024247</c:v>
                </c:pt>
                <c:pt idx="1">
                  <c:v>0.52728</c:v>
                </c:pt>
                <c:pt idx="2">
                  <c:v>0.194871</c:v>
                </c:pt>
                <c:pt idx="3">
                  <c:v>0.0554271</c:v>
                </c:pt>
                <c:pt idx="4">
                  <c:v>0.0744531</c:v>
                </c:pt>
                <c:pt idx="5">
                  <c:v>0.040192</c:v>
                </c:pt>
                <c:pt idx="6">
                  <c:v>0.025745</c:v>
                </c:pt>
                <c:pt idx="7">
                  <c:v>0.02169</c:v>
                </c:pt>
                <c:pt idx="8">
                  <c:v>0.021289</c:v>
                </c:pt>
                <c:pt idx="9">
                  <c:v>0.00895401</c:v>
                </c:pt>
                <c:pt idx="10">
                  <c:v>0.003638</c:v>
                </c:pt>
                <c:pt idx="11">
                  <c:v>0.000950001</c:v>
                </c:pt>
                <c:pt idx="12">
                  <c:v>0.000948001</c:v>
                </c:pt>
                <c:pt idx="13">
                  <c:v>0.000169</c:v>
                </c:pt>
                <c:pt idx="14">
                  <c:v>0.000147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Comps'!$B$13:$P$13</c:f>
              <c:numCache>
                <c:formatCode>General</c:formatCode>
                <c:ptCount val="15"/>
                <c:pt idx="0">
                  <c:v>0.0277254</c:v>
                </c:pt>
                <c:pt idx="1">
                  <c:v>0.344736</c:v>
                </c:pt>
                <c:pt idx="2">
                  <c:v>0.229789</c:v>
                </c:pt>
                <c:pt idx="3">
                  <c:v>0.141267</c:v>
                </c:pt>
                <c:pt idx="4">
                  <c:v>0.115035</c:v>
                </c:pt>
                <c:pt idx="5">
                  <c:v>0.0679496</c:v>
                </c:pt>
                <c:pt idx="6">
                  <c:v>0.0326258</c:v>
                </c:pt>
                <c:pt idx="7">
                  <c:v>0.0234926</c:v>
                </c:pt>
                <c:pt idx="8">
                  <c:v>0.0083846</c:v>
                </c:pt>
                <c:pt idx="9">
                  <c:v>0.00629131</c:v>
                </c:pt>
                <c:pt idx="10">
                  <c:v>0.0010738</c:v>
                </c:pt>
                <c:pt idx="11">
                  <c:v>0.000818802</c:v>
                </c:pt>
                <c:pt idx="12">
                  <c:v>0.000492963</c:v>
                </c:pt>
                <c:pt idx="13">
                  <c:v>9.3546E-5</c:v>
                </c:pt>
                <c:pt idx="14">
                  <c:v>0.000225217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867360"/>
        <c:axId val="506869680"/>
      </c:scatterChart>
      <c:valAx>
        <c:axId val="50686736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869680"/>
        <c:crosses val="autoZero"/>
        <c:crossBetween val="midCat"/>
      </c:valAx>
      <c:valAx>
        <c:axId val="50686968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86736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Comps'!$S$14:$AG$14</c:f>
              <c:numCache>
                <c:formatCode>General</c:formatCode>
                <c:ptCount val="15"/>
                <c:pt idx="0">
                  <c:v>0.008543</c:v>
                </c:pt>
                <c:pt idx="1">
                  <c:v>0.150288</c:v>
                </c:pt>
                <c:pt idx="2">
                  <c:v>0.691843</c:v>
                </c:pt>
                <c:pt idx="3">
                  <c:v>0.053185</c:v>
                </c:pt>
                <c:pt idx="4">
                  <c:v>0.014149</c:v>
                </c:pt>
                <c:pt idx="5">
                  <c:v>0.026573</c:v>
                </c:pt>
                <c:pt idx="6">
                  <c:v>0.025452</c:v>
                </c:pt>
                <c:pt idx="7">
                  <c:v>0.013869</c:v>
                </c:pt>
                <c:pt idx="8">
                  <c:v>0.008162</c:v>
                </c:pt>
                <c:pt idx="9">
                  <c:v>0.005747</c:v>
                </c:pt>
                <c:pt idx="10">
                  <c:v>0.001421</c:v>
                </c:pt>
                <c:pt idx="11">
                  <c:v>0.000562</c:v>
                </c:pt>
                <c:pt idx="12">
                  <c:v>9.04E-5</c:v>
                </c:pt>
                <c:pt idx="13">
                  <c:v>0.000116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Comps'!$B$14:$P$14</c:f>
              <c:numCache>
                <c:formatCode>General</c:formatCode>
                <c:ptCount val="15"/>
                <c:pt idx="0">
                  <c:v>0.0177164</c:v>
                </c:pt>
                <c:pt idx="1">
                  <c:v>0.197516</c:v>
                </c:pt>
                <c:pt idx="2">
                  <c:v>0.519402</c:v>
                </c:pt>
                <c:pt idx="3">
                  <c:v>0.100254</c:v>
                </c:pt>
                <c:pt idx="4">
                  <c:v>0.0593505</c:v>
                </c:pt>
                <c:pt idx="5">
                  <c:v>0.0474765</c:v>
                </c:pt>
                <c:pt idx="6">
                  <c:v>0.0280902</c:v>
                </c:pt>
                <c:pt idx="7">
                  <c:v>0.0140372</c:v>
                </c:pt>
                <c:pt idx="8">
                  <c:v>0.00965359</c:v>
                </c:pt>
                <c:pt idx="9">
                  <c:v>0.00314814</c:v>
                </c:pt>
                <c:pt idx="10">
                  <c:v>0.00234662</c:v>
                </c:pt>
                <c:pt idx="11">
                  <c:v>0.000400523</c:v>
                </c:pt>
                <c:pt idx="12">
                  <c:v>0.000305408</c:v>
                </c:pt>
                <c:pt idx="13">
                  <c:v>0.000183872</c:v>
                </c:pt>
                <c:pt idx="14">
                  <c:v>0.000118897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51328"/>
        <c:axId val="506953376"/>
      </c:scatterChart>
      <c:valAx>
        <c:axId val="50695132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953376"/>
        <c:crosses val="autoZero"/>
        <c:crossBetween val="midCat"/>
      </c:valAx>
      <c:valAx>
        <c:axId val="506953376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9513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Comps'!$S$15:$AG$15</c:f>
              <c:numCache>
                <c:formatCode>General</c:formatCode>
                <c:ptCount val="15"/>
                <c:pt idx="0">
                  <c:v>0.0002</c:v>
                </c:pt>
                <c:pt idx="1">
                  <c:v>0.120162</c:v>
                </c:pt>
                <c:pt idx="2">
                  <c:v>0.454616</c:v>
                </c:pt>
                <c:pt idx="3">
                  <c:v>0.305986</c:v>
                </c:pt>
                <c:pt idx="4">
                  <c:v>0.030152</c:v>
                </c:pt>
                <c:pt idx="5">
                  <c:v>0.013916</c:v>
                </c:pt>
                <c:pt idx="6">
                  <c:v>0.019279</c:v>
                </c:pt>
                <c:pt idx="7">
                  <c:v>0.022363</c:v>
                </c:pt>
                <c:pt idx="8">
                  <c:v>0.017396</c:v>
                </c:pt>
                <c:pt idx="9">
                  <c:v>0.00857199</c:v>
                </c:pt>
                <c:pt idx="10">
                  <c:v>0.003956</c:v>
                </c:pt>
                <c:pt idx="11">
                  <c:v>0.002706</c:v>
                </c:pt>
                <c:pt idx="12">
                  <c:v>0.000696999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Comps'!$B$15:$P$15</c:f>
              <c:numCache>
                <c:formatCode>General</c:formatCode>
                <c:ptCount val="15"/>
                <c:pt idx="0">
                  <c:v>0.0119161</c:v>
                </c:pt>
                <c:pt idx="1">
                  <c:v>0.16905</c:v>
                </c:pt>
                <c:pt idx="2">
                  <c:v>0.41554</c:v>
                </c:pt>
                <c:pt idx="3">
                  <c:v>0.264943</c:v>
                </c:pt>
                <c:pt idx="4">
                  <c:v>0.0519076</c:v>
                </c:pt>
                <c:pt idx="5">
                  <c:v>0.0311101</c:v>
                </c:pt>
                <c:pt idx="6">
                  <c:v>0.0250633</c:v>
                </c:pt>
                <c:pt idx="7">
                  <c:v>0.0150685</c:v>
                </c:pt>
                <c:pt idx="8">
                  <c:v>0.00755725</c:v>
                </c:pt>
                <c:pt idx="9">
                  <c:v>0.00471981</c:v>
                </c:pt>
                <c:pt idx="10">
                  <c:v>0.00151237</c:v>
                </c:pt>
                <c:pt idx="11">
                  <c:v>0.00112732</c:v>
                </c:pt>
                <c:pt idx="12">
                  <c:v>0.000192411</c:v>
                </c:pt>
                <c:pt idx="13">
                  <c:v>0.000146718</c:v>
                </c:pt>
                <c:pt idx="14">
                  <c:v>0.00014545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95712"/>
        <c:axId val="506998032"/>
      </c:scatterChart>
      <c:valAx>
        <c:axId val="50699571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998032"/>
        <c:crosses val="autoZero"/>
        <c:crossBetween val="midCat"/>
      </c:valAx>
      <c:valAx>
        <c:axId val="50699803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9957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Comps'!$S$15:$AG$15</c:f>
              <c:numCache>
                <c:formatCode>General</c:formatCode>
                <c:ptCount val="15"/>
                <c:pt idx="0">
                  <c:v>0.0002</c:v>
                </c:pt>
                <c:pt idx="1">
                  <c:v>0.120162</c:v>
                </c:pt>
                <c:pt idx="2">
                  <c:v>0.454616</c:v>
                </c:pt>
                <c:pt idx="3">
                  <c:v>0.305986</c:v>
                </c:pt>
                <c:pt idx="4">
                  <c:v>0.030152</c:v>
                </c:pt>
                <c:pt idx="5">
                  <c:v>0.013916</c:v>
                </c:pt>
                <c:pt idx="6">
                  <c:v>0.019279</c:v>
                </c:pt>
                <c:pt idx="7">
                  <c:v>0.022363</c:v>
                </c:pt>
                <c:pt idx="8">
                  <c:v>0.017396</c:v>
                </c:pt>
                <c:pt idx="9">
                  <c:v>0.00857199</c:v>
                </c:pt>
                <c:pt idx="10">
                  <c:v>0.003956</c:v>
                </c:pt>
                <c:pt idx="11">
                  <c:v>0.002706</c:v>
                </c:pt>
                <c:pt idx="12">
                  <c:v>0.000696999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Comps'!$B$15:$P$15</c:f>
              <c:numCache>
                <c:formatCode>General</c:formatCode>
                <c:ptCount val="15"/>
                <c:pt idx="0">
                  <c:v>0.0119161</c:v>
                </c:pt>
                <c:pt idx="1">
                  <c:v>0.16905</c:v>
                </c:pt>
                <c:pt idx="2">
                  <c:v>0.41554</c:v>
                </c:pt>
                <c:pt idx="3">
                  <c:v>0.264943</c:v>
                </c:pt>
                <c:pt idx="4">
                  <c:v>0.0519076</c:v>
                </c:pt>
                <c:pt idx="5">
                  <c:v>0.0311101</c:v>
                </c:pt>
                <c:pt idx="6">
                  <c:v>0.0250633</c:v>
                </c:pt>
                <c:pt idx="7">
                  <c:v>0.0150685</c:v>
                </c:pt>
                <c:pt idx="8">
                  <c:v>0.00755725</c:v>
                </c:pt>
                <c:pt idx="9">
                  <c:v>0.00471981</c:v>
                </c:pt>
                <c:pt idx="10">
                  <c:v>0.00151237</c:v>
                </c:pt>
                <c:pt idx="11">
                  <c:v>0.00112732</c:v>
                </c:pt>
                <c:pt idx="12">
                  <c:v>0.000192411</c:v>
                </c:pt>
                <c:pt idx="13">
                  <c:v>0.000146718</c:v>
                </c:pt>
                <c:pt idx="14">
                  <c:v>0.00014545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91392"/>
        <c:axId val="433901424"/>
      </c:scatterChart>
      <c:valAx>
        <c:axId val="50679139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3901424"/>
        <c:crosses val="autoZero"/>
        <c:crossBetween val="midCat"/>
      </c:valAx>
      <c:valAx>
        <c:axId val="43390142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79139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Comps'!$S$3:$AG$3</c:f>
              <c:numCache>
                <c:formatCode>General</c:formatCode>
                <c:ptCount val="15"/>
                <c:pt idx="0">
                  <c:v>0.025321</c:v>
                </c:pt>
                <c:pt idx="1">
                  <c:v>0.105571</c:v>
                </c:pt>
                <c:pt idx="2">
                  <c:v>0.165563</c:v>
                </c:pt>
                <c:pt idx="3">
                  <c:v>0.193611</c:v>
                </c:pt>
                <c:pt idx="4">
                  <c:v>0.095442</c:v>
                </c:pt>
                <c:pt idx="5">
                  <c:v>0.268407</c:v>
                </c:pt>
                <c:pt idx="6">
                  <c:v>0.120764</c:v>
                </c:pt>
                <c:pt idx="7">
                  <c:v>0.025321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017760"/>
        <c:axId val="50701980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Comps'!$B$3:$P$3</c:f>
              <c:numCache>
                <c:formatCode>General</c:formatCode>
                <c:ptCount val="15"/>
                <c:pt idx="0">
                  <c:v>0.0273735</c:v>
                </c:pt>
                <c:pt idx="1">
                  <c:v>0.11357</c:v>
                </c:pt>
                <c:pt idx="2">
                  <c:v>0.256278</c:v>
                </c:pt>
                <c:pt idx="3">
                  <c:v>0.186355</c:v>
                </c:pt>
                <c:pt idx="4">
                  <c:v>0.0813732</c:v>
                </c:pt>
                <c:pt idx="5">
                  <c:v>0.157209</c:v>
                </c:pt>
                <c:pt idx="6">
                  <c:v>0.0686035</c:v>
                </c:pt>
                <c:pt idx="7">
                  <c:v>0.0211355</c:v>
                </c:pt>
                <c:pt idx="8">
                  <c:v>0.0128972</c:v>
                </c:pt>
                <c:pt idx="9">
                  <c:v>0.0125964</c:v>
                </c:pt>
                <c:pt idx="10">
                  <c:v>0.0125652</c:v>
                </c:pt>
                <c:pt idx="11">
                  <c:v>0.0125407</c:v>
                </c:pt>
                <c:pt idx="12">
                  <c:v>0.0125214</c:v>
                </c:pt>
                <c:pt idx="13">
                  <c:v>0.0125022</c:v>
                </c:pt>
                <c:pt idx="14">
                  <c:v>0.0124794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017760"/>
        <c:axId val="507019808"/>
      </c:scatterChart>
      <c:catAx>
        <c:axId val="50701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01980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01980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01776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Comps'!$S$4:$AG$4</c:f>
              <c:numCache>
                <c:formatCode>General</c:formatCode>
                <c:ptCount val="15"/>
                <c:pt idx="0">
                  <c:v>0.01417</c:v>
                </c:pt>
                <c:pt idx="1">
                  <c:v>0.015327</c:v>
                </c:pt>
                <c:pt idx="2">
                  <c:v>0.204164</c:v>
                </c:pt>
                <c:pt idx="3">
                  <c:v>0.550318</c:v>
                </c:pt>
                <c:pt idx="4">
                  <c:v>0.13476</c:v>
                </c:pt>
                <c:pt idx="5">
                  <c:v>0.033545</c:v>
                </c:pt>
                <c:pt idx="6">
                  <c:v>0.032389</c:v>
                </c:pt>
                <c:pt idx="7">
                  <c:v>0.015327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6980944"/>
        <c:axId val="5068395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Comps'!$B$4:$P$4</c:f>
              <c:numCache>
                <c:formatCode>General</c:formatCode>
                <c:ptCount val="15"/>
                <c:pt idx="0">
                  <c:v>0.0589903</c:v>
                </c:pt>
                <c:pt idx="1">
                  <c:v>0.060616</c:v>
                </c:pt>
                <c:pt idx="2">
                  <c:v>0.199545</c:v>
                </c:pt>
                <c:pt idx="3">
                  <c:v>0.432237</c:v>
                </c:pt>
                <c:pt idx="4">
                  <c:v>0.0802297</c:v>
                </c:pt>
                <c:pt idx="5">
                  <c:v>0.033148</c:v>
                </c:pt>
                <c:pt idx="6">
                  <c:v>0.0620576</c:v>
                </c:pt>
                <c:pt idx="7">
                  <c:v>0.0272265</c:v>
                </c:pt>
                <c:pt idx="8">
                  <c:v>0.0085447</c:v>
                </c:pt>
                <c:pt idx="9">
                  <c:v>0.00531183</c:v>
                </c:pt>
                <c:pt idx="10">
                  <c:v>0.00537542</c:v>
                </c:pt>
                <c:pt idx="11">
                  <c:v>0.00536211</c:v>
                </c:pt>
                <c:pt idx="12">
                  <c:v>0.00535164</c:v>
                </c:pt>
                <c:pt idx="13">
                  <c:v>0.00534343</c:v>
                </c:pt>
                <c:pt idx="14">
                  <c:v>0.0106608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80944"/>
        <c:axId val="506839584"/>
      </c:scatterChart>
      <c:catAx>
        <c:axId val="50698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8395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68395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98094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Comps'!$S$5:$AG$5</c:f>
              <c:numCache>
                <c:formatCode>General</c:formatCode>
                <c:ptCount val="15"/>
                <c:pt idx="0">
                  <c:v>0.028428</c:v>
                </c:pt>
                <c:pt idx="1">
                  <c:v>0.168302</c:v>
                </c:pt>
                <c:pt idx="2">
                  <c:v>0.057358</c:v>
                </c:pt>
                <c:pt idx="3">
                  <c:v>0.420126</c:v>
                </c:pt>
                <c:pt idx="4">
                  <c:v>0.264906</c:v>
                </c:pt>
                <c:pt idx="5">
                  <c:v>0.024151</c:v>
                </c:pt>
                <c:pt idx="6">
                  <c:v>0.026415</c:v>
                </c:pt>
                <c:pt idx="7">
                  <c:v>0.010314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6744416"/>
        <c:axId val="50664368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Comps'!$B$5:$P$5</c:f>
              <c:numCache>
                <c:formatCode>General</c:formatCode>
                <c:ptCount val="15"/>
                <c:pt idx="0">
                  <c:v>0.0358557</c:v>
                </c:pt>
                <c:pt idx="1">
                  <c:v>0.173933</c:v>
                </c:pt>
                <c:pt idx="2">
                  <c:v>0.138429</c:v>
                </c:pt>
                <c:pt idx="3">
                  <c:v>0.328127</c:v>
                </c:pt>
                <c:pt idx="4">
                  <c:v>0.203612</c:v>
                </c:pt>
                <c:pt idx="5">
                  <c:v>0.0374704</c:v>
                </c:pt>
                <c:pt idx="6">
                  <c:v>0.0157564</c:v>
                </c:pt>
                <c:pt idx="7">
                  <c:v>0.0299623</c:v>
                </c:pt>
                <c:pt idx="8">
                  <c:v>0.0133583</c:v>
                </c:pt>
                <c:pt idx="9">
                  <c:v>0.00426352</c:v>
                </c:pt>
                <c:pt idx="10">
                  <c:v>0.00273116</c:v>
                </c:pt>
                <c:pt idx="11">
                  <c:v>0.00276386</c:v>
                </c:pt>
                <c:pt idx="12">
                  <c:v>0.00275701</c:v>
                </c:pt>
                <c:pt idx="13">
                  <c:v>0.00275163</c:v>
                </c:pt>
                <c:pt idx="14">
                  <c:v>0.0082288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744416"/>
        <c:axId val="506643680"/>
      </c:scatterChart>
      <c:catAx>
        <c:axId val="50674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6436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664368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74441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Comps'!$S$6:$AG$6</c:f>
              <c:numCache>
                <c:formatCode>General</c:formatCode>
                <c:ptCount val="15"/>
                <c:pt idx="0">
                  <c:v>0.00946701</c:v>
                </c:pt>
                <c:pt idx="1">
                  <c:v>0.110178</c:v>
                </c:pt>
                <c:pt idx="2">
                  <c:v>0.577516</c:v>
                </c:pt>
                <c:pt idx="3">
                  <c:v>0.0876921</c:v>
                </c:pt>
                <c:pt idx="4">
                  <c:v>0.16</c:v>
                </c:pt>
                <c:pt idx="5">
                  <c:v>0.037988</c:v>
                </c:pt>
                <c:pt idx="6">
                  <c:v>0.011479</c:v>
                </c:pt>
                <c:pt idx="7">
                  <c:v>0.00568001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83636464"/>
        <c:axId val="50700592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Comps'!$B$6:$P$6</c:f>
              <c:numCache>
                <c:formatCode>General</c:formatCode>
                <c:ptCount val="15"/>
                <c:pt idx="0">
                  <c:v>0.0482747</c:v>
                </c:pt>
                <c:pt idx="1">
                  <c:v>0.104393</c:v>
                </c:pt>
                <c:pt idx="2">
                  <c:v>0.413186</c:v>
                </c:pt>
                <c:pt idx="3">
                  <c:v>0.160814</c:v>
                </c:pt>
                <c:pt idx="4">
                  <c:v>0.134966</c:v>
                </c:pt>
                <c:pt idx="5">
                  <c:v>0.0842981</c:v>
                </c:pt>
                <c:pt idx="6">
                  <c:v>0.0161699</c:v>
                </c:pt>
                <c:pt idx="7">
                  <c:v>0.00698269</c:v>
                </c:pt>
                <c:pt idx="8">
                  <c:v>0.0135997</c:v>
                </c:pt>
                <c:pt idx="9">
                  <c:v>0.0061896</c:v>
                </c:pt>
                <c:pt idx="10">
                  <c:v>0.00201904</c:v>
                </c:pt>
                <c:pt idx="11">
                  <c:v>0.00129338</c:v>
                </c:pt>
                <c:pt idx="12">
                  <c:v>0.00130886</c:v>
                </c:pt>
                <c:pt idx="13">
                  <c:v>0.00130562</c:v>
                </c:pt>
                <c:pt idx="14">
                  <c:v>0.00519992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636464"/>
        <c:axId val="507005920"/>
      </c:scatterChart>
      <c:catAx>
        <c:axId val="28363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00592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00592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63646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Comps'!$S$7:$AG$7</c:f>
              <c:numCache>
                <c:formatCode>General</c:formatCode>
                <c:ptCount val="15"/>
                <c:pt idx="0">
                  <c:v>0.032939</c:v>
                </c:pt>
                <c:pt idx="1">
                  <c:v>0.178617</c:v>
                </c:pt>
                <c:pt idx="2">
                  <c:v>0.140218</c:v>
                </c:pt>
                <c:pt idx="3">
                  <c:v>0.468517</c:v>
                </c:pt>
                <c:pt idx="4">
                  <c:v>0.10737</c:v>
                </c:pt>
                <c:pt idx="5">
                  <c:v>0.030573</c:v>
                </c:pt>
                <c:pt idx="6">
                  <c:v>0.036579</c:v>
                </c:pt>
                <c:pt idx="7">
                  <c:v>0.005187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275680"/>
        <c:axId val="50727731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Comps'!$B$7:$P$7</c:f>
              <c:numCache>
                <c:formatCode>General</c:formatCode>
                <c:ptCount val="15"/>
                <c:pt idx="0">
                  <c:v>0.0375294</c:v>
                </c:pt>
                <c:pt idx="1">
                  <c:v>0.153227</c:v>
                </c:pt>
                <c:pt idx="2">
                  <c:v>0.232436</c:v>
                </c:pt>
                <c:pt idx="3">
                  <c:v>0.383036</c:v>
                </c:pt>
                <c:pt idx="4">
                  <c:v>0.0726383</c:v>
                </c:pt>
                <c:pt idx="5">
                  <c:v>0.0589051</c:v>
                </c:pt>
                <c:pt idx="6">
                  <c:v>0.037423</c:v>
                </c:pt>
                <c:pt idx="7">
                  <c:v>0.00726141</c:v>
                </c:pt>
                <c:pt idx="8">
                  <c:v>0.00318024</c:v>
                </c:pt>
                <c:pt idx="9">
                  <c:v>0.00628628</c:v>
                </c:pt>
                <c:pt idx="10">
                  <c:v>0.00288725</c:v>
                </c:pt>
                <c:pt idx="11">
                  <c:v>0.000941817</c:v>
                </c:pt>
                <c:pt idx="12">
                  <c:v>0.000603318</c:v>
                </c:pt>
                <c:pt idx="13">
                  <c:v>0.00061054</c:v>
                </c:pt>
                <c:pt idx="14">
                  <c:v>0.00303462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275680"/>
        <c:axId val="507277312"/>
      </c:scatterChart>
      <c:catAx>
        <c:axId val="507275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27731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277312"/>
        <c:scaling>
          <c:orientation val="minMax"/>
          <c:max val="0.65000000000000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27568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Comps'!$S$8:$AG$8</c:f>
              <c:numCache>
                <c:formatCode>General</c:formatCode>
                <c:ptCount val="15"/>
                <c:pt idx="0">
                  <c:v>0.014678</c:v>
                </c:pt>
                <c:pt idx="1">
                  <c:v>0.0797661</c:v>
                </c:pt>
                <c:pt idx="2">
                  <c:v>0.459233</c:v>
                </c:pt>
                <c:pt idx="3">
                  <c:v>0.315684</c:v>
                </c:pt>
                <c:pt idx="4">
                  <c:v>0.10843</c:v>
                </c:pt>
                <c:pt idx="5">
                  <c:v>0.002305</c:v>
                </c:pt>
                <c:pt idx="6">
                  <c:v>0.012142</c:v>
                </c:pt>
                <c:pt idx="7">
                  <c:v>0.00776101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393552"/>
        <c:axId val="50739560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Comps'!$B$8:$P$8</c:f>
              <c:numCache>
                <c:formatCode>General</c:formatCode>
                <c:ptCount val="15"/>
                <c:pt idx="0">
                  <c:v>0.0422654</c:v>
                </c:pt>
                <c:pt idx="1">
                  <c:v>0.118839</c:v>
                </c:pt>
                <c:pt idx="2">
                  <c:v>0.374591</c:v>
                </c:pt>
                <c:pt idx="3">
                  <c:v>0.20664</c:v>
                </c:pt>
                <c:pt idx="4">
                  <c:v>0.167828</c:v>
                </c:pt>
                <c:pt idx="5">
                  <c:v>0.0322787</c:v>
                </c:pt>
                <c:pt idx="6">
                  <c:v>0.027034</c:v>
                </c:pt>
                <c:pt idx="7">
                  <c:v>0.0180981</c:v>
                </c:pt>
                <c:pt idx="8">
                  <c:v>0.00358203</c:v>
                </c:pt>
                <c:pt idx="9">
                  <c:v>0.00160326</c:v>
                </c:pt>
                <c:pt idx="10">
                  <c:v>0.00316921</c:v>
                </c:pt>
                <c:pt idx="11">
                  <c:v>0.00145559</c:v>
                </c:pt>
                <c:pt idx="12">
                  <c:v>0.000474814</c:v>
                </c:pt>
                <c:pt idx="13">
                  <c:v>0.00030416</c:v>
                </c:pt>
                <c:pt idx="14">
                  <c:v>0.0018377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93552"/>
        <c:axId val="507395600"/>
      </c:scatterChart>
      <c:catAx>
        <c:axId val="50739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3956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395600"/>
        <c:scaling>
          <c:orientation val="minMax"/>
          <c:max val="0.5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39355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Comps'!$S$9:$AG$9</c:f>
              <c:numCache>
                <c:formatCode>General</c:formatCode>
                <c:ptCount val="15"/>
                <c:pt idx="0">
                  <c:v>0.156762</c:v>
                </c:pt>
                <c:pt idx="1">
                  <c:v>0.238147</c:v>
                </c:pt>
                <c:pt idx="2">
                  <c:v>0.374263</c:v>
                </c:pt>
                <c:pt idx="3">
                  <c:v>0.176699</c:v>
                </c:pt>
                <c:pt idx="4">
                  <c:v>0.034247</c:v>
                </c:pt>
                <c:pt idx="5">
                  <c:v>0.011143</c:v>
                </c:pt>
                <c:pt idx="6">
                  <c:v>0.005571</c:v>
                </c:pt>
                <c:pt idx="7">
                  <c:v>0.003168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418112"/>
        <c:axId val="50742016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Comps'!$B$9:$P$9</c:f>
              <c:numCache>
                <c:formatCode>General</c:formatCode>
                <c:ptCount val="15"/>
                <c:pt idx="0">
                  <c:v>0.0453969</c:v>
                </c:pt>
                <c:pt idx="1">
                  <c:v>0.156826</c:v>
                </c:pt>
                <c:pt idx="2">
                  <c:v>0.300798</c:v>
                </c:pt>
                <c:pt idx="3">
                  <c:v>0.257607</c:v>
                </c:pt>
                <c:pt idx="4">
                  <c:v>0.102503</c:v>
                </c:pt>
                <c:pt idx="5">
                  <c:v>0.0852973</c:v>
                </c:pt>
                <c:pt idx="6">
                  <c:v>0.0175392</c:v>
                </c:pt>
                <c:pt idx="7">
                  <c:v>0.0160237</c:v>
                </c:pt>
                <c:pt idx="8">
                  <c:v>0.0106017</c:v>
                </c:pt>
                <c:pt idx="9">
                  <c:v>0.00217367</c:v>
                </c:pt>
                <c:pt idx="10">
                  <c:v>0.000948617</c:v>
                </c:pt>
                <c:pt idx="11">
                  <c:v>0.00187515</c:v>
                </c:pt>
                <c:pt idx="12">
                  <c:v>0.000861244</c:v>
                </c:pt>
                <c:pt idx="13">
                  <c:v>0.000280937</c:v>
                </c:pt>
                <c:pt idx="14">
                  <c:v>0.00126729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18112"/>
        <c:axId val="507420160"/>
      </c:scatterChart>
      <c:catAx>
        <c:axId val="50741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201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42016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1811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Comps'!$S$10:$AG$10</c:f>
              <c:numCache>
                <c:formatCode>General</c:formatCode>
                <c:ptCount val="15"/>
                <c:pt idx="0">
                  <c:v>0.165462</c:v>
                </c:pt>
                <c:pt idx="1">
                  <c:v>0.049415</c:v>
                </c:pt>
                <c:pt idx="2">
                  <c:v>0.27603</c:v>
                </c:pt>
                <c:pt idx="3">
                  <c:v>0.185287</c:v>
                </c:pt>
                <c:pt idx="4">
                  <c:v>0.274689</c:v>
                </c:pt>
                <c:pt idx="5">
                  <c:v>0.026683</c:v>
                </c:pt>
                <c:pt idx="6">
                  <c:v>0.017515</c:v>
                </c:pt>
                <c:pt idx="7">
                  <c:v>0.004919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5952704"/>
        <c:axId val="5059540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Comps'!$B$10:$P$10</c:f>
              <c:numCache>
                <c:formatCode>General</c:formatCode>
                <c:ptCount val="15"/>
                <c:pt idx="0">
                  <c:v>0.0298138</c:v>
                </c:pt>
                <c:pt idx="1">
                  <c:v>0.149451</c:v>
                </c:pt>
                <c:pt idx="2">
                  <c:v>0.324201</c:v>
                </c:pt>
                <c:pt idx="3">
                  <c:v>0.20158</c:v>
                </c:pt>
                <c:pt idx="4">
                  <c:v>0.160836</c:v>
                </c:pt>
                <c:pt idx="5">
                  <c:v>0.0567591</c:v>
                </c:pt>
                <c:pt idx="6">
                  <c:v>0.0479527</c:v>
                </c:pt>
                <c:pt idx="7">
                  <c:v>0.0104978</c:v>
                </c:pt>
                <c:pt idx="8">
                  <c:v>0.00898011</c:v>
                </c:pt>
                <c:pt idx="9">
                  <c:v>0.00602956</c:v>
                </c:pt>
                <c:pt idx="10">
                  <c:v>0.00114419</c:v>
                </c:pt>
                <c:pt idx="11">
                  <c:v>0.000499337</c:v>
                </c:pt>
                <c:pt idx="12">
                  <c:v>0.00098705</c:v>
                </c:pt>
                <c:pt idx="13">
                  <c:v>0.000453345</c:v>
                </c:pt>
                <c:pt idx="14">
                  <c:v>0.000814962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52704"/>
        <c:axId val="505954064"/>
      </c:scatterChart>
      <c:catAx>
        <c:axId val="50595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9540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595406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95270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Comps'!$S$11:$AG$11</c:f>
              <c:numCache>
                <c:formatCode>General</c:formatCode>
                <c:ptCount val="15"/>
                <c:pt idx="0">
                  <c:v>0.031428</c:v>
                </c:pt>
                <c:pt idx="1">
                  <c:v>0.151596</c:v>
                </c:pt>
                <c:pt idx="2">
                  <c:v>0.349715</c:v>
                </c:pt>
                <c:pt idx="3">
                  <c:v>0.280079</c:v>
                </c:pt>
                <c:pt idx="4">
                  <c:v>0.117347</c:v>
                </c:pt>
                <c:pt idx="5">
                  <c:v>0.046028</c:v>
                </c:pt>
                <c:pt idx="6">
                  <c:v>0.017471</c:v>
                </c:pt>
                <c:pt idx="7">
                  <c:v>0.00633501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438816"/>
        <c:axId val="5074408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Comps'!$B$11:$P$11</c:f>
              <c:numCache>
                <c:formatCode>General</c:formatCode>
                <c:ptCount val="15"/>
                <c:pt idx="0">
                  <c:v>0.0210618</c:v>
                </c:pt>
                <c:pt idx="1">
                  <c:v>0.119727</c:v>
                </c:pt>
                <c:pt idx="2">
                  <c:v>0.331646</c:v>
                </c:pt>
                <c:pt idx="3">
                  <c:v>0.246482</c:v>
                </c:pt>
                <c:pt idx="4">
                  <c:v>0.124459</c:v>
                </c:pt>
                <c:pt idx="5">
                  <c:v>0.0838332</c:v>
                </c:pt>
                <c:pt idx="6">
                  <c:v>0.0303888</c:v>
                </c:pt>
                <c:pt idx="7">
                  <c:v>0.0280684</c:v>
                </c:pt>
                <c:pt idx="8">
                  <c:v>0.00541314</c:v>
                </c:pt>
                <c:pt idx="9">
                  <c:v>0.00447973</c:v>
                </c:pt>
                <c:pt idx="10">
                  <c:v>0.00269704</c:v>
                </c:pt>
                <c:pt idx="11">
                  <c:v>0.000511797</c:v>
                </c:pt>
                <c:pt idx="12">
                  <c:v>0.000223355</c:v>
                </c:pt>
                <c:pt idx="13">
                  <c:v>0.00044151</c:v>
                </c:pt>
                <c:pt idx="14">
                  <c:v>0.000567317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38816"/>
        <c:axId val="507440864"/>
      </c:scatterChart>
      <c:catAx>
        <c:axId val="50743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408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44086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3881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Comps'!$S$12:$AG$12</c:f>
              <c:numCache>
                <c:formatCode>General</c:formatCode>
                <c:ptCount val="15"/>
                <c:pt idx="0">
                  <c:v>0.011129</c:v>
                </c:pt>
                <c:pt idx="1">
                  <c:v>0.100338</c:v>
                </c:pt>
                <c:pt idx="2">
                  <c:v>0.121466</c:v>
                </c:pt>
                <c:pt idx="3">
                  <c:v>0.264054</c:v>
                </c:pt>
                <c:pt idx="4">
                  <c:v>0.202123</c:v>
                </c:pt>
                <c:pt idx="5">
                  <c:v>0.13807</c:v>
                </c:pt>
                <c:pt idx="6">
                  <c:v>0.0768219</c:v>
                </c:pt>
                <c:pt idx="7">
                  <c:v>0.0556429</c:v>
                </c:pt>
                <c:pt idx="8">
                  <c:v>0.024972</c:v>
                </c:pt>
                <c:pt idx="9">
                  <c:v>0.00449799</c:v>
                </c:pt>
                <c:pt idx="10">
                  <c:v>0.000565999</c:v>
                </c:pt>
                <c:pt idx="11">
                  <c:v>0.00015</c:v>
                </c:pt>
                <c:pt idx="12">
                  <c:v>3.25E-5</c:v>
                </c:pt>
                <c:pt idx="13">
                  <c:v>0.000138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6222448"/>
        <c:axId val="37552115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Comps'!$B$12:$P$12</c:f>
              <c:numCache>
                <c:formatCode>General</c:formatCode>
                <c:ptCount val="15"/>
                <c:pt idx="0">
                  <c:v>0.0454927</c:v>
                </c:pt>
                <c:pt idx="1">
                  <c:v>0.132861</c:v>
                </c:pt>
                <c:pt idx="2">
                  <c:v>0.251905</c:v>
                </c:pt>
                <c:pt idx="3">
                  <c:v>0.249194</c:v>
                </c:pt>
                <c:pt idx="4">
                  <c:v>0.153786</c:v>
                </c:pt>
                <c:pt idx="5">
                  <c:v>0.0742366</c:v>
                </c:pt>
                <c:pt idx="6">
                  <c:v>0.0500424</c:v>
                </c:pt>
                <c:pt idx="7">
                  <c:v>0.0194406</c:v>
                </c:pt>
                <c:pt idx="8">
                  <c:v>0.0158961</c:v>
                </c:pt>
                <c:pt idx="9">
                  <c:v>0.00283761</c:v>
                </c:pt>
                <c:pt idx="10">
                  <c:v>0.00216374</c:v>
                </c:pt>
                <c:pt idx="11">
                  <c:v>0.00130269</c:v>
                </c:pt>
                <c:pt idx="12">
                  <c:v>0.000247202</c:v>
                </c:pt>
                <c:pt idx="13">
                  <c:v>0.000107882</c:v>
                </c:pt>
                <c:pt idx="14">
                  <c:v>0.000487271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22448"/>
        <c:axId val="375521152"/>
      </c:scatterChart>
      <c:catAx>
        <c:axId val="50622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5211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7552115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22244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Comps'!$S$13:$AG$13</c:f>
              <c:numCache>
                <c:formatCode>General</c:formatCode>
                <c:ptCount val="15"/>
                <c:pt idx="0">
                  <c:v>0.024247</c:v>
                </c:pt>
                <c:pt idx="1">
                  <c:v>0.52728</c:v>
                </c:pt>
                <c:pt idx="2">
                  <c:v>0.194871</c:v>
                </c:pt>
                <c:pt idx="3">
                  <c:v>0.0554271</c:v>
                </c:pt>
                <c:pt idx="4">
                  <c:v>0.0744531</c:v>
                </c:pt>
                <c:pt idx="5">
                  <c:v>0.040192</c:v>
                </c:pt>
                <c:pt idx="6">
                  <c:v>0.025745</c:v>
                </c:pt>
                <c:pt idx="7">
                  <c:v>0.02169</c:v>
                </c:pt>
                <c:pt idx="8">
                  <c:v>0.021289</c:v>
                </c:pt>
                <c:pt idx="9">
                  <c:v>0.00895401</c:v>
                </c:pt>
                <c:pt idx="10">
                  <c:v>0.003638</c:v>
                </c:pt>
                <c:pt idx="11">
                  <c:v>0.000950001</c:v>
                </c:pt>
                <c:pt idx="12">
                  <c:v>0.000948001</c:v>
                </c:pt>
                <c:pt idx="13">
                  <c:v>0.000169</c:v>
                </c:pt>
                <c:pt idx="14">
                  <c:v>0.000147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079872"/>
        <c:axId val="45292915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Comps'!$B$13:$P$13</c:f>
              <c:numCache>
                <c:formatCode>General</c:formatCode>
                <c:ptCount val="15"/>
                <c:pt idx="0">
                  <c:v>0.0277254</c:v>
                </c:pt>
                <c:pt idx="1">
                  <c:v>0.344736</c:v>
                </c:pt>
                <c:pt idx="2">
                  <c:v>0.229789</c:v>
                </c:pt>
                <c:pt idx="3">
                  <c:v>0.141267</c:v>
                </c:pt>
                <c:pt idx="4">
                  <c:v>0.115035</c:v>
                </c:pt>
                <c:pt idx="5">
                  <c:v>0.0679496</c:v>
                </c:pt>
                <c:pt idx="6">
                  <c:v>0.0326258</c:v>
                </c:pt>
                <c:pt idx="7">
                  <c:v>0.0234926</c:v>
                </c:pt>
                <c:pt idx="8">
                  <c:v>0.0083846</c:v>
                </c:pt>
                <c:pt idx="9">
                  <c:v>0.00629131</c:v>
                </c:pt>
                <c:pt idx="10">
                  <c:v>0.0010738</c:v>
                </c:pt>
                <c:pt idx="11">
                  <c:v>0.000818802</c:v>
                </c:pt>
                <c:pt idx="12">
                  <c:v>0.000492963</c:v>
                </c:pt>
                <c:pt idx="13">
                  <c:v>9.3546E-5</c:v>
                </c:pt>
                <c:pt idx="14">
                  <c:v>0.000225217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79872"/>
        <c:axId val="452929152"/>
      </c:scatterChart>
      <c:catAx>
        <c:axId val="45207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9291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5292915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07987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Comps'!$S$14:$AG$14</c:f>
              <c:numCache>
                <c:formatCode>General</c:formatCode>
                <c:ptCount val="15"/>
                <c:pt idx="0">
                  <c:v>0.008543</c:v>
                </c:pt>
                <c:pt idx="1">
                  <c:v>0.150288</c:v>
                </c:pt>
                <c:pt idx="2">
                  <c:v>0.691843</c:v>
                </c:pt>
                <c:pt idx="3">
                  <c:v>0.053185</c:v>
                </c:pt>
                <c:pt idx="4">
                  <c:v>0.014149</c:v>
                </c:pt>
                <c:pt idx="5">
                  <c:v>0.026573</c:v>
                </c:pt>
                <c:pt idx="6">
                  <c:v>0.025452</c:v>
                </c:pt>
                <c:pt idx="7">
                  <c:v>0.013869</c:v>
                </c:pt>
                <c:pt idx="8">
                  <c:v>0.008162</c:v>
                </c:pt>
                <c:pt idx="9">
                  <c:v>0.005747</c:v>
                </c:pt>
                <c:pt idx="10">
                  <c:v>0.001421</c:v>
                </c:pt>
                <c:pt idx="11">
                  <c:v>0.000562</c:v>
                </c:pt>
                <c:pt idx="12">
                  <c:v>9.04E-5</c:v>
                </c:pt>
                <c:pt idx="13">
                  <c:v>0.000116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0888672"/>
        <c:axId val="45251347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Comps'!$B$14:$P$14</c:f>
              <c:numCache>
                <c:formatCode>General</c:formatCode>
                <c:ptCount val="15"/>
                <c:pt idx="0">
                  <c:v>0.0177164</c:v>
                </c:pt>
                <c:pt idx="1">
                  <c:v>0.197516</c:v>
                </c:pt>
                <c:pt idx="2">
                  <c:v>0.519402</c:v>
                </c:pt>
                <c:pt idx="3">
                  <c:v>0.100254</c:v>
                </c:pt>
                <c:pt idx="4">
                  <c:v>0.0593505</c:v>
                </c:pt>
                <c:pt idx="5">
                  <c:v>0.0474765</c:v>
                </c:pt>
                <c:pt idx="6">
                  <c:v>0.0280902</c:v>
                </c:pt>
                <c:pt idx="7">
                  <c:v>0.0140372</c:v>
                </c:pt>
                <c:pt idx="8">
                  <c:v>0.00965359</c:v>
                </c:pt>
                <c:pt idx="9">
                  <c:v>0.00314814</c:v>
                </c:pt>
                <c:pt idx="10">
                  <c:v>0.00234662</c:v>
                </c:pt>
                <c:pt idx="11">
                  <c:v>0.000400523</c:v>
                </c:pt>
                <c:pt idx="12">
                  <c:v>0.000305408</c:v>
                </c:pt>
                <c:pt idx="13">
                  <c:v>0.000183872</c:v>
                </c:pt>
                <c:pt idx="14">
                  <c:v>0.000118897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888672"/>
        <c:axId val="452513472"/>
      </c:scatterChart>
      <c:catAx>
        <c:axId val="43088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5134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525134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088867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Comps'!$S$15:$AG$15</c:f>
              <c:numCache>
                <c:formatCode>General</c:formatCode>
                <c:ptCount val="15"/>
                <c:pt idx="0">
                  <c:v>0.0002</c:v>
                </c:pt>
                <c:pt idx="1">
                  <c:v>0.120162</c:v>
                </c:pt>
                <c:pt idx="2">
                  <c:v>0.454616</c:v>
                </c:pt>
                <c:pt idx="3">
                  <c:v>0.305986</c:v>
                </c:pt>
                <c:pt idx="4">
                  <c:v>0.030152</c:v>
                </c:pt>
                <c:pt idx="5">
                  <c:v>0.013916</c:v>
                </c:pt>
                <c:pt idx="6">
                  <c:v>0.019279</c:v>
                </c:pt>
                <c:pt idx="7">
                  <c:v>0.022363</c:v>
                </c:pt>
                <c:pt idx="8">
                  <c:v>0.017396</c:v>
                </c:pt>
                <c:pt idx="9">
                  <c:v>0.00857199</c:v>
                </c:pt>
                <c:pt idx="10">
                  <c:v>0.003956</c:v>
                </c:pt>
                <c:pt idx="11">
                  <c:v>0.002706</c:v>
                </c:pt>
                <c:pt idx="12">
                  <c:v>0.000696999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567856"/>
        <c:axId val="4525699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Comps'!$B$15:$P$15</c:f>
              <c:numCache>
                <c:formatCode>General</c:formatCode>
                <c:ptCount val="15"/>
                <c:pt idx="0">
                  <c:v>0.0119161</c:v>
                </c:pt>
                <c:pt idx="1">
                  <c:v>0.16905</c:v>
                </c:pt>
                <c:pt idx="2">
                  <c:v>0.41554</c:v>
                </c:pt>
                <c:pt idx="3">
                  <c:v>0.264943</c:v>
                </c:pt>
                <c:pt idx="4">
                  <c:v>0.0519076</c:v>
                </c:pt>
                <c:pt idx="5">
                  <c:v>0.0311101</c:v>
                </c:pt>
                <c:pt idx="6">
                  <c:v>0.0250633</c:v>
                </c:pt>
                <c:pt idx="7">
                  <c:v>0.0150685</c:v>
                </c:pt>
                <c:pt idx="8">
                  <c:v>0.00755725</c:v>
                </c:pt>
                <c:pt idx="9">
                  <c:v>0.00471981</c:v>
                </c:pt>
                <c:pt idx="10">
                  <c:v>0.00151237</c:v>
                </c:pt>
                <c:pt idx="11">
                  <c:v>0.00112732</c:v>
                </c:pt>
                <c:pt idx="12">
                  <c:v>0.000192411</c:v>
                </c:pt>
                <c:pt idx="13">
                  <c:v>0.000146718</c:v>
                </c:pt>
                <c:pt idx="14">
                  <c:v>0.00014545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67856"/>
        <c:axId val="452569904"/>
      </c:scatterChart>
      <c:catAx>
        <c:axId val="45256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5699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5256990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56785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Comps'!$S$16:$AG$16</c:f>
              <c:numCache>
                <c:formatCode>General</c:formatCode>
                <c:ptCount val="15"/>
                <c:pt idx="0">
                  <c:v>0.037672</c:v>
                </c:pt>
                <c:pt idx="1">
                  <c:v>0.247673</c:v>
                </c:pt>
                <c:pt idx="2">
                  <c:v>0.331098</c:v>
                </c:pt>
                <c:pt idx="3">
                  <c:v>0.239905</c:v>
                </c:pt>
                <c:pt idx="4">
                  <c:v>0.086129</c:v>
                </c:pt>
                <c:pt idx="5">
                  <c:v>0.019158</c:v>
                </c:pt>
                <c:pt idx="6">
                  <c:v>0.00703</c:v>
                </c:pt>
                <c:pt idx="7">
                  <c:v>0.010141</c:v>
                </c:pt>
                <c:pt idx="8">
                  <c:v>0.008111</c:v>
                </c:pt>
                <c:pt idx="9">
                  <c:v>0.006514</c:v>
                </c:pt>
                <c:pt idx="10">
                  <c:v>0.00336</c:v>
                </c:pt>
                <c:pt idx="11">
                  <c:v>0.001667</c:v>
                </c:pt>
                <c:pt idx="12">
                  <c:v>0.001229</c:v>
                </c:pt>
                <c:pt idx="13">
                  <c:v>0.000245</c:v>
                </c:pt>
                <c:pt idx="14">
                  <c:v>6.78E-5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459216"/>
        <c:axId val="5074612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Comps'!$B$16:$P$16</c:f>
              <c:numCache>
                <c:formatCode>General</c:formatCode>
                <c:ptCount val="15"/>
                <c:pt idx="0">
                  <c:v>0.0114536</c:v>
                </c:pt>
                <c:pt idx="1">
                  <c:v>0.147232</c:v>
                </c:pt>
                <c:pt idx="2">
                  <c:v>0.370891</c:v>
                </c:pt>
                <c:pt idx="3">
                  <c:v>0.249755</c:v>
                </c:pt>
                <c:pt idx="4">
                  <c:v>0.142453</c:v>
                </c:pt>
                <c:pt idx="5">
                  <c:v>0.0288228</c:v>
                </c:pt>
                <c:pt idx="6">
                  <c:v>0.0176224</c:v>
                </c:pt>
                <c:pt idx="7">
                  <c:v>0.0143431</c:v>
                </c:pt>
                <c:pt idx="8">
                  <c:v>0.00901428</c:v>
                </c:pt>
                <c:pt idx="9">
                  <c:v>0.0041644</c:v>
                </c:pt>
                <c:pt idx="10">
                  <c:v>0.00255648</c:v>
                </c:pt>
                <c:pt idx="11">
                  <c:v>0.000819173</c:v>
                </c:pt>
                <c:pt idx="12">
                  <c:v>0.000610611</c:v>
                </c:pt>
                <c:pt idx="13">
                  <c:v>0.000104219</c:v>
                </c:pt>
                <c:pt idx="14">
                  <c:v>0.000158253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59216"/>
        <c:axId val="507461264"/>
      </c:scatterChart>
      <c:catAx>
        <c:axId val="50745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612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746126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5921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Comps'!$S$17:$AG$17</c:f>
              <c:numCache>
                <c:formatCode>General</c:formatCode>
                <c:ptCount val="15"/>
                <c:pt idx="0">
                  <c:v>0.012042</c:v>
                </c:pt>
                <c:pt idx="1">
                  <c:v>0.186306</c:v>
                </c:pt>
                <c:pt idx="2">
                  <c:v>0.308118</c:v>
                </c:pt>
                <c:pt idx="3">
                  <c:v>0.261359</c:v>
                </c:pt>
                <c:pt idx="4">
                  <c:v>0.15068</c:v>
                </c:pt>
                <c:pt idx="5">
                  <c:v>0.040795</c:v>
                </c:pt>
                <c:pt idx="6">
                  <c:v>0.011772</c:v>
                </c:pt>
                <c:pt idx="7">
                  <c:v>0.007098</c:v>
                </c:pt>
                <c:pt idx="8">
                  <c:v>0.008047</c:v>
                </c:pt>
                <c:pt idx="9">
                  <c:v>0.006471</c:v>
                </c:pt>
                <c:pt idx="10">
                  <c:v>0.004559</c:v>
                </c:pt>
                <c:pt idx="11">
                  <c:v>0.001741</c:v>
                </c:pt>
                <c:pt idx="12">
                  <c:v>0.000722</c:v>
                </c:pt>
                <c:pt idx="13">
                  <c:v>0.000221</c:v>
                </c:pt>
                <c:pt idx="14">
                  <c:v>6.92E-5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801376"/>
        <c:axId val="-2879932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Comps'!$B$17:$P$17</c:f>
              <c:numCache>
                <c:formatCode>General</c:formatCode>
                <c:ptCount val="15"/>
                <c:pt idx="0">
                  <c:v>0.0184184</c:v>
                </c:pt>
                <c:pt idx="1">
                  <c:v>0.147846</c:v>
                </c:pt>
                <c:pt idx="2">
                  <c:v>0.303578</c:v>
                </c:pt>
                <c:pt idx="3">
                  <c:v>0.256916</c:v>
                </c:pt>
                <c:pt idx="4">
                  <c:v>0.149074</c:v>
                </c:pt>
                <c:pt idx="5">
                  <c:v>0.0791625</c:v>
                </c:pt>
                <c:pt idx="6">
                  <c:v>0.0163643</c:v>
                </c:pt>
                <c:pt idx="7">
                  <c:v>0.0101311</c:v>
                </c:pt>
                <c:pt idx="8">
                  <c:v>0.0087545</c:v>
                </c:pt>
                <c:pt idx="9">
                  <c:v>0.00511763</c:v>
                </c:pt>
                <c:pt idx="10">
                  <c:v>0.00229583</c:v>
                </c:pt>
                <c:pt idx="11">
                  <c:v>0.00140939</c:v>
                </c:pt>
                <c:pt idx="12">
                  <c:v>0.00045161</c:v>
                </c:pt>
                <c:pt idx="13">
                  <c:v>0.00033663</c:v>
                </c:pt>
                <c:pt idx="14">
                  <c:v>0.000144701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801376"/>
        <c:axId val="-28799328"/>
      </c:scatterChart>
      <c:catAx>
        <c:axId val="-2880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7993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79932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80137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Comps'!$S$32:$AG$32</c:f>
              <c:numCache>
                <c:formatCode>General</c:formatCode>
                <c:ptCount val="15"/>
                <c:pt idx="0">
                  <c:v>8.7098E-5</c:v>
                </c:pt>
                <c:pt idx="1">
                  <c:v>0.0042856</c:v>
                </c:pt>
                <c:pt idx="2">
                  <c:v>0.13875</c:v>
                </c:pt>
                <c:pt idx="3">
                  <c:v>0.605311</c:v>
                </c:pt>
                <c:pt idx="4">
                  <c:v>0.0539465</c:v>
                </c:pt>
                <c:pt idx="5">
                  <c:v>0.0347654</c:v>
                </c:pt>
                <c:pt idx="6">
                  <c:v>0.033647</c:v>
                </c:pt>
                <c:pt idx="7">
                  <c:v>0.0281261</c:v>
                </c:pt>
                <c:pt idx="8">
                  <c:v>0.0481754</c:v>
                </c:pt>
                <c:pt idx="9">
                  <c:v>0.0108196</c:v>
                </c:pt>
                <c:pt idx="10">
                  <c:v>0.0170609</c:v>
                </c:pt>
                <c:pt idx="11">
                  <c:v>0.00617717</c:v>
                </c:pt>
                <c:pt idx="12">
                  <c:v>0.00661219</c:v>
                </c:pt>
                <c:pt idx="13">
                  <c:v>0.00352101</c:v>
                </c:pt>
                <c:pt idx="14">
                  <c:v>0.0087146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5887296"/>
        <c:axId val="43267252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Comps'!$B$32:$P$32</c:f>
              <c:numCache>
                <c:formatCode>General</c:formatCode>
                <c:ptCount val="15"/>
                <c:pt idx="0">
                  <c:v>0.00165844</c:v>
                </c:pt>
                <c:pt idx="1">
                  <c:v>0.0146865</c:v>
                </c:pt>
                <c:pt idx="2">
                  <c:v>0.121517</c:v>
                </c:pt>
                <c:pt idx="3">
                  <c:v>0.566166</c:v>
                </c:pt>
                <c:pt idx="4">
                  <c:v>0.0775988</c:v>
                </c:pt>
                <c:pt idx="5">
                  <c:v>0.0363983</c:v>
                </c:pt>
                <c:pt idx="6">
                  <c:v>0.0361477</c:v>
                </c:pt>
                <c:pt idx="7">
                  <c:v>0.0352334</c:v>
                </c:pt>
                <c:pt idx="8">
                  <c:v>0.0500296</c:v>
                </c:pt>
                <c:pt idx="9">
                  <c:v>0.0121551</c:v>
                </c:pt>
                <c:pt idx="10">
                  <c:v>0.027973</c:v>
                </c:pt>
                <c:pt idx="11">
                  <c:v>0.00554798</c:v>
                </c:pt>
                <c:pt idx="12">
                  <c:v>0.0064969</c:v>
                </c:pt>
                <c:pt idx="13">
                  <c:v>0.00317831</c:v>
                </c:pt>
                <c:pt idx="14">
                  <c:v>0.00521306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87296"/>
        <c:axId val="432672528"/>
      </c:scatterChart>
      <c:catAx>
        <c:axId val="50588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672528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43267252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88729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Comps'!$S$33:$AG$33</c:f>
              <c:numCache>
                <c:formatCode>General</c:formatCode>
                <c:ptCount val="15"/>
                <c:pt idx="0">
                  <c:v>0.000890056</c:v>
                </c:pt>
                <c:pt idx="1">
                  <c:v>0.0195377</c:v>
                </c:pt>
                <c:pt idx="2">
                  <c:v>0.0308233</c:v>
                </c:pt>
                <c:pt idx="3">
                  <c:v>0.195297</c:v>
                </c:pt>
                <c:pt idx="4">
                  <c:v>0.579247</c:v>
                </c:pt>
                <c:pt idx="5">
                  <c:v>0.0954464</c:v>
                </c:pt>
                <c:pt idx="6">
                  <c:v>0.0295743</c:v>
                </c:pt>
                <c:pt idx="7">
                  <c:v>0.010967</c:v>
                </c:pt>
                <c:pt idx="8">
                  <c:v>0.00725792</c:v>
                </c:pt>
                <c:pt idx="9">
                  <c:v>0.0112467</c:v>
                </c:pt>
                <c:pt idx="10">
                  <c:v>0.00464513</c:v>
                </c:pt>
                <c:pt idx="11">
                  <c:v>0.00510857</c:v>
                </c:pt>
                <c:pt idx="12">
                  <c:v>0.00381768</c:v>
                </c:pt>
                <c:pt idx="13">
                  <c:v>0.00201982</c:v>
                </c:pt>
                <c:pt idx="14">
                  <c:v>0.00412112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7486960"/>
        <c:axId val="50748900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Comps'!$B$33:$P$33</c:f>
              <c:numCache>
                <c:formatCode>General</c:formatCode>
                <c:ptCount val="15"/>
                <c:pt idx="0">
                  <c:v>0.000491088</c:v>
                </c:pt>
                <c:pt idx="1">
                  <c:v>0.0272204</c:v>
                </c:pt>
                <c:pt idx="2">
                  <c:v>0.0521353</c:v>
                </c:pt>
                <c:pt idx="3">
                  <c:v>0.181248</c:v>
                </c:pt>
                <c:pt idx="4">
                  <c:v>0.534403</c:v>
                </c:pt>
                <c:pt idx="5">
                  <c:v>0.0811463</c:v>
                </c:pt>
                <c:pt idx="6">
                  <c:v>0.0281406</c:v>
                </c:pt>
                <c:pt idx="7">
                  <c:v>0.0189695</c:v>
                </c:pt>
                <c:pt idx="8">
                  <c:v>0.0183279</c:v>
                </c:pt>
                <c:pt idx="9">
                  <c:v>0.0255491</c:v>
                </c:pt>
                <c:pt idx="10">
                  <c:v>0.00649646</c:v>
                </c:pt>
                <c:pt idx="11">
                  <c:v>0.0149505</c:v>
                </c:pt>
                <c:pt idx="12">
                  <c:v>0.00296518</c:v>
                </c:pt>
                <c:pt idx="13">
                  <c:v>0.00347235</c:v>
                </c:pt>
                <c:pt idx="14">
                  <c:v>0.00448487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86960"/>
        <c:axId val="507489008"/>
      </c:scatterChart>
      <c:catAx>
        <c:axId val="50748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89008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50748900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748696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Comps'!$S$34:$AG$34</c:f>
              <c:numCache>
                <c:formatCode>General</c:formatCode>
                <c:ptCount val="15"/>
                <c:pt idx="0">
                  <c:v>0.0</c:v>
                </c:pt>
                <c:pt idx="1">
                  <c:v>0.000292896</c:v>
                </c:pt>
                <c:pt idx="2">
                  <c:v>0.0503631</c:v>
                </c:pt>
                <c:pt idx="3">
                  <c:v>0.0939223</c:v>
                </c:pt>
                <c:pt idx="4">
                  <c:v>0.246087</c:v>
                </c:pt>
                <c:pt idx="5">
                  <c:v>0.471285</c:v>
                </c:pt>
                <c:pt idx="6">
                  <c:v>0.080853</c:v>
                </c:pt>
                <c:pt idx="7">
                  <c:v>0.019942</c:v>
                </c:pt>
                <c:pt idx="8">
                  <c:v>0.00685885</c:v>
                </c:pt>
                <c:pt idx="9">
                  <c:v>0.00525206</c:v>
                </c:pt>
                <c:pt idx="10">
                  <c:v>0.0112851</c:v>
                </c:pt>
                <c:pt idx="11">
                  <c:v>0.00338819</c:v>
                </c:pt>
                <c:pt idx="12">
                  <c:v>0.00391021</c:v>
                </c:pt>
                <c:pt idx="13">
                  <c:v>0.000959091</c:v>
                </c:pt>
                <c:pt idx="14">
                  <c:v>0.00560123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775392"/>
        <c:axId val="-2877334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Comps'!$B$34:$P$34</c:f>
              <c:numCache>
                <c:formatCode>General</c:formatCode>
                <c:ptCount val="15"/>
                <c:pt idx="0">
                  <c:v>0.000317586</c:v>
                </c:pt>
                <c:pt idx="1">
                  <c:v>0.0105353</c:v>
                </c:pt>
                <c:pt idx="2">
                  <c:v>0.0771362</c:v>
                </c:pt>
                <c:pt idx="3">
                  <c:v>0.088121</c:v>
                </c:pt>
                <c:pt idx="4">
                  <c:v>0.2285</c:v>
                </c:pt>
                <c:pt idx="5">
                  <c:v>0.453743</c:v>
                </c:pt>
                <c:pt idx="6">
                  <c:v>0.0664273</c:v>
                </c:pt>
                <c:pt idx="7">
                  <c:v>0.0173605</c:v>
                </c:pt>
                <c:pt idx="8">
                  <c:v>0.0114629</c:v>
                </c:pt>
                <c:pt idx="9">
                  <c:v>0.0109248</c:v>
                </c:pt>
                <c:pt idx="10">
                  <c:v>0.0156475</c:v>
                </c:pt>
                <c:pt idx="11">
                  <c:v>0.00397875</c:v>
                </c:pt>
                <c:pt idx="12">
                  <c:v>0.00915642</c:v>
                </c:pt>
                <c:pt idx="13">
                  <c:v>0.00181602</c:v>
                </c:pt>
                <c:pt idx="14">
                  <c:v>0.00487339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775392"/>
        <c:axId val="-28773344"/>
      </c:scatterChart>
      <c:catAx>
        <c:axId val="-2877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773344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-28773344"/>
        <c:scaling>
          <c:orientation val="minMax"/>
          <c:max val="0.5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77539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Comps'!$S$35:$AG$35</c:f>
              <c:numCache>
                <c:formatCode>General</c:formatCode>
                <c:ptCount val="15"/>
                <c:pt idx="0">
                  <c:v>0.0</c:v>
                </c:pt>
                <c:pt idx="1">
                  <c:v>0.0161936</c:v>
                </c:pt>
                <c:pt idx="2">
                  <c:v>0.0391917</c:v>
                </c:pt>
                <c:pt idx="3">
                  <c:v>0.0570069</c:v>
                </c:pt>
                <c:pt idx="4">
                  <c:v>0.115988</c:v>
                </c:pt>
                <c:pt idx="5">
                  <c:v>0.256795</c:v>
                </c:pt>
                <c:pt idx="6">
                  <c:v>0.331094</c:v>
                </c:pt>
                <c:pt idx="7">
                  <c:v>0.129347</c:v>
                </c:pt>
                <c:pt idx="8">
                  <c:v>0.0218901</c:v>
                </c:pt>
                <c:pt idx="9">
                  <c:v>0.00935885</c:v>
                </c:pt>
                <c:pt idx="10">
                  <c:v>0.00614178</c:v>
                </c:pt>
                <c:pt idx="11">
                  <c:v>0.00596614</c:v>
                </c:pt>
                <c:pt idx="12">
                  <c:v>0.00333018</c:v>
                </c:pt>
                <c:pt idx="13">
                  <c:v>0.00369757</c:v>
                </c:pt>
                <c:pt idx="14">
                  <c:v>0.00399953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750832"/>
        <c:axId val="-287487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Comps'!$B$35:$P$35</c:f>
              <c:numCache>
                <c:formatCode>General</c:formatCode>
                <c:ptCount val="15"/>
                <c:pt idx="0">
                  <c:v>0.00073479</c:v>
                </c:pt>
                <c:pt idx="1">
                  <c:v>0.0119578</c:v>
                </c:pt>
                <c:pt idx="2">
                  <c:v>0.0371317</c:v>
                </c:pt>
                <c:pt idx="3">
                  <c:v>0.112866</c:v>
                </c:pt>
                <c:pt idx="4">
                  <c:v>0.138393</c:v>
                </c:pt>
                <c:pt idx="5">
                  <c:v>0.256574</c:v>
                </c:pt>
                <c:pt idx="6">
                  <c:v>0.335066</c:v>
                </c:pt>
                <c:pt idx="7">
                  <c:v>0.0532874</c:v>
                </c:pt>
                <c:pt idx="8">
                  <c:v>0.0126756</c:v>
                </c:pt>
                <c:pt idx="9">
                  <c:v>0.00795197</c:v>
                </c:pt>
                <c:pt idx="10">
                  <c:v>0.00785522</c:v>
                </c:pt>
                <c:pt idx="11">
                  <c:v>0.011251</c:v>
                </c:pt>
                <c:pt idx="12">
                  <c:v>0.00286084</c:v>
                </c:pt>
                <c:pt idx="13">
                  <c:v>0.00658373</c:v>
                </c:pt>
                <c:pt idx="14">
                  <c:v>0.00480988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750832"/>
        <c:axId val="-28748784"/>
      </c:scatterChart>
      <c:catAx>
        <c:axId val="-2875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748784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-2874878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75083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Comps'!$S$36:$AG$36</c:f>
              <c:numCache>
                <c:formatCode>General</c:formatCode>
                <c:ptCount val="15"/>
                <c:pt idx="0">
                  <c:v>0.00151926</c:v>
                </c:pt>
                <c:pt idx="1">
                  <c:v>0.0536976</c:v>
                </c:pt>
                <c:pt idx="2">
                  <c:v>0.0242623</c:v>
                </c:pt>
                <c:pt idx="3">
                  <c:v>0.0717564</c:v>
                </c:pt>
                <c:pt idx="4">
                  <c:v>0.307506</c:v>
                </c:pt>
                <c:pt idx="5">
                  <c:v>0.18525</c:v>
                </c:pt>
                <c:pt idx="6">
                  <c:v>0.161498</c:v>
                </c:pt>
                <c:pt idx="7">
                  <c:v>0.126406</c:v>
                </c:pt>
                <c:pt idx="8">
                  <c:v>0.0395697</c:v>
                </c:pt>
                <c:pt idx="9">
                  <c:v>0.00871515</c:v>
                </c:pt>
                <c:pt idx="10">
                  <c:v>0.00412527</c:v>
                </c:pt>
                <c:pt idx="11">
                  <c:v>0.00319792</c:v>
                </c:pt>
                <c:pt idx="12">
                  <c:v>0.00225278</c:v>
                </c:pt>
                <c:pt idx="13">
                  <c:v>0.00306435</c:v>
                </c:pt>
                <c:pt idx="14">
                  <c:v>0.00717969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5939472"/>
        <c:axId val="50595785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Comps'!$B$36:$P$36</c:f>
              <c:numCache>
                <c:formatCode>General</c:formatCode>
                <c:ptCount val="15"/>
                <c:pt idx="0">
                  <c:v>0.000916295</c:v>
                </c:pt>
                <c:pt idx="1">
                  <c:v>0.0339811</c:v>
                </c:pt>
                <c:pt idx="2">
                  <c:v>0.0298145</c:v>
                </c:pt>
                <c:pt idx="3">
                  <c:v>0.0645787</c:v>
                </c:pt>
                <c:pt idx="4">
                  <c:v>0.300088</c:v>
                </c:pt>
                <c:pt idx="5">
                  <c:v>0.192271</c:v>
                </c:pt>
                <c:pt idx="6">
                  <c:v>0.173222</c:v>
                </c:pt>
                <c:pt idx="7">
                  <c:v>0.148888</c:v>
                </c:pt>
                <c:pt idx="8">
                  <c:v>0.0253718</c:v>
                </c:pt>
                <c:pt idx="9">
                  <c:v>0.0066113</c:v>
                </c:pt>
                <c:pt idx="10">
                  <c:v>0.00466929</c:v>
                </c:pt>
                <c:pt idx="11">
                  <c:v>0.00461248</c:v>
                </c:pt>
                <c:pt idx="12">
                  <c:v>0.00660645</c:v>
                </c:pt>
                <c:pt idx="13">
                  <c:v>0.00167984</c:v>
                </c:pt>
                <c:pt idx="14">
                  <c:v>0.00669017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39472"/>
        <c:axId val="505957856"/>
      </c:scatterChart>
      <c:catAx>
        <c:axId val="50593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957856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50595785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93947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 horizontalDpi="30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Comps'!$S$37:$AG$37</c:f>
              <c:numCache>
                <c:formatCode>General</c:formatCode>
                <c:ptCount val="15"/>
                <c:pt idx="0">
                  <c:v>0.000398951</c:v>
                </c:pt>
                <c:pt idx="1">
                  <c:v>0.0330678</c:v>
                </c:pt>
                <c:pt idx="2">
                  <c:v>0.0580669</c:v>
                </c:pt>
                <c:pt idx="3">
                  <c:v>0.0465417</c:v>
                </c:pt>
                <c:pt idx="4">
                  <c:v>0.101453</c:v>
                </c:pt>
                <c:pt idx="5">
                  <c:v>0.444133</c:v>
                </c:pt>
                <c:pt idx="6">
                  <c:v>0.128693</c:v>
                </c:pt>
                <c:pt idx="7">
                  <c:v>0.0829782</c:v>
                </c:pt>
                <c:pt idx="8">
                  <c:v>0.0702854</c:v>
                </c:pt>
                <c:pt idx="9">
                  <c:v>0.0190685</c:v>
                </c:pt>
                <c:pt idx="10">
                  <c:v>0.00409032</c:v>
                </c:pt>
                <c:pt idx="11">
                  <c:v>0.00374447</c:v>
                </c:pt>
                <c:pt idx="12">
                  <c:v>0.0018544</c:v>
                </c:pt>
                <c:pt idx="13">
                  <c:v>0.00207897</c:v>
                </c:pt>
                <c:pt idx="14">
                  <c:v>0.00354517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6238176"/>
        <c:axId val="50624022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Comps'!$B$37:$P$37</c:f>
              <c:numCache>
                <c:formatCode>General</c:formatCode>
                <c:ptCount val="15"/>
                <c:pt idx="0">
                  <c:v>0.000344514</c:v>
                </c:pt>
                <c:pt idx="1">
                  <c:v>0.029913</c:v>
                </c:pt>
                <c:pt idx="2">
                  <c:v>0.0736852</c:v>
                </c:pt>
                <c:pt idx="3">
                  <c:v>0.052293</c:v>
                </c:pt>
                <c:pt idx="4">
                  <c:v>0.101559</c:v>
                </c:pt>
                <c:pt idx="5">
                  <c:v>0.426041</c:v>
                </c:pt>
                <c:pt idx="6">
                  <c:v>0.133485</c:v>
                </c:pt>
                <c:pt idx="7">
                  <c:v>0.0881776</c:v>
                </c:pt>
                <c:pt idx="8">
                  <c:v>0.0700497</c:v>
                </c:pt>
                <c:pt idx="9">
                  <c:v>0.0105736</c:v>
                </c:pt>
                <c:pt idx="10">
                  <c:v>0.00297229</c:v>
                </c:pt>
                <c:pt idx="11">
                  <c:v>0.00209921</c:v>
                </c:pt>
                <c:pt idx="12">
                  <c:v>0.00207367</c:v>
                </c:pt>
                <c:pt idx="13">
                  <c:v>0.00297011</c:v>
                </c:pt>
                <c:pt idx="14">
                  <c:v>0.00376297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38176"/>
        <c:axId val="506240224"/>
      </c:scatterChart>
      <c:catAx>
        <c:axId val="50623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240224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50624022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23817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Comps'!$S$37:$AG$37</c:f>
              <c:numCache>
                <c:formatCode>General</c:formatCode>
                <c:ptCount val="15"/>
                <c:pt idx="0">
                  <c:v>0.000398951</c:v>
                </c:pt>
                <c:pt idx="1">
                  <c:v>0.0330678</c:v>
                </c:pt>
                <c:pt idx="2">
                  <c:v>0.0580669</c:v>
                </c:pt>
                <c:pt idx="3">
                  <c:v>0.0465417</c:v>
                </c:pt>
                <c:pt idx="4">
                  <c:v>0.101453</c:v>
                </c:pt>
                <c:pt idx="5">
                  <c:v>0.444133</c:v>
                </c:pt>
                <c:pt idx="6">
                  <c:v>0.128693</c:v>
                </c:pt>
                <c:pt idx="7">
                  <c:v>0.0829782</c:v>
                </c:pt>
                <c:pt idx="8">
                  <c:v>0.0702854</c:v>
                </c:pt>
                <c:pt idx="9">
                  <c:v>0.0190685</c:v>
                </c:pt>
                <c:pt idx="10">
                  <c:v>0.00409032</c:v>
                </c:pt>
                <c:pt idx="11">
                  <c:v>0.00374447</c:v>
                </c:pt>
                <c:pt idx="12">
                  <c:v>0.0018544</c:v>
                </c:pt>
                <c:pt idx="13">
                  <c:v>0.00207897</c:v>
                </c:pt>
                <c:pt idx="14">
                  <c:v>0.00354517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995168"/>
        <c:axId val="506257632"/>
      </c:barChart>
      <c:catAx>
        <c:axId val="43299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257632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506257632"/>
        <c:scaling>
          <c:orientation val="minMax"/>
          <c:max val="0.5"/>
          <c:min val="0.0"/>
        </c:scaling>
        <c:delete val="1"/>
        <c:axPos val="l"/>
        <c:numFmt formatCode="General" sourceLinked="1"/>
        <c:majorTickMark val="out"/>
        <c:minorTickMark val="none"/>
        <c:tickLblPos val="nextTo"/>
        <c:crossAx val="43299516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824803149606"/>
          <c:y val="0.0356714785651794"/>
          <c:w val="0.852016278209398"/>
          <c:h val="0.858075040783035"/>
        </c:manualLayout>
      </c:layout>
      <c:scatterChart>
        <c:scatterStyle val="lineMarker"/>
        <c:varyColors val="0"/>
        <c:ser>
          <c:idx val="4"/>
          <c:order val="0"/>
          <c:tx>
            <c:strRef>
              <c:f>'Past BiomEst'!$AV$50</c:f>
              <c:strCache>
                <c:ptCount val="1"/>
                <c:pt idx="0">
                  <c:v>1990 VPA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'Past BiomEst'!$A$51:$A$89</c:f>
              <c:numCache>
                <c:formatCode>General</c:formatCode>
                <c:ptCount val="3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</c:numCache>
            </c:numRef>
          </c:xVal>
          <c:yVal>
            <c:numRef>
              <c:f>'Past BiomEst'!$AV$51:$AV$89</c:f>
              <c:numCache>
                <c:formatCode>General</c:formatCode>
                <c:ptCount val="39"/>
                <c:pt idx="0">
                  <c:v>1800.0</c:v>
                </c:pt>
                <c:pt idx="1">
                  <c:v>2000.0</c:v>
                </c:pt>
                <c:pt idx="2">
                  <c:v>2900.0</c:v>
                </c:pt>
                <c:pt idx="3">
                  <c:v>4000.0</c:v>
                </c:pt>
                <c:pt idx="4">
                  <c:v>6400.0</c:v>
                </c:pt>
                <c:pt idx="5">
                  <c:v>8000.0</c:v>
                </c:pt>
                <c:pt idx="6">
                  <c:v>9000.0</c:v>
                </c:pt>
                <c:pt idx="7">
                  <c:v>10000.0</c:v>
                </c:pt>
                <c:pt idx="8">
                  <c:v>9900.0</c:v>
                </c:pt>
                <c:pt idx="9">
                  <c:v>9000.0</c:v>
                </c:pt>
                <c:pt idx="10">
                  <c:v>6400.0</c:v>
                </c:pt>
                <c:pt idx="11">
                  <c:v>6100.0</c:v>
                </c:pt>
                <c:pt idx="12">
                  <c:v>5400.0</c:v>
                </c:pt>
                <c:pt idx="13">
                  <c:v>5000.0</c:v>
                </c:pt>
                <c:pt idx="14">
                  <c:v>4400.0</c:v>
                </c:pt>
                <c:pt idx="15">
                  <c:v>4000.0</c:v>
                </c:pt>
                <c:pt idx="16">
                  <c:v>4000.0</c:v>
                </c:pt>
                <c:pt idx="17">
                  <c:v>7500.0</c:v>
                </c:pt>
                <c:pt idx="18">
                  <c:v>8400.0</c:v>
                </c:pt>
                <c:pt idx="19">
                  <c:v>8500.0</c:v>
                </c:pt>
                <c:pt idx="20">
                  <c:v>8400.0</c:v>
                </c:pt>
                <c:pt idx="21">
                  <c:v>9400.0</c:v>
                </c:pt>
                <c:pt idx="22">
                  <c:v>8700.0</c:v>
                </c:pt>
                <c:pt idx="23">
                  <c:v>8800.0</c:v>
                </c:pt>
                <c:pt idx="24">
                  <c:v>8500.0</c:v>
                </c:pt>
                <c:pt idx="25">
                  <c:v>7900.0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'Past BiomEst'!$AH$50</c:f>
              <c:strCache>
                <c:ptCount val="1"/>
                <c:pt idx="0">
                  <c:v>1998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'Past BiomEst'!$A$51:$A$88</c:f>
              <c:numCache>
                <c:formatCode>General</c:formatCode>
                <c:ptCount val="3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</c:numCache>
            </c:numRef>
          </c:xVal>
          <c:yVal>
            <c:numRef>
              <c:f>'Past BiomEst'!$AH$51:$AH$88</c:f>
              <c:numCache>
                <c:formatCode>General</c:formatCode>
                <c:ptCount val="38"/>
                <c:pt idx="0">
                  <c:v>1037.0</c:v>
                </c:pt>
                <c:pt idx="1">
                  <c:v>1227.0</c:v>
                </c:pt>
                <c:pt idx="2">
                  <c:v>1096.0</c:v>
                </c:pt>
                <c:pt idx="3">
                  <c:v>2095.0</c:v>
                </c:pt>
                <c:pt idx="4">
                  <c:v>2510.0</c:v>
                </c:pt>
                <c:pt idx="5">
                  <c:v>3810.0</c:v>
                </c:pt>
                <c:pt idx="6">
                  <c:v>5083.0</c:v>
                </c:pt>
                <c:pt idx="7">
                  <c:v>5813.0</c:v>
                </c:pt>
                <c:pt idx="8">
                  <c:v>5648.0</c:v>
                </c:pt>
                <c:pt idx="9">
                  <c:v>3922.0</c:v>
                </c:pt>
                <c:pt idx="10">
                  <c:v>2342.0</c:v>
                </c:pt>
                <c:pt idx="11">
                  <c:v>3014.0</c:v>
                </c:pt>
                <c:pt idx="12">
                  <c:v>3008.0</c:v>
                </c:pt>
                <c:pt idx="13">
                  <c:v>2894.0</c:v>
                </c:pt>
                <c:pt idx="14">
                  <c:v>2867.0</c:v>
                </c:pt>
                <c:pt idx="15">
                  <c:v>2933.0</c:v>
                </c:pt>
                <c:pt idx="16">
                  <c:v>4294.0</c:v>
                </c:pt>
                <c:pt idx="17">
                  <c:v>8569.0</c:v>
                </c:pt>
                <c:pt idx="18">
                  <c:v>9778.0</c:v>
                </c:pt>
                <c:pt idx="19">
                  <c:v>10705.0</c:v>
                </c:pt>
                <c:pt idx="20">
                  <c:v>10179.0</c:v>
                </c:pt>
                <c:pt idx="21">
                  <c:v>11919.0</c:v>
                </c:pt>
                <c:pt idx="22">
                  <c:v>10913.0</c:v>
                </c:pt>
                <c:pt idx="23">
                  <c:v>11116.0</c:v>
                </c:pt>
                <c:pt idx="24">
                  <c:v>10274.0</c:v>
                </c:pt>
                <c:pt idx="25">
                  <c:v>8546.0</c:v>
                </c:pt>
                <c:pt idx="26">
                  <c:v>6659.0</c:v>
                </c:pt>
                <c:pt idx="27">
                  <c:v>5180.0</c:v>
                </c:pt>
                <c:pt idx="28">
                  <c:v>8294.0</c:v>
                </c:pt>
                <c:pt idx="29">
                  <c:v>10279.0</c:v>
                </c:pt>
                <c:pt idx="30">
                  <c:v>8917.0</c:v>
                </c:pt>
                <c:pt idx="31">
                  <c:v>8680.0</c:v>
                </c:pt>
                <c:pt idx="32">
                  <c:v>6811.0</c:v>
                </c:pt>
                <c:pt idx="33">
                  <c:v>5307.0</c:v>
                </c:pt>
                <c:pt idx="34">
                  <c:v>5133.0</c:v>
                </c:pt>
              </c:numCache>
            </c:numRef>
          </c:yVal>
          <c:smooth val="0"/>
        </c:ser>
        <c:ser>
          <c:idx val="8"/>
          <c:order val="2"/>
          <c:tx>
            <c:v>1999</c:v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'Past BiomEst'!$A$51:$A$86</c:f>
              <c:numCache>
                <c:formatCode>General</c:formatCode>
                <c:ptCount val="36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</c:numCache>
            </c:numRef>
          </c:xVal>
          <c:yVal>
            <c:numRef>
              <c:f>'Past BiomEst'!$AN$51:$AN$86</c:f>
              <c:numCache>
                <c:formatCode>General</c:formatCode>
                <c:ptCount val="36"/>
                <c:pt idx="0">
                  <c:v>1725.5</c:v>
                </c:pt>
                <c:pt idx="1">
                  <c:v>2195.9</c:v>
                </c:pt>
                <c:pt idx="2">
                  <c:v>2250.7</c:v>
                </c:pt>
                <c:pt idx="3">
                  <c:v>3420.3</c:v>
                </c:pt>
                <c:pt idx="4">
                  <c:v>3875.6</c:v>
                </c:pt>
                <c:pt idx="5">
                  <c:v>5137.0</c:v>
                </c:pt>
                <c:pt idx="6">
                  <c:v>6079.3</c:v>
                </c:pt>
                <c:pt idx="7">
                  <c:v>6579.5</c:v>
                </c:pt>
                <c:pt idx="8">
                  <c:v>6078.1</c:v>
                </c:pt>
                <c:pt idx="9">
                  <c:v>4519.5</c:v>
                </c:pt>
                <c:pt idx="10">
                  <c:v>3193.3</c:v>
                </c:pt>
                <c:pt idx="11">
                  <c:v>3366.1</c:v>
                </c:pt>
                <c:pt idx="12">
                  <c:v>3433.7</c:v>
                </c:pt>
                <c:pt idx="13">
                  <c:v>3444.0</c:v>
                </c:pt>
                <c:pt idx="14">
                  <c:v>3326.8</c:v>
                </c:pt>
                <c:pt idx="15">
                  <c:v>3280.1</c:v>
                </c:pt>
                <c:pt idx="16">
                  <c:v>4322.3</c:v>
                </c:pt>
                <c:pt idx="17">
                  <c:v>8126.7</c:v>
                </c:pt>
                <c:pt idx="18">
                  <c:v>9261.0</c:v>
                </c:pt>
                <c:pt idx="19">
                  <c:v>10298.0</c:v>
                </c:pt>
                <c:pt idx="20">
                  <c:v>9999.799999999999</c:v>
                </c:pt>
                <c:pt idx="21">
                  <c:v>12181.0</c:v>
                </c:pt>
                <c:pt idx="22">
                  <c:v>11381.0</c:v>
                </c:pt>
                <c:pt idx="23">
                  <c:v>11951.0</c:v>
                </c:pt>
                <c:pt idx="24">
                  <c:v>11159.0</c:v>
                </c:pt>
                <c:pt idx="25">
                  <c:v>9394.0</c:v>
                </c:pt>
                <c:pt idx="26">
                  <c:v>7393.2</c:v>
                </c:pt>
                <c:pt idx="27">
                  <c:v>5581.8</c:v>
                </c:pt>
                <c:pt idx="28">
                  <c:v>8897.7</c:v>
                </c:pt>
                <c:pt idx="29">
                  <c:v>11503.0</c:v>
                </c:pt>
                <c:pt idx="30">
                  <c:v>10590.0</c:v>
                </c:pt>
                <c:pt idx="31">
                  <c:v>12617.0</c:v>
                </c:pt>
                <c:pt idx="32">
                  <c:v>10752.0</c:v>
                </c:pt>
                <c:pt idx="33">
                  <c:v>8983.9</c:v>
                </c:pt>
                <c:pt idx="34">
                  <c:v>9334.5</c:v>
                </c:pt>
                <c:pt idx="35">
                  <c:v>12593.0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'Past BiomEst'!$AD$50</c:f>
              <c:strCache>
                <c:ptCount val="1"/>
                <c:pt idx="0">
                  <c:v>2006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'Past BiomEst'!$A$51:$A$88</c:f>
              <c:numCache>
                <c:formatCode>General</c:formatCode>
                <c:ptCount val="3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</c:numCache>
            </c:numRef>
          </c:xVal>
          <c:yVal>
            <c:numRef>
              <c:f>'Past BiomEst'!$AD$51:$AD$88</c:f>
              <c:numCache>
                <c:formatCode>General</c:formatCode>
                <c:ptCount val="38"/>
                <c:pt idx="0">
                  <c:v>1810.1</c:v>
                </c:pt>
                <c:pt idx="1">
                  <c:v>2230.9</c:v>
                </c:pt>
                <c:pt idx="2">
                  <c:v>2251.5</c:v>
                </c:pt>
                <c:pt idx="3">
                  <c:v>3517.9</c:v>
                </c:pt>
                <c:pt idx="4">
                  <c:v>3881.4</c:v>
                </c:pt>
                <c:pt idx="5">
                  <c:v>5057.9</c:v>
                </c:pt>
                <c:pt idx="6">
                  <c:v>5929.2</c:v>
                </c:pt>
                <c:pt idx="7">
                  <c:v>6616.7</c:v>
                </c:pt>
                <c:pt idx="8">
                  <c:v>6265.1</c:v>
                </c:pt>
                <c:pt idx="9">
                  <c:v>4750.7</c:v>
                </c:pt>
                <c:pt idx="10">
                  <c:v>3460.1</c:v>
                </c:pt>
                <c:pt idx="11">
                  <c:v>3584.7</c:v>
                </c:pt>
                <c:pt idx="12">
                  <c:v>3576.5</c:v>
                </c:pt>
                <c:pt idx="13">
                  <c:v>3581.5</c:v>
                </c:pt>
                <c:pt idx="14">
                  <c:v>3437.6</c:v>
                </c:pt>
                <c:pt idx="15">
                  <c:v>3322.9</c:v>
                </c:pt>
                <c:pt idx="16">
                  <c:v>4319.5</c:v>
                </c:pt>
                <c:pt idx="17">
                  <c:v>8364.0</c:v>
                </c:pt>
                <c:pt idx="18">
                  <c:v>9475.9</c:v>
                </c:pt>
                <c:pt idx="19">
                  <c:v>10443.0</c:v>
                </c:pt>
                <c:pt idx="20">
                  <c:v>10088.0</c:v>
                </c:pt>
                <c:pt idx="21">
                  <c:v>12285.0</c:v>
                </c:pt>
                <c:pt idx="22">
                  <c:v>11486.0</c:v>
                </c:pt>
                <c:pt idx="23">
                  <c:v>12077.0</c:v>
                </c:pt>
                <c:pt idx="24">
                  <c:v>11330.0</c:v>
                </c:pt>
                <c:pt idx="25">
                  <c:v>9584.1</c:v>
                </c:pt>
                <c:pt idx="26">
                  <c:v>7602.7</c:v>
                </c:pt>
                <c:pt idx="27">
                  <c:v>5928.5</c:v>
                </c:pt>
                <c:pt idx="28">
                  <c:v>9269.6</c:v>
                </c:pt>
                <c:pt idx="29">
                  <c:v>11795.0</c:v>
                </c:pt>
                <c:pt idx="30">
                  <c:v>11407.0</c:v>
                </c:pt>
                <c:pt idx="31">
                  <c:v>13658.0</c:v>
                </c:pt>
                <c:pt idx="32">
                  <c:v>11480.0</c:v>
                </c:pt>
                <c:pt idx="33">
                  <c:v>10056.0</c:v>
                </c:pt>
                <c:pt idx="34">
                  <c:v>9972.799999999999</c:v>
                </c:pt>
                <c:pt idx="35">
                  <c:v>10872.0</c:v>
                </c:pt>
                <c:pt idx="36">
                  <c:v>10052.0</c:v>
                </c:pt>
                <c:pt idx="37">
                  <c:v>9799.9</c:v>
                </c:pt>
              </c:numCache>
            </c:numRef>
          </c:yVal>
          <c:smooth val="0"/>
        </c:ser>
        <c:ser>
          <c:idx val="7"/>
          <c:order val="4"/>
          <c:tx>
            <c:v>2001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'Past BiomEst'!$A$51:$A$88</c:f>
              <c:numCache>
                <c:formatCode>General</c:formatCode>
                <c:ptCount val="3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</c:numCache>
            </c:numRef>
          </c:xVal>
          <c:yVal>
            <c:numRef>
              <c:f>'Past BiomEst'!$AK$51:$AK$88</c:f>
              <c:numCache>
                <c:formatCode>General</c:formatCode>
                <c:ptCount val="38"/>
                <c:pt idx="0">
                  <c:v>751.26</c:v>
                </c:pt>
                <c:pt idx="1">
                  <c:v>975.71</c:v>
                </c:pt>
                <c:pt idx="2">
                  <c:v>1000.8</c:v>
                </c:pt>
                <c:pt idx="3">
                  <c:v>1957.0</c:v>
                </c:pt>
                <c:pt idx="4">
                  <c:v>2311.9</c:v>
                </c:pt>
                <c:pt idx="5">
                  <c:v>3379.1</c:v>
                </c:pt>
                <c:pt idx="6">
                  <c:v>3997.5</c:v>
                </c:pt>
                <c:pt idx="7">
                  <c:v>4371.7</c:v>
                </c:pt>
                <c:pt idx="8">
                  <c:v>3983.8</c:v>
                </c:pt>
                <c:pt idx="9">
                  <c:v>2872.5</c:v>
                </c:pt>
                <c:pt idx="10">
                  <c:v>1648.3</c:v>
                </c:pt>
                <c:pt idx="11">
                  <c:v>2536.2</c:v>
                </c:pt>
                <c:pt idx="12">
                  <c:v>2694.1</c:v>
                </c:pt>
                <c:pt idx="13">
                  <c:v>2700.2</c:v>
                </c:pt>
                <c:pt idx="14">
                  <c:v>2607.4</c:v>
                </c:pt>
                <c:pt idx="15">
                  <c:v>2639.3</c:v>
                </c:pt>
                <c:pt idx="16">
                  <c:v>3720.7</c:v>
                </c:pt>
                <c:pt idx="17">
                  <c:v>7829.1</c:v>
                </c:pt>
                <c:pt idx="18">
                  <c:v>9014.799999999999</c:v>
                </c:pt>
                <c:pt idx="19">
                  <c:v>9950.9</c:v>
                </c:pt>
                <c:pt idx="20">
                  <c:v>9511.2</c:v>
                </c:pt>
                <c:pt idx="21">
                  <c:v>11175.0</c:v>
                </c:pt>
                <c:pt idx="22">
                  <c:v>10271.0</c:v>
                </c:pt>
                <c:pt idx="23">
                  <c:v>10630.0</c:v>
                </c:pt>
                <c:pt idx="24">
                  <c:v>9904.299999999999</c:v>
                </c:pt>
                <c:pt idx="25">
                  <c:v>8246.6</c:v>
                </c:pt>
                <c:pt idx="26">
                  <c:v>6469.0</c:v>
                </c:pt>
                <c:pt idx="27">
                  <c:v>4854.3</c:v>
                </c:pt>
                <c:pt idx="28">
                  <c:v>7903.5</c:v>
                </c:pt>
                <c:pt idx="29">
                  <c:v>10203.0</c:v>
                </c:pt>
                <c:pt idx="30">
                  <c:v>9246.7</c:v>
                </c:pt>
                <c:pt idx="31">
                  <c:v>10210.0</c:v>
                </c:pt>
                <c:pt idx="32">
                  <c:v>8498.299999999999</c:v>
                </c:pt>
                <c:pt idx="33">
                  <c:v>7000.1</c:v>
                </c:pt>
                <c:pt idx="34">
                  <c:v>7387.1</c:v>
                </c:pt>
                <c:pt idx="35">
                  <c:v>10741.0</c:v>
                </c:pt>
                <c:pt idx="36">
                  <c:v>10464.0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'Past BiomEst'!$AY$50</c:f>
              <c:strCache>
                <c:ptCount val="1"/>
                <c:pt idx="0">
                  <c:v>2002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ysDot"/>
            </a:ln>
          </c:spPr>
          <c:marker>
            <c:symbol val="none"/>
          </c:marker>
          <c:xVal>
            <c:numRef>
              <c:f>'Past BiomEst'!$BA$51:$BA$91</c:f>
              <c:numCache>
                <c:formatCode>General</c:formatCode>
                <c:ptCount val="41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</c:numCache>
            </c:numRef>
          </c:xVal>
          <c:yVal>
            <c:numRef>
              <c:f>'Past BiomEst'!$AY$51:$AY$91</c:f>
              <c:numCache>
                <c:formatCode>General</c:formatCode>
                <c:ptCount val="41"/>
                <c:pt idx="0">
                  <c:v>1784.0</c:v>
                </c:pt>
                <c:pt idx="1">
                  <c:v>2266.0</c:v>
                </c:pt>
                <c:pt idx="2">
                  <c:v>2324.0</c:v>
                </c:pt>
                <c:pt idx="3">
                  <c:v>3511.0</c:v>
                </c:pt>
                <c:pt idx="4">
                  <c:v>3976.0</c:v>
                </c:pt>
                <c:pt idx="5">
                  <c:v>5252.0</c:v>
                </c:pt>
                <c:pt idx="6">
                  <c:v>6201.0</c:v>
                </c:pt>
                <c:pt idx="7">
                  <c:v>6702.0</c:v>
                </c:pt>
                <c:pt idx="8">
                  <c:v>6194.0</c:v>
                </c:pt>
                <c:pt idx="9">
                  <c:v>4626.0</c:v>
                </c:pt>
                <c:pt idx="10">
                  <c:v>3287.0</c:v>
                </c:pt>
                <c:pt idx="11">
                  <c:v>3436.0</c:v>
                </c:pt>
                <c:pt idx="12">
                  <c:v>3492.0</c:v>
                </c:pt>
                <c:pt idx="13">
                  <c:v>3496.0</c:v>
                </c:pt>
                <c:pt idx="14">
                  <c:v>3375.0</c:v>
                </c:pt>
                <c:pt idx="15">
                  <c:v>3329.0</c:v>
                </c:pt>
                <c:pt idx="16">
                  <c:v>4385.0</c:v>
                </c:pt>
                <c:pt idx="17">
                  <c:v>8239.0</c:v>
                </c:pt>
                <c:pt idx="18">
                  <c:v>9388.0</c:v>
                </c:pt>
                <c:pt idx="19">
                  <c:v>10441.0</c:v>
                </c:pt>
                <c:pt idx="20">
                  <c:v>10143.0</c:v>
                </c:pt>
                <c:pt idx="21">
                  <c:v>12344.0</c:v>
                </c:pt>
                <c:pt idx="22">
                  <c:v>11538.0</c:v>
                </c:pt>
                <c:pt idx="23">
                  <c:v>12116.0</c:v>
                </c:pt>
                <c:pt idx="24">
                  <c:v>11317.0</c:v>
                </c:pt>
                <c:pt idx="25">
                  <c:v>9540.0</c:v>
                </c:pt>
                <c:pt idx="26">
                  <c:v>7524.0</c:v>
                </c:pt>
                <c:pt idx="27">
                  <c:v>5708.0</c:v>
                </c:pt>
                <c:pt idx="28">
                  <c:v>9227.0</c:v>
                </c:pt>
                <c:pt idx="29">
                  <c:v>12110.0</c:v>
                </c:pt>
                <c:pt idx="30">
                  <c:v>11358.0</c:v>
                </c:pt>
                <c:pt idx="31">
                  <c:v>13848.0</c:v>
                </c:pt>
                <c:pt idx="32">
                  <c:v>11988.0</c:v>
                </c:pt>
                <c:pt idx="33">
                  <c:v>10142.0</c:v>
                </c:pt>
                <c:pt idx="34">
                  <c:v>10466.0</c:v>
                </c:pt>
                <c:pt idx="35">
                  <c:v>12712.0</c:v>
                </c:pt>
                <c:pt idx="36">
                  <c:v>11807.0</c:v>
                </c:pt>
                <c:pt idx="37">
                  <c:v>11511.0</c:v>
                </c:pt>
                <c:pt idx="38">
                  <c:v>11118.0</c:v>
                </c:pt>
              </c:numCache>
            </c:numRef>
          </c:yVal>
          <c:smooth val="0"/>
        </c:ser>
        <c:ser>
          <c:idx val="11"/>
          <c:order val="6"/>
          <c:tx>
            <c:strRef>
              <c:f>'Past BiomEst'!$BB$50</c:f>
              <c:strCache>
                <c:ptCount val="1"/>
                <c:pt idx="0">
                  <c:v>2003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'Past BiomEst'!$BA$51:$BA$93</c:f>
              <c:numCache>
                <c:formatCode>General</c:formatCode>
                <c:ptCount val="43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</c:numCache>
            </c:numRef>
          </c:xVal>
          <c:yVal>
            <c:numRef>
              <c:f>'Past BiomEst'!$BB$51:$BB$93</c:f>
              <c:numCache>
                <c:formatCode>General</c:formatCode>
                <c:ptCount val="43"/>
                <c:pt idx="0">
                  <c:v>1822.3</c:v>
                </c:pt>
                <c:pt idx="1">
                  <c:v>2311.9</c:v>
                </c:pt>
                <c:pt idx="2">
                  <c:v>2371.6</c:v>
                </c:pt>
                <c:pt idx="3">
                  <c:v>3574.6</c:v>
                </c:pt>
                <c:pt idx="4">
                  <c:v>4048.8</c:v>
                </c:pt>
                <c:pt idx="5">
                  <c:v>5339.9</c:v>
                </c:pt>
                <c:pt idx="6">
                  <c:v>6296.1</c:v>
                </c:pt>
                <c:pt idx="7">
                  <c:v>6796.5</c:v>
                </c:pt>
                <c:pt idx="8">
                  <c:v>6281.7</c:v>
                </c:pt>
                <c:pt idx="9">
                  <c:v>4705.1</c:v>
                </c:pt>
                <c:pt idx="10">
                  <c:v>3355.8</c:v>
                </c:pt>
                <c:pt idx="11">
                  <c:v>3489.3</c:v>
                </c:pt>
                <c:pt idx="12">
                  <c:v>3538.2</c:v>
                </c:pt>
                <c:pt idx="13">
                  <c:v>3541.1</c:v>
                </c:pt>
                <c:pt idx="14">
                  <c:v>3422.0</c:v>
                </c:pt>
                <c:pt idx="15">
                  <c:v>3380.3</c:v>
                </c:pt>
                <c:pt idx="16">
                  <c:v>4461.6</c:v>
                </c:pt>
                <c:pt idx="17">
                  <c:v>8414.0</c:v>
                </c:pt>
                <c:pt idx="18">
                  <c:v>9614.4</c:v>
                </c:pt>
                <c:pt idx="19">
                  <c:v>10728.0</c:v>
                </c:pt>
                <c:pt idx="20">
                  <c:v>10456.0</c:v>
                </c:pt>
                <c:pt idx="21">
                  <c:v>12771.0</c:v>
                </c:pt>
                <c:pt idx="22">
                  <c:v>11973.0</c:v>
                </c:pt>
                <c:pt idx="23">
                  <c:v>12596.0</c:v>
                </c:pt>
                <c:pt idx="24">
                  <c:v>11633.0</c:v>
                </c:pt>
                <c:pt idx="25">
                  <c:v>9849.5</c:v>
                </c:pt>
                <c:pt idx="26">
                  <c:v>7810.8</c:v>
                </c:pt>
                <c:pt idx="27">
                  <c:v>5977.4</c:v>
                </c:pt>
                <c:pt idx="28">
                  <c:v>9613.9</c:v>
                </c:pt>
                <c:pt idx="29">
                  <c:v>12363.0</c:v>
                </c:pt>
                <c:pt idx="30">
                  <c:v>11696.0</c:v>
                </c:pt>
                <c:pt idx="31">
                  <c:v>14474.0</c:v>
                </c:pt>
                <c:pt idx="32">
                  <c:v>12630.0</c:v>
                </c:pt>
                <c:pt idx="33">
                  <c:v>10775.0</c:v>
                </c:pt>
                <c:pt idx="34">
                  <c:v>11110.0</c:v>
                </c:pt>
                <c:pt idx="35">
                  <c:v>13339.0</c:v>
                </c:pt>
                <c:pt idx="36">
                  <c:v>12498.0</c:v>
                </c:pt>
                <c:pt idx="37">
                  <c:v>12394.0</c:v>
                </c:pt>
                <c:pt idx="38">
                  <c:v>12930.0</c:v>
                </c:pt>
                <c:pt idx="39">
                  <c:v>12688.0</c:v>
                </c:pt>
                <c:pt idx="40">
                  <c:v>11217.0</c:v>
                </c:pt>
              </c:numCache>
            </c:numRef>
          </c:yVal>
          <c:smooth val="0"/>
        </c:ser>
        <c:ser>
          <c:idx val="10"/>
          <c:order val="7"/>
          <c:tx>
            <c:strRef>
              <c:f>'Past BiomEst'!$BD$50</c:f>
              <c:strCache>
                <c:ptCount val="1"/>
                <c:pt idx="0">
                  <c:v>2005</c:v>
                </c:pt>
              </c:strCache>
            </c:strRef>
          </c:tx>
          <c:spPr>
            <a:ln w="38100">
              <a:solidFill>
                <a:srgbClr val="339933"/>
              </a:solidFill>
              <a:prstDash val="solid"/>
            </a:ln>
          </c:spPr>
          <c:marker>
            <c:symbol val="square"/>
            <c:size val="9"/>
            <c:spPr>
              <a:solidFill>
                <a:srgbClr val="FFFFFF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xVal>
            <c:numRef>
              <c:f>'Past BiomEst'!$BA$51:$BA$93</c:f>
              <c:numCache>
                <c:formatCode>General</c:formatCode>
                <c:ptCount val="43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</c:numCache>
            </c:numRef>
          </c:xVal>
          <c:yVal>
            <c:numRef>
              <c:f>'Past BiomEst'!$BD$51:$BD$93</c:f>
              <c:numCache>
                <c:formatCode>General</c:formatCode>
                <c:ptCount val="43"/>
                <c:pt idx="0">
                  <c:v>1779.2</c:v>
                </c:pt>
                <c:pt idx="1">
                  <c:v>2221.5</c:v>
                </c:pt>
                <c:pt idx="2">
                  <c:v>2287.9</c:v>
                </c:pt>
                <c:pt idx="3">
                  <c:v>3482.6</c:v>
                </c:pt>
                <c:pt idx="4">
                  <c:v>3881.2</c:v>
                </c:pt>
                <c:pt idx="5">
                  <c:v>5322.8</c:v>
                </c:pt>
                <c:pt idx="6">
                  <c:v>6447.3</c:v>
                </c:pt>
                <c:pt idx="7">
                  <c:v>7144.8</c:v>
                </c:pt>
                <c:pt idx="8">
                  <c:v>6692.3</c:v>
                </c:pt>
                <c:pt idx="9">
                  <c:v>5054.7</c:v>
                </c:pt>
                <c:pt idx="10">
                  <c:v>3634.5</c:v>
                </c:pt>
                <c:pt idx="11">
                  <c:v>3666.1</c:v>
                </c:pt>
                <c:pt idx="12">
                  <c:v>3613.7</c:v>
                </c:pt>
                <c:pt idx="13">
                  <c:v>3548.0</c:v>
                </c:pt>
                <c:pt idx="14">
                  <c:v>3360.6</c:v>
                </c:pt>
                <c:pt idx="15">
                  <c:v>3272.5</c:v>
                </c:pt>
                <c:pt idx="16">
                  <c:v>4372.7</c:v>
                </c:pt>
                <c:pt idx="17">
                  <c:v>8288.9</c:v>
                </c:pt>
                <c:pt idx="18">
                  <c:v>9445.799999999999</c:v>
                </c:pt>
                <c:pt idx="19">
                  <c:v>10536.0</c:v>
                </c:pt>
                <c:pt idx="20">
                  <c:v>10244.0</c:v>
                </c:pt>
                <c:pt idx="21">
                  <c:v>12435.0</c:v>
                </c:pt>
                <c:pt idx="22">
                  <c:v>11609.0</c:v>
                </c:pt>
                <c:pt idx="23">
                  <c:v>12106.0</c:v>
                </c:pt>
                <c:pt idx="24">
                  <c:v>11153.0</c:v>
                </c:pt>
                <c:pt idx="25">
                  <c:v>9384.299999999999</c:v>
                </c:pt>
                <c:pt idx="26">
                  <c:v>7391.6</c:v>
                </c:pt>
                <c:pt idx="27">
                  <c:v>5454.2</c:v>
                </c:pt>
                <c:pt idx="28">
                  <c:v>8904.5</c:v>
                </c:pt>
                <c:pt idx="29">
                  <c:v>11669.0</c:v>
                </c:pt>
                <c:pt idx="30">
                  <c:v>11000.0</c:v>
                </c:pt>
                <c:pt idx="31">
                  <c:v>13605.0</c:v>
                </c:pt>
                <c:pt idx="32">
                  <c:v>11826.0</c:v>
                </c:pt>
                <c:pt idx="33">
                  <c:v>9966.4</c:v>
                </c:pt>
                <c:pt idx="34">
                  <c:v>9915.1</c:v>
                </c:pt>
                <c:pt idx="35">
                  <c:v>10998.0</c:v>
                </c:pt>
                <c:pt idx="36">
                  <c:v>9947.2</c:v>
                </c:pt>
                <c:pt idx="37">
                  <c:v>9565.7</c:v>
                </c:pt>
                <c:pt idx="38">
                  <c:v>9823.5</c:v>
                </c:pt>
                <c:pt idx="39">
                  <c:v>13073.0</c:v>
                </c:pt>
                <c:pt idx="40">
                  <c:v>10972.0</c:v>
                </c:pt>
                <c:pt idx="41">
                  <c:v>9276.9</c:v>
                </c:pt>
                <c:pt idx="42">
                  <c:v>8232.299999999999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'Past BiomEst'!$Z$50</c:f>
              <c:strCache>
                <c:ptCount val="1"/>
                <c:pt idx="0">
                  <c:v>2007</c:v>
                </c:pt>
              </c:strCache>
            </c:strRef>
          </c:tx>
          <c:spPr>
            <a:ln w="12700">
              <a:solidFill>
                <a:srgbClr val="A6CAF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A6CAF0"/>
                </a:solidFill>
                <a:prstDash val="solid"/>
              </a:ln>
            </c:spPr>
          </c:marker>
          <c:xVal>
            <c:numRef>
              <c:f>'Past BiomEst'!$S$51:$S$95</c:f>
              <c:numCache>
                <c:formatCode>General</c:formatCode>
                <c:ptCount val="45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</c:numCache>
            </c:numRef>
          </c:xVal>
          <c:yVal>
            <c:numRef>
              <c:f>'Past BiomEst'!$Z$51:$Z$94</c:f>
              <c:numCache>
                <c:formatCode>General</c:formatCode>
                <c:ptCount val="44"/>
                <c:pt idx="0">
                  <c:v>1716.6</c:v>
                </c:pt>
                <c:pt idx="1">
                  <c:v>2141.4</c:v>
                </c:pt>
                <c:pt idx="2">
                  <c:v>2037.4</c:v>
                </c:pt>
                <c:pt idx="3">
                  <c:v>3206.1</c:v>
                </c:pt>
                <c:pt idx="4">
                  <c:v>3558.1</c:v>
                </c:pt>
                <c:pt idx="5">
                  <c:v>5117.6</c:v>
                </c:pt>
                <c:pt idx="6">
                  <c:v>6368.2</c:v>
                </c:pt>
                <c:pt idx="7">
                  <c:v>7163.5</c:v>
                </c:pt>
                <c:pt idx="8">
                  <c:v>6665.8</c:v>
                </c:pt>
                <c:pt idx="9">
                  <c:v>4941.8</c:v>
                </c:pt>
                <c:pt idx="10">
                  <c:v>3474.7</c:v>
                </c:pt>
                <c:pt idx="11">
                  <c:v>3604.2</c:v>
                </c:pt>
                <c:pt idx="12">
                  <c:v>3583.8</c:v>
                </c:pt>
                <c:pt idx="13">
                  <c:v>3602.2</c:v>
                </c:pt>
                <c:pt idx="14">
                  <c:v>3475.7</c:v>
                </c:pt>
                <c:pt idx="15">
                  <c:v>3363.0</c:v>
                </c:pt>
                <c:pt idx="16">
                  <c:v>4383.9</c:v>
                </c:pt>
                <c:pt idx="17">
                  <c:v>8307.4</c:v>
                </c:pt>
                <c:pt idx="18">
                  <c:v>9439.0</c:v>
                </c:pt>
                <c:pt idx="19">
                  <c:v>10493.0</c:v>
                </c:pt>
                <c:pt idx="20">
                  <c:v>10200.0</c:v>
                </c:pt>
                <c:pt idx="21">
                  <c:v>12531.0</c:v>
                </c:pt>
                <c:pt idx="22">
                  <c:v>11773.0</c:v>
                </c:pt>
                <c:pt idx="23">
                  <c:v>12401.0</c:v>
                </c:pt>
                <c:pt idx="24">
                  <c:v>11617.0</c:v>
                </c:pt>
                <c:pt idx="25">
                  <c:v>9874.5</c:v>
                </c:pt>
                <c:pt idx="26">
                  <c:v>7846.9</c:v>
                </c:pt>
                <c:pt idx="27">
                  <c:v>6096.8</c:v>
                </c:pt>
                <c:pt idx="28">
                  <c:v>9557.0</c:v>
                </c:pt>
                <c:pt idx="29">
                  <c:v>11832.0</c:v>
                </c:pt>
                <c:pt idx="30">
                  <c:v>11485.0</c:v>
                </c:pt>
                <c:pt idx="31">
                  <c:v>13615.0</c:v>
                </c:pt>
                <c:pt idx="32">
                  <c:v>11537.0</c:v>
                </c:pt>
                <c:pt idx="33">
                  <c:v>10104.0</c:v>
                </c:pt>
                <c:pt idx="34">
                  <c:v>10178.0</c:v>
                </c:pt>
                <c:pt idx="35">
                  <c:v>11081.0</c:v>
                </c:pt>
                <c:pt idx="36">
                  <c:v>10201.0</c:v>
                </c:pt>
                <c:pt idx="37">
                  <c:v>9897.5</c:v>
                </c:pt>
                <c:pt idx="38">
                  <c:v>10224.0</c:v>
                </c:pt>
                <c:pt idx="39">
                  <c:v>12865.0</c:v>
                </c:pt>
                <c:pt idx="40">
                  <c:v>11784.0</c:v>
                </c:pt>
                <c:pt idx="41">
                  <c:v>9597.5</c:v>
                </c:pt>
                <c:pt idx="42">
                  <c:v>7178.1</c:v>
                </c:pt>
                <c:pt idx="43">
                  <c:v>5363.4</c:v>
                </c:pt>
              </c:numCache>
            </c:numRef>
          </c:yVal>
          <c:smooth val="0"/>
        </c:ser>
        <c:ser>
          <c:idx val="13"/>
          <c:order val="9"/>
          <c:tx>
            <c:strRef>
              <c:f>'Past BiomEst'!$V$50</c:f>
              <c:strCache>
                <c:ptCount val="1"/>
                <c:pt idx="0">
                  <c:v>2008</c:v>
                </c:pt>
              </c:strCache>
            </c:strRef>
          </c:tx>
          <c:spPr>
            <a:ln w="25400">
              <a:solidFill>
                <a:srgbClr val="CC9CCC"/>
              </a:solidFill>
              <a:prstDash val="solid"/>
            </a:ln>
          </c:spPr>
          <c:marker>
            <c:symbol val="x"/>
            <c:size val="10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'Past BiomEst'!$S$51:$S$96</c:f>
              <c:numCache>
                <c:formatCode>General</c:formatCode>
                <c:ptCount val="46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</c:numCache>
            </c:numRef>
          </c:xVal>
          <c:yVal>
            <c:numRef>
              <c:f>'Past BiomEst'!$V$51:$V$96</c:f>
              <c:numCache>
                <c:formatCode>General</c:formatCode>
                <c:ptCount val="46"/>
                <c:pt idx="0">
                  <c:v>1600.0</c:v>
                </c:pt>
                <c:pt idx="1">
                  <c:v>2050.4</c:v>
                </c:pt>
                <c:pt idx="2">
                  <c:v>2007.1</c:v>
                </c:pt>
                <c:pt idx="3">
                  <c:v>3245.1</c:v>
                </c:pt>
                <c:pt idx="4">
                  <c:v>3591.5</c:v>
                </c:pt>
                <c:pt idx="5">
                  <c:v>5019.9</c:v>
                </c:pt>
                <c:pt idx="6">
                  <c:v>6005.2</c:v>
                </c:pt>
                <c:pt idx="7">
                  <c:v>6726.5</c:v>
                </c:pt>
                <c:pt idx="8">
                  <c:v>6288.8</c:v>
                </c:pt>
                <c:pt idx="9">
                  <c:v>4555.9</c:v>
                </c:pt>
                <c:pt idx="10">
                  <c:v>3064.3</c:v>
                </c:pt>
                <c:pt idx="11">
                  <c:v>3275.8</c:v>
                </c:pt>
                <c:pt idx="12">
                  <c:v>3339.3</c:v>
                </c:pt>
                <c:pt idx="13">
                  <c:v>3340.1</c:v>
                </c:pt>
                <c:pt idx="14">
                  <c:v>3202.1</c:v>
                </c:pt>
                <c:pt idx="15">
                  <c:v>3089.6</c:v>
                </c:pt>
                <c:pt idx="16">
                  <c:v>4043.6</c:v>
                </c:pt>
                <c:pt idx="17">
                  <c:v>7704.0</c:v>
                </c:pt>
                <c:pt idx="18">
                  <c:v>8782.799999999999</c:v>
                </c:pt>
                <c:pt idx="19">
                  <c:v>9803.6</c:v>
                </c:pt>
                <c:pt idx="20">
                  <c:v>9517.7</c:v>
                </c:pt>
                <c:pt idx="21">
                  <c:v>11802.0</c:v>
                </c:pt>
                <c:pt idx="22">
                  <c:v>11075.0</c:v>
                </c:pt>
                <c:pt idx="23">
                  <c:v>11732.0</c:v>
                </c:pt>
                <c:pt idx="24">
                  <c:v>11004.0</c:v>
                </c:pt>
                <c:pt idx="25">
                  <c:v>9320.1</c:v>
                </c:pt>
                <c:pt idx="26">
                  <c:v>7344.7</c:v>
                </c:pt>
                <c:pt idx="27">
                  <c:v>5590.1</c:v>
                </c:pt>
                <c:pt idx="28">
                  <c:v>8966.2</c:v>
                </c:pt>
                <c:pt idx="29">
                  <c:v>11175.0</c:v>
                </c:pt>
                <c:pt idx="30">
                  <c:v>10782.0</c:v>
                </c:pt>
                <c:pt idx="31">
                  <c:v>12704.0</c:v>
                </c:pt>
                <c:pt idx="32">
                  <c:v>10829.0</c:v>
                </c:pt>
                <c:pt idx="33">
                  <c:v>9403.2</c:v>
                </c:pt>
                <c:pt idx="34">
                  <c:v>9466.9</c:v>
                </c:pt>
                <c:pt idx="35">
                  <c:v>10379.0</c:v>
                </c:pt>
                <c:pt idx="36">
                  <c:v>9503.299999999999</c:v>
                </c:pt>
                <c:pt idx="37">
                  <c:v>9175.1</c:v>
                </c:pt>
                <c:pt idx="38">
                  <c:v>9553.6</c:v>
                </c:pt>
                <c:pt idx="39">
                  <c:v>11182.0</c:v>
                </c:pt>
                <c:pt idx="40">
                  <c:v>10274.0</c:v>
                </c:pt>
                <c:pt idx="41">
                  <c:v>8423.4</c:v>
                </c:pt>
                <c:pt idx="42">
                  <c:v>6340.2</c:v>
                </c:pt>
                <c:pt idx="43">
                  <c:v>5015.1</c:v>
                </c:pt>
                <c:pt idx="44">
                  <c:v>4222.2</c:v>
                </c:pt>
                <c:pt idx="45">
                  <c:v>6239.8</c:v>
                </c:pt>
              </c:numCache>
            </c:numRef>
          </c:yVal>
          <c:smooth val="0"/>
        </c:ser>
        <c:ser>
          <c:idx val="0"/>
          <c:order val="10"/>
          <c:tx>
            <c:strRef>
              <c:f>'Past BiomEst'!$T$50</c:f>
              <c:strCache>
                <c:ptCount val="1"/>
                <c:pt idx="0">
                  <c:v>2009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'Past BiomEst'!$A$51:$A$99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xVal>
          <c:yVal>
            <c:numRef>
              <c:f>'Past BiomEst'!$T$51:$T$99</c:f>
              <c:numCache>
                <c:formatCode>General</c:formatCode>
                <c:ptCount val="49"/>
                <c:pt idx="0">
                  <c:v>1564.3</c:v>
                </c:pt>
                <c:pt idx="1">
                  <c:v>2007.8</c:v>
                </c:pt>
                <c:pt idx="2">
                  <c:v>1947.4</c:v>
                </c:pt>
                <c:pt idx="3">
                  <c:v>3148.8</c:v>
                </c:pt>
                <c:pt idx="4">
                  <c:v>3510.3</c:v>
                </c:pt>
                <c:pt idx="5">
                  <c:v>5006.9</c:v>
                </c:pt>
                <c:pt idx="6">
                  <c:v>6158.5</c:v>
                </c:pt>
                <c:pt idx="7">
                  <c:v>6949.4</c:v>
                </c:pt>
                <c:pt idx="8">
                  <c:v>6444.4</c:v>
                </c:pt>
                <c:pt idx="9">
                  <c:v>4695.5</c:v>
                </c:pt>
                <c:pt idx="10">
                  <c:v>3195.5</c:v>
                </c:pt>
                <c:pt idx="11">
                  <c:v>3383.7</c:v>
                </c:pt>
                <c:pt idx="12">
                  <c:v>3430.9</c:v>
                </c:pt>
                <c:pt idx="13">
                  <c:v>3456.5</c:v>
                </c:pt>
                <c:pt idx="14">
                  <c:v>3340.0</c:v>
                </c:pt>
                <c:pt idx="15">
                  <c:v>3211.9</c:v>
                </c:pt>
                <c:pt idx="16">
                  <c:v>4123.8</c:v>
                </c:pt>
                <c:pt idx="17">
                  <c:v>8031.0</c:v>
                </c:pt>
                <c:pt idx="18">
                  <c:v>9164.5</c:v>
                </c:pt>
                <c:pt idx="19">
                  <c:v>10168.0</c:v>
                </c:pt>
                <c:pt idx="20">
                  <c:v>9856.5</c:v>
                </c:pt>
                <c:pt idx="21">
                  <c:v>12027.0</c:v>
                </c:pt>
                <c:pt idx="22">
                  <c:v>11269.0</c:v>
                </c:pt>
                <c:pt idx="23">
                  <c:v>11915.0</c:v>
                </c:pt>
                <c:pt idx="24">
                  <c:v>11227.0</c:v>
                </c:pt>
                <c:pt idx="25">
                  <c:v>9520.6</c:v>
                </c:pt>
                <c:pt idx="26">
                  <c:v>7558.3</c:v>
                </c:pt>
                <c:pt idx="27">
                  <c:v>5811.2</c:v>
                </c:pt>
                <c:pt idx="28">
                  <c:v>9211.0</c:v>
                </c:pt>
                <c:pt idx="29">
                  <c:v>11388.0</c:v>
                </c:pt>
                <c:pt idx="30">
                  <c:v>10990.0</c:v>
                </c:pt>
                <c:pt idx="31">
                  <c:v>12699.0</c:v>
                </c:pt>
                <c:pt idx="32">
                  <c:v>10843.0</c:v>
                </c:pt>
                <c:pt idx="33">
                  <c:v>9440.1</c:v>
                </c:pt>
                <c:pt idx="34">
                  <c:v>9537.7</c:v>
                </c:pt>
                <c:pt idx="35">
                  <c:v>10421.0</c:v>
                </c:pt>
                <c:pt idx="36">
                  <c:v>9632.2</c:v>
                </c:pt>
                <c:pt idx="37">
                  <c:v>9341.2</c:v>
                </c:pt>
                <c:pt idx="38">
                  <c:v>9595.1</c:v>
                </c:pt>
                <c:pt idx="39">
                  <c:v>11453.0</c:v>
                </c:pt>
                <c:pt idx="40">
                  <c:v>10606.0</c:v>
                </c:pt>
                <c:pt idx="41">
                  <c:v>8735.9</c:v>
                </c:pt>
                <c:pt idx="42">
                  <c:v>6542.8</c:v>
                </c:pt>
                <c:pt idx="43">
                  <c:v>5089.6</c:v>
                </c:pt>
                <c:pt idx="44">
                  <c:v>3809.2</c:v>
                </c:pt>
                <c:pt idx="45">
                  <c:v>4761.6</c:v>
                </c:pt>
                <c:pt idx="46">
                  <c:v>4615.5</c:v>
                </c:pt>
                <c:pt idx="47">
                  <c:v>6223.3</c:v>
                </c:pt>
              </c:numCache>
            </c:numRef>
          </c:yVal>
          <c:smooth val="0"/>
        </c:ser>
        <c:ser>
          <c:idx val="5"/>
          <c:order val="11"/>
          <c:tx>
            <c:strRef>
              <c:f>'Past BiomEst'!$P$50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xVal>
            <c:numRef>
              <c:f>'Past BiomEst'!$A$51:$A$98</c:f>
              <c:numCache>
                <c:formatCode>General</c:formatCode>
                <c:ptCount val="4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</c:numCache>
            </c:numRef>
          </c:xVal>
          <c:yVal>
            <c:numRef>
              <c:f>'Past BiomEst'!$P$51:$P$98</c:f>
              <c:numCache>
                <c:formatCode>General</c:formatCode>
                <c:ptCount val="48"/>
                <c:pt idx="0">
                  <c:v>1583.6</c:v>
                </c:pt>
                <c:pt idx="1">
                  <c:v>2000.5</c:v>
                </c:pt>
                <c:pt idx="2">
                  <c:v>1935.9</c:v>
                </c:pt>
                <c:pt idx="3">
                  <c:v>3130.0</c:v>
                </c:pt>
                <c:pt idx="4">
                  <c:v>3475.5</c:v>
                </c:pt>
                <c:pt idx="5">
                  <c:v>4867.7</c:v>
                </c:pt>
                <c:pt idx="6">
                  <c:v>5962.2</c:v>
                </c:pt>
                <c:pt idx="7">
                  <c:v>6774.6</c:v>
                </c:pt>
                <c:pt idx="8">
                  <c:v>6268.2</c:v>
                </c:pt>
                <c:pt idx="9">
                  <c:v>4538.8</c:v>
                </c:pt>
                <c:pt idx="10">
                  <c:v>3077.6</c:v>
                </c:pt>
                <c:pt idx="11">
                  <c:v>3360.1</c:v>
                </c:pt>
                <c:pt idx="12">
                  <c:v>3454.7</c:v>
                </c:pt>
                <c:pt idx="13">
                  <c:v>3493.7</c:v>
                </c:pt>
                <c:pt idx="14">
                  <c:v>3382.9</c:v>
                </c:pt>
                <c:pt idx="15">
                  <c:v>3259.4</c:v>
                </c:pt>
                <c:pt idx="16">
                  <c:v>4190.6</c:v>
                </c:pt>
                <c:pt idx="17">
                  <c:v>8166.2</c:v>
                </c:pt>
                <c:pt idx="18">
                  <c:v>9321.1</c:v>
                </c:pt>
                <c:pt idx="19">
                  <c:v>10345.0</c:v>
                </c:pt>
                <c:pt idx="20">
                  <c:v>10029.0</c:v>
                </c:pt>
                <c:pt idx="21">
                  <c:v>12213.0</c:v>
                </c:pt>
                <c:pt idx="22">
                  <c:v>11440.0</c:v>
                </c:pt>
                <c:pt idx="23">
                  <c:v>12080.0</c:v>
                </c:pt>
                <c:pt idx="24">
                  <c:v>11372.0</c:v>
                </c:pt>
                <c:pt idx="25">
                  <c:v>9644.299999999999</c:v>
                </c:pt>
                <c:pt idx="26">
                  <c:v>7657.5</c:v>
                </c:pt>
                <c:pt idx="27">
                  <c:v>5889.5</c:v>
                </c:pt>
                <c:pt idx="28">
                  <c:v>9292.2</c:v>
                </c:pt>
                <c:pt idx="29">
                  <c:v>11466.0</c:v>
                </c:pt>
                <c:pt idx="30">
                  <c:v>11050.0</c:v>
                </c:pt>
                <c:pt idx="31">
                  <c:v>12748.0</c:v>
                </c:pt>
                <c:pt idx="32">
                  <c:v>10874.0</c:v>
                </c:pt>
                <c:pt idx="33">
                  <c:v>9457.1</c:v>
                </c:pt>
                <c:pt idx="34">
                  <c:v>9555.5</c:v>
                </c:pt>
                <c:pt idx="35">
                  <c:v>10482.0</c:v>
                </c:pt>
                <c:pt idx="36">
                  <c:v>9721.799999999999</c:v>
                </c:pt>
                <c:pt idx="37">
                  <c:v>9481.299999999999</c:v>
                </c:pt>
                <c:pt idx="38">
                  <c:v>9818.1</c:v>
                </c:pt>
                <c:pt idx="39">
                  <c:v>11780.0</c:v>
                </c:pt>
                <c:pt idx="40">
                  <c:v>10952.0</c:v>
                </c:pt>
                <c:pt idx="41">
                  <c:v>9056.9</c:v>
                </c:pt>
                <c:pt idx="42">
                  <c:v>6816.8</c:v>
                </c:pt>
                <c:pt idx="43">
                  <c:v>5352.1</c:v>
                </c:pt>
                <c:pt idx="44">
                  <c:v>4069.3</c:v>
                </c:pt>
                <c:pt idx="45">
                  <c:v>5903.2</c:v>
                </c:pt>
                <c:pt idx="46">
                  <c:v>6168.0</c:v>
                </c:pt>
                <c:pt idx="47">
                  <c:v>9050.0</c:v>
                </c:pt>
              </c:numCache>
            </c:numRef>
          </c:yVal>
          <c:smooth val="0"/>
        </c:ser>
        <c:ser>
          <c:idx val="6"/>
          <c:order val="12"/>
          <c:tx>
            <c:strRef>
              <c:f>'Past BiomEst'!$N$50</c:f>
              <c:strCache>
                <c:ptCount val="1"/>
                <c:pt idx="0">
                  <c:v>2011</c:v>
                </c:pt>
              </c:strCache>
            </c:strRef>
          </c:tx>
          <c:marker>
            <c:symbol val="none"/>
          </c:marker>
          <c:xVal>
            <c:numRef>
              <c:f>'Past BiomEst'!$A$51:$A$98</c:f>
              <c:numCache>
                <c:formatCode>General</c:formatCode>
                <c:ptCount val="4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</c:numCache>
            </c:numRef>
          </c:xVal>
          <c:yVal>
            <c:numRef>
              <c:f>'Past BiomEst'!$N$51:$N$98</c:f>
              <c:numCache>
                <c:formatCode>General</c:formatCode>
                <c:ptCount val="48"/>
                <c:pt idx="0">
                  <c:v>1601.5</c:v>
                </c:pt>
                <c:pt idx="1">
                  <c:v>2050.3</c:v>
                </c:pt>
                <c:pt idx="2">
                  <c:v>2158.8</c:v>
                </c:pt>
                <c:pt idx="3">
                  <c:v>3364.8</c:v>
                </c:pt>
                <c:pt idx="4">
                  <c:v>3838.1</c:v>
                </c:pt>
                <c:pt idx="5">
                  <c:v>5187.1</c:v>
                </c:pt>
                <c:pt idx="6">
                  <c:v>6221.4</c:v>
                </c:pt>
                <c:pt idx="7">
                  <c:v>6917.7</c:v>
                </c:pt>
                <c:pt idx="8">
                  <c:v>6328.9</c:v>
                </c:pt>
                <c:pt idx="9">
                  <c:v>4727.6</c:v>
                </c:pt>
                <c:pt idx="10">
                  <c:v>3329.3</c:v>
                </c:pt>
                <c:pt idx="11">
                  <c:v>3533.4</c:v>
                </c:pt>
                <c:pt idx="12">
                  <c:v>3580.3</c:v>
                </c:pt>
                <c:pt idx="13">
                  <c:v>3598.2</c:v>
                </c:pt>
                <c:pt idx="14">
                  <c:v>3496.6</c:v>
                </c:pt>
                <c:pt idx="15">
                  <c:v>3342.5</c:v>
                </c:pt>
                <c:pt idx="16">
                  <c:v>4229.6</c:v>
                </c:pt>
                <c:pt idx="17">
                  <c:v>8159.6</c:v>
                </c:pt>
                <c:pt idx="18">
                  <c:v>9313.299999999999</c:v>
                </c:pt>
                <c:pt idx="19">
                  <c:v>10340.0</c:v>
                </c:pt>
                <c:pt idx="20">
                  <c:v>10031.0</c:v>
                </c:pt>
                <c:pt idx="21">
                  <c:v>12186.0</c:v>
                </c:pt>
                <c:pt idx="22">
                  <c:v>11426.0</c:v>
                </c:pt>
                <c:pt idx="23">
                  <c:v>12063.0</c:v>
                </c:pt>
                <c:pt idx="24">
                  <c:v>11424.0</c:v>
                </c:pt>
                <c:pt idx="25">
                  <c:v>9723.9</c:v>
                </c:pt>
                <c:pt idx="26">
                  <c:v>7764.1</c:v>
                </c:pt>
                <c:pt idx="27">
                  <c:v>6048.8</c:v>
                </c:pt>
                <c:pt idx="28">
                  <c:v>9411.0</c:v>
                </c:pt>
                <c:pt idx="29">
                  <c:v>11543.0</c:v>
                </c:pt>
                <c:pt idx="30">
                  <c:v>11146.0</c:v>
                </c:pt>
                <c:pt idx="31">
                  <c:v>12883.0</c:v>
                </c:pt>
                <c:pt idx="32">
                  <c:v>11019.0</c:v>
                </c:pt>
                <c:pt idx="33">
                  <c:v>9626.5</c:v>
                </c:pt>
                <c:pt idx="34">
                  <c:v>9721.799999999999</c:v>
                </c:pt>
                <c:pt idx="35">
                  <c:v>10607.0</c:v>
                </c:pt>
                <c:pt idx="36">
                  <c:v>9840.7</c:v>
                </c:pt>
                <c:pt idx="37">
                  <c:v>9615.7</c:v>
                </c:pt>
                <c:pt idx="38">
                  <c:v>9987.6</c:v>
                </c:pt>
                <c:pt idx="39">
                  <c:v>11974.0</c:v>
                </c:pt>
                <c:pt idx="40">
                  <c:v>11178.0</c:v>
                </c:pt>
                <c:pt idx="41">
                  <c:v>9298.6</c:v>
                </c:pt>
                <c:pt idx="42">
                  <c:v>7059.8</c:v>
                </c:pt>
                <c:pt idx="43">
                  <c:v>5633.0</c:v>
                </c:pt>
                <c:pt idx="44">
                  <c:v>4392.8</c:v>
                </c:pt>
                <c:pt idx="45">
                  <c:v>6172.0</c:v>
                </c:pt>
                <c:pt idx="46">
                  <c:v>6094.7</c:v>
                </c:pt>
                <c:pt idx="47">
                  <c:v>7823.2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'Past BiomEst'!$K$50</c:f>
              <c:strCache>
                <c:ptCount val="1"/>
                <c:pt idx="0">
                  <c:v>2012</c:v>
                </c:pt>
              </c:strCache>
            </c:strRef>
          </c:tx>
          <c:marker>
            <c:symbol val="none"/>
          </c:marker>
          <c:xVal>
            <c:numRef>
              <c:f>'Past BiomEst'!$J$51:$J$99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xVal>
          <c:yVal>
            <c:numRef>
              <c:f>'Past BiomEst'!$K$51:$K$99</c:f>
              <c:numCache>
                <c:formatCode>General</c:formatCode>
                <c:ptCount val="49"/>
                <c:pt idx="0">
                  <c:v>1608.1</c:v>
                </c:pt>
                <c:pt idx="1">
                  <c:v>2059.2</c:v>
                </c:pt>
                <c:pt idx="2">
                  <c:v>2157.4</c:v>
                </c:pt>
                <c:pt idx="3">
                  <c:v>3352.9</c:v>
                </c:pt>
                <c:pt idx="4">
                  <c:v>3808.5</c:v>
                </c:pt>
                <c:pt idx="5">
                  <c:v>5154.3</c:v>
                </c:pt>
                <c:pt idx="6">
                  <c:v>6187.9</c:v>
                </c:pt>
                <c:pt idx="7">
                  <c:v>6893.7</c:v>
                </c:pt>
                <c:pt idx="8">
                  <c:v>6308.1</c:v>
                </c:pt>
                <c:pt idx="9">
                  <c:v>4700.2</c:v>
                </c:pt>
                <c:pt idx="10">
                  <c:v>3298.4</c:v>
                </c:pt>
                <c:pt idx="11">
                  <c:v>3523.0</c:v>
                </c:pt>
                <c:pt idx="12">
                  <c:v>3587.0</c:v>
                </c:pt>
                <c:pt idx="13">
                  <c:v>3623.7</c:v>
                </c:pt>
                <c:pt idx="14">
                  <c:v>3537.1</c:v>
                </c:pt>
                <c:pt idx="15">
                  <c:v>3402.6</c:v>
                </c:pt>
                <c:pt idx="16">
                  <c:v>4332.6</c:v>
                </c:pt>
                <c:pt idx="17">
                  <c:v>8363.5</c:v>
                </c:pt>
                <c:pt idx="18">
                  <c:v>9548.799999999999</c:v>
                </c:pt>
                <c:pt idx="19">
                  <c:v>10621.0</c:v>
                </c:pt>
                <c:pt idx="20">
                  <c:v>10300.0</c:v>
                </c:pt>
                <c:pt idx="21">
                  <c:v>12478.0</c:v>
                </c:pt>
                <c:pt idx="22">
                  <c:v>11685.0</c:v>
                </c:pt>
                <c:pt idx="23">
                  <c:v>12308.0</c:v>
                </c:pt>
                <c:pt idx="24">
                  <c:v>11642.0</c:v>
                </c:pt>
                <c:pt idx="25">
                  <c:v>9912.7</c:v>
                </c:pt>
                <c:pt idx="26">
                  <c:v>7935.9</c:v>
                </c:pt>
                <c:pt idx="27">
                  <c:v>6209.3</c:v>
                </c:pt>
                <c:pt idx="28">
                  <c:v>9601.799999999999</c:v>
                </c:pt>
                <c:pt idx="29">
                  <c:v>11754.0</c:v>
                </c:pt>
                <c:pt idx="30">
                  <c:v>11341.0</c:v>
                </c:pt>
                <c:pt idx="31">
                  <c:v>13109.0</c:v>
                </c:pt>
                <c:pt idx="32">
                  <c:v>11229.0</c:v>
                </c:pt>
                <c:pt idx="33">
                  <c:v>9828.1</c:v>
                </c:pt>
                <c:pt idx="34">
                  <c:v>9929.299999999999</c:v>
                </c:pt>
                <c:pt idx="35">
                  <c:v>10819.0</c:v>
                </c:pt>
                <c:pt idx="36">
                  <c:v>10044.0</c:v>
                </c:pt>
                <c:pt idx="37">
                  <c:v>9829.9</c:v>
                </c:pt>
                <c:pt idx="38">
                  <c:v>10230.0</c:v>
                </c:pt>
                <c:pt idx="39">
                  <c:v>12269.0</c:v>
                </c:pt>
                <c:pt idx="40">
                  <c:v>11491.0</c:v>
                </c:pt>
                <c:pt idx="41">
                  <c:v>9608.0</c:v>
                </c:pt>
                <c:pt idx="42">
                  <c:v>7348.7</c:v>
                </c:pt>
                <c:pt idx="43">
                  <c:v>5953.8</c:v>
                </c:pt>
                <c:pt idx="44">
                  <c:v>4724.2</c:v>
                </c:pt>
                <c:pt idx="45">
                  <c:v>6069.2</c:v>
                </c:pt>
                <c:pt idx="46">
                  <c:v>5768.9</c:v>
                </c:pt>
                <c:pt idx="47">
                  <c:v>7780.8</c:v>
                </c:pt>
                <c:pt idx="48">
                  <c:v>7866.9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'Past BiomEst'!$H$50</c:f>
              <c:strCache>
                <c:ptCount val="1"/>
                <c:pt idx="0">
                  <c:v>2013</c:v>
                </c:pt>
              </c:strCache>
            </c:strRef>
          </c:tx>
          <c:marker>
            <c:symbol val="none"/>
          </c:marker>
          <c:xVal>
            <c:numRef>
              <c:f>'Past BiomEst'!$G$51:$G$100</c:f>
              <c:numCache>
                <c:formatCode>General</c:formatCode>
                <c:ptCount val="5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</c:numCache>
            </c:numRef>
          </c:xVal>
          <c:yVal>
            <c:numRef>
              <c:f>'Past BiomEst'!$H$51:$H$100</c:f>
              <c:numCache>
                <c:formatCode>General</c:formatCode>
                <c:ptCount val="50"/>
                <c:pt idx="0">
                  <c:v>1602.0</c:v>
                </c:pt>
                <c:pt idx="1">
                  <c:v>2051.4</c:v>
                </c:pt>
                <c:pt idx="2">
                  <c:v>2149.6</c:v>
                </c:pt>
                <c:pt idx="3">
                  <c:v>3344.0</c:v>
                </c:pt>
                <c:pt idx="4">
                  <c:v>3800.0</c:v>
                </c:pt>
                <c:pt idx="5">
                  <c:v>5145.2</c:v>
                </c:pt>
                <c:pt idx="6">
                  <c:v>6178.6</c:v>
                </c:pt>
                <c:pt idx="7">
                  <c:v>6884.2</c:v>
                </c:pt>
                <c:pt idx="8">
                  <c:v>6299.0</c:v>
                </c:pt>
                <c:pt idx="9">
                  <c:v>4692.0</c:v>
                </c:pt>
                <c:pt idx="10">
                  <c:v>3291.1</c:v>
                </c:pt>
                <c:pt idx="11">
                  <c:v>3515.5</c:v>
                </c:pt>
                <c:pt idx="12">
                  <c:v>3577.9</c:v>
                </c:pt>
                <c:pt idx="13">
                  <c:v>3612.5</c:v>
                </c:pt>
                <c:pt idx="14">
                  <c:v>3524.0</c:v>
                </c:pt>
                <c:pt idx="15">
                  <c:v>3386.9</c:v>
                </c:pt>
                <c:pt idx="16">
                  <c:v>4307.4</c:v>
                </c:pt>
                <c:pt idx="17">
                  <c:v>8320.799999999999</c:v>
                </c:pt>
                <c:pt idx="18">
                  <c:v>9496.9</c:v>
                </c:pt>
                <c:pt idx="19">
                  <c:v>10560.0</c:v>
                </c:pt>
                <c:pt idx="20">
                  <c:v>10239.0</c:v>
                </c:pt>
                <c:pt idx="21">
                  <c:v>12409.0</c:v>
                </c:pt>
                <c:pt idx="22">
                  <c:v>11621.0</c:v>
                </c:pt>
                <c:pt idx="23">
                  <c:v>12243.0</c:v>
                </c:pt>
                <c:pt idx="24">
                  <c:v>11583.0</c:v>
                </c:pt>
                <c:pt idx="25">
                  <c:v>9860.9</c:v>
                </c:pt>
                <c:pt idx="26">
                  <c:v>7891.2</c:v>
                </c:pt>
                <c:pt idx="27">
                  <c:v>6170.8</c:v>
                </c:pt>
                <c:pt idx="28">
                  <c:v>9561.7</c:v>
                </c:pt>
                <c:pt idx="29">
                  <c:v>11712.0</c:v>
                </c:pt>
                <c:pt idx="30">
                  <c:v>11306.0</c:v>
                </c:pt>
                <c:pt idx="31">
                  <c:v>13074.0</c:v>
                </c:pt>
                <c:pt idx="32">
                  <c:v>11198.0</c:v>
                </c:pt>
                <c:pt idx="33">
                  <c:v>9801.2</c:v>
                </c:pt>
                <c:pt idx="34">
                  <c:v>9902.7</c:v>
                </c:pt>
                <c:pt idx="35">
                  <c:v>10791.0</c:v>
                </c:pt>
                <c:pt idx="36">
                  <c:v>10020.0</c:v>
                </c:pt>
                <c:pt idx="37">
                  <c:v>9802.5</c:v>
                </c:pt>
                <c:pt idx="38">
                  <c:v>10182.0</c:v>
                </c:pt>
                <c:pt idx="39">
                  <c:v>12211.0</c:v>
                </c:pt>
                <c:pt idx="40">
                  <c:v>11416.0</c:v>
                </c:pt>
                <c:pt idx="41">
                  <c:v>9521.5</c:v>
                </c:pt>
                <c:pt idx="42">
                  <c:v>7261.9</c:v>
                </c:pt>
                <c:pt idx="43">
                  <c:v>5840.0</c:v>
                </c:pt>
                <c:pt idx="44">
                  <c:v>4607.2</c:v>
                </c:pt>
                <c:pt idx="45">
                  <c:v>5879.7</c:v>
                </c:pt>
                <c:pt idx="46">
                  <c:v>5622.3</c:v>
                </c:pt>
                <c:pt idx="47">
                  <c:v>7927.5</c:v>
                </c:pt>
                <c:pt idx="48">
                  <c:v>7853.0</c:v>
                </c:pt>
                <c:pt idx="49">
                  <c:v>8261.0</c:v>
                </c:pt>
              </c:numCache>
            </c:numRef>
          </c:yVal>
          <c:smooth val="0"/>
        </c:ser>
        <c:ser>
          <c:idx val="16"/>
          <c:order val="15"/>
          <c:tx>
            <c:strRef>
              <c:f>'Past BiomEst'!$E$50</c:f>
              <c:strCache>
                <c:ptCount val="1"/>
                <c:pt idx="0">
                  <c:v>2014</c:v>
                </c:pt>
              </c:strCache>
            </c:strRef>
          </c:tx>
          <c:marker>
            <c:symbol val="none"/>
          </c:marker>
          <c:xVal>
            <c:numRef>
              <c:f>'Past BiomEst'!$D$51:$D$101</c:f>
              <c:numCache>
                <c:formatCode>General</c:formatCode>
                <c:ptCount val="51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</c:numCache>
            </c:numRef>
          </c:xVal>
          <c:yVal>
            <c:numRef>
              <c:f>'Past BiomEst'!$E$51:$E$101</c:f>
              <c:numCache>
                <c:formatCode>General</c:formatCode>
                <c:ptCount val="51"/>
                <c:pt idx="0">
                  <c:v>1622.2</c:v>
                </c:pt>
                <c:pt idx="1">
                  <c:v>2076.6</c:v>
                </c:pt>
                <c:pt idx="2">
                  <c:v>2186.3</c:v>
                </c:pt>
                <c:pt idx="3">
                  <c:v>3397.3</c:v>
                </c:pt>
                <c:pt idx="4">
                  <c:v>3870.9</c:v>
                </c:pt>
                <c:pt idx="5">
                  <c:v>5220.4</c:v>
                </c:pt>
                <c:pt idx="6">
                  <c:v>6252.8</c:v>
                </c:pt>
                <c:pt idx="7">
                  <c:v>6945.8</c:v>
                </c:pt>
                <c:pt idx="8">
                  <c:v>6353.0</c:v>
                </c:pt>
                <c:pt idx="9">
                  <c:v>4748.6</c:v>
                </c:pt>
                <c:pt idx="10">
                  <c:v>3348.1</c:v>
                </c:pt>
                <c:pt idx="11">
                  <c:v>3554.2</c:v>
                </c:pt>
                <c:pt idx="12">
                  <c:v>3609.4</c:v>
                </c:pt>
                <c:pt idx="13">
                  <c:v>3642.6</c:v>
                </c:pt>
                <c:pt idx="14">
                  <c:v>3556.6</c:v>
                </c:pt>
                <c:pt idx="15">
                  <c:v>3426.3</c:v>
                </c:pt>
                <c:pt idx="16">
                  <c:v>4372.1</c:v>
                </c:pt>
                <c:pt idx="17">
                  <c:v>8527.7</c:v>
                </c:pt>
                <c:pt idx="18">
                  <c:v>9766.5</c:v>
                </c:pt>
                <c:pt idx="19">
                  <c:v>10911.0</c:v>
                </c:pt>
                <c:pt idx="20">
                  <c:v>10601.0</c:v>
                </c:pt>
                <c:pt idx="21">
                  <c:v>12838.0</c:v>
                </c:pt>
                <c:pt idx="22">
                  <c:v>12036.0</c:v>
                </c:pt>
                <c:pt idx="23">
                  <c:v>12615.0</c:v>
                </c:pt>
                <c:pt idx="24">
                  <c:v>11906.0</c:v>
                </c:pt>
                <c:pt idx="25">
                  <c:v>10128.0</c:v>
                </c:pt>
                <c:pt idx="26">
                  <c:v>8101.9</c:v>
                </c:pt>
                <c:pt idx="27">
                  <c:v>6331.4</c:v>
                </c:pt>
                <c:pt idx="28">
                  <c:v>9704.5</c:v>
                </c:pt>
                <c:pt idx="29">
                  <c:v>11840.0</c:v>
                </c:pt>
                <c:pt idx="30">
                  <c:v>11402.0</c:v>
                </c:pt>
                <c:pt idx="31">
                  <c:v>13135.0</c:v>
                </c:pt>
                <c:pt idx="32">
                  <c:v>11235.0</c:v>
                </c:pt>
                <c:pt idx="33">
                  <c:v>9816.4</c:v>
                </c:pt>
                <c:pt idx="34">
                  <c:v>9906.799999999999</c:v>
                </c:pt>
                <c:pt idx="35">
                  <c:v>10799.0</c:v>
                </c:pt>
                <c:pt idx="36">
                  <c:v>10031.0</c:v>
                </c:pt>
                <c:pt idx="37">
                  <c:v>9818.9</c:v>
                </c:pt>
                <c:pt idx="38">
                  <c:v>10221.0</c:v>
                </c:pt>
                <c:pt idx="39">
                  <c:v>12278.0</c:v>
                </c:pt>
                <c:pt idx="40">
                  <c:v>11493.0</c:v>
                </c:pt>
                <c:pt idx="41">
                  <c:v>9601.9</c:v>
                </c:pt>
                <c:pt idx="42">
                  <c:v>7343.1</c:v>
                </c:pt>
                <c:pt idx="43">
                  <c:v>5932.6</c:v>
                </c:pt>
                <c:pt idx="44">
                  <c:v>4721.6</c:v>
                </c:pt>
                <c:pt idx="45">
                  <c:v>6068.8</c:v>
                </c:pt>
                <c:pt idx="46">
                  <c:v>5936.8</c:v>
                </c:pt>
                <c:pt idx="47">
                  <c:v>8895.299999999999</c:v>
                </c:pt>
                <c:pt idx="48">
                  <c:v>8822.7</c:v>
                </c:pt>
                <c:pt idx="49">
                  <c:v>9540.799999999999</c:v>
                </c:pt>
                <c:pt idx="50">
                  <c:v>8960.4</c:v>
                </c:pt>
              </c:numCache>
            </c:numRef>
          </c:yVal>
          <c:smooth val="0"/>
        </c:ser>
        <c:ser>
          <c:idx val="2"/>
          <c:order val="16"/>
          <c:tx>
            <c:strRef>
              <c:f>'Past BiomEst'!$B$50</c:f>
              <c:strCache>
                <c:ptCount val="1"/>
                <c:pt idx="0">
                  <c:v>Current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8"/>
            <c:spPr>
              <a:solidFill>
                <a:srgbClr val="FFFF00"/>
              </a:solidFill>
            </c:spPr>
          </c:marker>
          <c:xVal>
            <c:numRef>
              <c:f>'Past BiomEst'!$A$51:$A$102</c:f>
              <c:numCache>
                <c:formatCode>General</c:formatCode>
                <c:ptCount val="52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  <c:pt idx="51">
                  <c:v>2015.0</c:v>
                </c:pt>
              </c:numCache>
            </c:numRef>
          </c:xVal>
          <c:yVal>
            <c:numRef>
              <c:f>'Past BiomEst'!$B$51:$B$102</c:f>
              <c:numCache>
                <c:formatCode>General</c:formatCode>
                <c:ptCount val="52"/>
                <c:pt idx="0">
                  <c:v>1868.9</c:v>
                </c:pt>
                <c:pt idx="1">
                  <c:v>2323.7</c:v>
                </c:pt>
                <c:pt idx="2">
                  <c:v>2562.9</c:v>
                </c:pt>
                <c:pt idx="3">
                  <c:v>3888.1</c:v>
                </c:pt>
                <c:pt idx="4">
                  <c:v>4495.0</c:v>
                </c:pt>
                <c:pt idx="5">
                  <c:v>5690.0</c:v>
                </c:pt>
                <c:pt idx="6">
                  <c:v>6423.9</c:v>
                </c:pt>
                <c:pt idx="7">
                  <c:v>6858.4</c:v>
                </c:pt>
                <c:pt idx="8">
                  <c:v>6430.6</c:v>
                </c:pt>
                <c:pt idx="9">
                  <c:v>5161.2</c:v>
                </c:pt>
                <c:pt idx="10">
                  <c:v>3845.8</c:v>
                </c:pt>
                <c:pt idx="11">
                  <c:v>3868.4</c:v>
                </c:pt>
                <c:pt idx="12">
                  <c:v>3871.5</c:v>
                </c:pt>
                <c:pt idx="13">
                  <c:v>3939.3</c:v>
                </c:pt>
                <c:pt idx="14">
                  <c:v>3888.3</c:v>
                </c:pt>
                <c:pt idx="15">
                  <c:v>3859.2</c:v>
                </c:pt>
                <c:pt idx="16">
                  <c:v>4887.3</c:v>
                </c:pt>
                <c:pt idx="17">
                  <c:v>9054.299999999999</c:v>
                </c:pt>
                <c:pt idx="18">
                  <c:v>10289.0</c:v>
                </c:pt>
                <c:pt idx="19">
                  <c:v>11383.0</c:v>
                </c:pt>
                <c:pt idx="20">
                  <c:v>11040.0</c:v>
                </c:pt>
                <c:pt idx="21">
                  <c:v>12951.0</c:v>
                </c:pt>
                <c:pt idx="22">
                  <c:v>12019.0</c:v>
                </c:pt>
                <c:pt idx="23">
                  <c:v>12334.0</c:v>
                </c:pt>
                <c:pt idx="24">
                  <c:v>11536.0</c:v>
                </c:pt>
                <c:pt idx="25">
                  <c:v>9699.9</c:v>
                </c:pt>
                <c:pt idx="26">
                  <c:v>7700.5</c:v>
                </c:pt>
                <c:pt idx="27">
                  <c:v>6063.2</c:v>
                </c:pt>
                <c:pt idx="28">
                  <c:v>9472.2</c:v>
                </c:pt>
                <c:pt idx="29">
                  <c:v>11712.0</c:v>
                </c:pt>
                <c:pt idx="30">
                  <c:v>11418.0</c:v>
                </c:pt>
                <c:pt idx="31">
                  <c:v>13177.0</c:v>
                </c:pt>
                <c:pt idx="32">
                  <c:v>11358.0</c:v>
                </c:pt>
                <c:pt idx="33">
                  <c:v>9940.0</c:v>
                </c:pt>
                <c:pt idx="34">
                  <c:v>9989.799999999999</c:v>
                </c:pt>
                <c:pt idx="35">
                  <c:v>10853.0</c:v>
                </c:pt>
                <c:pt idx="36">
                  <c:v>10068.0</c:v>
                </c:pt>
                <c:pt idx="37">
                  <c:v>9854.0</c:v>
                </c:pt>
                <c:pt idx="38">
                  <c:v>10276.0</c:v>
                </c:pt>
                <c:pt idx="39">
                  <c:v>12365.0</c:v>
                </c:pt>
                <c:pt idx="40">
                  <c:v>11591.0</c:v>
                </c:pt>
                <c:pt idx="41">
                  <c:v>9705.2</c:v>
                </c:pt>
                <c:pt idx="42">
                  <c:v>7445.9</c:v>
                </c:pt>
                <c:pt idx="43">
                  <c:v>6045.3</c:v>
                </c:pt>
                <c:pt idx="44">
                  <c:v>4848.8</c:v>
                </c:pt>
                <c:pt idx="45">
                  <c:v>6331.1</c:v>
                </c:pt>
                <c:pt idx="46">
                  <c:v>6680.3</c:v>
                </c:pt>
                <c:pt idx="47">
                  <c:v>10053.0</c:v>
                </c:pt>
                <c:pt idx="48">
                  <c:v>10164.0</c:v>
                </c:pt>
                <c:pt idx="49">
                  <c:v>10337.0</c:v>
                </c:pt>
                <c:pt idx="50">
                  <c:v>9804.9</c:v>
                </c:pt>
                <c:pt idx="51">
                  <c:v>10970.0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733952"/>
        <c:axId val="429735968"/>
      </c:scatterChart>
      <c:valAx>
        <c:axId val="429733952"/>
        <c:scaling>
          <c:orientation val="minMax"/>
          <c:max val="2016.0"/>
          <c:min val="1978.0"/>
        </c:scaling>
        <c:delete val="0"/>
        <c:axPos val="b"/>
        <c:title>
          <c:tx>
            <c:rich>
              <a:bodyPr/>
              <a:lstStyle/>
              <a:p>
                <a:pPr>
                  <a:defRPr sz="16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86866491688539"/>
              <c:y val="0.9521479921734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735968"/>
        <c:crosses val="autoZero"/>
        <c:crossBetween val="midCat"/>
        <c:majorUnit val="2.0"/>
      </c:valAx>
      <c:valAx>
        <c:axId val="429735968"/>
        <c:scaling>
          <c:orientation val="minMax"/>
          <c:max val="15000.0"/>
          <c:min val="0.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Age 3+ Biomass (thousands of t)</a:t>
                </a:r>
              </a:p>
            </c:rich>
          </c:tx>
          <c:layout>
            <c:manualLayout>
              <c:xMode val="edge"/>
              <c:yMode val="edge"/>
              <c:x val="0.0"/>
              <c:y val="0.145187659590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733952"/>
        <c:crosses val="autoZero"/>
        <c:crossBetween val="midCat"/>
        <c:majorUnit val="5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77404801125305"/>
          <c:y val="0.692681681049425"/>
          <c:w val="0.537087134612347"/>
          <c:h val="0.1830020220884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25268221413"/>
          <c:y val="0.114503816793893"/>
          <c:w val="0.843751609328489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Comps'!$S$64:$AG$64</c:f>
              <c:numCache>
                <c:formatCode>General</c:formatCode>
                <c:ptCount val="15"/>
                <c:pt idx="0">
                  <c:v>0.0912499</c:v>
                </c:pt>
                <c:pt idx="1">
                  <c:v>0.216888</c:v>
                </c:pt>
                <c:pt idx="2">
                  <c:v>0.237918</c:v>
                </c:pt>
                <c:pt idx="3">
                  <c:v>0.31032</c:v>
                </c:pt>
                <c:pt idx="4">
                  <c:v>0.106714</c:v>
                </c:pt>
                <c:pt idx="5">
                  <c:v>0.0146117</c:v>
                </c:pt>
                <c:pt idx="6">
                  <c:v>0.0101333</c:v>
                </c:pt>
                <c:pt idx="7">
                  <c:v>0.00483402</c:v>
                </c:pt>
                <c:pt idx="8">
                  <c:v>0.00305242</c:v>
                </c:pt>
                <c:pt idx="9">
                  <c:v>0.00191353</c:v>
                </c:pt>
                <c:pt idx="10">
                  <c:v>0.00117933</c:v>
                </c:pt>
                <c:pt idx="11">
                  <c:v>0.000731195</c:v>
                </c:pt>
                <c:pt idx="12">
                  <c:v>0.000256024</c:v>
                </c:pt>
                <c:pt idx="13">
                  <c:v>0.000100564</c:v>
                </c:pt>
                <c:pt idx="14">
                  <c:v>9.81691E-5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5871376"/>
        <c:axId val="37075364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Comps'!$B$64:$P$64</c:f>
              <c:numCache>
                <c:formatCode>General</c:formatCode>
                <c:ptCount val="15"/>
                <c:pt idx="0">
                  <c:v>0.0915917</c:v>
                </c:pt>
                <c:pt idx="1">
                  <c:v>0.144724</c:v>
                </c:pt>
                <c:pt idx="2">
                  <c:v>0.15935</c:v>
                </c:pt>
                <c:pt idx="3">
                  <c:v>0.39761</c:v>
                </c:pt>
                <c:pt idx="4">
                  <c:v>0.126018</c:v>
                </c:pt>
                <c:pt idx="5">
                  <c:v>0.038194</c:v>
                </c:pt>
                <c:pt idx="6">
                  <c:v>0.0189128</c:v>
                </c:pt>
                <c:pt idx="7">
                  <c:v>0.0119748</c:v>
                </c:pt>
                <c:pt idx="8">
                  <c:v>0.00626273</c:v>
                </c:pt>
                <c:pt idx="9">
                  <c:v>0.00347798</c:v>
                </c:pt>
                <c:pt idx="10">
                  <c:v>0.000722324</c:v>
                </c:pt>
                <c:pt idx="11">
                  <c:v>0.000438697</c:v>
                </c:pt>
                <c:pt idx="12">
                  <c:v>0.000347633</c:v>
                </c:pt>
                <c:pt idx="13">
                  <c:v>0.000197248</c:v>
                </c:pt>
                <c:pt idx="14">
                  <c:v>0.000178867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71376"/>
        <c:axId val="370753648"/>
      </c:scatterChart>
      <c:catAx>
        <c:axId val="505871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0753648"/>
        <c:crosses val="autoZero"/>
        <c:auto val="1"/>
        <c:lblAlgn val="ctr"/>
        <c:lblOffset val="100"/>
        <c:noMultiLvlLbl val="0"/>
      </c:catAx>
      <c:valAx>
        <c:axId val="370753648"/>
        <c:scaling>
          <c:orientation val="minMax"/>
          <c:max val="0.43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87137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25268221413"/>
          <c:y val="0.114503816793893"/>
          <c:w val="0.843751609328489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Comps'!$S$65:$AG$65</c:f>
              <c:numCache>
                <c:formatCode>General</c:formatCode>
                <c:ptCount val="15"/>
                <c:pt idx="0">
                  <c:v>0.247382</c:v>
                </c:pt>
                <c:pt idx="1">
                  <c:v>0.036964</c:v>
                </c:pt>
                <c:pt idx="2">
                  <c:v>0.0829667</c:v>
                </c:pt>
                <c:pt idx="3">
                  <c:v>0.149843</c:v>
                </c:pt>
                <c:pt idx="4">
                  <c:v>0.337121</c:v>
                </c:pt>
                <c:pt idx="5">
                  <c:v>0.103253</c:v>
                </c:pt>
                <c:pt idx="6">
                  <c:v>0.0188671</c:v>
                </c:pt>
                <c:pt idx="7">
                  <c:v>0.0101482</c:v>
                </c:pt>
                <c:pt idx="8">
                  <c:v>0.0045794</c:v>
                </c:pt>
                <c:pt idx="9">
                  <c:v>0.00395836</c:v>
                </c:pt>
                <c:pt idx="10">
                  <c:v>0.00295334</c:v>
                </c:pt>
                <c:pt idx="11">
                  <c:v>0.00104524</c:v>
                </c:pt>
                <c:pt idx="12">
                  <c:v>0.000413901</c:v>
                </c:pt>
                <c:pt idx="13">
                  <c:v>0.000351763</c:v>
                </c:pt>
                <c:pt idx="14">
                  <c:v>0.000153263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75766624"/>
        <c:axId val="3756787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Comps'!$B$65:$P$65</c:f>
              <c:numCache>
                <c:formatCode>General</c:formatCode>
                <c:ptCount val="15"/>
                <c:pt idx="0">
                  <c:v>0.241563</c:v>
                </c:pt>
                <c:pt idx="1">
                  <c:v>0.0466568</c:v>
                </c:pt>
                <c:pt idx="2">
                  <c:v>0.126784</c:v>
                </c:pt>
                <c:pt idx="3">
                  <c:v>0.1457</c:v>
                </c:pt>
                <c:pt idx="4">
                  <c:v>0.313985</c:v>
                </c:pt>
                <c:pt idx="5">
                  <c:v>0.0825276</c:v>
                </c:pt>
                <c:pt idx="6">
                  <c:v>0.0217914</c:v>
                </c:pt>
                <c:pt idx="7">
                  <c:v>0.00980087</c:v>
                </c:pt>
                <c:pt idx="8">
                  <c:v>0.00581072</c:v>
                </c:pt>
                <c:pt idx="9">
                  <c:v>0.00292706</c:v>
                </c:pt>
                <c:pt idx="10">
                  <c:v>0.00159855</c:v>
                </c:pt>
                <c:pt idx="11">
                  <c:v>0.000329184</c:v>
                </c:pt>
                <c:pt idx="12">
                  <c:v>0.000199086</c:v>
                </c:pt>
                <c:pt idx="13">
                  <c:v>0.000157434</c:v>
                </c:pt>
                <c:pt idx="14">
                  <c:v>0.000170116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766624"/>
        <c:axId val="375678704"/>
      </c:scatterChart>
      <c:catAx>
        <c:axId val="37576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678704"/>
        <c:crosses val="autoZero"/>
        <c:auto val="1"/>
        <c:lblAlgn val="ctr"/>
        <c:lblOffset val="100"/>
        <c:noMultiLvlLbl val="0"/>
      </c:catAx>
      <c:valAx>
        <c:axId val="375678704"/>
        <c:scaling>
          <c:orientation val="minMax"/>
          <c:max val="0.43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766624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25268221413"/>
          <c:y val="0.114503816793893"/>
          <c:w val="0.843751609328489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Comps'!$S$66:$AG$66</c:f>
              <c:numCache>
                <c:formatCode>General</c:formatCode>
                <c:ptCount val="15"/>
                <c:pt idx="0">
                  <c:v>0.043637</c:v>
                </c:pt>
                <c:pt idx="1">
                  <c:v>0.0347662</c:v>
                </c:pt>
                <c:pt idx="2">
                  <c:v>0.0495876</c:v>
                </c:pt>
                <c:pt idx="3">
                  <c:v>0.143593</c:v>
                </c:pt>
                <c:pt idx="4">
                  <c:v>0.182305</c:v>
                </c:pt>
                <c:pt idx="5">
                  <c:v>0.42992</c:v>
                </c:pt>
                <c:pt idx="6">
                  <c:v>0.0822491</c:v>
                </c:pt>
                <c:pt idx="7">
                  <c:v>0.018291</c:v>
                </c:pt>
                <c:pt idx="8">
                  <c:v>0.00852658</c:v>
                </c:pt>
                <c:pt idx="9">
                  <c:v>0.00303135</c:v>
                </c:pt>
                <c:pt idx="10">
                  <c:v>0.00200896</c:v>
                </c:pt>
                <c:pt idx="11">
                  <c:v>0.00078629</c:v>
                </c:pt>
                <c:pt idx="12">
                  <c:v>0.000460634</c:v>
                </c:pt>
                <c:pt idx="13">
                  <c:v>0.000564757</c:v>
                </c:pt>
                <c:pt idx="14">
                  <c:v>0.000272018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935088"/>
        <c:axId val="43293713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Comps'!$B$66:$P$66</c:f>
              <c:numCache>
                <c:formatCode>General</c:formatCode>
                <c:ptCount val="15"/>
                <c:pt idx="0">
                  <c:v>0.0651002</c:v>
                </c:pt>
                <c:pt idx="1">
                  <c:v>0.0959528</c:v>
                </c:pt>
                <c:pt idx="2">
                  <c:v>0.0496874</c:v>
                </c:pt>
                <c:pt idx="3">
                  <c:v>0.149346</c:v>
                </c:pt>
                <c:pt idx="4">
                  <c:v>0.166354</c:v>
                </c:pt>
                <c:pt idx="5">
                  <c:v>0.343847</c:v>
                </c:pt>
                <c:pt idx="6">
                  <c:v>0.0865027</c:v>
                </c:pt>
                <c:pt idx="7">
                  <c:v>0.0223574</c:v>
                </c:pt>
                <c:pt idx="8">
                  <c:v>0.00984353</c:v>
                </c:pt>
                <c:pt idx="9">
                  <c:v>0.0057363</c:v>
                </c:pt>
                <c:pt idx="10">
                  <c:v>0.00287154</c:v>
                </c:pt>
                <c:pt idx="11">
                  <c:v>0.00156507</c:v>
                </c:pt>
                <c:pt idx="12">
                  <c:v>0.000321989</c:v>
                </c:pt>
                <c:pt idx="13">
                  <c:v>0.000194653</c:v>
                </c:pt>
                <c:pt idx="14">
                  <c:v>0.000320171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35088"/>
        <c:axId val="432937136"/>
      </c:scatterChart>
      <c:catAx>
        <c:axId val="432935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937136"/>
        <c:crosses val="autoZero"/>
        <c:auto val="1"/>
        <c:lblAlgn val="ctr"/>
        <c:lblOffset val="100"/>
        <c:noMultiLvlLbl val="0"/>
      </c:catAx>
      <c:valAx>
        <c:axId val="432937136"/>
        <c:scaling>
          <c:orientation val="minMax"/>
          <c:max val="0.4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93508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Comps'!$S$67:$AG$67</c:f>
              <c:numCache>
                <c:formatCode>General</c:formatCode>
                <c:ptCount val="15"/>
                <c:pt idx="0">
                  <c:v>0.288382</c:v>
                </c:pt>
                <c:pt idx="1">
                  <c:v>0.0484774</c:v>
                </c:pt>
                <c:pt idx="2">
                  <c:v>0.186559</c:v>
                </c:pt>
                <c:pt idx="3">
                  <c:v>0.0591155</c:v>
                </c:pt>
                <c:pt idx="4">
                  <c:v>0.194501</c:v>
                </c:pt>
                <c:pt idx="5">
                  <c:v>0.117697</c:v>
                </c:pt>
                <c:pt idx="6">
                  <c:v>0.0801764</c:v>
                </c:pt>
                <c:pt idx="7">
                  <c:v>0.0157852</c:v>
                </c:pt>
                <c:pt idx="8">
                  <c:v>0.00401111</c:v>
                </c:pt>
                <c:pt idx="9">
                  <c:v>0.00331417</c:v>
                </c:pt>
                <c:pt idx="10">
                  <c:v>0.0011375</c:v>
                </c:pt>
                <c:pt idx="11">
                  <c:v>0.000368669</c:v>
                </c:pt>
                <c:pt idx="12">
                  <c:v>0.000408124</c:v>
                </c:pt>
                <c:pt idx="13">
                  <c:v>4.87146E-5</c:v>
                </c:pt>
                <c:pt idx="14">
                  <c:v>1.88909E-5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5460336"/>
        <c:axId val="50546196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Comps'!$B$67:$P$67</c:f>
              <c:numCache>
                <c:formatCode>General</c:formatCode>
                <c:ptCount val="15"/>
                <c:pt idx="0">
                  <c:v>0.276451</c:v>
                </c:pt>
                <c:pt idx="1">
                  <c:v>0.0264665</c:v>
                </c:pt>
                <c:pt idx="2">
                  <c:v>0.144361</c:v>
                </c:pt>
                <c:pt idx="3">
                  <c:v>0.0625776</c:v>
                </c:pt>
                <c:pt idx="4">
                  <c:v>0.13804</c:v>
                </c:pt>
                <c:pt idx="5">
                  <c:v>0.109796</c:v>
                </c:pt>
                <c:pt idx="6">
                  <c:v>0.182654</c:v>
                </c:pt>
                <c:pt idx="7">
                  <c:v>0.0406965</c:v>
                </c:pt>
                <c:pt idx="8">
                  <c:v>0.00996375</c:v>
                </c:pt>
                <c:pt idx="9">
                  <c:v>0.00426595</c:v>
                </c:pt>
                <c:pt idx="10">
                  <c:v>0.00246433</c:v>
                </c:pt>
                <c:pt idx="11">
                  <c:v>0.0012323</c:v>
                </c:pt>
                <c:pt idx="12">
                  <c:v>0.000671642</c:v>
                </c:pt>
                <c:pt idx="13">
                  <c:v>0.000138206</c:v>
                </c:pt>
                <c:pt idx="14">
                  <c:v>0.000220986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460336"/>
        <c:axId val="505461968"/>
      </c:scatterChart>
      <c:catAx>
        <c:axId val="50546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5461968"/>
        <c:crosses val="autoZero"/>
        <c:auto val="1"/>
        <c:lblAlgn val="ctr"/>
        <c:lblOffset val="100"/>
        <c:noMultiLvlLbl val="0"/>
      </c:catAx>
      <c:valAx>
        <c:axId val="505461968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46033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Comps'!$S$68:$AG$68</c:f>
              <c:numCache>
                <c:formatCode>General</c:formatCode>
                <c:ptCount val="15"/>
                <c:pt idx="0">
                  <c:v>0.219985</c:v>
                </c:pt>
                <c:pt idx="1">
                  <c:v>0.054141</c:v>
                </c:pt>
                <c:pt idx="2">
                  <c:v>0.0401954</c:v>
                </c:pt>
                <c:pt idx="3">
                  <c:v>0.148792</c:v>
                </c:pt>
                <c:pt idx="4">
                  <c:v>0.0899949</c:v>
                </c:pt>
                <c:pt idx="5">
                  <c:v>0.149822</c:v>
                </c:pt>
                <c:pt idx="6">
                  <c:v>0.131051</c:v>
                </c:pt>
                <c:pt idx="7">
                  <c:v>0.118835</c:v>
                </c:pt>
                <c:pt idx="8">
                  <c:v>0.0372171</c:v>
                </c:pt>
                <c:pt idx="9">
                  <c:v>0.00567206</c:v>
                </c:pt>
                <c:pt idx="10">
                  <c:v>0.00262106</c:v>
                </c:pt>
                <c:pt idx="11">
                  <c:v>0.00116842</c:v>
                </c:pt>
                <c:pt idx="12">
                  <c:v>0.000104358</c:v>
                </c:pt>
                <c:pt idx="13">
                  <c:v>0.000293947</c:v>
                </c:pt>
                <c:pt idx="14">
                  <c:v>0.000106815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6368288"/>
        <c:axId val="50616129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Comps'!$B$68:$P$68</c:f>
              <c:numCache>
                <c:formatCode>General</c:formatCode>
                <c:ptCount val="15"/>
                <c:pt idx="0">
                  <c:v>0.187523</c:v>
                </c:pt>
                <c:pt idx="1">
                  <c:v>0.0568974</c:v>
                </c:pt>
                <c:pt idx="2">
                  <c:v>0.0334478</c:v>
                </c:pt>
                <c:pt idx="3">
                  <c:v>0.190047</c:v>
                </c:pt>
                <c:pt idx="4">
                  <c:v>0.076672</c:v>
                </c:pt>
                <c:pt idx="5">
                  <c:v>0.147925</c:v>
                </c:pt>
                <c:pt idx="6">
                  <c:v>0.102523</c:v>
                </c:pt>
                <c:pt idx="7">
                  <c:v>0.157654</c:v>
                </c:pt>
                <c:pt idx="8">
                  <c:v>0.0327934</c:v>
                </c:pt>
                <c:pt idx="9">
                  <c:v>0.00772551</c:v>
                </c:pt>
                <c:pt idx="10">
                  <c:v>0.00323845</c:v>
                </c:pt>
                <c:pt idx="11">
                  <c:v>0.00185639</c:v>
                </c:pt>
                <c:pt idx="12">
                  <c:v>0.000924933</c:v>
                </c:pt>
                <c:pt idx="13">
                  <c:v>0.000503269</c:v>
                </c:pt>
                <c:pt idx="14">
                  <c:v>0.000268836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68288"/>
        <c:axId val="506161296"/>
      </c:scatterChart>
      <c:catAx>
        <c:axId val="506368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161296"/>
        <c:crosses val="autoZero"/>
        <c:auto val="1"/>
        <c:lblAlgn val="ctr"/>
        <c:lblOffset val="100"/>
        <c:noMultiLvlLbl val="0"/>
      </c:catAx>
      <c:valAx>
        <c:axId val="506161296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36828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Comps'!$S$69:$AG$69</c:f>
              <c:numCache>
                <c:formatCode>General</c:formatCode>
                <c:ptCount val="15"/>
                <c:pt idx="0">
                  <c:v>0.0330512</c:v>
                </c:pt>
                <c:pt idx="1">
                  <c:v>0.0596881</c:v>
                </c:pt>
                <c:pt idx="2">
                  <c:v>0.0813848</c:v>
                </c:pt>
                <c:pt idx="3">
                  <c:v>0.0614028</c:v>
                </c:pt>
                <c:pt idx="4">
                  <c:v>0.372661</c:v>
                </c:pt>
                <c:pt idx="5">
                  <c:v>0.103122</c:v>
                </c:pt>
                <c:pt idx="6">
                  <c:v>0.0987333</c:v>
                </c:pt>
                <c:pt idx="7">
                  <c:v>0.038999</c:v>
                </c:pt>
                <c:pt idx="8">
                  <c:v>0.123353</c:v>
                </c:pt>
                <c:pt idx="9">
                  <c:v>0.0190615</c:v>
                </c:pt>
                <c:pt idx="10">
                  <c:v>0.00559894</c:v>
                </c:pt>
                <c:pt idx="11">
                  <c:v>0.00219848</c:v>
                </c:pt>
                <c:pt idx="12">
                  <c:v>0.000400901</c:v>
                </c:pt>
                <c:pt idx="13">
                  <c:v>0.000188227</c:v>
                </c:pt>
                <c:pt idx="14">
                  <c:v>0.000156711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449248"/>
        <c:axId val="45205971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Comps'!$B$69:$P$69</c:f>
              <c:numCache>
                <c:formatCode>General</c:formatCode>
                <c:ptCount val="15"/>
                <c:pt idx="0">
                  <c:v>0.0554832</c:v>
                </c:pt>
                <c:pt idx="1">
                  <c:v>0.0335535</c:v>
                </c:pt>
                <c:pt idx="2">
                  <c:v>0.117752</c:v>
                </c:pt>
                <c:pt idx="3">
                  <c:v>0.0658555</c:v>
                </c:pt>
                <c:pt idx="4">
                  <c:v>0.301639</c:v>
                </c:pt>
                <c:pt idx="5">
                  <c:v>0.091545</c:v>
                </c:pt>
                <c:pt idx="6">
                  <c:v>0.131693</c:v>
                </c:pt>
                <c:pt idx="7">
                  <c:v>0.0738146</c:v>
                </c:pt>
                <c:pt idx="8">
                  <c:v>0.100816</c:v>
                </c:pt>
                <c:pt idx="9">
                  <c:v>0.0195298</c:v>
                </c:pt>
                <c:pt idx="10">
                  <c:v>0.00446032</c:v>
                </c:pt>
                <c:pt idx="11">
                  <c:v>0.00184616</c:v>
                </c:pt>
                <c:pt idx="12">
                  <c:v>0.00105244</c:v>
                </c:pt>
                <c:pt idx="13">
                  <c:v>0.000523115</c:v>
                </c:pt>
                <c:pt idx="14">
                  <c:v>0.000436139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49248"/>
        <c:axId val="452059712"/>
      </c:scatterChart>
      <c:catAx>
        <c:axId val="45244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059712"/>
        <c:crosses val="autoZero"/>
        <c:auto val="1"/>
        <c:lblAlgn val="ctr"/>
        <c:lblOffset val="100"/>
        <c:noMultiLvlLbl val="0"/>
      </c:catAx>
      <c:valAx>
        <c:axId val="452059712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44924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8320610687022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Comps'!$S$70:$AG$70</c:f>
              <c:numCache>
                <c:formatCode>General</c:formatCode>
                <c:ptCount val="15"/>
                <c:pt idx="0">
                  <c:v>0.0805605</c:v>
                </c:pt>
                <c:pt idx="1">
                  <c:v>0.0416183</c:v>
                </c:pt>
                <c:pt idx="2">
                  <c:v>0.0962351</c:v>
                </c:pt>
                <c:pt idx="3">
                  <c:v>0.182575</c:v>
                </c:pt>
                <c:pt idx="4">
                  <c:v>0.0794563</c:v>
                </c:pt>
                <c:pt idx="5">
                  <c:v>0.257855</c:v>
                </c:pt>
                <c:pt idx="6">
                  <c:v>0.0764638</c:v>
                </c:pt>
                <c:pt idx="7">
                  <c:v>0.0579603</c:v>
                </c:pt>
                <c:pt idx="8">
                  <c:v>0.0334213</c:v>
                </c:pt>
                <c:pt idx="9">
                  <c:v>0.0791803</c:v>
                </c:pt>
                <c:pt idx="10">
                  <c:v>0.00747864</c:v>
                </c:pt>
                <c:pt idx="11">
                  <c:v>0.00444987</c:v>
                </c:pt>
                <c:pt idx="12">
                  <c:v>0.000912898</c:v>
                </c:pt>
                <c:pt idx="13">
                  <c:v>0.00120362</c:v>
                </c:pt>
                <c:pt idx="14">
                  <c:v>0.000629112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394032"/>
        <c:axId val="37568113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Comps'!$B$70:$P$70</c:f>
              <c:numCache>
                <c:formatCode>General</c:formatCode>
                <c:ptCount val="15"/>
                <c:pt idx="0">
                  <c:v>0.0459532</c:v>
                </c:pt>
                <c:pt idx="1">
                  <c:v>0.0244348</c:v>
                </c:pt>
                <c:pt idx="2">
                  <c:v>0.0645151</c:v>
                </c:pt>
                <c:pt idx="3">
                  <c:v>0.20845</c:v>
                </c:pt>
                <c:pt idx="4">
                  <c:v>0.0889909</c:v>
                </c:pt>
                <c:pt idx="5">
                  <c:v>0.300434</c:v>
                </c:pt>
                <c:pt idx="6">
                  <c:v>0.0688942</c:v>
                </c:pt>
                <c:pt idx="7">
                  <c:v>0.0844853</c:v>
                </c:pt>
                <c:pt idx="8">
                  <c:v>0.0427873</c:v>
                </c:pt>
                <c:pt idx="9">
                  <c:v>0.0559199</c:v>
                </c:pt>
                <c:pt idx="10">
                  <c:v>0.0106472</c:v>
                </c:pt>
                <c:pt idx="11">
                  <c:v>0.00241162</c:v>
                </c:pt>
                <c:pt idx="12">
                  <c:v>0.00099461</c:v>
                </c:pt>
                <c:pt idx="13">
                  <c:v>0.00056612</c:v>
                </c:pt>
                <c:pt idx="14">
                  <c:v>0.000515569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94032"/>
        <c:axId val="375681136"/>
      </c:scatterChart>
      <c:catAx>
        <c:axId val="432394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6811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75681136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39403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Comps'!$S$71:$AG$71</c:f>
              <c:numCache>
                <c:formatCode>General</c:formatCode>
                <c:ptCount val="15"/>
                <c:pt idx="0">
                  <c:v>0.0625004</c:v>
                </c:pt>
                <c:pt idx="1">
                  <c:v>0.0206403</c:v>
                </c:pt>
                <c:pt idx="2">
                  <c:v>0.0399945</c:v>
                </c:pt>
                <c:pt idx="3">
                  <c:v>0.131981</c:v>
                </c:pt>
                <c:pt idx="4">
                  <c:v>0.296336</c:v>
                </c:pt>
                <c:pt idx="5">
                  <c:v>0.0588374</c:v>
                </c:pt>
                <c:pt idx="6">
                  <c:v>0.223769</c:v>
                </c:pt>
                <c:pt idx="7">
                  <c:v>0.0339909</c:v>
                </c:pt>
                <c:pt idx="8">
                  <c:v>0.0408924</c:v>
                </c:pt>
                <c:pt idx="9">
                  <c:v>0.0158566</c:v>
                </c:pt>
                <c:pt idx="10">
                  <c:v>0.0498142</c:v>
                </c:pt>
                <c:pt idx="11">
                  <c:v>0.00864492</c:v>
                </c:pt>
                <c:pt idx="12">
                  <c:v>0.00759701</c:v>
                </c:pt>
                <c:pt idx="13">
                  <c:v>0.003817</c:v>
                </c:pt>
                <c:pt idx="14">
                  <c:v>0.00532834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1985136"/>
        <c:axId val="43194156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Comps'!$B$71:$P$71</c:f>
              <c:numCache>
                <c:formatCode>General</c:formatCode>
                <c:ptCount val="15"/>
                <c:pt idx="0">
                  <c:v>0.0612639</c:v>
                </c:pt>
                <c:pt idx="1">
                  <c:v>0.018325</c:v>
                </c:pt>
                <c:pt idx="2">
                  <c:v>0.0393804</c:v>
                </c:pt>
                <c:pt idx="3">
                  <c:v>0.0988553</c:v>
                </c:pt>
                <c:pt idx="4">
                  <c:v>0.262848</c:v>
                </c:pt>
                <c:pt idx="5">
                  <c:v>0.0879763</c:v>
                </c:pt>
                <c:pt idx="6">
                  <c:v>0.244463</c:v>
                </c:pt>
                <c:pt idx="7">
                  <c:v>0.050284</c:v>
                </c:pt>
                <c:pt idx="8">
                  <c:v>0.059269</c:v>
                </c:pt>
                <c:pt idx="9">
                  <c:v>0.0292234</c:v>
                </c:pt>
                <c:pt idx="10">
                  <c:v>0.0379044</c:v>
                </c:pt>
                <c:pt idx="11">
                  <c:v>0.00718604</c:v>
                </c:pt>
                <c:pt idx="12">
                  <c:v>0.00162466</c:v>
                </c:pt>
                <c:pt idx="13">
                  <c:v>0.000669521</c:v>
                </c:pt>
                <c:pt idx="14">
                  <c:v>0.000727834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985136"/>
        <c:axId val="431941568"/>
      </c:scatterChart>
      <c:catAx>
        <c:axId val="43198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941568"/>
        <c:crosses val="autoZero"/>
        <c:auto val="1"/>
        <c:lblAlgn val="ctr"/>
        <c:lblOffset val="100"/>
        <c:noMultiLvlLbl val="0"/>
      </c:catAx>
      <c:valAx>
        <c:axId val="431941568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98513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25268221413"/>
          <c:y val="0.114503816793893"/>
          <c:w val="0.843751609328489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Comps'!$S$72:$AG$72</c:f>
              <c:numCache>
                <c:formatCode>General</c:formatCode>
                <c:ptCount val="15"/>
                <c:pt idx="0">
                  <c:v>0.130821</c:v>
                </c:pt>
                <c:pt idx="1">
                  <c:v>0.0221771</c:v>
                </c:pt>
                <c:pt idx="2">
                  <c:v>0.0079689</c:v>
                </c:pt>
                <c:pt idx="3">
                  <c:v>0.051099</c:v>
                </c:pt>
                <c:pt idx="4">
                  <c:v>0.102044</c:v>
                </c:pt>
                <c:pt idx="5">
                  <c:v>0.342123</c:v>
                </c:pt>
                <c:pt idx="6">
                  <c:v>0.0686666</c:v>
                </c:pt>
                <c:pt idx="7">
                  <c:v>0.168905</c:v>
                </c:pt>
                <c:pt idx="8">
                  <c:v>0.0171186</c:v>
                </c:pt>
                <c:pt idx="9">
                  <c:v>0.030347</c:v>
                </c:pt>
                <c:pt idx="10">
                  <c:v>0.00467163</c:v>
                </c:pt>
                <c:pt idx="11">
                  <c:v>0.0436055</c:v>
                </c:pt>
                <c:pt idx="12">
                  <c:v>0.00380939</c:v>
                </c:pt>
                <c:pt idx="13">
                  <c:v>0.00282487</c:v>
                </c:pt>
                <c:pt idx="14">
                  <c:v>0.00381937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265424"/>
        <c:axId val="4330155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Comps'!$B$72:$P$72</c:f>
              <c:numCache>
                <c:formatCode>General</c:formatCode>
                <c:ptCount val="15"/>
                <c:pt idx="0">
                  <c:v>0.162413</c:v>
                </c:pt>
                <c:pt idx="1">
                  <c:v>0.0283396</c:v>
                </c:pt>
                <c:pt idx="2">
                  <c:v>0.0246375</c:v>
                </c:pt>
                <c:pt idx="3">
                  <c:v>0.0529701</c:v>
                </c:pt>
                <c:pt idx="4">
                  <c:v>0.111683</c:v>
                </c:pt>
                <c:pt idx="5">
                  <c:v>0.244943</c:v>
                </c:pt>
                <c:pt idx="6">
                  <c:v>0.0697103</c:v>
                </c:pt>
                <c:pt idx="7">
                  <c:v>0.175286</c:v>
                </c:pt>
                <c:pt idx="8">
                  <c:v>0.0352127</c:v>
                </c:pt>
                <c:pt idx="9">
                  <c:v>0.0413003</c:v>
                </c:pt>
                <c:pt idx="10">
                  <c:v>0.0202539</c:v>
                </c:pt>
                <c:pt idx="11">
                  <c:v>0.026203</c:v>
                </c:pt>
                <c:pt idx="12">
                  <c:v>0.00496252</c:v>
                </c:pt>
                <c:pt idx="13">
                  <c:v>0.00112149</c:v>
                </c:pt>
                <c:pt idx="14">
                  <c:v>0.000964382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265424"/>
        <c:axId val="433015504"/>
      </c:scatterChart>
      <c:catAx>
        <c:axId val="43226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3015504"/>
        <c:crosses val="autoZero"/>
        <c:auto val="1"/>
        <c:lblAlgn val="ctr"/>
        <c:lblOffset val="100"/>
        <c:noMultiLvlLbl val="0"/>
      </c:catAx>
      <c:valAx>
        <c:axId val="433015504"/>
        <c:scaling>
          <c:orientation val="minMax"/>
          <c:max val="0.3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265424"/>
        <c:crosses val="autoZero"/>
        <c:crossBetween val="between"/>
        <c:majorUnit val="0.1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Comps'!$S$73:$AG$73</c:f>
              <c:numCache>
                <c:formatCode>General</c:formatCode>
                <c:ptCount val="15"/>
                <c:pt idx="0">
                  <c:v>0.27298</c:v>
                </c:pt>
                <c:pt idx="1">
                  <c:v>0.0782595</c:v>
                </c:pt>
                <c:pt idx="2">
                  <c:v>0.0279862</c:v>
                </c:pt>
                <c:pt idx="3">
                  <c:v>0.00905634</c:v>
                </c:pt>
                <c:pt idx="4">
                  <c:v>0.055119</c:v>
                </c:pt>
                <c:pt idx="5">
                  <c:v>0.0514792</c:v>
                </c:pt>
                <c:pt idx="6">
                  <c:v>0.170266</c:v>
                </c:pt>
                <c:pt idx="7">
                  <c:v>0.0640153</c:v>
                </c:pt>
                <c:pt idx="8">
                  <c:v>0.137731</c:v>
                </c:pt>
                <c:pt idx="9">
                  <c:v>0.0360313</c:v>
                </c:pt>
                <c:pt idx="10">
                  <c:v>0.0486941</c:v>
                </c:pt>
                <c:pt idx="11">
                  <c:v>0.0100577</c:v>
                </c:pt>
                <c:pt idx="12">
                  <c:v>0.0302394</c:v>
                </c:pt>
                <c:pt idx="13">
                  <c:v>0.00426261</c:v>
                </c:pt>
                <c:pt idx="14">
                  <c:v>0.00382265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75867632"/>
        <c:axId val="3758692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Comps'!$B$73:$P$73</c:f>
              <c:numCache>
                <c:formatCode>General</c:formatCode>
                <c:ptCount val="15"/>
                <c:pt idx="0">
                  <c:v>0.239362</c:v>
                </c:pt>
                <c:pt idx="1">
                  <c:v>0.0809506</c:v>
                </c:pt>
                <c:pt idx="2">
                  <c:v>0.0349438</c:v>
                </c:pt>
                <c:pt idx="3">
                  <c:v>0.0306761</c:v>
                </c:pt>
                <c:pt idx="4">
                  <c:v>0.0565984</c:v>
                </c:pt>
                <c:pt idx="5">
                  <c:v>0.100129</c:v>
                </c:pt>
                <c:pt idx="6">
                  <c:v>0.19033</c:v>
                </c:pt>
                <c:pt idx="7">
                  <c:v>0.051514</c:v>
                </c:pt>
                <c:pt idx="8">
                  <c:v>0.123828</c:v>
                </c:pt>
                <c:pt idx="9">
                  <c:v>0.0248053</c:v>
                </c:pt>
                <c:pt idx="10">
                  <c:v>0.0291531</c:v>
                </c:pt>
                <c:pt idx="11">
                  <c:v>0.0142791</c:v>
                </c:pt>
                <c:pt idx="12">
                  <c:v>0.0184649</c:v>
                </c:pt>
                <c:pt idx="13">
                  <c:v>0.00349644</c:v>
                </c:pt>
                <c:pt idx="14">
                  <c:v>0.00146953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867632"/>
        <c:axId val="375869264"/>
      </c:scatterChart>
      <c:catAx>
        <c:axId val="375867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869264"/>
        <c:crosses val="autoZero"/>
        <c:auto val="1"/>
        <c:lblAlgn val="ctr"/>
        <c:lblOffset val="100"/>
        <c:noMultiLvlLbl val="0"/>
      </c:catAx>
      <c:valAx>
        <c:axId val="375869264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86763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00023841903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Comps'!$S$74:$AG$74</c:f>
              <c:numCache>
                <c:formatCode>General</c:formatCode>
                <c:ptCount val="15"/>
                <c:pt idx="0">
                  <c:v>0.164315</c:v>
                </c:pt>
                <c:pt idx="1">
                  <c:v>0.046244</c:v>
                </c:pt>
                <c:pt idx="2">
                  <c:v>0.240779</c:v>
                </c:pt>
                <c:pt idx="3">
                  <c:v>0.0405253</c:v>
                </c:pt>
                <c:pt idx="4">
                  <c:v>0.0452985</c:v>
                </c:pt>
                <c:pt idx="5">
                  <c:v>0.075876</c:v>
                </c:pt>
                <c:pt idx="6">
                  <c:v>0.066658</c:v>
                </c:pt>
                <c:pt idx="7">
                  <c:v>0.095532</c:v>
                </c:pt>
                <c:pt idx="8">
                  <c:v>0.0425763</c:v>
                </c:pt>
                <c:pt idx="9">
                  <c:v>0.0811915</c:v>
                </c:pt>
                <c:pt idx="10">
                  <c:v>0.0285335</c:v>
                </c:pt>
                <c:pt idx="11">
                  <c:v>0.0355828</c:v>
                </c:pt>
                <c:pt idx="12">
                  <c:v>0.0152376</c:v>
                </c:pt>
                <c:pt idx="13">
                  <c:v>0.0120694</c:v>
                </c:pt>
                <c:pt idx="14">
                  <c:v>0.00958172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75771792"/>
        <c:axId val="43204804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Comps'!$B$74:$P$74</c:f>
              <c:numCache>
                <c:formatCode>General</c:formatCode>
                <c:ptCount val="15"/>
                <c:pt idx="0">
                  <c:v>0.172433</c:v>
                </c:pt>
                <c:pt idx="1">
                  <c:v>0.0579925</c:v>
                </c:pt>
                <c:pt idx="2">
                  <c:v>0.208484</c:v>
                </c:pt>
                <c:pt idx="3">
                  <c:v>0.0837308</c:v>
                </c:pt>
                <c:pt idx="4">
                  <c:v>0.0536546</c:v>
                </c:pt>
                <c:pt idx="5">
                  <c:v>0.0638774</c:v>
                </c:pt>
                <c:pt idx="6">
                  <c:v>0.0791255</c:v>
                </c:pt>
                <c:pt idx="7">
                  <c:v>0.122474</c:v>
                </c:pt>
                <c:pt idx="8">
                  <c:v>0.0316028</c:v>
                </c:pt>
                <c:pt idx="9">
                  <c:v>0.0730616</c:v>
                </c:pt>
                <c:pt idx="10">
                  <c:v>0.0145297</c:v>
                </c:pt>
                <c:pt idx="11">
                  <c:v>0.0170301</c:v>
                </c:pt>
                <c:pt idx="12">
                  <c:v>0.00833365</c:v>
                </c:pt>
                <c:pt idx="13">
                  <c:v>0.0107732</c:v>
                </c:pt>
                <c:pt idx="14">
                  <c:v>0.00289702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771792"/>
        <c:axId val="432048048"/>
      </c:scatterChart>
      <c:catAx>
        <c:axId val="37577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048048"/>
        <c:crosses val="autoZero"/>
        <c:auto val="1"/>
        <c:lblAlgn val="ctr"/>
        <c:lblOffset val="100"/>
        <c:noMultiLvlLbl val="0"/>
      </c:catAx>
      <c:valAx>
        <c:axId val="432048048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77179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Comps'!$S$75:$AG$75</c:f>
              <c:numCache>
                <c:formatCode>General</c:formatCode>
                <c:ptCount val="15"/>
                <c:pt idx="0">
                  <c:v>0.221888</c:v>
                </c:pt>
                <c:pt idx="1">
                  <c:v>0.0329784</c:v>
                </c:pt>
                <c:pt idx="2">
                  <c:v>0.0738085</c:v>
                </c:pt>
                <c:pt idx="3">
                  <c:v>0.312003</c:v>
                </c:pt>
                <c:pt idx="4">
                  <c:v>0.0675312</c:v>
                </c:pt>
                <c:pt idx="5">
                  <c:v>0.0540579</c:v>
                </c:pt>
                <c:pt idx="6">
                  <c:v>0.0281056</c:v>
                </c:pt>
                <c:pt idx="7">
                  <c:v>0.0387651</c:v>
                </c:pt>
                <c:pt idx="8">
                  <c:v>0.0527907</c:v>
                </c:pt>
                <c:pt idx="9">
                  <c:v>0.0325702</c:v>
                </c:pt>
                <c:pt idx="10">
                  <c:v>0.028573</c:v>
                </c:pt>
                <c:pt idx="11">
                  <c:v>0.0208204</c:v>
                </c:pt>
                <c:pt idx="12">
                  <c:v>0.0163197</c:v>
                </c:pt>
                <c:pt idx="13">
                  <c:v>0.00898873</c:v>
                </c:pt>
                <c:pt idx="14">
                  <c:v>0.0108002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159360"/>
        <c:axId val="45216140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Comps'!$B$75:$P$75</c:f>
              <c:numCache>
                <c:formatCode>General</c:formatCode>
                <c:ptCount val="15"/>
                <c:pt idx="0">
                  <c:v>0.238471</c:v>
                </c:pt>
                <c:pt idx="1">
                  <c:v>0.0431787</c:v>
                </c:pt>
                <c:pt idx="2">
                  <c:v>0.0941548</c:v>
                </c:pt>
                <c:pt idx="3">
                  <c:v>0.303359</c:v>
                </c:pt>
                <c:pt idx="4">
                  <c:v>0.094653</c:v>
                </c:pt>
                <c:pt idx="5">
                  <c:v>0.0407111</c:v>
                </c:pt>
                <c:pt idx="6">
                  <c:v>0.0340111</c:v>
                </c:pt>
                <c:pt idx="7">
                  <c:v>0.0352586</c:v>
                </c:pt>
                <c:pt idx="8">
                  <c:v>0.0511821</c:v>
                </c:pt>
                <c:pt idx="9">
                  <c:v>0.0130238</c:v>
                </c:pt>
                <c:pt idx="10">
                  <c:v>0.0300352</c:v>
                </c:pt>
                <c:pt idx="11">
                  <c:v>0.005961</c:v>
                </c:pt>
                <c:pt idx="12">
                  <c:v>0.00698208</c:v>
                </c:pt>
                <c:pt idx="13">
                  <c:v>0.0034159</c:v>
                </c:pt>
                <c:pt idx="14">
                  <c:v>0.00560287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159360"/>
        <c:axId val="452161408"/>
      </c:scatterChart>
      <c:catAx>
        <c:axId val="45215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161408"/>
        <c:crosses val="autoZero"/>
        <c:auto val="1"/>
        <c:lblAlgn val="ctr"/>
        <c:lblOffset val="100"/>
        <c:noMultiLvlLbl val="0"/>
      </c:catAx>
      <c:valAx>
        <c:axId val="452161408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159360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Comps'!$S$76:$AG$76</c:f>
              <c:numCache>
                <c:formatCode>General</c:formatCode>
                <c:ptCount val="15"/>
                <c:pt idx="0">
                  <c:v>0.144006</c:v>
                </c:pt>
                <c:pt idx="1">
                  <c:v>0.0639048</c:v>
                </c:pt>
                <c:pt idx="2">
                  <c:v>0.048798</c:v>
                </c:pt>
                <c:pt idx="3">
                  <c:v>0.138988</c:v>
                </c:pt>
                <c:pt idx="4">
                  <c:v>0.376135</c:v>
                </c:pt>
                <c:pt idx="5">
                  <c:v>0.0659393</c:v>
                </c:pt>
                <c:pt idx="6">
                  <c:v>0.0171817</c:v>
                </c:pt>
                <c:pt idx="7">
                  <c:v>0.0148917</c:v>
                </c:pt>
                <c:pt idx="8">
                  <c:v>0.0167132</c:v>
                </c:pt>
                <c:pt idx="9">
                  <c:v>0.0314339</c:v>
                </c:pt>
                <c:pt idx="10">
                  <c:v>0.0191542</c:v>
                </c:pt>
                <c:pt idx="11">
                  <c:v>0.026799</c:v>
                </c:pt>
                <c:pt idx="12">
                  <c:v>0.0101399</c:v>
                </c:pt>
                <c:pt idx="13">
                  <c:v>0.00974569</c:v>
                </c:pt>
                <c:pt idx="14">
                  <c:v>0.0161695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707328"/>
        <c:axId val="42971072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Comps'!$B$76:$P$76</c:f>
              <c:numCache>
                <c:formatCode>General</c:formatCode>
                <c:ptCount val="15"/>
                <c:pt idx="0">
                  <c:v>0.136492</c:v>
                </c:pt>
                <c:pt idx="1">
                  <c:v>0.0692346</c:v>
                </c:pt>
                <c:pt idx="2">
                  <c:v>0.0679401</c:v>
                </c:pt>
                <c:pt idx="3">
                  <c:v>0.141627</c:v>
                </c:pt>
                <c:pt idx="4">
                  <c:v>0.346888</c:v>
                </c:pt>
                <c:pt idx="5">
                  <c:v>0.0891049</c:v>
                </c:pt>
                <c:pt idx="6">
                  <c:v>0.0302746</c:v>
                </c:pt>
                <c:pt idx="7">
                  <c:v>0.0223336</c:v>
                </c:pt>
                <c:pt idx="8">
                  <c:v>0.0224834</c:v>
                </c:pt>
                <c:pt idx="9">
                  <c:v>0.0324045</c:v>
                </c:pt>
                <c:pt idx="10">
                  <c:v>0.00826466</c:v>
                </c:pt>
                <c:pt idx="11">
                  <c:v>0.0190383</c:v>
                </c:pt>
                <c:pt idx="12">
                  <c:v>0.0037771</c:v>
                </c:pt>
                <c:pt idx="13">
                  <c:v>0.00442358</c:v>
                </c:pt>
                <c:pt idx="14">
                  <c:v>0.00571365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707328"/>
        <c:axId val="429710720"/>
      </c:scatterChart>
      <c:catAx>
        <c:axId val="429707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710720"/>
        <c:crosses val="autoZero"/>
        <c:auto val="1"/>
        <c:lblAlgn val="ctr"/>
        <c:lblOffset val="100"/>
        <c:noMultiLvlLbl val="0"/>
      </c:catAx>
      <c:valAx>
        <c:axId val="429710720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70732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Comps'!$S$78:$AG$78</c:f>
              <c:numCache>
                <c:formatCode>General</c:formatCode>
                <c:ptCount val="15"/>
                <c:pt idx="0">
                  <c:v>0.222584</c:v>
                </c:pt>
                <c:pt idx="1">
                  <c:v>0.0530518</c:v>
                </c:pt>
                <c:pt idx="2">
                  <c:v>0.0243166</c:v>
                </c:pt>
                <c:pt idx="3">
                  <c:v>0.0486184</c:v>
                </c:pt>
                <c:pt idx="4">
                  <c:v>0.133988</c:v>
                </c:pt>
                <c:pt idx="5">
                  <c:v>0.189315</c:v>
                </c:pt>
                <c:pt idx="6">
                  <c:v>0.173388</c:v>
                </c:pt>
                <c:pt idx="7">
                  <c:v>0.0590518</c:v>
                </c:pt>
                <c:pt idx="8">
                  <c:v>0.0147458</c:v>
                </c:pt>
                <c:pt idx="9">
                  <c:v>0.0158299</c:v>
                </c:pt>
                <c:pt idx="10">
                  <c:v>0.010711</c:v>
                </c:pt>
                <c:pt idx="11">
                  <c:v>0.0201505</c:v>
                </c:pt>
                <c:pt idx="12">
                  <c:v>0.0065718</c:v>
                </c:pt>
                <c:pt idx="13">
                  <c:v>0.0119029</c:v>
                </c:pt>
                <c:pt idx="14">
                  <c:v>0.0157744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036640"/>
        <c:axId val="43203868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Comps'!$B$78:$P$78</c:f>
              <c:numCache>
                <c:formatCode>General</c:formatCode>
                <c:ptCount val="15"/>
                <c:pt idx="0">
                  <c:v>0.232365</c:v>
                </c:pt>
                <c:pt idx="1">
                  <c:v>0.0100662</c:v>
                </c:pt>
                <c:pt idx="2">
                  <c:v>0.0262768</c:v>
                </c:pt>
                <c:pt idx="3">
                  <c:v>0.143832</c:v>
                </c:pt>
                <c:pt idx="4">
                  <c:v>0.114884</c:v>
                </c:pt>
                <c:pt idx="5">
                  <c:v>0.148504</c:v>
                </c:pt>
                <c:pt idx="6">
                  <c:v>0.207775</c:v>
                </c:pt>
                <c:pt idx="7">
                  <c:v>0.0458792</c:v>
                </c:pt>
                <c:pt idx="8">
                  <c:v>0.0142642</c:v>
                </c:pt>
                <c:pt idx="9">
                  <c:v>0.0105277</c:v>
                </c:pt>
                <c:pt idx="10">
                  <c:v>0.0106484</c:v>
                </c:pt>
                <c:pt idx="11">
                  <c:v>0.0153899</c:v>
                </c:pt>
                <c:pt idx="12">
                  <c:v>0.00392658</c:v>
                </c:pt>
                <c:pt idx="13">
                  <c:v>0.00904795</c:v>
                </c:pt>
                <c:pt idx="14">
                  <c:v>0.00661334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36640"/>
        <c:axId val="432038688"/>
      </c:scatterChart>
      <c:catAx>
        <c:axId val="432036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038688"/>
        <c:crosses val="autoZero"/>
        <c:auto val="1"/>
        <c:lblAlgn val="ctr"/>
        <c:lblOffset val="100"/>
        <c:noMultiLvlLbl val="0"/>
      </c:catAx>
      <c:valAx>
        <c:axId val="432038688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036640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Comps'!$S$79:$AG$79</c:f>
              <c:numCache>
                <c:formatCode>General</c:formatCode>
                <c:ptCount val="15"/>
                <c:pt idx="0">
                  <c:v>0.244612</c:v>
                </c:pt>
                <c:pt idx="1">
                  <c:v>0.0376784</c:v>
                </c:pt>
                <c:pt idx="2">
                  <c:v>0.0196259</c:v>
                </c:pt>
                <c:pt idx="3">
                  <c:v>0.0253648</c:v>
                </c:pt>
                <c:pt idx="4">
                  <c:v>0.302978</c:v>
                </c:pt>
                <c:pt idx="5">
                  <c:v>0.132485</c:v>
                </c:pt>
                <c:pt idx="6">
                  <c:v>0.0784951</c:v>
                </c:pt>
                <c:pt idx="7">
                  <c:v>0.0947909</c:v>
                </c:pt>
                <c:pt idx="8">
                  <c:v>0.0161142</c:v>
                </c:pt>
                <c:pt idx="9">
                  <c:v>0.0081575</c:v>
                </c:pt>
                <c:pt idx="10">
                  <c:v>0.00615097</c:v>
                </c:pt>
                <c:pt idx="11">
                  <c:v>0.00671973</c:v>
                </c:pt>
                <c:pt idx="12">
                  <c:v>0.0109742</c:v>
                </c:pt>
                <c:pt idx="13">
                  <c:v>0.00354661</c:v>
                </c:pt>
                <c:pt idx="14">
                  <c:v>0.0123056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75851472"/>
        <c:axId val="50598699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Comps'!$B$79:$P$79</c:f>
              <c:numCache>
                <c:formatCode>General</c:formatCode>
                <c:ptCount val="15"/>
                <c:pt idx="0">
                  <c:v>0.241486</c:v>
                </c:pt>
                <c:pt idx="1">
                  <c:v>0.0317792</c:v>
                </c:pt>
                <c:pt idx="2">
                  <c:v>0.0234852</c:v>
                </c:pt>
                <c:pt idx="3">
                  <c:v>0.0548892</c:v>
                </c:pt>
                <c:pt idx="4">
                  <c:v>0.237438</c:v>
                </c:pt>
                <c:pt idx="5">
                  <c:v>0.135407</c:v>
                </c:pt>
                <c:pt idx="6">
                  <c:v>0.113046</c:v>
                </c:pt>
                <c:pt idx="7">
                  <c:v>0.111443</c:v>
                </c:pt>
                <c:pt idx="8">
                  <c:v>0.02086</c:v>
                </c:pt>
                <c:pt idx="9">
                  <c:v>0.00622132</c:v>
                </c:pt>
                <c:pt idx="10">
                  <c:v>0.00453528</c:v>
                </c:pt>
                <c:pt idx="11">
                  <c:v>0.00454261</c:v>
                </c:pt>
                <c:pt idx="12">
                  <c:v>0.00654542</c:v>
                </c:pt>
                <c:pt idx="13">
                  <c:v>0.00166861</c:v>
                </c:pt>
                <c:pt idx="14">
                  <c:v>0.00665273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851472"/>
        <c:axId val="505986992"/>
      </c:scatterChart>
      <c:catAx>
        <c:axId val="37585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5986992"/>
        <c:crosses val="autoZero"/>
        <c:auto val="1"/>
        <c:lblAlgn val="ctr"/>
        <c:lblOffset val="100"/>
        <c:noMultiLvlLbl val="0"/>
      </c:catAx>
      <c:valAx>
        <c:axId val="505986992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7585147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Bottom Trawl Survey numbers</a:t>
            </a:r>
          </a:p>
        </c:rich>
      </c:tx>
      <c:layout>
        <c:manualLayout>
          <c:xMode val="edge"/>
          <c:yMode val="edge"/>
          <c:x val="0.517578330052493"/>
          <c:y val="0.01162790697674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83594075963057"/>
          <c:y val="0.0558140168672975"/>
          <c:w val="0.914062935859173"/>
          <c:h val="0.860466093370836"/>
        </c:manualLayout>
      </c:layout>
      <c:lineChart>
        <c:grouping val="standard"/>
        <c:varyColors val="0"/>
        <c:ser>
          <c:idx val="0"/>
          <c:order val="0"/>
          <c:tx>
            <c:strRef>
              <c:f>Summary!$U$6</c:f>
              <c:strCache>
                <c:ptCount val="1"/>
                <c:pt idx="0">
                  <c:v>Predicted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Summary!$V$1:$BB$1</c:f>
              <c:numCache>
                <c:formatCode>General</c:formatCode>
                <c:ptCount val="33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  <c:pt idx="29">
                  <c:v>2011.0</c:v>
                </c:pt>
                <c:pt idx="30">
                  <c:v>2012.0</c:v>
                </c:pt>
                <c:pt idx="31">
                  <c:v>2013.0</c:v>
                </c:pt>
                <c:pt idx="32">
                  <c:v>2014.0</c:v>
                </c:pt>
              </c:numCache>
            </c:numRef>
          </c:cat>
          <c:val>
            <c:numRef>
              <c:f>Summary!$V$6:$BC$6</c:f>
              <c:numCache>
                <c:formatCode>#,##0</c:formatCode>
                <c:ptCount val="34"/>
                <c:pt idx="0">
                  <c:v>6310.33</c:v>
                </c:pt>
                <c:pt idx="1">
                  <c:v>6929.87</c:v>
                </c:pt>
                <c:pt idx="2">
                  <c:v>5254.46</c:v>
                </c:pt>
                <c:pt idx="3">
                  <c:v>6348.25</c:v>
                </c:pt>
                <c:pt idx="4">
                  <c:v>5121.55</c:v>
                </c:pt>
                <c:pt idx="5">
                  <c:v>7347.19</c:v>
                </c:pt>
                <c:pt idx="6">
                  <c:v>8657.6</c:v>
                </c:pt>
                <c:pt idx="7">
                  <c:v>7786.73</c:v>
                </c:pt>
                <c:pt idx="8">
                  <c:v>5958.58</c:v>
                </c:pt>
                <c:pt idx="9">
                  <c:v>4226.82</c:v>
                </c:pt>
                <c:pt idx="10">
                  <c:v>3952.03</c:v>
                </c:pt>
                <c:pt idx="11">
                  <c:v>4540.47</c:v>
                </c:pt>
                <c:pt idx="12">
                  <c:v>4557.5</c:v>
                </c:pt>
                <c:pt idx="13">
                  <c:v>3458.3</c:v>
                </c:pt>
                <c:pt idx="14">
                  <c:v>2700.03</c:v>
                </c:pt>
                <c:pt idx="15">
                  <c:v>3356.55</c:v>
                </c:pt>
                <c:pt idx="16">
                  <c:v>2952.98</c:v>
                </c:pt>
                <c:pt idx="17">
                  <c:v>4515.58</c:v>
                </c:pt>
                <c:pt idx="18">
                  <c:v>4539.2</c:v>
                </c:pt>
                <c:pt idx="19">
                  <c:v>3840.49</c:v>
                </c:pt>
                <c:pt idx="20">
                  <c:v>3759.51</c:v>
                </c:pt>
                <c:pt idx="21">
                  <c:v>2772.96</c:v>
                </c:pt>
                <c:pt idx="22">
                  <c:v>3243.85</c:v>
                </c:pt>
                <c:pt idx="23">
                  <c:v>4133.65</c:v>
                </c:pt>
                <c:pt idx="24">
                  <c:v>2635.86</c:v>
                </c:pt>
                <c:pt idx="25">
                  <c:v>3214.05</c:v>
                </c:pt>
                <c:pt idx="26">
                  <c:v>2429.92</c:v>
                </c:pt>
                <c:pt idx="27">
                  <c:v>2174.61</c:v>
                </c:pt>
                <c:pt idx="28">
                  <c:v>3132.32</c:v>
                </c:pt>
                <c:pt idx="29">
                  <c:v>2291.08</c:v>
                </c:pt>
                <c:pt idx="30">
                  <c:v>3659.74</c:v>
                </c:pt>
                <c:pt idx="31">
                  <c:v>4702.4</c:v>
                </c:pt>
                <c:pt idx="32">
                  <c:v>5560.98</c:v>
                </c:pt>
                <c:pt idx="33">
                  <c:v>5572.81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Summary!$U$7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Summary!$V$1:$BB$1</c:f>
              <c:numCache>
                <c:formatCode>General</c:formatCode>
                <c:ptCount val="33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  <c:pt idx="29">
                  <c:v>2011.0</c:v>
                </c:pt>
                <c:pt idx="30">
                  <c:v>2012.0</c:v>
                </c:pt>
                <c:pt idx="31">
                  <c:v>2013.0</c:v>
                </c:pt>
                <c:pt idx="32">
                  <c:v>2014.0</c:v>
                </c:pt>
              </c:numCache>
            </c:numRef>
          </c:cat>
          <c:val>
            <c:numRef>
              <c:f>Summary!$V$7:$BC$7</c:f>
              <c:numCache>
                <c:formatCode>#,##0</c:formatCode>
                <c:ptCount val="34"/>
                <c:pt idx="0">
                  <c:v>12818.7</c:v>
                </c:pt>
                <c:pt idx="1">
                  <c:v>15926.6</c:v>
                </c:pt>
                <c:pt idx="2">
                  <c:v>10877.4</c:v>
                </c:pt>
                <c:pt idx="3">
                  <c:v>15166.2</c:v>
                </c:pt>
                <c:pt idx="4">
                  <c:v>9997.84</c:v>
                </c:pt>
                <c:pt idx="5">
                  <c:v>12858.9</c:v>
                </c:pt>
                <c:pt idx="6">
                  <c:v>18892.4</c:v>
                </c:pt>
                <c:pt idx="7">
                  <c:v>15757.8</c:v>
                </c:pt>
                <c:pt idx="8">
                  <c:v>15785.4</c:v>
                </c:pt>
                <c:pt idx="9">
                  <c:v>8479.68</c:v>
                </c:pt>
                <c:pt idx="10">
                  <c:v>8325.03</c:v>
                </c:pt>
                <c:pt idx="11">
                  <c:v>10213.1</c:v>
                </c:pt>
                <c:pt idx="12">
                  <c:v>10042.8</c:v>
                </c:pt>
                <c:pt idx="13">
                  <c:v>13415.1</c:v>
                </c:pt>
                <c:pt idx="14">
                  <c:v>6213.77</c:v>
                </c:pt>
                <c:pt idx="15">
                  <c:v>8496.35</c:v>
                </c:pt>
                <c:pt idx="16">
                  <c:v>6296.36</c:v>
                </c:pt>
                <c:pt idx="17">
                  <c:v>9138.450000000001</c:v>
                </c:pt>
                <c:pt idx="18">
                  <c:v>11305.7</c:v>
                </c:pt>
                <c:pt idx="19">
                  <c:v>8144.45</c:v>
                </c:pt>
                <c:pt idx="20">
                  <c:v>9537.389999999999</c:v>
                </c:pt>
                <c:pt idx="21">
                  <c:v>15526.5</c:v>
                </c:pt>
                <c:pt idx="22">
                  <c:v>6744.19</c:v>
                </c:pt>
                <c:pt idx="23">
                  <c:v>10345.6</c:v>
                </c:pt>
                <c:pt idx="24">
                  <c:v>5056.71</c:v>
                </c:pt>
                <c:pt idx="25">
                  <c:v>7357.24</c:v>
                </c:pt>
                <c:pt idx="26">
                  <c:v>4636.5</c:v>
                </c:pt>
                <c:pt idx="27">
                  <c:v>3648.9</c:v>
                </c:pt>
                <c:pt idx="28">
                  <c:v>7033.5</c:v>
                </c:pt>
                <c:pt idx="29">
                  <c:v>4950.78</c:v>
                </c:pt>
                <c:pt idx="30">
                  <c:v>7317.35</c:v>
                </c:pt>
                <c:pt idx="31">
                  <c:v>9055.2</c:v>
                </c:pt>
                <c:pt idx="32">
                  <c:v>14027.1</c:v>
                </c:pt>
                <c:pt idx="33">
                  <c:v>13548.4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10992"/>
        <c:axId val="432599088"/>
      </c:lineChart>
      <c:catAx>
        <c:axId val="50591099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59908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432599088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910992"/>
        <c:crosses val="autoZero"/>
        <c:crossBetween val="midCat"/>
        <c:majorUnit val="5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Comps'!$S$80:$AG$80</c:f>
              <c:numCache>
                <c:formatCode>General</c:formatCode>
                <c:ptCount val="15"/>
                <c:pt idx="0">
                  <c:v>0.10742</c:v>
                </c:pt>
                <c:pt idx="1">
                  <c:v>0.0940894</c:v>
                </c:pt>
                <c:pt idx="2">
                  <c:v>0.0493308</c:v>
                </c:pt>
                <c:pt idx="3">
                  <c:v>0.0352989</c:v>
                </c:pt>
                <c:pt idx="4">
                  <c:v>0.0689487</c:v>
                </c:pt>
                <c:pt idx="5">
                  <c:v>0.393342</c:v>
                </c:pt>
                <c:pt idx="6">
                  <c:v>0.100006</c:v>
                </c:pt>
                <c:pt idx="7">
                  <c:v>0.0631923</c:v>
                </c:pt>
                <c:pt idx="8">
                  <c:v>0.048961</c:v>
                </c:pt>
                <c:pt idx="9">
                  <c:v>0.0122393</c:v>
                </c:pt>
                <c:pt idx="10">
                  <c:v>0.00548119</c:v>
                </c:pt>
                <c:pt idx="11">
                  <c:v>0.00187854</c:v>
                </c:pt>
                <c:pt idx="12">
                  <c:v>0.00424565</c:v>
                </c:pt>
                <c:pt idx="13">
                  <c:v>0.00464167</c:v>
                </c:pt>
                <c:pt idx="14">
                  <c:v>0.0109241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5507376"/>
        <c:axId val="50550942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Comps'!$B$80:$P$80</c:f>
              <c:numCache>
                <c:formatCode>General</c:formatCode>
                <c:ptCount val="15"/>
                <c:pt idx="0">
                  <c:v>0.116749</c:v>
                </c:pt>
                <c:pt idx="1">
                  <c:v>0.0572827</c:v>
                </c:pt>
                <c:pt idx="2">
                  <c:v>0.0594095</c:v>
                </c:pt>
                <c:pt idx="3">
                  <c:v>0.0416199</c:v>
                </c:pt>
                <c:pt idx="4">
                  <c:v>0.0833995</c:v>
                </c:pt>
                <c:pt idx="5">
                  <c:v>0.29199</c:v>
                </c:pt>
                <c:pt idx="6">
                  <c:v>0.137696</c:v>
                </c:pt>
                <c:pt idx="7">
                  <c:v>0.0930207</c:v>
                </c:pt>
                <c:pt idx="8">
                  <c:v>0.0823736</c:v>
                </c:pt>
                <c:pt idx="9">
                  <c:v>0.0149305</c:v>
                </c:pt>
                <c:pt idx="10">
                  <c:v>0.00445027</c:v>
                </c:pt>
                <c:pt idx="11">
                  <c:v>0.00323446</c:v>
                </c:pt>
                <c:pt idx="12">
                  <c:v>0.00323923</c:v>
                </c:pt>
                <c:pt idx="13">
                  <c:v>0.00466976</c:v>
                </c:pt>
                <c:pt idx="14">
                  <c:v>0.00593444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507376"/>
        <c:axId val="505509424"/>
      </c:scatterChart>
      <c:catAx>
        <c:axId val="505507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5509424"/>
        <c:crosses val="autoZero"/>
        <c:auto val="1"/>
        <c:lblAlgn val="ctr"/>
        <c:lblOffset val="100"/>
        <c:noMultiLvlLbl val="0"/>
      </c:catAx>
      <c:valAx>
        <c:axId val="505509424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50737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14503816793893"/>
          <c:w val="0.867189154032047"/>
          <c:h val="0.8320610687022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Comps'!$S$77:$AG$77</c:f>
              <c:numCache>
                <c:formatCode>General</c:formatCode>
                <c:ptCount val="15"/>
                <c:pt idx="0">
                  <c:v>0.142868</c:v>
                </c:pt>
                <c:pt idx="1">
                  <c:v>0.0141274</c:v>
                </c:pt>
                <c:pt idx="2">
                  <c:v>0.0272843</c:v>
                </c:pt>
                <c:pt idx="3">
                  <c:v>0.127469</c:v>
                </c:pt>
                <c:pt idx="4">
                  <c:v>0.1696</c:v>
                </c:pt>
                <c:pt idx="5">
                  <c:v>0.276181</c:v>
                </c:pt>
                <c:pt idx="6">
                  <c:v>0.117225</c:v>
                </c:pt>
                <c:pt idx="7">
                  <c:v>0.0308771</c:v>
                </c:pt>
                <c:pt idx="8">
                  <c:v>0.0189082</c:v>
                </c:pt>
                <c:pt idx="9">
                  <c:v>0.0118409</c:v>
                </c:pt>
                <c:pt idx="10">
                  <c:v>0.0223221</c:v>
                </c:pt>
                <c:pt idx="11">
                  <c:v>0.00891629</c:v>
                </c:pt>
                <c:pt idx="12">
                  <c:v>0.0164928</c:v>
                </c:pt>
                <c:pt idx="13">
                  <c:v>0.00651919</c:v>
                </c:pt>
                <c:pt idx="14">
                  <c:v>0.00936871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679072"/>
        <c:axId val="4326807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Comps'!$B$77:$P$77</c:f>
              <c:numCache>
                <c:formatCode>General</c:formatCode>
                <c:ptCount val="15"/>
                <c:pt idx="0">
                  <c:v>0.132718</c:v>
                </c:pt>
                <c:pt idx="1">
                  <c:v>0.015852</c:v>
                </c:pt>
                <c:pt idx="2">
                  <c:v>0.0942686</c:v>
                </c:pt>
                <c:pt idx="3">
                  <c:v>0.0929493</c:v>
                </c:pt>
                <c:pt idx="4">
                  <c:v>0.16471</c:v>
                </c:pt>
                <c:pt idx="5">
                  <c:v>0.312938</c:v>
                </c:pt>
                <c:pt idx="6">
                  <c:v>0.0741619</c:v>
                </c:pt>
                <c:pt idx="7">
                  <c:v>0.023185</c:v>
                </c:pt>
                <c:pt idx="8">
                  <c:v>0.0168299</c:v>
                </c:pt>
                <c:pt idx="9">
                  <c:v>0.0169257</c:v>
                </c:pt>
                <c:pt idx="10">
                  <c:v>0.0244219</c:v>
                </c:pt>
                <c:pt idx="11">
                  <c:v>0.00622498</c:v>
                </c:pt>
                <c:pt idx="12">
                  <c:v>0.0143372</c:v>
                </c:pt>
                <c:pt idx="13">
                  <c:v>0.0028443</c:v>
                </c:pt>
                <c:pt idx="14">
                  <c:v>0.00763348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79072"/>
        <c:axId val="432680704"/>
      </c:scatterChart>
      <c:catAx>
        <c:axId val="432679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6807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2680704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67907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25268221413"/>
          <c:y val="0.114503816793893"/>
          <c:w val="0.843751609328489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Comps'!$S$81:$AG$81</c:f>
              <c:numCache>
                <c:formatCode>General</c:formatCode>
                <c:ptCount val="15"/>
                <c:pt idx="0">
                  <c:v>0.110613</c:v>
                </c:pt>
                <c:pt idx="1">
                  <c:v>0.101602</c:v>
                </c:pt>
                <c:pt idx="2">
                  <c:v>0.0942137</c:v>
                </c:pt>
                <c:pt idx="3">
                  <c:v>0.10218</c:v>
                </c:pt>
                <c:pt idx="4">
                  <c:v>0.0582717</c:v>
                </c:pt>
                <c:pt idx="5">
                  <c:v>0.104061</c:v>
                </c:pt>
                <c:pt idx="6">
                  <c:v>0.261871</c:v>
                </c:pt>
                <c:pt idx="7">
                  <c:v>0.0705929</c:v>
                </c:pt>
                <c:pt idx="8">
                  <c:v>0.0340748</c:v>
                </c:pt>
                <c:pt idx="9">
                  <c:v>0.0317538</c:v>
                </c:pt>
                <c:pt idx="10">
                  <c:v>0.0116086</c:v>
                </c:pt>
                <c:pt idx="11">
                  <c:v>0.00490173</c:v>
                </c:pt>
                <c:pt idx="12">
                  <c:v>0.00194022</c:v>
                </c:pt>
                <c:pt idx="13">
                  <c:v>0.00279158</c:v>
                </c:pt>
                <c:pt idx="14">
                  <c:v>0.00952385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725984"/>
        <c:axId val="-287235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Comps'!$B$81:$P$81</c:f>
              <c:numCache>
                <c:formatCode>General</c:formatCode>
                <c:ptCount val="15"/>
                <c:pt idx="0">
                  <c:v>0.100941</c:v>
                </c:pt>
                <c:pt idx="1">
                  <c:v>0.0431662</c:v>
                </c:pt>
                <c:pt idx="2">
                  <c:v>0.115512</c:v>
                </c:pt>
                <c:pt idx="3">
                  <c:v>0.114899</c:v>
                </c:pt>
                <c:pt idx="4">
                  <c:v>0.0677999</c:v>
                </c:pt>
                <c:pt idx="5">
                  <c:v>0.10557</c:v>
                </c:pt>
                <c:pt idx="6">
                  <c:v>0.258126</c:v>
                </c:pt>
                <c:pt idx="7">
                  <c:v>0.0931263</c:v>
                </c:pt>
                <c:pt idx="8">
                  <c:v>0.0489478</c:v>
                </c:pt>
                <c:pt idx="9">
                  <c:v>0.0371955</c:v>
                </c:pt>
                <c:pt idx="10">
                  <c:v>0.0062719</c:v>
                </c:pt>
                <c:pt idx="11">
                  <c:v>0.00179144</c:v>
                </c:pt>
                <c:pt idx="12">
                  <c:v>0.00127513</c:v>
                </c:pt>
                <c:pt idx="13">
                  <c:v>0.0012644</c:v>
                </c:pt>
                <c:pt idx="14">
                  <c:v>0.00411297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725984"/>
        <c:axId val="-28723504"/>
      </c:scatterChart>
      <c:catAx>
        <c:axId val="-2872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8723504"/>
        <c:crosses val="autoZero"/>
        <c:auto val="1"/>
        <c:lblAlgn val="ctr"/>
        <c:lblOffset val="100"/>
        <c:noMultiLvlLbl val="0"/>
      </c:catAx>
      <c:valAx>
        <c:axId val="-28723504"/>
        <c:scaling>
          <c:orientation val="minMax"/>
          <c:max val="0.3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725984"/>
        <c:crosses val="autoZero"/>
        <c:crossBetween val="between"/>
        <c:majorUnit val="0.1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Comps'!$S$83:$AG$83</c:f>
              <c:numCache>
                <c:formatCode>General</c:formatCode>
                <c:ptCount val="15"/>
                <c:pt idx="0">
                  <c:v>0.183602</c:v>
                </c:pt>
                <c:pt idx="1">
                  <c:v>0.105913</c:v>
                </c:pt>
                <c:pt idx="2">
                  <c:v>0.0572685</c:v>
                </c:pt>
                <c:pt idx="3">
                  <c:v>0.0547572</c:v>
                </c:pt>
                <c:pt idx="4">
                  <c:v>0.138445</c:v>
                </c:pt>
                <c:pt idx="5">
                  <c:v>0.14478</c:v>
                </c:pt>
                <c:pt idx="6">
                  <c:v>0.0622472</c:v>
                </c:pt>
                <c:pt idx="7">
                  <c:v>0.0308854</c:v>
                </c:pt>
                <c:pt idx="8">
                  <c:v>0.0920171</c:v>
                </c:pt>
                <c:pt idx="9">
                  <c:v>0.0660544</c:v>
                </c:pt>
                <c:pt idx="10">
                  <c:v>0.0252419</c:v>
                </c:pt>
                <c:pt idx="11">
                  <c:v>0.0201879</c:v>
                </c:pt>
                <c:pt idx="12">
                  <c:v>0.00799839</c:v>
                </c:pt>
                <c:pt idx="13">
                  <c:v>0.00285865</c:v>
                </c:pt>
                <c:pt idx="14">
                  <c:v>0.00774317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694416"/>
        <c:axId val="-2869193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Comps'!$B$83:$P$83</c:f>
              <c:numCache>
                <c:formatCode>General</c:formatCode>
                <c:ptCount val="15"/>
                <c:pt idx="0">
                  <c:v>0.177476</c:v>
                </c:pt>
                <c:pt idx="1">
                  <c:v>0.0583683</c:v>
                </c:pt>
                <c:pt idx="2">
                  <c:v>0.0541788</c:v>
                </c:pt>
                <c:pt idx="3">
                  <c:v>0.0707253</c:v>
                </c:pt>
                <c:pt idx="4">
                  <c:v>0.166929</c:v>
                </c:pt>
                <c:pt idx="5">
                  <c:v>0.130904</c:v>
                </c:pt>
                <c:pt idx="6">
                  <c:v>0.0626999</c:v>
                </c:pt>
                <c:pt idx="7">
                  <c:v>0.0695535</c:v>
                </c:pt>
                <c:pt idx="8">
                  <c:v>0.125486</c:v>
                </c:pt>
                <c:pt idx="9">
                  <c:v>0.0419875</c:v>
                </c:pt>
                <c:pt idx="10">
                  <c:v>0.0207971</c:v>
                </c:pt>
                <c:pt idx="11">
                  <c:v>0.0151306</c:v>
                </c:pt>
                <c:pt idx="12">
                  <c:v>0.00248682</c:v>
                </c:pt>
                <c:pt idx="13">
                  <c:v>0.000701213</c:v>
                </c:pt>
                <c:pt idx="14">
                  <c:v>0.00257655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694416"/>
        <c:axId val="-28691936"/>
      </c:scatterChart>
      <c:catAx>
        <c:axId val="-2869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691936"/>
        <c:crosses val="autoZero"/>
        <c:auto val="1"/>
        <c:lblAlgn val="ctr"/>
        <c:lblOffset val="100"/>
        <c:noMultiLvlLbl val="0"/>
      </c:catAx>
      <c:valAx>
        <c:axId val="-28691936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69441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187723517844"/>
          <c:y val="0.114503816793893"/>
          <c:w val="0.867189154032047"/>
          <c:h val="0.7786259541984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Comps'!$S$82:$AG$82</c:f>
              <c:numCache>
                <c:formatCode>General</c:formatCode>
                <c:ptCount val="15"/>
                <c:pt idx="0">
                  <c:v>0.0950452</c:v>
                </c:pt>
                <c:pt idx="1">
                  <c:v>0.0352615</c:v>
                </c:pt>
                <c:pt idx="2">
                  <c:v>0.0439824</c:v>
                </c:pt>
                <c:pt idx="3">
                  <c:v>0.148985</c:v>
                </c:pt>
                <c:pt idx="4">
                  <c:v>0.149031</c:v>
                </c:pt>
                <c:pt idx="5">
                  <c:v>0.0770047</c:v>
                </c:pt>
                <c:pt idx="6">
                  <c:v>0.0653774</c:v>
                </c:pt>
                <c:pt idx="7">
                  <c:v>0.214048</c:v>
                </c:pt>
                <c:pt idx="8">
                  <c:v>0.0834902</c:v>
                </c:pt>
                <c:pt idx="9">
                  <c:v>0.0437761</c:v>
                </c:pt>
                <c:pt idx="10">
                  <c:v>0.0185359</c:v>
                </c:pt>
                <c:pt idx="11">
                  <c:v>0.0125454</c:v>
                </c:pt>
                <c:pt idx="12">
                  <c:v>0.00385026</c:v>
                </c:pt>
                <c:pt idx="13">
                  <c:v>0.00169308</c:v>
                </c:pt>
                <c:pt idx="14">
                  <c:v>0.00737357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669328"/>
        <c:axId val="-2866684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Comps'!$B$82:$P$82</c:f>
              <c:numCache>
                <c:formatCode>General</c:formatCode>
                <c:ptCount val="15"/>
                <c:pt idx="0">
                  <c:v>0.103638</c:v>
                </c:pt>
                <c:pt idx="1">
                  <c:v>0.0450697</c:v>
                </c:pt>
                <c:pt idx="2">
                  <c:v>0.0581218</c:v>
                </c:pt>
                <c:pt idx="3">
                  <c:v>0.158397</c:v>
                </c:pt>
                <c:pt idx="4">
                  <c:v>0.144519</c:v>
                </c:pt>
                <c:pt idx="5">
                  <c:v>0.0761202</c:v>
                </c:pt>
                <c:pt idx="6">
                  <c:v>0.0965863</c:v>
                </c:pt>
                <c:pt idx="7">
                  <c:v>0.189918</c:v>
                </c:pt>
                <c:pt idx="8">
                  <c:v>0.0636216</c:v>
                </c:pt>
                <c:pt idx="9">
                  <c:v>0.031737</c:v>
                </c:pt>
                <c:pt idx="10">
                  <c:v>0.023324</c:v>
                </c:pt>
                <c:pt idx="11">
                  <c:v>0.00385198</c:v>
                </c:pt>
                <c:pt idx="12">
                  <c:v>0.00108861</c:v>
                </c:pt>
                <c:pt idx="13">
                  <c:v>0.00077075</c:v>
                </c:pt>
                <c:pt idx="14">
                  <c:v>0.00323722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669328"/>
        <c:axId val="-28666848"/>
      </c:scatterChart>
      <c:catAx>
        <c:axId val="-28669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666848"/>
        <c:crosses val="autoZero"/>
        <c:auto val="1"/>
        <c:lblAlgn val="ctr"/>
        <c:lblOffset val="100"/>
        <c:noMultiLvlLbl val="0"/>
      </c:catAx>
      <c:valAx>
        <c:axId val="-28666848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66932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0454705375568512"/>
          <c:w val="0.867189154032047"/>
          <c:h val="0.909058924886298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Comps'!$S$84:$AG$84</c:f>
              <c:numCache>
                <c:formatCode>General</c:formatCode>
                <c:ptCount val="15"/>
                <c:pt idx="0">
                  <c:v>0.0805698</c:v>
                </c:pt>
                <c:pt idx="1">
                  <c:v>0.0410326</c:v>
                </c:pt>
                <c:pt idx="2">
                  <c:v>0.0845417</c:v>
                </c:pt>
                <c:pt idx="3">
                  <c:v>0.121541</c:v>
                </c:pt>
                <c:pt idx="4">
                  <c:v>0.126143</c:v>
                </c:pt>
                <c:pt idx="5">
                  <c:v>0.163443</c:v>
                </c:pt>
                <c:pt idx="6">
                  <c:v>0.0848768</c:v>
                </c:pt>
                <c:pt idx="7">
                  <c:v>0.041049</c:v>
                </c:pt>
                <c:pt idx="8">
                  <c:v>0.0555261</c:v>
                </c:pt>
                <c:pt idx="9">
                  <c:v>0.10426</c:v>
                </c:pt>
                <c:pt idx="10">
                  <c:v>0.0519716</c:v>
                </c:pt>
                <c:pt idx="11">
                  <c:v>0.0229984</c:v>
                </c:pt>
                <c:pt idx="12">
                  <c:v>0.0135305</c:v>
                </c:pt>
                <c:pt idx="13">
                  <c:v>0.00408843</c:v>
                </c:pt>
                <c:pt idx="14">
                  <c:v>0.00442877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1676912"/>
        <c:axId val="43167896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Comps'!$B$84:$P$84</c:f>
              <c:numCache>
                <c:formatCode>General</c:formatCode>
                <c:ptCount val="15"/>
                <c:pt idx="0">
                  <c:v>0.0826185</c:v>
                </c:pt>
                <c:pt idx="1">
                  <c:v>0.0720528</c:v>
                </c:pt>
                <c:pt idx="2">
                  <c:v>0.0824423</c:v>
                </c:pt>
                <c:pt idx="3">
                  <c:v>0.0847194</c:v>
                </c:pt>
                <c:pt idx="4">
                  <c:v>0.10361</c:v>
                </c:pt>
                <c:pt idx="5">
                  <c:v>0.196813</c:v>
                </c:pt>
                <c:pt idx="6">
                  <c:v>0.128152</c:v>
                </c:pt>
                <c:pt idx="7">
                  <c:v>0.0523417</c:v>
                </c:pt>
                <c:pt idx="8">
                  <c:v>0.0517294</c:v>
                </c:pt>
                <c:pt idx="9">
                  <c:v>0.0890865</c:v>
                </c:pt>
                <c:pt idx="10">
                  <c:v>0.0287337</c:v>
                </c:pt>
                <c:pt idx="11">
                  <c:v>0.0139096</c:v>
                </c:pt>
                <c:pt idx="12">
                  <c:v>0.010007</c:v>
                </c:pt>
                <c:pt idx="13">
                  <c:v>0.00163592</c:v>
                </c:pt>
                <c:pt idx="14">
                  <c:v>0.00214836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76912"/>
        <c:axId val="431678960"/>
      </c:scatterChart>
      <c:catAx>
        <c:axId val="431676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6789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1678960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67691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60305343511452"/>
          <c:w val="0.867189154032047"/>
          <c:h val="0.73282442748092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Comps'!$S$85:$AG$85</c:f>
              <c:numCache>
                <c:formatCode>General</c:formatCode>
                <c:ptCount val="15"/>
                <c:pt idx="0">
                  <c:v>0.034714</c:v>
                </c:pt>
                <c:pt idx="1">
                  <c:v>0.0106325</c:v>
                </c:pt>
                <c:pt idx="2">
                  <c:v>0.0649511</c:v>
                </c:pt>
                <c:pt idx="3">
                  <c:v>0.108936</c:v>
                </c:pt>
                <c:pt idx="4">
                  <c:v>0.129211</c:v>
                </c:pt>
                <c:pt idx="5">
                  <c:v>0.118598</c:v>
                </c:pt>
                <c:pt idx="6">
                  <c:v>0.15884</c:v>
                </c:pt>
                <c:pt idx="7">
                  <c:v>0.0898081</c:v>
                </c:pt>
                <c:pt idx="8">
                  <c:v>0.041043</c:v>
                </c:pt>
                <c:pt idx="9">
                  <c:v>0.0534999</c:v>
                </c:pt>
                <c:pt idx="10">
                  <c:v>0.108922</c:v>
                </c:pt>
                <c:pt idx="11">
                  <c:v>0.0471385</c:v>
                </c:pt>
                <c:pt idx="12">
                  <c:v>0.0177582</c:v>
                </c:pt>
                <c:pt idx="13">
                  <c:v>0.00921403</c:v>
                </c:pt>
                <c:pt idx="14">
                  <c:v>0.00673473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623216"/>
        <c:axId val="45281915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Comps'!$B$85:$P$85</c:f>
              <c:numCache>
                <c:formatCode>General</c:formatCode>
                <c:ptCount val="15"/>
                <c:pt idx="0">
                  <c:v>0.0477022</c:v>
                </c:pt>
                <c:pt idx="1">
                  <c:v>0.0303618</c:v>
                </c:pt>
                <c:pt idx="2">
                  <c:v>0.0816174</c:v>
                </c:pt>
                <c:pt idx="3">
                  <c:v>0.108355</c:v>
                </c:pt>
                <c:pt idx="4">
                  <c:v>0.108374</c:v>
                </c:pt>
                <c:pt idx="5">
                  <c:v>0.119758</c:v>
                </c:pt>
                <c:pt idx="6">
                  <c:v>0.189346</c:v>
                </c:pt>
                <c:pt idx="7">
                  <c:v>0.111591</c:v>
                </c:pt>
                <c:pt idx="8">
                  <c:v>0.042906</c:v>
                </c:pt>
                <c:pt idx="9">
                  <c:v>0.0421644</c:v>
                </c:pt>
                <c:pt idx="10">
                  <c:v>0.0725515</c:v>
                </c:pt>
                <c:pt idx="11">
                  <c:v>0.0231252</c:v>
                </c:pt>
                <c:pt idx="12">
                  <c:v>0.0111358</c:v>
                </c:pt>
                <c:pt idx="13">
                  <c:v>0.0079931</c:v>
                </c:pt>
                <c:pt idx="14">
                  <c:v>0.00301879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23216"/>
        <c:axId val="452819152"/>
      </c:scatterChart>
      <c:catAx>
        <c:axId val="452623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819152"/>
        <c:crosses val="autoZero"/>
        <c:auto val="1"/>
        <c:lblAlgn val="ctr"/>
        <c:lblOffset val="100"/>
        <c:noMultiLvlLbl val="0"/>
      </c:catAx>
      <c:valAx>
        <c:axId val="452819152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62321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60305343511452"/>
          <c:w val="0.867189154032047"/>
          <c:h val="0.73282442748092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Comps'!$S$86:$AG$86</c:f>
              <c:numCache>
                <c:formatCode>General</c:formatCode>
                <c:ptCount val="15"/>
                <c:pt idx="0">
                  <c:v>0.0567819</c:v>
                </c:pt>
                <c:pt idx="1">
                  <c:v>0.0401089</c:v>
                </c:pt>
                <c:pt idx="2">
                  <c:v>0.0254347</c:v>
                </c:pt>
                <c:pt idx="3">
                  <c:v>0.191833</c:v>
                </c:pt>
                <c:pt idx="4">
                  <c:v>0.187096</c:v>
                </c:pt>
                <c:pt idx="5">
                  <c:v>0.142343</c:v>
                </c:pt>
                <c:pt idx="6">
                  <c:v>0.0837</c:v>
                </c:pt>
                <c:pt idx="7">
                  <c:v>0.0906599</c:v>
                </c:pt>
                <c:pt idx="8">
                  <c:v>0.0448346</c:v>
                </c:pt>
                <c:pt idx="9">
                  <c:v>0.0280367</c:v>
                </c:pt>
                <c:pt idx="10">
                  <c:v>0.0279476</c:v>
                </c:pt>
                <c:pt idx="11">
                  <c:v>0.0504535</c:v>
                </c:pt>
                <c:pt idx="12">
                  <c:v>0.0214751</c:v>
                </c:pt>
                <c:pt idx="13">
                  <c:v>0.00521531</c:v>
                </c:pt>
                <c:pt idx="14">
                  <c:v>0.00408073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2527808"/>
        <c:axId val="43166433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Comps'!$B$86:$P$86</c:f>
              <c:numCache>
                <c:formatCode>General</c:formatCode>
                <c:ptCount val="15"/>
                <c:pt idx="0">
                  <c:v>0.0488042</c:v>
                </c:pt>
                <c:pt idx="1">
                  <c:v>0.0208482</c:v>
                </c:pt>
                <c:pt idx="2">
                  <c:v>0.0631986</c:v>
                </c:pt>
                <c:pt idx="3">
                  <c:v>0.162925</c:v>
                </c:pt>
                <c:pt idx="4">
                  <c:v>0.189429</c:v>
                </c:pt>
                <c:pt idx="5">
                  <c:v>0.137948</c:v>
                </c:pt>
                <c:pt idx="6">
                  <c:v>0.100838</c:v>
                </c:pt>
                <c:pt idx="7">
                  <c:v>0.116364</c:v>
                </c:pt>
                <c:pt idx="8">
                  <c:v>0.0586138</c:v>
                </c:pt>
                <c:pt idx="9">
                  <c:v>0.0216499</c:v>
                </c:pt>
                <c:pt idx="10">
                  <c:v>0.0211689</c:v>
                </c:pt>
                <c:pt idx="11">
                  <c:v>0.0359308</c:v>
                </c:pt>
                <c:pt idx="12">
                  <c:v>0.0113941</c:v>
                </c:pt>
                <c:pt idx="13">
                  <c:v>0.00547638</c:v>
                </c:pt>
                <c:pt idx="14">
                  <c:v>0.00541113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527808"/>
        <c:axId val="431664336"/>
      </c:scatterChart>
      <c:catAx>
        <c:axId val="432527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664336"/>
        <c:crosses val="autoZero"/>
        <c:auto val="1"/>
        <c:lblAlgn val="ctr"/>
        <c:lblOffset val="100"/>
        <c:noMultiLvlLbl val="0"/>
      </c:catAx>
      <c:valAx>
        <c:axId val="431664336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52780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60305343511452"/>
          <c:w val="0.867189154032047"/>
          <c:h val="0.73282442748092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Comps'!$S$87:$AG$87</c:f>
              <c:numCache>
                <c:formatCode>General</c:formatCode>
                <c:ptCount val="15"/>
                <c:pt idx="0">
                  <c:v>0.0415498</c:v>
                </c:pt>
                <c:pt idx="1">
                  <c:v>0.0155443</c:v>
                </c:pt>
                <c:pt idx="2">
                  <c:v>0.0246577</c:v>
                </c:pt>
                <c:pt idx="3">
                  <c:v>0.108743</c:v>
                </c:pt>
                <c:pt idx="4">
                  <c:v>0.308318</c:v>
                </c:pt>
                <c:pt idx="5">
                  <c:v>0.20803</c:v>
                </c:pt>
                <c:pt idx="6">
                  <c:v>0.108934</c:v>
                </c:pt>
                <c:pt idx="7">
                  <c:v>0.0495951</c:v>
                </c:pt>
                <c:pt idx="8">
                  <c:v>0.0377142</c:v>
                </c:pt>
                <c:pt idx="9">
                  <c:v>0.0277546</c:v>
                </c:pt>
                <c:pt idx="10">
                  <c:v>0.00747501</c:v>
                </c:pt>
                <c:pt idx="11">
                  <c:v>0.0157843</c:v>
                </c:pt>
                <c:pt idx="12">
                  <c:v>0.0256909</c:v>
                </c:pt>
                <c:pt idx="13">
                  <c:v>0.00999281</c:v>
                </c:pt>
                <c:pt idx="14">
                  <c:v>0.0102166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1673824"/>
        <c:axId val="4316584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Comps'!$B$87:$P$87</c:f>
              <c:numCache>
                <c:formatCode>General</c:formatCode>
                <c:ptCount val="15"/>
                <c:pt idx="0">
                  <c:v>0.0380024</c:v>
                </c:pt>
                <c:pt idx="1">
                  <c:v>0.0107332</c:v>
                </c:pt>
                <c:pt idx="2">
                  <c:v>0.0454474</c:v>
                </c:pt>
                <c:pt idx="3">
                  <c:v>0.136145</c:v>
                </c:pt>
                <c:pt idx="4">
                  <c:v>0.259071</c:v>
                </c:pt>
                <c:pt idx="5">
                  <c:v>0.214835</c:v>
                </c:pt>
                <c:pt idx="6">
                  <c:v>0.106203</c:v>
                </c:pt>
                <c:pt idx="7">
                  <c:v>0.056864</c:v>
                </c:pt>
                <c:pt idx="8">
                  <c:v>0.0570697</c:v>
                </c:pt>
                <c:pt idx="9">
                  <c:v>0.0279788</c:v>
                </c:pt>
                <c:pt idx="10">
                  <c:v>0.0103089</c:v>
                </c:pt>
                <c:pt idx="11">
                  <c:v>0.00998678</c:v>
                </c:pt>
                <c:pt idx="12">
                  <c:v>0.0168938</c:v>
                </c:pt>
                <c:pt idx="13">
                  <c:v>0.00535073</c:v>
                </c:pt>
                <c:pt idx="14">
                  <c:v>0.00511009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73824"/>
        <c:axId val="431658464"/>
      </c:scatterChart>
      <c:catAx>
        <c:axId val="431673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658464"/>
        <c:crosses val="autoZero"/>
        <c:auto val="1"/>
        <c:lblAlgn val="ctr"/>
        <c:lblOffset val="100"/>
        <c:noMultiLvlLbl val="0"/>
      </c:catAx>
      <c:valAx>
        <c:axId val="431658464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673824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60305343511452"/>
          <c:w val="0.867189154032047"/>
          <c:h val="0.73282442748092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Comps'!$S$88:$AG$88</c:f>
              <c:numCache>
                <c:formatCode>General</c:formatCode>
                <c:ptCount val="15"/>
                <c:pt idx="0">
                  <c:v>0.147891</c:v>
                </c:pt>
                <c:pt idx="1">
                  <c:v>0.0135651</c:v>
                </c:pt>
                <c:pt idx="2">
                  <c:v>0.0209993</c:v>
                </c:pt>
                <c:pt idx="3">
                  <c:v>0.0687697</c:v>
                </c:pt>
                <c:pt idx="4">
                  <c:v>0.172367</c:v>
                </c:pt>
                <c:pt idx="5">
                  <c:v>0.218825</c:v>
                </c:pt>
                <c:pt idx="6">
                  <c:v>0.140051</c:v>
                </c:pt>
                <c:pt idx="7">
                  <c:v>0.0673641</c:v>
                </c:pt>
                <c:pt idx="8">
                  <c:v>0.0384741</c:v>
                </c:pt>
                <c:pt idx="9">
                  <c:v>0.033127</c:v>
                </c:pt>
                <c:pt idx="10">
                  <c:v>0.0159432</c:v>
                </c:pt>
                <c:pt idx="11">
                  <c:v>0.00991072</c:v>
                </c:pt>
                <c:pt idx="12">
                  <c:v>0.0143411</c:v>
                </c:pt>
                <c:pt idx="13">
                  <c:v>0.0192758</c:v>
                </c:pt>
                <c:pt idx="14">
                  <c:v>0.0190953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81605648"/>
        <c:axId val="2810523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Comps'!$B$88:$P$88</c:f>
              <c:numCache>
                <c:formatCode>General</c:formatCode>
                <c:ptCount val="15"/>
                <c:pt idx="0">
                  <c:v>0.146642</c:v>
                </c:pt>
                <c:pt idx="1">
                  <c:v>0.0047351</c:v>
                </c:pt>
                <c:pt idx="2">
                  <c:v>0.0127282</c:v>
                </c:pt>
                <c:pt idx="3">
                  <c:v>0.0550286</c:v>
                </c:pt>
                <c:pt idx="4">
                  <c:v>0.143784</c:v>
                </c:pt>
                <c:pt idx="5">
                  <c:v>0.227091</c:v>
                </c:pt>
                <c:pt idx="6">
                  <c:v>0.174283</c:v>
                </c:pt>
                <c:pt idx="7">
                  <c:v>0.0838034</c:v>
                </c:pt>
                <c:pt idx="8">
                  <c:v>0.0449794</c:v>
                </c:pt>
                <c:pt idx="9">
                  <c:v>0.0456832</c:v>
                </c:pt>
                <c:pt idx="10">
                  <c:v>0.0226828</c:v>
                </c:pt>
                <c:pt idx="11">
                  <c:v>0.00834625</c:v>
                </c:pt>
                <c:pt idx="12">
                  <c:v>0.0080816</c:v>
                </c:pt>
                <c:pt idx="13">
                  <c:v>0.0136688</c:v>
                </c:pt>
                <c:pt idx="14">
                  <c:v>0.00846305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05648"/>
        <c:axId val="281052384"/>
      </c:scatterChart>
      <c:catAx>
        <c:axId val="28160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1052384"/>
        <c:crosses val="autoZero"/>
        <c:auto val="1"/>
        <c:lblAlgn val="ctr"/>
        <c:lblOffset val="100"/>
        <c:noMultiLvlLbl val="0"/>
      </c:catAx>
      <c:valAx>
        <c:axId val="281052384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160564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60305343511452"/>
          <c:w val="0.867189154032047"/>
          <c:h val="0.694358061663598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ysClr val="window" lastClr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Comps'!$S$89:$AG$89</c:f>
              <c:numCache>
                <c:formatCode>General</c:formatCode>
                <c:ptCount val="15"/>
                <c:pt idx="0">
                  <c:v>0.242753</c:v>
                </c:pt>
                <c:pt idx="1">
                  <c:v>0.0069057</c:v>
                </c:pt>
                <c:pt idx="2">
                  <c:v>0.0173649</c:v>
                </c:pt>
                <c:pt idx="3">
                  <c:v>0.0497305</c:v>
                </c:pt>
                <c:pt idx="4">
                  <c:v>0.155534</c:v>
                </c:pt>
                <c:pt idx="5">
                  <c:v>0.181975</c:v>
                </c:pt>
                <c:pt idx="6">
                  <c:v>0.131231</c:v>
                </c:pt>
                <c:pt idx="7">
                  <c:v>0.0946919</c:v>
                </c:pt>
                <c:pt idx="8">
                  <c:v>0.0399731</c:v>
                </c:pt>
                <c:pt idx="9">
                  <c:v>0.0179052</c:v>
                </c:pt>
                <c:pt idx="10">
                  <c:v>0.0165962</c:v>
                </c:pt>
                <c:pt idx="11">
                  <c:v>0.014438</c:v>
                </c:pt>
                <c:pt idx="12">
                  <c:v>0.00663288</c:v>
                </c:pt>
                <c:pt idx="13">
                  <c:v>0.00826832</c:v>
                </c:pt>
                <c:pt idx="14">
                  <c:v>0.0160004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655136"/>
        <c:axId val="-2865265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Comps'!$B$89:$P$89</c:f>
              <c:numCache>
                <c:formatCode>General</c:formatCode>
                <c:ptCount val="15"/>
                <c:pt idx="0">
                  <c:v>0.233887</c:v>
                </c:pt>
                <c:pt idx="1">
                  <c:v>0.0162933</c:v>
                </c:pt>
                <c:pt idx="2">
                  <c:v>0.0139164</c:v>
                </c:pt>
                <c:pt idx="3">
                  <c:v>0.038534</c:v>
                </c:pt>
                <c:pt idx="4">
                  <c:v>0.127588</c:v>
                </c:pt>
                <c:pt idx="5">
                  <c:v>0.194384</c:v>
                </c:pt>
                <c:pt idx="6">
                  <c:v>0.179037</c:v>
                </c:pt>
                <c:pt idx="7">
                  <c:v>0.0949593</c:v>
                </c:pt>
                <c:pt idx="8">
                  <c:v>0.0378288</c:v>
                </c:pt>
                <c:pt idx="9">
                  <c:v>0.0191464</c:v>
                </c:pt>
                <c:pt idx="10">
                  <c:v>0.0191324</c:v>
                </c:pt>
                <c:pt idx="11">
                  <c:v>0.00939728</c:v>
                </c:pt>
                <c:pt idx="12">
                  <c:v>0.00344495</c:v>
                </c:pt>
                <c:pt idx="13">
                  <c:v>0.00333151</c:v>
                </c:pt>
                <c:pt idx="14">
                  <c:v>0.00911902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655136"/>
        <c:axId val="-28652656"/>
      </c:scatterChart>
      <c:catAx>
        <c:axId val="-2865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652656"/>
        <c:crosses val="autoZero"/>
        <c:auto val="1"/>
        <c:lblAlgn val="ctr"/>
        <c:lblOffset val="100"/>
        <c:noMultiLvlLbl val="0"/>
      </c:catAx>
      <c:valAx>
        <c:axId val="-28652656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65513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845144356956"/>
          <c:y val="0.160305343511452"/>
          <c:w val="0.846154855643047"/>
          <c:h val="0.715298087739033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Comps'!$S$90:$AG$90</c:f>
              <c:numCache>
                <c:formatCode>General</c:formatCode>
                <c:ptCount val="15"/>
                <c:pt idx="0">
                  <c:v>0.102299</c:v>
                </c:pt>
                <c:pt idx="1">
                  <c:v>0.0251537</c:v>
                </c:pt>
                <c:pt idx="2">
                  <c:v>0.0209599</c:v>
                </c:pt>
                <c:pt idx="3">
                  <c:v>0.0383837</c:v>
                </c:pt>
                <c:pt idx="4">
                  <c:v>0.109381</c:v>
                </c:pt>
                <c:pt idx="5">
                  <c:v>0.219664</c:v>
                </c:pt>
                <c:pt idx="6">
                  <c:v>0.172145</c:v>
                </c:pt>
                <c:pt idx="7">
                  <c:v>0.11969</c:v>
                </c:pt>
                <c:pt idx="8">
                  <c:v>0.0759494</c:v>
                </c:pt>
                <c:pt idx="9">
                  <c:v>0.0297601</c:v>
                </c:pt>
                <c:pt idx="10">
                  <c:v>0.0248164</c:v>
                </c:pt>
                <c:pt idx="11">
                  <c:v>0.0189464</c:v>
                </c:pt>
                <c:pt idx="12">
                  <c:v>0.00860346</c:v>
                </c:pt>
                <c:pt idx="13">
                  <c:v>0.00471301</c:v>
                </c:pt>
                <c:pt idx="14">
                  <c:v>0.0295349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045008"/>
        <c:axId val="45204705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Comps'!$B$90:$P$90</c:f>
              <c:numCache>
                <c:formatCode>General</c:formatCode>
                <c:ptCount val="15"/>
                <c:pt idx="0">
                  <c:v>0.103725</c:v>
                </c:pt>
                <c:pt idx="1">
                  <c:v>0.0342604</c:v>
                </c:pt>
                <c:pt idx="2">
                  <c:v>0.0399355</c:v>
                </c:pt>
                <c:pt idx="3">
                  <c:v>0.0368529</c:v>
                </c:pt>
                <c:pt idx="4">
                  <c:v>0.0851549</c:v>
                </c:pt>
                <c:pt idx="5">
                  <c:v>0.182725</c:v>
                </c:pt>
                <c:pt idx="6">
                  <c:v>0.194238</c:v>
                </c:pt>
                <c:pt idx="7">
                  <c:v>0.157614</c:v>
                </c:pt>
                <c:pt idx="8">
                  <c:v>0.0798216</c:v>
                </c:pt>
                <c:pt idx="9">
                  <c:v>0.0319383</c:v>
                </c:pt>
                <c:pt idx="10">
                  <c:v>0.0162133</c:v>
                </c:pt>
                <c:pt idx="11">
                  <c:v>0.0161664</c:v>
                </c:pt>
                <c:pt idx="12">
                  <c:v>0.00793525</c:v>
                </c:pt>
                <c:pt idx="13">
                  <c:v>0.0029084</c:v>
                </c:pt>
                <c:pt idx="14">
                  <c:v>0.0105106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045008"/>
        <c:axId val="452047056"/>
      </c:scatterChart>
      <c:catAx>
        <c:axId val="45204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45204705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52047056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04500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30249343832"/>
          <c:y val="0.160305343511452"/>
          <c:w val="0.861980807086614"/>
          <c:h val="0.73570625100433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Comps'!$S$91:$AG$91</c:f>
              <c:numCache>
                <c:formatCode>General</c:formatCode>
                <c:ptCount val="15"/>
                <c:pt idx="0">
                  <c:v>0.179747</c:v>
                </c:pt>
                <c:pt idx="1">
                  <c:v>0.0497314</c:v>
                </c:pt>
                <c:pt idx="2">
                  <c:v>0.103968</c:v>
                </c:pt>
                <c:pt idx="3">
                  <c:v>0.111998</c:v>
                </c:pt>
                <c:pt idx="4">
                  <c:v>0.0652336</c:v>
                </c:pt>
                <c:pt idx="5">
                  <c:v>0.0946417</c:v>
                </c:pt>
                <c:pt idx="6">
                  <c:v>0.128009</c:v>
                </c:pt>
                <c:pt idx="7">
                  <c:v>0.100015</c:v>
                </c:pt>
                <c:pt idx="8">
                  <c:v>0.0726965</c:v>
                </c:pt>
                <c:pt idx="9">
                  <c:v>0.0352837</c:v>
                </c:pt>
                <c:pt idx="10">
                  <c:v>0.0232804</c:v>
                </c:pt>
                <c:pt idx="11">
                  <c:v>0.00763863</c:v>
                </c:pt>
                <c:pt idx="12">
                  <c:v>0.0076804</c:v>
                </c:pt>
                <c:pt idx="13">
                  <c:v>0.00400249</c:v>
                </c:pt>
                <c:pt idx="14">
                  <c:v>0.0160757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840624"/>
        <c:axId val="42997744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Comps'!$B$91:$P$91</c:f>
              <c:numCache>
                <c:formatCode>General</c:formatCode>
                <c:ptCount val="15"/>
                <c:pt idx="0">
                  <c:v>0.192103</c:v>
                </c:pt>
                <c:pt idx="1">
                  <c:v>0.0211093</c:v>
                </c:pt>
                <c:pt idx="2">
                  <c:v>0.0998864</c:v>
                </c:pt>
                <c:pt idx="3">
                  <c:v>0.112834</c:v>
                </c:pt>
                <c:pt idx="4">
                  <c:v>0.0750996</c:v>
                </c:pt>
                <c:pt idx="5">
                  <c:v>0.0953856</c:v>
                </c:pt>
                <c:pt idx="6">
                  <c:v>0.121766</c:v>
                </c:pt>
                <c:pt idx="7">
                  <c:v>0.108875</c:v>
                </c:pt>
                <c:pt idx="8">
                  <c:v>0.0845924</c:v>
                </c:pt>
                <c:pt idx="9">
                  <c:v>0.042383</c:v>
                </c:pt>
                <c:pt idx="10">
                  <c:v>0.0171519</c:v>
                </c:pt>
                <c:pt idx="11">
                  <c:v>0.00869653</c:v>
                </c:pt>
                <c:pt idx="12">
                  <c:v>0.00866863</c:v>
                </c:pt>
                <c:pt idx="13">
                  <c:v>0.00425462</c:v>
                </c:pt>
                <c:pt idx="14">
                  <c:v>0.00719461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840624"/>
        <c:axId val="429977440"/>
      </c:scatterChart>
      <c:catAx>
        <c:axId val="45284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9774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29977440"/>
        <c:scaling>
          <c:orientation val="minMax"/>
          <c:max val="0.4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840624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160305343511452"/>
          <c:w val="0.867189154032047"/>
          <c:h val="0.704834605597964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Comps'!$S$92:$AG$92</c:f>
              <c:numCache>
                <c:formatCode>General</c:formatCode>
                <c:ptCount val="15"/>
                <c:pt idx="0">
                  <c:v>0.0677042</c:v>
                </c:pt>
                <c:pt idx="1">
                  <c:v>0.0191193</c:v>
                </c:pt>
                <c:pt idx="2">
                  <c:v>0.0367872</c:v>
                </c:pt>
                <c:pt idx="3">
                  <c:v>0.395699</c:v>
                </c:pt>
                <c:pt idx="4">
                  <c:v>0.17724</c:v>
                </c:pt>
                <c:pt idx="5">
                  <c:v>0.0552481</c:v>
                </c:pt>
                <c:pt idx="6">
                  <c:v>0.0475629</c:v>
                </c:pt>
                <c:pt idx="7">
                  <c:v>0.0503038</c:v>
                </c:pt>
                <c:pt idx="8">
                  <c:v>0.0529018</c:v>
                </c:pt>
                <c:pt idx="9">
                  <c:v>0.0360175</c:v>
                </c:pt>
                <c:pt idx="10">
                  <c:v>0.0310568</c:v>
                </c:pt>
                <c:pt idx="11">
                  <c:v>0.0112841</c:v>
                </c:pt>
                <c:pt idx="12">
                  <c:v>0.00676279</c:v>
                </c:pt>
                <c:pt idx="13">
                  <c:v>0.00390581</c:v>
                </c:pt>
                <c:pt idx="14">
                  <c:v>0.00840683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626608"/>
        <c:axId val="-2862412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Comps'!$B$92:$P$92</c:f>
              <c:numCache>
                <c:formatCode>General</c:formatCode>
                <c:ptCount val="15"/>
                <c:pt idx="0">
                  <c:v>0.0800191</c:v>
                </c:pt>
                <c:pt idx="1">
                  <c:v>0.0720543</c:v>
                </c:pt>
                <c:pt idx="2">
                  <c:v>0.0577432</c:v>
                </c:pt>
                <c:pt idx="3">
                  <c:v>0.275763</c:v>
                </c:pt>
                <c:pt idx="4">
                  <c:v>0.210023</c:v>
                </c:pt>
                <c:pt idx="5">
                  <c:v>0.0723225</c:v>
                </c:pt>
                <c:pt idx="6">
                  <c:v>0.0539174</c:v>
                </c:pt>
                <c:pt idx="7">
                  <c:v>0.0558107</c:v>
                </c:pt>
                <c:pt idx="8">
                  <c:v>0.0477147</c:v>
                </c:pt>
                <c:pt idx="9">
                  <c:v>0.0365166</c:v>
                </c:pt>
                <c:pt idx="10">
                  <c:v>0.0182945</c:v>
                </c:pt>
                <c:pt idx="11">
                  <c:v>0.00739698</c:v>
                </c:pt>
                <c:pt idx="12">
                  <c:v>0.00374967</c:v>
                </c:pt>
                <c:pt idx="13">
                  <c:v>0.00373743</c:v>
                </c:pt>
                <c:pt idx="14">
                  <c:v>0.00493618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626608"/>
        <c:axId val="-28624128"/>
      </c:scatterChart>
      <c:catAx>
        <c:axId val="-2862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6241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62412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62660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69160104987"/>
          <c:y val="0.150101237345332"/>
          <c:w val="0.893230807086614"/>
          <c:h val="0.73570625100433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Comps'!$S$93:$AG$93</c:f>
              <c:numCache>
                <c:formatCode>General</c:formatCode>
                <c:ptCount val="15"/>
                <c:pt idx="0">
                  <c:v>0.189805</c:v>
                </c:pt>
                <c:pt idx="1">
                  <c:v>0.0204391</c:v>
                </c:pt>
                <c:pt idx="2">
                  <c:v>0.0445034</c:v>
                </c:pt>
                <c:pt idx="3">
                  <c:v>0.0608283</c:v>
                </c:pt>
                <c:pt idx="4">
                  <c:v>0.304276</c:v>
                </c:pt>
                <c:pt idx="5">
                  <c:v>0.148888</c:v>
                </c:pt>
                <c:pt idx="6">
                  <c:v>0.0436436</c:v>
                </c:pt>
                <c:pt idx="7">
                  <c:v>0.0247797</c:v>
                </c:pt>
                <c:pt idx="8">
                  <c:v>0.0387637</c:v>
                </c:pt>
                <c:pt idx="9">
                  <c:v>0.0385623</c:v>
                </c:pt>
                <c:pt idx="10">
                  <c:v>0.0323189</c:v>
                </c:pt>
                <c:pt idx="11">
                  <c:v>0.0246999</c:v>
                </c:pt>
                <c:pt idx="12">
                  <c:v>0.0104319</c:v>
                </c:pt>
                <c:pt idx="13">
                  <c:v>0.00492249</c:v>
                </c:pt>
                <c:pt idx="14">
                  <c:v>0.0131383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601520"/>
        <c:axId val="-2859904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Comps'!$B$93:$P$93</c:f>
              <c:numCache>
                <c:formatCode>General</c:formatCode>
                <c:ptCount val="15"/>
                <c:pt idx="0">
                  <c:v>0.17883</c:v>
                </c:pt>
                <c:pt idx="1">
                  <c:v>0.0117805</c:v>
                </c:pt>
                <c:pt idx="2">
                  <c:v>0.0951473</c:v>
                </c:pt>
                <c:pt idx="3">
                  <c:v>0.0771152</c:v>
                </c:pt>
                <c:pt idx="4">
                  <c:v>0.268786</c:v>
                </c:pt>
                <c:pt idx="5">
                  <c:v>0.164489</c:v>
                </c:pt>
                <c:pt idx="6">
                  <c:v>0.0504917</c:v>
                </c:pt>
                <c:pt idx="7">
                  <c:v>0.0358158</c:v>
                </c:pt>
                <c:pt idx="8">
                  <c:v>0.0365716</c:v>
                </c:pt>
                <c:pt idx="9">
                  <c:v>0.0315289</c:v>
                </c:pt>
                <c:pt idx="10">
                  <c:v>0.0241936</c:v>
                </c:pt>
                <c:pt idx="11">
                  <c:v>0.0121199</c:v>
                </c:pt>
                <c:pt idx="12">
                  <c:v>0.00490036</c:v>
                </c:pt>
                <c:pt idx="13">
                  <c:v>0.00248408</c:v>
                </c:pt>
                <c:pt idx="14">
                  <c:v>0.00574608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601520"/>
        <c:axId val="-28599040"/>
      </c:scatterChart>
      <c:catAx>
        <c:axId val="-2860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5990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59904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601520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09398096844"/>
          <c:y val="0.0485164202035721"/>
          <c:w val="0.867189154032047"/>
          <c:h val="0.857118622367326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Comps'!$S$94:$AG$94</c:f>
              <c:numCache>
                <c:formatCode>General</c:formatCode>
                <c:ptCount val="15"/>
                <c:pt idx="0">
                  <c:v>0.139552</c:v>
                </c:pt>
                <c:pt idx="1">
                  <c:v>0.0284906</c:v>
                </c:pt>
                <c:pt idx="2">
                  <c:v>0.0534926</c:v>
                </c:pt>
                <c:pt idx="3">
                  <c:v>0.382862</c:v>
                </c:pt>
                <c:pt idx="4">
                  <c:v>0.0894831</c:v>
                </c:pt>
                <c:pt idx="5">
                  <c:v>0.144451</c:v>
                </c:pt>
                <c:pt idx="6">
                  <c:v>0.0494553</c:v>
                </c:pt>
                <c:pt idx="7">
                  <c:v>0.0197813</c:v>
                </c:pt>
                <c:pt idx="8">
                  <c:v>0.0149885</c:v>
                </c:pt>
                <c:pt idx="9">
                  <c:v>0.0207014</c:v>
                </c:pt>
                <c:pt idx="10">
                  <c:v>0.0169789</c:v>
                </c:pt>
                <c:pt idx="11">
                  <c:v>0.0149647</c:v>
                </c:pt>
                <c:pt idx="12">
                  <c:v>0.0124608</c:v>
                </c:pt>
                <c:pt idx="13">
                  <c:v>0.00442749</c:v>
                </c:pt>
                <c:pt idx="14">
                  <c:v>0.00790972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576432"/>
        <c:axId val="-2857395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Comps'!$B$94:$P$94</c:f>
              <c:numCache>
                <c:formatCode>General</c:formatCode>
                <c:ptCount val="15"/>
                <c:pt idx="0">
                  <c:v>0.117575</c:v>
                </c:pt>
                <c:pt idx="1">
                  <c:v>0.0130462</c:v>
                </c:pt>
                <c:pt idx="2">
                  <c:v>0.0539248</c:v>
                </c:pt>
                <c:pt idx="3">
                  <c:v>0.320037</c:v>
                </c:pt>
                <c:pt idx="4">
                  <c:v>0.151488</c:v>
                </c:pt>
                <c:pt idx="5">
                  <c:v>0.201174</c:v>
                </c:pt>
                <c:pt idx="6">
                  <c:v>0.0710107</c:v>
                </c:pt>
                <c:pt idx="7">
                  <c:v>0.018131</c:v>
                </c:pt>
                <c:pt idx="8">
                  <c:v>0.0124726</c:v>
                </c:pt>
                <c:pt idx="9">
                  <c:v>0.0127562</c:v>
                </c:pt>
                <c:pt idx="10">
                  <c:v>0.0110542</c:v>
                </c:pt>
                <c:pt idx="11">
                  <c:v>0.00848002</c:v>
                </c:pt>
                <c:pt idx="12">
                  <c:v>0.00424796</c:v>
                </c:pt>
                <c:pt idx="13">
                  <c:v>0.00171754</c:v>
                </c:pt>
                <c:pt idx="14">
                  <c:v>0.00288462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576432"/>
        <c:axId val="-28573952"/>
      </c:scatterChart>
      <c:catAx>
        <c:axId val="-2857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5739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57395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57643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826630817489277"/>
        </c:manualLayout>
      </c:layout>
      <c:barChart>
        <c:barDir val="col"/>
        <c:grouping val="clustered"/>
        <c:varyColors val="0"/>
        <c:ser>
          <c:idx val="1"/>
          <c:order val="0"/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Comps'!$S$95:$AG$95</c:f>
              <c:numCache>
                <c:formatCode>General</c:formatCode>
                <c:ptCount val="15"/>
                <c:pt idx="0">
                  <c:v>0.119953</c:v>
                </c:pt>
                <c:pt idx="1">
                  <c:v>0.0129405</c:v>
                </c:pt>
                <c:pt idx="2">
                  <c:v>0.0248947</c:v>
                </c:pt>
                <c:pt idx="3">
                  <c:v>0.0979444</c:v>
                </c:pt>
                <c:pt idx="4">
                  <c:v>0.487101</c:v>
                </c:pt>
                <c:pt idx="5">
                  <c:v>0.112975</c:v>
                </c:pt>
                <c:pt idx="6">
                  <c:v>0.0704152</c:v>
                </c:pt>
                <c:pt idx="7">
                  <c:v>0.0247005</c:v>
                </c:pt>
                <c:pt idx="8">
                  <c:v>0.00836185</c:v>
                </c:pt>
                <c:pt idx="9">
                  <c:v>0.00755546</c:v>
                </c:pt>
                <c:pt idx="10">
                  <c:v>0.00992806</c:v>
                </c:pt>
                <c:pt idx="11">
                  <c:v>0.00746899</c:v>
                </c:pt>
                <c:pt idx="12">
                  <c:v>0.00692148</c:v>
                </c:pt>
                <c:pt idx="13">
                  <c:v>0.00378466</c:v>
                </c:pt>
                <c:pt idx="14">
                  <c:v>0.00505455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1690880"/>
        <c:axId val="43169292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Comps'!$B$95:$P$95</c:f>
              <c:numCache>
                <c:formatCode>General</c:formatCode>
                <c:ptCount val="15"/>
                <c:pt idx="0">
                  <c:v>0.141644</c:v>
                </c:pt>
                <c:pt idx="1">
                  <c:v>0.00849068</c:v>
                </c:pt>
                <c:pt idx="2">
                  <c:v>0.025511</c:v>
                </c:pt>
                <c:pt idx="3">
                  <c:v>0.0998982</c:v>
                </c:pt>
                <c:pt idx="4">
                  <c:v>0.431893</c:v>
                </c:pt>
                <c:pt idx="5">
                  <c:v>0.132441</c:v>
                </c:pt>
                <c:pt idx="6">
                  <c:v>0.102549</c:v>
                </c:pt>
                <c:pt idx="7">
                  <c:v>0.0294006</c:v>
                </c:pt>
                <c:pt idx="8">
                  <c:v>0.00714077</c:v>
                </c:pt>
                <c:pt idx="9">
                  <c:v>0.0048927</c:v>
                </c:pt>
                <c:pt idx="10">
                  <c:v>0.0050086</c:v>
                </c:pt>
                <c:pt idx="11">
                  <c:v>0.00433557</c:v>
                </c:pt>
                <c:pt idx="12">
                  <c:v>0.00332498</c:v>
                </c:pt>
                <c:pt idx="13">
                  <c:v>0.00166548</c:v>
                </c:pt>
                <c:pt idx="14">
                  <c:v>0.0018043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90880"/>
        <c:axId val="431692928"/>
      </c:scatterChart>
      <c:catAx>
        <c:axId val="431690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1692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169292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690880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867281223993342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chemeClr val="tx1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Comps'!$S$96:$AG$96</c:f>
              <c:numCache>
                <c:formatCode>General</c:formatCode>
                <c:ptCount val="15"/>
                <c:pt idx="0">
                  <c:v>0.138797</c:v>
                </c:pt>
                <c:pt idx="1">
                  <c:v>0.0375898</c:v>
                </c:pt>
                <c:pt idx="2">
                  <c:v>0.0172665</c:v>
                </c:pt>
                <c:pt idx="3">
                  <c:v>0.0226354</c:v>
                </c:pt>
                <c:pt idx="4">
                  <c:v>0.104709</c:v>
                </c:pt>
                <c:pt idx="5">
                  <c:v>0.384159</c:v>
                </c:pt>
                <c:pt idx="6">
                  <c:v>0.199827</c:v>
                </c:pt>
                <c:pt idx="7">
                  <c:v>0.0425686</c:v>
                </c:pt>
                <c:pt idx="8">
                  <c:v>0.0234142</c:v>
                </c:pt>
                <c:pt idx="9">
                  <c:v>0.00852652</c:v>
                </c:pt>
                <c:pt idx="10">
                  <c:v>0.00326201</c:v>
                </c:pt>
                <c:pt idx="11">
                  <c:v>0.00460093</c:v>
                </c:pt>
                <c:pt idx="12">
                  <c:v>0.00467776</c:v>
                </c:pt>
                <c:pt idx="13">
                  <c:v>0.00218577</c:v>
                </c:pt>
                <c:pt idx="14">
                  <c:v>0.00578004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553264"/>
        <c:axId val="-285507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Comps'!$B$96:$P$96</c:f>
              <c:numCache>
                <c:formatCode>General</c:formatCode>
                <c:ptCount val="15"/>
                <c:pt idx="0">
                  <c:v>0.133595</c:v>
                </c:pt>
                <c:pt idx="1">
                  <c:v>0.0443287</c:v>
                </c:pt>
                <c:pt idx="2">
                  <c:v>0.0203638</c:v>
                </c:pt>
                <c:pt idx="3">
                  <c:v>0.0590289</c:v>
                </c:pt>
                <c:pt idx="4">
                  <c:v>0.162632</c:v>
                </c:pt>
                <c:pt idx="5">
                  <c:v>0.418295</c:v>
                </c:pt>
                <c:pt idx="6">
                  <c:v>0.0829722</c:v>
                </c:pt>
                <c:pt idx="7">
                  <c:v>0.0523888</c:v>
                </c:pt>
                <c:pt idx="8">
                  <c:v>0.013685</c:v>
                </c:pt>
                <c:pt idx="9">
                  <c:v>0.00323249</c:v>
                </c:pt>
                <c:pt idx="10">
                  <c:v>0.00220724</c:v>
                </c:pt>
                <c:pt idx="11">
                  <c:v>0.00225714</c:v>
                </c:pt>
                <c:pt idx="12">
                  <c:v>0.00195329</c:v>
                </c:pt>
                <c:pt idx="13">
                  <c:v>0.00149788</c:v>
                </c:pt>
                <c:pt idx="14">
                  <c:v>0.00156308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553264"/>
        <c:axId val="-28550784"/>
      </c:scatterChart>
      <c:catAx>
        <c:axId val="-2855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5507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55078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553264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857118622367326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>
              <a:solidFill>
                <a:schemeClr val="tx1"/>
              </a:solidFill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Comps'!$S$97:$AG$97</c:f>
              <c:numCache>
                <c:formatCode>General</c:formatCode>
                <c:ptCount val="15"/>
                <c:pt idx="0">
                  <c:v>0.0816577</c:v>
                </c:pt>
                <c:pt idx="1">
                  <c:v>0.056112</c:v>
                </c:pt>
                <c:pt idx="2">
                  <c:v>0.158055</c:v>
                </c:pt>
                <c:pt idx="3">
                  <c:v>0.039749</c:v>
                </c:pt>
                <c:pt idx="4">
                  <c:v>0.0827997</c:v>
                </c:pt>
                <c:pt idx="5">
                  <c:v>0.15426</c:v>
                </c:pt>
                <c:pt idx="6">
                  <c:v>0.300537</c:v>
                </c:pt>
                <c:pt idx="7">
                  <c:v>0.0876375</c:v>
                </c:pt>
                <c:pt idx="8">
                  <c:v>0.0207587</c:v>
                </c:pt>
                <c:pt idx="9">
                  <c:v>0.0099453</c:v>
                </c:pt>
                <c:pt idx="10">
                  <c:v>0.00129026</c:v>
                </c:pt>
                <c:pt idx="11">
                  <c:v>0.00121312</c:v>
                </c:pt>
                <c:pt idx="12">
                  <c:v>0.00208717</c:v>
                </c:pt>
                <c:pt idx="13">
                  <c:v>0.00124063</c:v>
                </c:pt>
                <c:pt idx="14">
                  <c:v>0.002657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521696"/>
        <c:axId val="-28519216"/>
      </c:barChart>
      <c:scatterChart>
        <c:scatterStyle val="lineMarker"/>
        <c:varyColors val="0"/>
        <c:ser>
          <c:idx val="0"/>
          <c:order val="1"/>
          <c:spPr>
            <a:ln w="12700"/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Comps'!$B$97:$P$97</c:f>
              <c:numCache>
                <c:formatCode>General</c:formatCode>
                <c:ptCount val="15"/>
                <c:pt idx="0">
                  <c:v>0.0798603</c:v>
                </c:pt>
                <c:pt idx="1">
                  <c:v>0.0363444</c:v>
                </c:pt>
                <c:pt idx="2">
                  <c:v>0.157532</c:v>
                </c:pt>
                <c:pt idx="3">
                  <c:v>0.0572201</c:v>
                </c:pt>
                <c:pt idx="4">
                  <c:v>0.103914</c:v>
                </c:pt>
                <c:pt idx="5">
                  <c:v>0.162461</c:v>
                </c:pt>
                <c:pt idx="6">
                  <c:v>0.304162</c:v>
                </c:pt>
                <c:pt idx="7">
                  <c:v>0.0513185</c:v>
                </c:pt>
                <c:pt idx="8">
                  <c:v>0.0319226</c:v>
                </c:pt>
                <c:pt idx="9">
                  <c:v>0.00797737</c:v>
                </c:pt>
                <c:pt idx="10">
                  <c:v>0.00185377</c:v>
                </c:pt>
                <c:pt idx="11">
                  <c:v>0.00126543</c:v>
                </c:pt>
                <c:pt idx="12">
                  <c:v>0.00129397</c:v>
                </c:pt>
                <c:pt idx="13">
                  <c:v>0.00111978</c:v>
                </c:pt>
                <c:pt idx="14">
                  <c:v>0.00175478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521696"/>
        <c:axId val="-28519216"/>
      </c:scatterChart>
      <c:catAx>
        <c:axId val="-2852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5192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51921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52169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785980410985212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ln>
              <a:solidFill>
                <a:schemeClr val="tx1"/>
              </a:solidFill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Comps'!$S$98:$AG$98</c:f>
              <c:numCache>
                <c:formatCode>General</c:formatCode>
                <c:ptCount val="15"/>
                <c:pt idx="0">
                  <c:v>0.0674274</c:v>
                </c:pt>
                <c:pt idx="1">
                  <c:v>0.0424725</c:v>
                </c:pt>
                <c:pt idx="2">
                  <c:v>0.0609983</c:v>
                </c:pt>
                <c:pt idx="3">
                  <c:v>0.292244</c:v>
                </c:pt>
                <c:pt idx="4">
                  <c:v>0.119802</c:v>
                </c:pt>
                <c:pt idx="5">
                  <c:v>0.0809194</c:v>
                </c:pt>
                <c:pt idx="6">
                  <c:v>0.114202</c:v>
                </c:pt>
                <c:pt idx="7">
                  <c:v>0.168426</c:v>
                </c:pt>
                <c:pt idx="8">
                  <c:v>0.0330734</c:v>
                </c:pt>
                <c:pt idx="9">
                  <c:v>0.0129743</c:v>
                </c:pt>
                <c:pt idx="10">
                  <c:v>0.0043286</c:v>
                </c:pt>
                <c:pt idx="11">
                  <c:v>0.00101989</c:v>
                </c:pt>
                <c:pt idx="12">
                  <c:v>0.00104913</c:v>
                </c:pt>
                <c:pt idx="13">
                  <c:v>0.000364239</c:v>
                </c:pt>
                <c:pt idx="14">
                  <c:v>0.000698457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496432"/>
        <c:axId val="-28493952"/>
      </c:barChart>
      <c:scatterChart>
        <c:scatterStyle val="lineMarker"/>
        <c:varyColors val="0"/>
        <c:ser>
          <c:idx val="0"/>
          <c:order val="1"/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Comps'!$B$98:$P$98</c:f>
              <c:numCache>
                <c:formatCode>General</c:formatCode>
                <c:ptCount val="15"/>
                <c:pt idx="0">
                  <c:v>0.069641</c:v>
                </c:pt>
                <c:pt idx="1">
                  <c:v>0.0202646</c:v>
                </c:pt>
                <c:pt idx="2">
                  <c:v>0.0741752</c:v>
                </c:pt>
                <c:pt idx="3">
                  <c:v>0.290715</c:v>
                </c:pt>
                <c:pt idx="4">
                  <c:v>0.0795744</c:v>
                </c:pt>
                <c:pt idx="5">
                  <c:v>0.0982234</c:v>
                </c:pt>
                <c:pt idx="6">
                  <c:v>0.114882</c:v>
                </c:pt>
                <c:pt idx="7">
                  <c:v>0.193773</c:v>
                </c:pt>
                <c:pt idx="8">
                  <c:v>0.0313901</c:v>
                </c:pt>
                <c:pt idx="9">
                  <c:v>0.0187535</c:v>
                </c:pt>
                <c:pt idx="10">
                  <c:v>0.00450127</c:v>
                </c:pt>
                <c:pt idx="11">
                  <c:v>0.001045</c:v>
                </c:pt>
                <c:pt idx="12">
                  <c:v>0.000713153</c:v>
                </c:pt>
                <c:pt idx="13">
                  <c:v>0.000729182</c:v>
                </c:pt>
                <c:pt idx="14">
                  <c:v>0.00161982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496432"/>
        <c:axId val="-28493952"/>
      </c:scatterChart>
      <c:catAx>
        <c:axId val="-2849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939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2849395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9643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Comps'!$S$3:$AG$3</c:f>
              <c:numCache>
                <c:formatCode>General</c:formatCode>
                <c:ptCount val="15"/>
                <c:pt idx="0">
                  <c:v>0.025321</c:v>
                </c:pt>
                <c:pt idx="1">
                  <c:v>0.105571</c:v>
                </c:pt>
                <c:pt idx="2">
                  <c:v>0.165563</c:v>
                </c:pt>
                <c:pt idx="3">
                  <c:v>0.193611</c:v>
                </c:pt>
                <c:pt idx="4">
                  <c:v>0.095442</c:v>
                </c:pt>
                <c:pt idx="5">
                  <c:v>0.268407</c:v>
                </c:pt>
                <c:pt idx="6">
                  <c:v>0.120764</c:v>
                </c:pt>
                <c:pt idx="7">
                  <c:v>0.025321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Comps'!$B$3:$P$3</c:f>
              <c:numCache>
                <c:formatCode>General</c:formatCode>
                <c:ptCount val="15"/>
                <c:pt idx="0">
                  <c:v>0.0273735</c:v>
                </c:pt>
                <c:pt idx="1">
                  <c:v>0.11357</c:v>
                </c:pt>
                <c:pt idx="2">
                  <c:v>0.256278</c:v>
                </c:pt>
                <c:pt idx="3">
                  <c:v>0.186355</c:v>
                </c:pt>
                <c:pt idx="4">
                  <c:v>0.0813732</c:v>
                </c:pt>
                <c:pt idx="5">
                  <c:v>0.157209</c:v>
                </c:pt>
                <c:pt idx="6">
                  <c:v>0.0686035</c:v>
                </c:pt>
                <c:pt idx="7">
                  <c:v>0.0211355</c:v>
                </c:pt>
                <c:pt idx="8">
                  <c:v>0.0128972</c:v>
                </c:pt>
                <c:pt idx="9">
                  <c:v>0.0125964</c:v>
                </c:pt>
                <c:pt idx="10">
                  <c:v>0.0125652</c:v>
                </c:pt>
                <c:pt idx="11">
                  <c:v>0.0125407</c:v>
                </c:pt>
                <c:pt idx="12">
                  <c:v>0.0125214</c:v>
                </c:pt>
                <c:pt idx="13">
                  <c:v>0.0125022</c:v>
                </c:pt>
                <c:pt idx="14">
                  <c:v>0.0124794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77840"/>
        <c:axId val="445230320"/>
      </c:scatterChart>
      <c:valAx>
        <c:axId val="44507784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230320"/>
        <c:crosses val="autoZero"/>
        <c:crossBetween val="midCat"/>
      </c:valAx>
      <c:valAx>
        <c:axId val="44523032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07784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Comps'!$S$4:$AG$4</c:f>
              <c:numCache>
                <c:formatCode>General</c:formatCode>
                <c:ptCount val="15"/>
                <c:pt idx="0">
                  <c:v>0.01417</c:v>
                </c:pt>
                <c:pt idx="1">
                  <c:v>0.015327</c:v>
                </c:pt>
                <c:pt idx="2">
                  <c:v>0.204164</c:v>
                </c:pt>
                <c:pt idx="3">
                  <c:v>0.550318</c:v>
                </c:pt>
                <c:pt idx="4">
                  <c:v>0.13476</c:v>
                </c:pt>
                <c:pt idx="5">
                  <c:v>0.033545</c:v>
                </c:pt>
                <c:pt idx="6">
                  <c:v>0.032389</c:v>
                </c:pt>
                <c:pt idx="7">
                  <c:v>0.015327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Comps'!$B$4:$P$4</c:f>
              <c:numCache>
                <c:formatCode>General</c:formatCode>
                <c:ptCount val="15"/>
                <c:pt idx="0">
                  <c:v>0.0589903</c:v>
                </c:pt>
                <c:pt idx="1">
                  <c:v>0.060616</c:v>
                </c:pt>
                <c:pt idx="2">
                  <c:v>0.199545</c:v>
                </c:pt>
                <c:pt idx="3">
                  <c:v>0.432237</c:v>
                </c:pt>
                <c:pt idx="4">
                  <c:v>0.0802297</c:v>
                </c:pt>
                <c:pt idx="5">
                  <c:v>0.033148</c:v>
                </c:pt>
                <c:pt idx="6">
                  <c:v>0.0620576</c:v>
                </c:pt>
                <c:pt idx="7">
                  <c:v>0.0272265</c:v>
                </c:pt>
                <c:pt idx="8">
                  <c:v>0.0085447</c:v>
                </c:pt>
                <c:pt idx="9">
                  <c:v>0.00531183</c:v>
                </c:pt>
                <c:pt idx="10">
                  <c:v>0.00537542</c:v>
                </c:pt>
                <c:pt idx="11">
                  <c:v>0.00536211</c:v>
                </c:pt>
                <c:pt idx="12">
                  <c:v>0.00535164</c:v>
                </c:pt>
                <c:pt idx="13">
                  <c:v>0.00534343</c:v>
                </c:pt>
                <c:pt idx="14">
                  <c:v>0.0106608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40976"/>
        <c:axId val="445617072"/>
      </c:scatterChart>
      <c:valAx>
        <c:axId val="5064409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617072"/>
        <c:crosses val="autoZero"/>
        <c:crossBetween val="midCat"/>
      </c:valAx>
      <c:valAx>
        <c:axId val="44561707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64409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Comps'!$S$5:$AG$5</c:f>
              <c:numCache>
                <c:formatCode>General</c:formatCode>
                <c:ptCount val="15"/>
                <c:pt idx="0">
                  <c:v>0.028428</c:v>
                </c:pt>
                <c:pt idx="1">
                  <c:v>0.168302</c:v>
                </c:pt>
                <c:pt idx="2">
                  <c:v>0.057358</c:v>
                </c:pt>
                <c:pt idx="3">
                  <c:v>0.420126</c:v>
                </c:pt>
                <c:pt idx="4">
                  <c:v>0.264906</c:v>
                </c:pt>
                <c:pt idx="5">
                  <c:v>0.024151</c:v>
                </c:pt>
                <c:pt idx="6">
                  <c:v>0.026415</c:v>
                </c:pt>
                <c:pt idx="7">
                  <c:v>0.010314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Comps'!$B$5:$P$5</c:f>
              <c:numCache>
                <c:formatCode>General</c:formatCode>
                <c:ptCount val="15"/>
                <c:pt idx="0">
                  <c:v>0.0358557</c:v>
                </c:pt>
                <c:pt idx="1">
                  <c:v>0.173933</c:v>
                </c:pt>
                <c:pt idx="2">
                  <c:v>0.138429</c:v>
                </c:pt>
                <c:pt idx="3">
                  <c:v>0.328127</c:v>
                </c:pt>
                <c:pt idx="4">
                  <c:v>0.203612</c:v>
                </c:pt>
                <c:pt idx="5">
                  <c:v>0.0374704</c:v>
                </c:pt>
                <c:pt idx="6">
                  <c:v>0.0157564</c:v>
                </c:pt>
                <c:pt idx="7">
                  <c:v>0.0299623</c:v>
                </c:pt>
                <c:pt idx="8">
                  <c:v>0.0133583</c:v>
                </c:pt>
                <c:pt idx="9">
                  <c:v>0.00426352</c:v>
                </c:pt>
                <c:pt idx="10">
                  <c:v>0.00273116</c:v>
                </c:pt>
                <c:pt idx="11">
                  <c:v>0.00276386</c:v>
                </c:pt>
                <c:pt idx="12">
                  <c:v>0.00275701</c:v>
                </c:pt>
                <c:pt idx="13">
                  <c:v>0.00275163</c:v>
                </c:pt>
                <c:pt idx="14">
                  <c:v>0.0082288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464304"/>
        <c:axId val="-28461552"/>
      </c:scatterChart>
      <c:valAx>
        <c:axId val="-2846430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61552"/>
        <c:crosses val="autoZero"/>
        <c:crossBetween val="midCat"/>
      </c:valAx>
      <c:valAx>
        <c:axId val="-2846155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643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Comps'!$S$6:$AG$6</c:f>
              <c:numCache>
                <c:formatCode>General</c:formatCode>
                <c:ptCount val="15"/>
                <c:pt idx="0">
                  <c:v>0.00946701</c:v>
                </c:pt>
                <c:pt idx="1">
                  <c:v>0.110178</c:v>
                </c:pt>
                <c:pt idx="2">
                  <c:v>0.577516</c:v>
                </c:pt>
                <c:pt idx="3">
                  <c:v>0.0876921</c:v>
                </c:pt>
                <c:pt idx="4">
                  <c:v>0.16</c:v>
                </c:pt>
                <c:pt idx="5">
                  <c:v>0.037988</c:v>
                </c:pt>
                <c:pt idx="6">
                  <c:v>0.011479</c:v>
                </c:pt>
                <c:pt idx="7">
                  <c:v>0.00568001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Comps'!$B$6:$P$6</c:f>
              <c:numCache>
                <c:formatCode>General</c:formatCode>
                <c:ptCount val="15"/>
                <c:pt idx="0">
                  <c:v>0.0482747</c:v>
                </c:pt>
                <c:pt idx="1">
                  <c:v>0.104393</c:v>
                </c:pt>
                <c:pt idx="2">
                  <c:v>0.413186</c:v>
                </c:pt>
                <c:pt idx="3">
                  <c:v>0.160814</c:v>
                </c:pt>
                <c:pt idx="4">
                  <c:v>0.134966</c:v>
                </c:pt>
                <c:pt idx="5">
                  <c:v>0.0842981</c:v>
                </c:pt>
                <c:pt idx="6">
                  <c:v>0.0161699</c:v>
                </c:pt>
                <c:pt idx="7">
                  <c:v>0.00698269</c:v>
                </c:pt>
                <c:pt idx="8">
                  <c:v>0.0135997</c:v>
                </c:pt>
                <c:pt idx="9">
                  <c:v>0.0061896</c:v>
                </c:pt>
                <c:pt idx="10">
                  <c:v>0.00201904</c:v>
                </c:pt>
                <c:pt idx="11">
                  <c:v>0.00129338</c:v>
                </c:pt>
                <c:pt idx="12">
                  <c:v>0.00130886</c:v>
                </c:pt>
                <c:pt idx="13">
                  <c:v>0.00130562</c:v>
                </c:pt>
                <c:pt idx="14">
                  <c:v>0.00519992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440256"/>
        <c:axId val="-28437504"/>
      </c:scatterChart>
      <c:valAx>
        <c:axId val="-2844025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37504"/>
        <c:crosses val="autoZero"/>
        <c:crossBetween val="midCat"/>
      </c:valAx>
      <c:valAx>
        <c:axId val="-2843750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402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Comps'!$S$7:$AG$7</c:f>
              <c:numCache>
                <c:formatCode>General</c:formatCode>
                <c:ptCount val="15"/>
                <c:pt idx="0">
                  <c:v>0.032939</c:v>
                </c:pt>
                <c:pt idx="1">
                  <c:v>0.178617</c:v>
                </c:pt>
                <c:pt idx="2">
                  <c:v>0.140218</c:v>
                </c:pt>
                <c:pt idx="3">
                  <c:v>0.468517</c:v>
                </c:pt>
                <c:pt idx="4">
                  <c:v>0.10737</c:v>
                </c:pt>
                <c:pt idx="5">
                  <c:v>0.030573</c:v>
                </c:pt>
                <c:pt idx="6">
                  <c:v>0.036579</c:v>
                </c:pt>
                <c:pt idx="7">
                  <c:v>0.005187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Comps'!$B$7:$P$7</c:f>
              <c:numCache>
                <c:formatCode>General</c:formatCode>
                <c:ptCount val="15"/>
                <c:pt idx="0">
                  <c:v>0.0375294</c:v>
                </c:pt>
                <c:pt idx="1">
                  <c:v>0.153227</c:v>
                </c:pt>
                <c:pt idx="2">
                  <c:v>0.232436</c:v>
                </c:pt>
                <c:pt idx="3">
                  <c:v>0.383036</c:v>
                </c:pt>
                <c:pt idx="4">
                  <c:v>0.0726383</c:v>
                </c:pt>
                <c:pt idx="5">
                  <c:v>0.0589051</c:v>
                </c:pt>
                <c:pt idx="6">
                  <c:v>0.037423</c:v>
                </c:pt>
                <c:pt idx="7">
                  <c:v>0.00726141</c:v>
                </c:pt>
                <c:pt idx="8">
                  <c:v>0.00318024</c:v>
                </c:pt>
                <c:pt idx="9">
                  <c:v>0.00628628</c:v>
                </c:pt>
                <c:pt idx="10">
                  <c:v>0.00288725</c:v>
                </c:pt>
                <c:pt idx="11">
                  <c:v>0.000941817</c:v>
                </c:pt>
                <c:pt idx="12">
                  <c:v>0.000603318</c:v>
                </c:pt>
                <c:pt idx="13">
                  <c:v>0.00061054</c:v>
                </c:pt>
                <c:pt idx="14">
                  <c:v>0.00303462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415936"/>
        <c:axId val="-28413184"/>
      </c:scatterChart>
      <c:valAx>
        <c:axId val="-284159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13184"/>
        <c:crosses val="autoZero"/>
        <c:crossBetween val="midCat"/>
      </c:valAx>
      <c:valAx>
        <c:axId val="-2841318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4159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Comps'!$S$8:$AG$8</c:f>
              <c:numCache>
                <c:formatCode>General</c:formatCode>
                <c:ptCount val="15"/>
                <c:pt idx="0">
                  <c:v>0.014678</c:v>
                </c:pt>
                <c:pt idx="1">
                  <c:v>0.0797661</c:v>
                </c:pt>
                <c:pt idx="2">
                  <c:v>0.459233</c:v>
                </c:pt>
                <c:pt idx="3">
                  <c:v>0.315684</c:v>
                </c:pt>
                <c:pt idx="4">
                  <c:v>0.10843</c:v>
                </c:pt>
                <c:pt idx="5">
                  <c:v>0.002305</c:v>
                </c:pt>
                <c:pt idx="6">
                  <c:v>0.012142</c:v>
                </c:pt>
                <c:pt idx="7">
                  <c:v>0.00776101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Comps'!$B$8:$P$8</c:f>
              <c:numCache>
                <c:formatCode>General</c:formatCode>
                <c:ptCount val="15"/>
                <c:pt idx="0">
                  <c:v>0.0422654</c:v>
                </c:pt>
                <c:pt idx="1">
                  <c:v>0.118839</c:v>
                </c:pt>
                <c:pt idx="2">
                  <c:v>0.374591</c:v>
                </c:pt>
                <c:pt idx="3">
                  <c:v>0.20664</c:v>
                </c:pt>
                <c:pt idx="4">
                  <c:v>0.167828</c:v>
                </c:pt>
                <c:pt idx="5">
                  <c:v>0.0322787</c:v>
                </c:pt>
                <c:pt idx="6">
                  <c:v>0.027034</c:v>
                </c:pt>
                <c:pt idx="7">
                  <c:v>0.0180981</c:v>
                </c:pt>
                <c:pt idx="8">
                  <c:v>0.00358203</c:v>
                </c:pt>
                <c:pt idx="9">
                  <c:v>0.00160326</c:v>
                </c:pt>
                <c:pt idx="10">
                  <c:v>0.00316921</c:v>
                </c:pt>
                <c:pt idx="11">
                  <c:v>0.00145559</c:v>
                </c:pt>
                <c:pt idx="12">
                  <c:v>0.000474814</c:v>
                </c:pt>
                <c:pt idx="13">
                  <c:v>0.00030416</c:v>
                </c:pt>
                <c:pt idx="14">
                  <c:v>0.0018377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391936"/>
        <c:axId val="-28389184"/>
      </c:scatterChart>
      <c:valAx>
        <c:axId val="-283919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89184"/>
        <c:crosses val="autoZero"/>
        <c:crossBetween val="midCat"/>
      </c:valAx>
      <c:valAx>
        <c:axId val="-2838918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919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Comps'!$S$9:$AG$9</c:f>
              <c:numCache>
                <c:formatCode>General</c:formatCode>
                <c:ptCount val="15"/>
                <c:pt idx="0">
                  <c:v>0.156762</c:v>
                </c:pt>
                <c:pt idx="1">
                  <c:v>0.238147</c:v>
                </c:pt>
                <c:pt idx="2">
                  <c:v>0.374263</c:v>
                </c:pt>
                <c:pt idx="3">
                  <c:v>0.176699</c:v>
                </c:pt>
                <c:pt idx="4">
                  <c:v>0.034247</c:v>
                </c:pt>
                <c:pt idx="5">
                  <c:v>0.011143</c:v>
                </c:pt>
                <c:pt idx="6">
                  <c:v>0.005571</c:v>
                </c:pt>
                <c:pt idx="7">
                  <c:v>0.003168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Comps'!$B$9:$P$9</c:f>
              <c:numCache>
                <c:formatCode>General</c:formatCode>
                <c:ptCount val="15"/>
                <c:pt idx="0">
                  <c:v>0.0453969</c:v>
                </c:pt>
                <c:pt idx="1">
                  <c:v>0.156826</c:v>
                </c:pt>
                <c:pt idx="2">
                  <c:v>0.300798</c:v>
                </c:pt>
                <c:pt idx="3">
                  <c:v>0.257607</c:v>
                </c:pt>
                <c:pt idx="4">
                  <c:v>0.102503</c:v>
                </c:pt>
                <c:pt idx="5">
                  <c:v>0.0852973</c:v>
                </c:pt>
                <c:pt idx="6">
                  <c:v>0.0175392</c:v>
                </c:pt>
                <c:pt idx="7">
                  <c:v>0.0160237</c:v>
                </c:pt>
                <c:pt idx="8">
                  <c:v>0.0106017</c:v>
                </c:pt>
                <c:pt idx="9">
                  <c:v>0.00217367</c:v>
                </c:pt>
                <c:pt idx="10">
                  <c:v>0.000948617</c:v>
                </c:pt>
                <c:pt idx="11">
                  <c:v>0.00187515</c:v>
                </c:pt>
                <c:pt idx="12">
                  <c:v>0.000861244</c:v>
                </c:pt>
                <c:pt idx="13">
                  <c:v>0.000280937</c:v>
                </c:pt>
                <c:pt idx="14">
                  <c:v>0.00126729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367936"/>
        <c:axId val="-28365184"/>
      </c:scatterChart>
      <c:valAx>
        <c:axId val="-283679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65184"/>
        <c:crosses val="autoZero"/>
        <c:crossBetween val="midCat"/>
      </c:valAx>
      <c:valAx>
        <c:axId val="-2836518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679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Comps'!$S$10:$AG$10</c:f>
              <c:numCache>
                <c:formatCode>General</c:formatCode>
                <c:ptCount val="15"/>
                <c:pt idx="0">
                  <c:v>0.165462</c:v>
                </c:pt>
                <c:pt idx="1">
                  <c:v>0.049415</c:v>
                </c:pt>
                <c:pt idx="2">
                  <c:v>0.27603</c:v>
                </c:pt>
                <c:pt idx="3">
                  <c:v>0.185287</c:v>
                </c:pt>
                <c:pt idx="4">
                  <c:v>0.274689</c:v>
                </c:pt>
                <c:pt idx="5">
                  <c:v>0.026683</c:v>
                </c:pt>
                <c:pt idx="6">
                  <c:v>0.017515</c:v>
                </c:pt>
                <c:pt idx="7">
                  <c:v>0.004919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Comps'!$B$10:$P$10</c:f>
              <c:numCache>
                <c:formatCode>General</c:formatCode>
                <c:ptCount val="15"/>
                <c:pt idx="0">
                  <c:v>0.0298138</c:v>
                </c:pt>
                <c:pt idx="1">
                  <c:v>0.149451</c:v>
                </c:pt>
                <c:pt idx="2">
                  <c:v>0.324201</c:v>
                </c:pt>
                <c:pt idx="3">
                  <c:v>0.20158</c:v>
                </c:pt>
                <c:pt idx="4">
                  <c:v>0.160836</c:v>
                </c:pt>
                <c:pt idx="5">
                  <c:v>0.0567591</c:v>
                </c:pt>
                <c:pt idx="6">
                  <c:v>0.0479527</c:v>
                </c:pt>
                <c:pt idx="7">
                  <c:v>0.0104978</c:v>
                </c:pt>
                <c:pt idx="8">
                  <c:v>0.00898011</c:v>
                </c:pt>
                <c:pt idx="9">
                  <c:v>0.00602956</c:v>
                </c:pt>
                <c:pt idx="10">
                  <c:v>0.00114419</c:v>
                </c:pt>
                <c:pt idx="11">
                  <c:v>0.000499337</c:v>
                </c:pt>
                <c:pt idx="12">
                  <c:v>0.00098705</c:v>
                </c:pt>
                <c:pt idx="13">
                  <c:v>0.000453345</c:v>
                </c:pt>
                <c:pt idx="14">
                  <c:v>0.000814962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343936"/>
        <c:axId val="-28341184"/>
      </c:scatterChart>
      <c:valAx>
        <c:axId val="-283439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41184"/>
        <c:crosses val="autoZero"/>
        <c:crossBetween val="midCat"/>
      </c:valAx>
      <c:valAx>
        <c:axId val="-2834118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439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Comps'!$S$11:$AG$11</c:f>
              <c:numCache>
                <c:formatCode>General</c:formatCode>
                <c:ptCount val="15"/>
                <c:pt idx="0">
                  <c:v>0.031428</c:v>
                </c:pt>
                <c:pt idx="1">
                  <c:v>0.151596</c:v>
                </c:pt>
                <c:pt idx="2">
                  <c:v>0.349715</c:v>
                </c:pt>
                <c:pt idx="3">
                  <c:v>0.280079</c:v>
                </c:pt>
                <c:pt idx="4">
                  <c:v>0.117347</c:v>
                </c:pt>
                <c:pt idx="5">
                  <c:v>0.046028</c:v>
                </c:pt>
                <c:pt idx="6">
                  <c:v>0.017471</c:v>
                </c:pt>
                <c:pt idx="7">
                  <c:v>0.00633501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Comps'!$B$11:$P$11</c:f>
              <c:numCache>
                <c:formatCode>General</c:formatCode>
                <c:ptCount val="15"/>
                <c:pt idx="0">
                  <c:v>0.0210618</c:v>
                </c:pt>
                <c:pt idx="1">
                  <c:v>0.119727</c:v>
                </c:pt>
                <c:pt idx="2">
                  <c:v>0.331646</c:v>
                </c:pt>
                <c:pt idx="3">
                  <c:v>0.246482</c:v>
                </c:pt>
                <c:pt idx="4">
                  <c:v>0.124459</c:v>
                </c:pt>
                <c:pt idx="5">
                  <c:v>0.0838332</c:v>
                </c:pt>
                <c:pt idx="6">
                  <c:v>0.0303888</c:v>
                </c:pt>
                <c:pt idx="7">
                  <c:v>0.0280684</c:v>
                </c:pt>
                <c:pt idx="8">
                  <c:v>0.00541314</c:v>
                </c:pt>
                <c:pt idx="9">
                  <c:v>0.00447973</c:v>
                </c:pt>
                <c:pt idx="10">
                  <c:v>0.00269704</c:v>
                </c:pt>
                <c:pt idx="11">
                  <c:v>0.000511797</c:v>
                </c:pt>
                <c:pt idx="12">
                  <c:v>0.000223355</c:v>
                </c:pt>
                <c:pt idx="13">
                  <c:v>0.00044151</c:v>
                </c:pt>
                <c:pt idx="14">
                  <c:v>0.000567317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609536"/>
        <c:axId val="429611584"/>
      </c:scatterChart>
      <c:valAx>
        <c:axId val="4296095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611584"/>
        <c:crosses val="autoZero"/>
        <c:crossBetween val="midCat"/>
      </c:valAx>
      <c:valAx>
        <c:axId val="42961158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6095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Comps'!$S$12:$AG$12</c:f>
              <c:numCache>
                <c:formatCode>General</c:formatCode>
                <c:ptCount val="15"/>
                <c:pt idx="0">
                  <c:v>0.011129</c:v>
                </c:pt>
                <c:pt idx="1">
                  <c:v>0.100338</c:v>
                </c:pt>
                <c:pt idx="2">
                  <c:v>0.121466</c:v>
                </c:pt>
                <c:pt idx="3">
                  <c:v>0.264054</c:v>
                </c:pt>
                <c:pt idx="4">
                  <c:v>0.202123</c:v>
                </c:pt>
                <c:pt idx="5">
                  <c:v>0.13807</c:v>
                </c:pt>
                <c:pt idx="6">
                  <c:v>0.0768219</c:v>
                </c:pt>
                <c:pt idx="7">
                  <c:v>0.0556429</c:v>
                </c:pt>
                <c:pt idx="8">
                  <c:v>0.024972</c:v>
                </c:pt>
                <c:pt idx="9">
                  <c:v>0.00449799</c:v>
                </c:pt>
                <c:pt idx="10">
                  <c:v>0.000565999</c:v>
                </c:pt>
                <c:pt idx="11">
                  <c:v>0.00015</c:v>
                </c:pt>
                <c:pt idx="12">
                  <c:v>3.25E-5</c:v>
                </c:pt>
                <c:pt idx="13">
                  <c:v>0.000138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Comps'!$B$12:$P$12</c:f>
              <c:numCache>
                <c:formatCode>General</c:formatCode>
                <c:ptCount val="15"/>
                <c:pt idx="0">
                  <c:v>0.0454927</c:v>
                </c:pt>
                <c:pt idx="1">
                  <c:v>0.132861</c:v>
                </c:pt>
                <c:pt idx="2">
                  <c:v>0.251905</c:v>
                </c:pt>
                <c:pt idx="3">
                  <c:v>0.249194</c:v>
                </c:pt>
                <c:pt idx="4">
                  <c:v>0.153786</c:v>
                </c:pt>
                <c:pt idx="5">
                  <c:v>0.0742366</c:v>
                </c:pt>
                <c:pt idx="6">
                  <c:v>0.0500424</c:v>
                </c:pt>
                <c:pt idx="7">
                  <c:v>0.0194406</c:v>
                </c:pt>
                <c:pt idx="8">
                  <c:v>0.0158961</c:v>
                </c:pt>
                <c:pt idx="9">
                  <c:v>0.00283761</c:v>
                </c:pt>
                <c:pt idx="10">
                  <c:v>0.00216374</c:v>
                </c:pt>
                <c:pt idx="11">
                  <c:v>0.00130269</c:v>
                </c:pt>
                <c:pt idx="12">
                  <c:v>0.000247202</c:v>
                </c:pt>
                <c:pt idx="13">
                  <c:v>0.000107882</c:v>
                </c:pt>
                <c:pt idx="14">
                  <c:v>0.000487271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614048"/>
        <c:axId val="445604816"/>
      </c:scatterChart>
      <c:valAx>
        <c:axId val="44561404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604816"/>
        <c:crosses val="autoZero"/>
        <c:crossBetween val="midCat"/>
      </c:valAx>
      <c:valAx>
        <c:axId val="445604816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6140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Comps'!$S$13:$AG$13</c:f>
              <c:numCache>
                <c:formatCode>General</c:formatCode>
                <c:ptCount val="15"/>
                <c:pt idx="0">
                  <c:v>0.024247</c:v>
                </c:pt>
                <c:pt idx="1">
                  <c:v>0.52728</c:v>
                </c:pt>
                <c:pt idx="2">
                  <c:v>0.194871</c:v>
                </c:pt>
                <c:pt idx="3">
                  <c:v>0.0554271</c:v>
                </c:pt>
                <c:pt idx="4">
                  <c:v>0.0744531</c:v>
                </c:pt>
                <c:pt idx="5">
                  <c:v>0.040192</c:v>
                </c:pt>
                <c:pt idx="6">
                  <c:v>0.025745</c:v>
                </c:pt>
                <c:pt idx="7">
                  <c:v>0.02169</c:v>
                </c:pt>
                <c:pt idx="8">
                  <c:v>0.021289</c:v>
                </c:pt>
                <c:pt idx="9">
                  <c:v>0.00895401</c:v>
                </c:pt>
                <c:pt idx="10">
                  <c:v>0.003638</c:v>
                </c:pt>
                <c:pt idx="11">
                  <c:v>0.000950001</c:v>
                </c:pt>
                <c:pt idx="12">
                  <c:v>0.000948001</c:v>
                </c:pt>
                <c:pt idx="13">
                  <c:v>0.000169</c:v>
                </c:pt>
                <c:pt idx="14">
                  <c:v>0.000147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Comps'!$B$13:$P$13</c:f>
              <c:numCache>
                <c:formatCode>General</c:formatCode>
                <c:ptCount val="15"/>
                <c:pt idx="0">
                  <c:v>0.0277254</c:v>
                </c:pt>
                <c:pt idx="1">
                  <c:v>0.344736</c:v>
                </c:pt>
                <c:pt idx="2">
                  <c:v>0.229789</c:v>
                </c:pt>
                <c:pt idx="3">
                  <c:v>0.141267</c:v>
                </c:pt>
                <c:pt idx="4">
                  <c:v>0.115035</c:v>
                </c:pt>
                <c:pt idx="5">
                  <c:v>0.0679496</c:v>
                </c:pt>
                <c:pt idx="6">
                  <c:v>0.0326258</c:v>
                </c:pt>
                <c:pt idx="7">
                  <c:v>0.0234926</c:v>
                </c:pt>
                <c:pt idx="8">
                  <c:v>0.0083846</c:v>
                </c:pt>
                <c:pt idx="9">
                  <c:v>0.00629131</c:v>
                </c:pt>
                <c:pt idx="10">
                  <c:v>0.0010738</c:v>
                </c:pt>
                <c:pt idx="11">
                  <c:v>0.000818802</c:v>
                </c:pt>
                <c:pt idx="12">
                  <c:v>0.000492963</c:v>
                </c:pt>
                <c:pt idx="13">
                  <c:v>9.3546E-5</c:v>
                </c:pt>
                <c:pt idx="14">
                  <c:v>0.000225217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521616"/>
        <c:axId val="445511584"/>
      </c:scatterChart>
      <c:valAx>
        <c:axId val="44552161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511584"/>
        <c:crosses val="autoZero"/>
        <c:crossBetween val="midCat"/>
      </c:valAx>
      <c:valAx>
        <c:axId val="445511584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52161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Comps'!$S$14:$AG$14</c:f>
              <c:numCache>
                <c:formatCode>General</c:formatCode>
                <c:ptCount val="15"/>
                <c:pt idx="0">
                  <c:v>0.008543</c:v>
                </c:pt>
                <c:pt idx="1">
                  <c:v>0.150288</c:v>
                </c:pt>
                <c:pt idx="2">
                  <c:v>0.691843</c:v>
                </c:pt>
                <c:pt idx="3">
                  <c:v>0.053185</c:v>
                </c:pt>
                <c:pt idx="4">
                  <c:v>0.014149</c:v>
                </c:pt>
                <c:pt idx="5">
                  <c:v>0.026573</c:v>
                </c:pt>
                <c:pt idx="6">
                  <c:v>0.025452</c:v>
                </c:pt>
                <c:pt idx="7">
                  <c:v>0.013869</c:v>
                </c:pt>
                <c:pt idx="8">
                  <c:v>0.008162</c:v>
                </c:pt>
                <c:pt idx="9">
                  <c:v>0.005747</c:v>
                </c:pt>
                <c:pt idx="10">
                  <c:v>0.001421</c:v>
                </c:pt>
                <c:pt idx="11">
                  <c:v>0.000562</c:v>
                </c:pt>
                <c:pt idx="12">
                  <c:v>9.04E-5</c:v>
                </c:pt>
                <c:pt idx="13">
                  <c:v>0.000116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Comps'!$B$14:$P$14</c:f>
              <c:numCache>
                <c:formatCode>General</c:formatCode>
                <c:ptCount val="15"/>
                <c:pt idx="0">
                  <c:v>0.0177164</c:v>
                </c:pt>
                <c:pt idx="1">
                  <c:v>0.197516</c:v>
                </c:pt>
                <c:pt idx="2">
                  <c:v>0.519402</c:v>
                </c:pt>
                <c:pt idx="3">
                  <c:v>0.100254</c:v>
                </c:pt>
                <c:pt idx="4">
                  <c:v>0.0593505</c:v>
                </c:pt>
                <c:pt idx="5">
                  <c:v>0.0474765</c:v>
                </c:pt>
                <c:pt idx="6">
                  <c:v>0.0280902</c:v>
                </c:pt>
                <c:pt idx="7">
                  <c:v>0.0140372</c:v>
                </c:pt>
                <c:pt idx="8">
                  <c:v>0.00965359</c:v>
                </c:pt>
                <c:pt idx="9">
                  <c:v>0.00314814</c:v>
                </c:pt>
                <c:pt idx="10">
                  <c:v>0.00234662</c:v>
                </c:pt>
                <c:pt idx="11">
                  <c:v>0.000400523</c:v>
                </c:pt>
                <c:pt idx="12">
                  <c:v>0.000305408</c:v>
                </c:pt>
                <c:pt idx="13">
                  <c:v>0.000183872</c:v>
                </c:pt>
                <c:pt idx="14">
                  <c:v>0.000118897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470080"/>
        <c:axId val="445462800"/>
      </c:scatterChart>
      <c:valAx>
        <c:axId val="44547008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462800"/>
        <c:crosses val="autoZero"/>
        <c:crossBetween val="midCat"/>
      </c:valAx>
      <c:valAx>
        <c:axId val="44546280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47008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Comps'!$S$15:$AG$15</c:f>
              <c:numCache>
                <c:formatCode>General</c:formatCode>
                <c:ptCount val="15"/>
                <c:pt idx="0">
                  <c:v>0.0002</c:v>
                </c:pt>
                <c:pt idx="1">
                  <c:v>0.120162</c:v>
                </c:pt>
                <c:pt idx="2">
                  <c:v>0.454616</c:v>
                </c:pt>
                <c:pt idx="3">
                  <c:v>0.305986</c:v>
                </c:pt>
                <c:pt idx="4">
                  <c:v>0.030152</c:v>
                </c:pt>
                <c:pt idx="5">
                  <c:v>0.013916</c:v>
                </c:pt>
                <c:pt idx="6">
                  <c:v>0.019279</c:v>
                </c:pt>
                <c:pt idx="7">
                  <c:v>0.022363</c:v>
                </c:pt>
                <c:pt idx="8">
                  <c:v>0.017396</c:v>
                </c:pt>
                <c:pt idx="9">
                  <c:v>0.00857199</c:v>
                </c:pt>
                <c:pt idx="10">
                  <c:v>0.003956</c:v>
                </c:pt>
                <c:pt idx="11">
                  <c:v>0.002706</c:v>
                </c:pt>
                <c:pt idx="12">
                  <c:v>0.000696999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Comps'!$B$15:$P$15</c:f>
              <c:numCache>
                <c:formatCode>General</c:formatCode>
                <c:ptCount val="15"/>
                <c:pt idx="0">
                  <c:v>0.0119161</c:v>
                </c:pt>
                <c:pt idx="1">
                  <c:v>0.16905</c:v>
                </c:pt>
                <c:pt idx="2">
                  <c:v>0.41554</c:v>
                </c:pt>
                <c:pt idx="3">
                  <c:v>0.264943</c:v>
                </c:pt>
                <c:pt idx="4">
                  <c:v>0.0519076</c:v>
                </c:pt>
                <c:pt idx="5">
                  <c:v>0.0311101</c:v>
                </c:pt>
                <c:pt idx="6">
                  <c:v>0.0250633</c:v>
                </c:pt>
                <c:pt idx="7">
                  <c:v>0.0150685</c:v>
                </c:pt>
                <c:pt idx="8">
                  <c:v>0.00755725</c:v>
                </c:pt>
                <c:pt idx="9">
                  <c:v>0.00471981</c:v>
                </c:pt>
                <c:pt idx="10">
                  <c:v>0.00151237</c:v>
                </c:pt>
                <c:pt idx="11">
                  <c:v>0.00112732</c:v>
                </c:pt>
                <c:pt idx="12">
                  <c:v>0.000192411</c:v>
                </c:pt>
                <c:pt idx="13">
                  <c:v>0.000146718</c:v>
                </c:pt>
                <c:pt idx="14">
                  <c:v>0.00014545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707696"/>
        <c:axId val="452289120"/>
      </c:scatterChart>
      <c:valAx>
        <c:axId val="45270769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289120"/>
        <c:crosses val="autoZero"/>
        <c:crossBetween val="midCat"/>
      </c:valAx>
      <c:valAx>
        <c:axId val="452289120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7076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Comps'!$S$15:$AG$15</c:f>
              <c:numCache>
                <c:formatCode>General</c:formatCode>
                <c:ptCount val="15"/>
                <c:pt idx="0">
                  <c:v>0.0002</c:v>
                </c:pt>
                <c:pt idx="1">
                  <c:v>0.120162</c:v>
                </c:pt>
                <c:pt idx="2">
                  <c:v>0.454616</c:v>
                </c:pt>
                <c:pt idx="3">
                  <c:v>0.305986</c:v>
                </c:pt>
                <c:pt idx="4">
                  <c:v>0.030152</c:v>
                </c:pt>
                <c:pt idx="5">
                  <c:v>0.013916</c:v>
                </c:pt>
                <c:pt idx="6">
                  <c:v>0.019279</c:v>
                </c:pt>
                <c:pt idx="7">
                  <c:v>0.022363</c:v>
                </c:pt>
                <c:pt idx="8">
                  <c:v>0.017396</c:v>
                </c:pt>
                <c:pt idx="9">
                  <c:v>0.00857199</c:v>
                </c:pt>
                <c:pt idx="10">
                  <c:v>0.003956</c:v>
                </c:pt>
                <c:pt idx="11">
                  <c:v>0.002706</c:v>
                </c:pt>
                <c:pt idx="12">
                  <c:v>0.000696999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0"/>
          <c:order val="1"/>
          <c:spPr>
            <a:ln w="3175">
              <a:solidFill>
                <a:srgbClr val="000080"/>
              </a:solidFill>
              <a:prstDash val="sysDash"/>
            </a:ln>
          </c:spPr>
          <c:marker>
            <c:symbol val="none"/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Comps'!$B$15:$P$15</c:f>
              <c:numCache>
                <c:formatCode>General</c:formatCode>
                <c:ptCount val="15"/>
                <c:pt idx="0">
                  <c:v>0.0119161</c:v>
                </c:pt>
                <c:pt idx="1">
                  <c:v>0.16905</c:v>
                </c:pt>
                <c:pt idx="2">
                  <c:v>0.41554</c:v>
                </c:pt>
                <c:pt idx="3">
                  <c:v>0.264943</c:v>
                </c:pt>
                <c:pt idx="4">
                  <c:v>0.0519076</c:v>
                </c:pt>
                <c:pt idx="5">
                  <c:v>0.0311101</c:v>
                </c:pt>
                <c:pt idx="6">
                  <c:v>0.0250633</c:v>
                </c:pt>
                <c:pt idx="7">
                  <c:v>0.0150685</c:v>
                </c:pt>
                <c:pt idx="8">
                  <c:v>0.00755725</c:v>
                </c:pt>
                <c:pt idx="9">
                  <c:v>0.00471981</c:v>
                </c:pt>
                <c:pt idx="10">
                  <c:v>0.00151237</c:v>
                </c:pt>
                <c:pt idx="11">
                  <c:v>0.00112732</c:v>
                </c:pt>
                <c:pt idx="12">
                  <c:v>0.000192411</c:v>
                </c:pt>
                <c:pt idx="13">
                  <c:v>0.000146718</c:v>
                </c:pt>
                <c:pt idx="14">
                  <c:v>0.00014545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942960"/>
        <c:axId val="430944592"/>
      </c:scatterChart>
      <c:valAx>
        <c:axId val="43094296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0944592"/>
        <c:crosses val="autoZero"/>
        <c:crossBetween val="midCat"/>
      </c:valAx>
      <c:valAx>
        <c:axId val="430944592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094296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Comps'!$S$17:$AG$17</c:f>
              <c:numCache>
                <c:formatCode>General</c:formatCode>
                <c:ptCount val="15"/>
                <c:pt idx="0">
                  <c:v>0.012042</c:v>
                </c:pt>
                <c:pt idx="1">
                  <c:v>0.186306</c:v>
                </c:pt>
                <c:pt idx="2">
                  <c:v>0.308118</c:v>
                </c:pt>
                <c:pt idx="3">
                  <c:v>0.261359</c:v>
                </c:pt>
                <c:pt idx="4">
                  <c:v>0.15068</c:v>
                </c:pt>
                <c:pt idx="5">
                  <c:v>0.040795</c:v>
                </c:pt>
                <c:pt idx="6">
                  <c:v>0.011772</c:v>
                </c:pt>
                <c:pt idx="7">
                  <c:v>0.007098</c:v>
                </c:pt>
                <c:pt idx="8">
                  <c:v>0.008047</c:v>
                </c:pt>
                <c:pt idx="9">
                  <c:v>0.006471</c:v>
                </c:pt>
                <c:pt idx="10">
                  <c:v>0.004559</c:v>
                </c:pt>
                <c:pt idx="11">
                  <c:v>0.001741</c:v>
                </c:pt>
                <c:pt idx="12">
                  <c:v>0.000722</c:v>
                </c:pt>
                <c:pt idx="13">
                  <c:v>0.000221</c:v>
                </c:pt>
                <c:pt idx="14">
                  <c:v>6.92E-5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007392"/>
        <c:axId val="4348988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Comps'!$B$17:$P$17</c:f>
              <c:numCache>
                <c:formatCode>General</c:formatCode>
                <c:ptCount val="15"/>
                <c:pt idx="0">
                  <c:v>0.0184184</c:v>
                </c:pt>
                <c:pt idx="1">
                  <c:v>0.147846</c:v>
                </c:pt>
                <c:pt idx="2">
                  <c:v>0.303578</c:v>
                </c:pt>
                <c:pt idx="3">
                  <c:v>0.256916</c:v>
                </c:pt>
                <c:pt idx="4">
                  <c:v>0.149074</c:v>
                </c:pt>
                <c:pt idx="5">
                  <c:v>0.0791625</c:v>
                </c:pt>
                <c:pt idx="6">
                  <c:v>0.0163643</c:v>
                </c:pt>
                <c:pt idx="7">
                  <c:v>0.0101311</c:v>
                </c:pt>
                <c:pt idx="8">
                  <c:v>0.0087545</c:v>
                </c:pt>
                <c:pt idx="9">
                  <c:v>0.00511763</c:v>
                </c:pt>
                <c:pt idx="10">
                  <c:v>0.00229583</c:v>
                </c:pt>
                <c:pt idx="11">
                  <c:v>0.00140939</c:v>
                </c:pt>
                <c:pt idx="12">
                  <c:v>0.00045161</c:v>
                </c:pt>
                <c:pt idx="13">
                  <c:v>0.00033663</c:v>
                </c:pt>
                <c:pt idx="14">
                  <c:v>0.000144701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07392"/>
        <c:axId val="434898864"/>
      </c:scatterChart>
      <c:catAx>
        <c:axId val="43500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988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489886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00739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Comps'!$S$18:$AG$18</c:f>
              <c:numCache>
                <c:formatCode>General</c:formatCode>
                <c:ptCount val="15"/>
                <c:pt idx="0">
                  <c:v>0.0395</c:v>
                </c:pt>
                <c:pt idx="1">
                  <c:v>0.211525</c:v>
                </c:pt>
                <c:pt idx="2">
                  <c:v>0.280373</c:v>
                </c:pt>
                <c:pt idx="3">
                  <c:v>0.163648</c:v>
                </c:pt>
                <c:pt idx="4">
                  <c:v>0.152892</c:v>
                </c:pt>
                <c:pt idx="5">
                  <c:v>0.0839389</c:v>
                </c:pt>
                <c:pt idx="6">
                  <c:v>0.021921</c:v>
                </c:pt>
                <c:pt idx="7">
                  <c:v>0.010012</c:v>
                </c:pt>
                <c:pt idx="8">
                  <c:v>0.013973</c:v>
                </c:pt>
                <c:pt idx="9">
                  <c:v>0.010706</c:v>
                </c:pt>
                <c:pt idx="10">
                  <c:v>0.00686199</c:v>
                </c:pt>
                <c:pt idx="11">
                  <c:v>0.003069</c:v>
                </c:pt>
                <c:pt idx="12">
                  <c:v>0.001153</c:v>
                </c:pt>
                <c:pt idx="13">
                  <c:v>0.000206</c:v>
                </c:pt>
                <c:pt idx="14">
                  <c:v>0.000222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2477568"/>
        <c:axId val="45247961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Comps'!$B$18:$P$18</c:f>
              <c:numCache>
                <c:formatCode>General</c:formatCode>
                <c:ptCount val="15"/>
                <c:pt idx="0">
                  <c:v>0.0376133</c:v>
                </c:pt>
                <c:pt idx="1">
                  <c:v>0.189392</c:v>
                </c:pt>
                <c:pt idx="2">
                  <c:v>0.279307</c:v>
                </c:pt>
                <c:pt idx="3">
                  <c:v>0.193997</c:v>
                </c:pt>
                <c:pt idx="4">
                  <c:v>0.154177</c:v>
                </c:pt>
                <c:pt idx="5">
                  <c:v>0.0793685</c:v>
                </c:pt>
                <c:pt idx="6">
                  <c:v>0.0423452</c:v>
                </c:pt>
                <c:pt idx="7">
                  <c:v>0.00875666</c:v>
                </c:pt>
                <c:pt idx="8">
                  <c:v>0.00567753</c:v>
                </c:pt>
                <c:pt idx="9">
                  <c:v>0.0045017</c:v>
                </c:pt>
                <c:pt idx="10">
                  <c:v>0.00255131</c:v>
                </c:pt>
                <c:pt idx="11">
                  <c:v>0.00114455</c:v>
                </c:pt>
                <c:pt idx="12">
                  <c:v>0.000702628</c:v>
                </c:pt>
                <c:pt idx="13">
                  <c:v>0.000225143</c:v>
                </c:pt>
                <c:pt idx="14">
                  <c:v>0.00023996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77568"/>
        <c:axId val="452479616"/>
      </c:scatterChart>
      <c:catAx>
        <c:axId val="45247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479616"/>
        <c:crosses val="autoZero"/>
        <c:auto val="1"/>
        <c:lblAlgn val="ctr"/>
        <c:lblOffset val="100"/>
        <c:noMultiLvlLbl val="0"/>
      </c:catAx>
      <c:valAx>
        <c:axId val="45247961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247756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Comps'!$S$19:$AG$19</c:f>
              <c:numCache>
                <c:formatCode>General</c:formatCode>
                <c:ptCount val="15"/>
                <c:pt idx="0">
                  <c:v>0.004034</c:v>
                </c:pt>
                <c:pt idx="1">
                  <c:v>0.190932</c:v>
                </c:pt>
                <c:pt idx="2">
                  <c:v>0.339926</c:v>
                </c:pt>
                <c:pt idx="3">
                  <c:v>0.183116</c:v>
                </c:pt>
                <c:pt idx="4">
                  <c:v>0.104124</c:v>
                </c:pt>
                <c:pt idx="5">
                  <c:v>0.0871169</c:v>
                </c:pt>
                <c:pt idx="6">
                  <c:v>0.034572</c:v>
                </c:pt>
                <c:pt idx="7">
                  <c:v>0.015525</c:v>
                </c:pt>
                <c:pt idx="8">
                  <c:v>0.00898099</c:v>
                </c:pt>
                <c:pt idx="9">
                  <c:v>0.00987699</c:v>
                </c:pt>
                <c:pt idx="10">
                  <c:v>0.010508</c:v>
                </c:pt>
                <c:pt idx="11">
                  <c:v>0.00656099</c:v>
                </c:pt>
                <c:pt idx="12">
                  <c:v>0.003192</c:v>
                </c:pt>
                <c:pt idx="13">
                  <c:v>0.001036</c:v>
                </c:pt>
                <c:pt idx="14">
                  <c:v>0.0005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81681152"/>
        <c:axId val="43610544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Comps'!$B$19:$P$19</c:f>
              <c:numCache>
                <c:formatCode>General</c:formatCode>
                <c:ptCount val="15"/>
                <c:pt idx="0">
                  <c:v>0.0109054</c:v>
                </c:pt>
                <c:pt idx="1">
                  <c:v>0.227664</c:v>
                </c:pt>
                <c:pt idx="2">
                  <c:v>0.334559</c:v>
                </c:pt>
                <c:pt idx="3">
                  <c:v>0.187334</c:v>
                </c:pt>
                <c:pt idx="4">
                  <c:v>0.109785</c:v>
                </c:pt>
                <c:pt idx="5">
                  <c:v>0.0682296</c:v>
                </c:pt>
                <c:pt idx="6">
                  <c:v>0.0335554</c:v>
                </c:pt>
                <c:pt idx="7">
                  <c:v>0.0180975</c:v>
                </c:pt>
                <c:pt idx="8">
                  <c:v>0.00380072</c:v>
                </c:pt>
                <c:pt idx="9">
                  <c:v>0.00229526</c:v>
                </c:pt>
                <c:pt idx="10">
                  <c:v>0.0018144</c:v>
                </c:pt>
                <c:pt idx="11">
                  <c:v>0.0010283</c:v>
                </c:pt>
                <c:pt idx="12">
                  <c:v>0.000461308</c:v>
                </c:pt>
                <c:pt idx="13">
                  <c:v>0.000283192</c:v>
                </c:pt>
                <c:pt idx="14">
                  <c:v>0.000187458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81152"/>
        <c:axId val="436105440"/>
      </c:scatterChart>
      <c:catAx>
        <c:axId val="28168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105440"/>
        <c:crosses val="autoZero"/>
        <c:auto val="1"/>
        <c:lblAlgn val="ctr"/>
        <c:lblOffset val="100"/>
        <c:noMultiLvlLbl val="0"/>
      </c:catAx>
      <c:valAx>
        <c:axId val="43610544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168115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Comps'!$S$20:$AG$20</c:f>
              <c:numCache>
                <c:formatCode>General</c:formatCode>
                <c:ptCount val="15"/>
                <c:pt idx="0">
                  <c:v>0.000262</c:v>
                </c:pt>
                <c:pt idx="1">
                  <c:v>0.033202</c:v>
                </c:pt>
                <c:pt idx="2">
                  <c:v>0.465713</c:v>
                </c:pt>
                <c:pt idx="3">
                  <c:v>0.29335</c:v>
                </c:pt>
                <c:pt idx="4">
                  <c:v>0.104387</c:v>
                </c:pt>
                <c:pt idx="5">
                  <c:v>0.047308</c:v>
                </c:pt>
                <c:pt idx="6">
                  <c:v>0.023758</c:v>
                </c:pt>
                <c:pt idx="7">
                  <c:v>0.01361</c:v>
                </c:pt>
                <c:pt idx="8">
                  <c:v>0.00740299</c:v>
                </c:pt>
                <c:pt idx="9">
                  <c:v>0.004299</c:v>
                </c:pt>
                <c:pt idx="10">
                  <c:v>0.003453</c:v>
                </c:pt>
                <c:pt idx="11">
                  <c:v>0.002115</c:v>
                </c:pt>
                <c:pt idx="12">
                  <c:v>0.000698999</c:v>
                </c:pt>
                <c:pt idx="13">
                  <c:v>0.00029</c:v>
                </c:pt>
                <c:pt idx="14">
                  <c:v>0.000152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6005856"/>
        <c:axId val="4360079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Comps'!$B$20:$P$20</c:f>
              <c:numCache>
                <c:formatCode>General</c:formatCode>
                <c:ptCount val="15"/>
                <c:pt idx="0">
                  <c:v>0.00749664</c:v>
                </c:pt>
                <c:pt idx="1">
                  <c:v>0.0549652</c:v>
                </c:pt>
                <c:pt idx="2">
                  <c:v>0.458119</c:v>
                </c:pt>
                <c:pt idx="3">
                  <c:v>0.280889</c:v>
                </c:pt>
                <c:pt idx="4">
                  <c:v>0.104074</c:v>
                </c:pt>
                <c:pt idx="5">
                  <c:v>0.0447421</c:v>
                </c:pt>
                <c:pt idx="6">
                  <c:v>0.025822</c:v>
                </c:pt>
                <c:pt idx="7">
                  <c:v>0.0129474</c:v>
                </c:pt>
                <c:pt idx="8">
                  <c:v>0.0071401</c:v>
                </c:pt>
                <c:pt idx="9">
                  <c:v>0.00146403</c:v>
                </c:pt>
                <c:pt idx="10">
                  <c:v>0.000884646</c:v>
                </c:pt>
                <c:pt idx="11">
                  <c:v>0.00069931</c:v>
                </c:pt>
                <c:pt idx="12">
                  <c:v>0.00039633</c:v>
                </c:pt>
                <c:pt idx="13">
                  <c:v>0.000177799</c:v>
                </c:pt>
                <c:pt idx="14">
                  <c:v>0.000181399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856"/>
        <c:axId val="436007904"/>
      </c:scatterChart>
      <c:catAx>
        <c:axId val="43600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007904"/>
        <c:crosses val="autoZero"/>
        <c:auto val="1"/>
        <c:lblAlgn val="ctr"/>
        <c:lblOffset val="100"/>
        <c:noMultiLvlLbl val="0"/>
      </c:catAx>
      <c:valAx>
        <c:axId val="43600790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600585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Comps'!$S$21:$AG$21</c:f>
              <c:numCache>
                <c:formatCode>General</c:formatCode>
                <c:ptCount val="15"/>
                <c:pt idx="0">
                  <c:v>0.00237</c:v>
                </c:pt>
                <c:pt idx="1">
                  <c:v>0.012649</c:v>
                </c:pt>
                <c:pt idx="2">
                  <c:v>0.08055</c:v>
                </c:pt>
                <c:pt idx="3">
                  <c:v>0.584991</c:v>
                </c:pt>
                <c:pt idx="4">
                  <c:v>0.210743</c:v>
                </c:pt>
                <c:pt idx="5">
                  <c:v>0.051754</c:v>
                </c:pt>
                <c:pt idx="6">
                  <c:v>0.017953</c:v>
                </c:pt>
                <c:pt idx="7">
                  <c:v>0.017973</c:v>
                </c:pt>
                <c:pt idx="8">
                  <c:v>0.010743</c:v>
                </c:pt>
                <c:pt idx="9">
                  <c:v>0.004531</c:v>
                </c:pt>
                <c:pt idx="10">
                  <c:v>0.002704</c:v>
                </c:pt>
                <c:pt idx="11">
                  <c:v>0.001587</c:v>
                </c:pt>
                <c:pt idx="12">
                  <c:v>0.000928</c:v>
                </c:pt>
                <c:pt idx="13">
                  <c:v>0.000344</c:v>
                </c:pt>
                <c:pt idx="14">
                  <c:v>0.00018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28335072"/>
        <c:axId val="-2833371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Comps'!$B$21:$P$21</c:f>
              <c:numCache>
                <c:formatCode>General</c:formatCode>
                <c:ptCount val="15"/>
                <c:pt idx="0">
                  <c:v>0.00264262</c:v>
                </c:pt>
                <c:pt idx="1">
                  <c:v>0.0420094</c:v>
                </c:pt>
                <c:pt idx="2">
                  <c:v>0.116176</c:v>
                </c:pt>
                <c:pt idx="3">
                  <c:v>0.558708</c:v>
                </c:pt>
                <c:pt idx="4">
                  <c:v>0.190747</c:v>
                </c:pt>
                <c:pt idx="5">
                  <c:v>0.0473813</c:v>
                </c:pt>
                <c:pt idx="6">
                  <c:v>0.0197623</c:v>
                </c:pt>
                <c:pt idx="7">
                  <c:v>0.011628</c:v>
                </c:pt>
                <c:pt idx="8">
                  <c:v>0.00597387</c:v>
                </c:pt>
                <c:pt idx="9">
                  <c:v>0.00324158</c:v>
                </c:pt>
                <c:pt idx="10">
                  <c:v>0.000666116</c:v>
                </c:pt>
                <c:pt idx="11">
                  <c:v>0.000402504</c:v>
                </c:pt>
                <c:pt idx="12">
                  <c:v>0.000318178</c:v>
                </c:pt>
                <c:pt idx="13">
                  <c:v>0.000180326</c:v>
                </c:pt>
                <c:pt idx="14">
                  <c:v>0.000163431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335072"/>
        <c:axId val="-28333712"/>
      </c:scatterChart>
      <c:catAx>
        <c:axId val="-2833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8333712"/>
        <c:crosses val="autoZero"/>
        <c:auto val="1"/>
        <c:lblAlgn val="ctr"/>
        <c:lblOffset val="100"/>
        <c:noMultiLvlLbl val="0"/>
      </c:catAx>
      <c:valAx>
        <c:axId val="-28333712"/>
        <c:scaling>
          <c:orientation val="minMax"/>
          <c:max val="0.65000000000000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833507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Comps'!$S$22:$AG$22</c:f>
              <c:numCache>
                <c:formatCode>General</c:formatCode>
                <c:ptCount val="15"/>
                <c:pt idx="0">
                  <c:v>0.00290601</c:v>
                </c:pt>
                <c:pt idx="1">
                  <c:v>0.0679651</c:v>
                </c:pt>
                <c:pt idx="2">
                  <c:v>0.0904312</c:v>
                </c:pt>
                <c:pt idx="3">
                  <c:v>0.179378</c:v>
                </c:pt>
                <c:pt idx="4">
                  <c:v>0.46821</c:v>
                </c:pt>
                <c:pt idx="5">
                  <c:v>0.125093</c:v>
                </c:pt>
                <c:pt idx="6">
                  <c:v>0.023738</c:v>
                </c:pt>
                <c:pt idx="7">
                  <c:v>0.014167</c:v>
                </c:pt>
                <c:pt idx="8">
                  <c:v>0.011353</c:v>
                </c:pt>
                <c:pt idx="9">
                  <c:v>0.00636201</c:v>
                </c:pt>
                <c:pt idx="10">
                  <c:v>0.00435601</c:v>
                </c:pt>
                <c:pt idx="11">
                  <c:v>0.00280801</c:v>
                </c:pt>
                <c:pt idx="12">
                  <c:v>0.002017</c:v>
                </c:pt>
                <c:pt idx="13">
                  <c:v>0.000997002</c:v>
                </c:pt>
                <c:pt idx="14">
                  <c:v>0.000218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118768"/>
        <c:axId val="43512081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Comps'!$B$22:$P$22</c:f>
              <c:numCache>
                <c:formatCode>General</c:formatCode>
                <c:ptCount val="15"/>
                <c:pt idx="0">
                  <c:v>0.00682027</c:v>
                </c:pt>
                <c:pt idx="1">
                  <c:v>0.0223855</c:v>
                </c:pt>
                <c:pt idx="2">
                  <c:v>0.111631</c:v>
                </c:pt>
                <c:pt idx="3">
                  <c:v>0.207733</c:v>
                </c:pt>
                <c:pt idx="4">
                  <c:v>0.479965</c:v>
                </c:pt>
                <c:pt idx="5">
                  <c:v>0.119341</c:v>
                </c:pt>
                <c:pt idx="6">
                  <c:v>0.0271235</c:v>
                </c:pt>
                <c:pt idx="7">
                  <c:v>0.0115131</c:v>
                </c:pt>
                <c:pt idx="8">
                  <c:v>0.00698658</c:v>
                </c:pt>
                <c:pt idx="9">
                  <c:v>0.0035462</c:v>
                </c:pt>
                <c:pt idx="10">
                  <c:v>0.00192685</c:v>
                </c:pt>
                <c:pt idx="11">
                  <c:v>0.000395951</c:v>
                </c:pt>
                <c:pt idx="12">
                  <c:v>0.000239255</c:v>
                </c:pt>
                <c:pt idx="13">
                  <c:v>0.00018913</c:v>
                </c:pt>
                <c:pt idx="14">
                  <c:v>0.000204335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18768"/>
        <c:axId val="435120816"/>
      </c:scatterChart>
      <c:catAx>
        <c:axId val="43511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120816"/>
        <c:crosses val="autoZero"/>
        <c:auto val="1"/>
        <c:lblAlgn val="ctr"/>
        <c:lblOffset val="100"/>
        <c:noMultiLvlLbl val="0"/>
      </c:catAx>
      <c:valAx>
        <c:axId val="435120816"/>
        <c:scaling>
          <c:orientation val="minMax"/>
          <c:max val="0.5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11876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Comps'!$S$23:$AG$23</c:f>
              <c:numCache>
                <c:formatCode>General</c:formatCode>
                <c:ptCount val="15"/>
                <c:pt idx="0">
                  <c:v>0.001082</c:v>
                </c:pt>
                <c:pt idx="1">
                  <c:v>0.023623</c:v>
                </c:pt>
                <c:pt idx="2">
                  <c:v>0.045694</c:v>
                </c:pt>
                <c:pt idx="3">
                  <c:v>0.22207</c:v>
                </c:pt>
                <c:pt idx="4">
                  <c:v>0.253549</c:v>
                </c:pt>
                <c:pt idx="5">
                  <c:v>0.337247</c:v>
                </c:pt>
                <c:pt idx="6">
                  <c:v>0.0690131</c:v>
                </c:pt>
                <c:pt idx="7">
                  <c:v>0.01834</c:v>
                </c:pt>
                <c:pt idx="8">
                  <c:v>0.012938</c:v>
                </c:pt>
                <c:pt idx="9">
                  <c:v>0.00806701</c:v>
                </c:pt>
                <c:pt idx="10">
                  <c:v>0.00366</c:v>
                </c:pt>
                <c:pt idx="11">
                  <c:v>0.001299</c:v>
                </c:pt>
                <c:pt idx="12">
                  <c:v>0.00151</c:v>
                </c:pt>
                <c:pt idx="13">
                  <c:v>0.000861001</c:v>
                </c:pt>
                <c:pt idx="14">
                  <c:v>0.001046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075696"/>
        <c:axId val="43507323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Comps'!$B$23:$P$23</c:f>
              <c:numCache>
                <c:formatCode>General</c:formatCode>
                <c:ptCount val="15"/>
                <c:pt idx="0">
                  <c:v>0.00146644</c:v>
                </c:pt>
                <c:pt idx="1">
                  <c:v>0.0558604</c:v>
                </c:pt>
                <c:pt idx="2">
                  <c:v>0.0564812</c:v>
                </c:pt>
                <c:pt idx="3">
                  <c:v>0.206662</c:v>
                </c:pt>
                <c:pt idx="4">
                  <c:v>0.229906</c:v>
                </c:pt>
                <c:pt idx="5">
                  <c:v>0.347708</c:v>
                </c:pt>
                <c:pt idx="6">
                  <c:v>0.0706716</c:v>
                </c:pt>
                <c:pt idx="7">
                  <c:v>0.0161023</c:v>
                </c:pt>
                <c:pt idx="8">
                  <c:v>0.00710681</c:v>
                </c:pt>
                <c:pt idx="9">
                  <c:v>0.00420556</c:v>
                </c:pt>
                <c:pt idx="10">
                  <c:v>0.00208863</c:v>
                </c:pt>
                <c:pt idx="11">
                  <c:v>0.00113487</c:v>
                </c:pt>
                <c:pt idx="12">
                  <c:v>0.000233206</c:v>
                </c:pt>
                <c:pt idx="13">
                  <c:v>0.000140916</c:v>
                </c:pt>
                <c:pt idx="14">
                  <c:v>0.000231742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75696"/>
        <c:axId val="435073232"/>
      </c:scatterChart>
      <c:catAx>
        <c:axId val="4350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073232"/>
        <c:crosses val="autoZero"/>
        <c:auto val="1"/>
        <c:lblAlgn val="ctr"/>
        <c:lblOffset val="100"/>
        <c:noMultiLvlLbl val="0"/>
      </c:catAx>
      <c:valAx>
        <c:axId val="43507323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07569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Comps'!$S$24:$AG$24</c:f>
              <c:numCache>
                <c:formatCode>General</c:formatCode>
                <c:ptCount val="15"/>
                <c:pt idx="0">
                  <c:v>0.001377</c:v>
                </c:pt>
                <c:pt idx="1">
                  <c:v>0.028742</c:v>
                </c:pt>
                <c:pt idx="2">
                  <c:v>0.198541</c:v>
                </c:pt>
                <c:pt idx="3">
                  <c:v>0.06341</c:v>
                </c:pt>
                <c:pt idx="4">
                  <c:v>0.190469</c:v>
                </c:pt>
                <c:pt idx="5">
                  <c:v>0.167426</c:v>
                </c:pt>
                <c:pt idx="6">
                  <c:v>0.23081</c:v>
                </c:pt>
                <c:pt idx="7">
                  <c:v>0.058574</c:v>
                </c:pt>
                <c:pt idx="8">
                  <c:v>0.019048</c:v>
                </c:pt>
                <c:pt idx="9">
                  <c:v>0.013449</c:v>
                </c:pt>
                <c:pt idx="10">
                  <c:v>0.012929</c:v>
                </c:pt>
                <c:pt idx="11">
                  <c:v>0.005553</c:v>
                </c:pt>
                <c:pt idx="12">
                  <c:v>0.004909</c:v>
                </c:pt>
                <c:pt idx="13">
                  <c:v>0.002088</c:v>
                </c:pt>
                <c:pt idx="14">
                  <c:v>0.002675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036800"/>
        <c:axId val="43503843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Comps'!$B$24:$P$24</c:f>
              <c:numCache>
                <c:formatCode>General</c:formatCode>
                <c:ptCount val="15"/>
                <c:pt idx="0">
                  <c:v>0.00323404</c:v>
                </c:pt>
                <c:pt idx="1">
                  <c:v>0.0150173</c:v>
                </c:pt>
                <c:pt idx="2">
                  <c:v>0.195792</c:v>
                </c:pt>
                <c:pt idx="3">
                  <c:v>0.0987042</c:v>
                </c:pt>
                <c:pt idx="4">
                  <c:v>0.216628</c:v>
                </c:pt>
                <c:pt idx="5">
                  <c:v>0.179707</c:v>
                </c:pt>
                <c:pt idx="6">
                  <c:v>0.227132</c:v>
                </c:pt>
                <c:pt idx="7">
                  <c:v>0.043875</c:v>
                </c:pt>
                <c:pt idx="8">
                  <c:v>0.0104376</c:v>
                </c:pt>
                <c:pt idx="9">
                  <c:v>0.00453945</c:v>
                </c:pt>
                <c:pt idx="10">
                  <c:v>0.00258273</c:v>
                </c:pt>
                <c:pt idx="11">
                  <c:v>0.00128268</c:v>
                </c:pt>
                <c:pt idx="12">
                  <c:v>0.000696952</c:v>
                </c:pt>
                <c:pt idx="13">
                  <c:v>0.000143217</c:v>
                </c:pt>
                <c:pt idx="14">
                  <c:v>0.000228858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36800"/>
        <c:axId val="435038432"/>
      </c:scatterChart>
      <c:catAx>
        <c:axId val="43503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0384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03843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03680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Comps'!$S$25:$AG$25</c:f>
              <c:numCache>
                <c:formatCode>General</c:formatCode>
                <c:ptCount val="15"/>
                <c:pt idx="0">
                  <c:v>0.001514</c:v>
                </c:pt>
                <c:pt idx="1">
                  <c:v>0.042154</c:v>
                </c:pt>
                <c:pt idx="2">
                  <c:v>0.045222</c:v>
                </c:pt>
                <c:pt idx="3">
                  <c:v>0.366847</c:v>
                </c:pt>
                <c:pt idx="4">
                  <c:v>0.104926</c:v>
                </c:pt>
                <c:pt idx="5">
                  <c:v>0.185293</c:v>
                </c:pt>
                <c:pt idx="6">
                  <c:v>0.108734</c:v>
                </c:pt>
                <c:pt idx="7">
                  <c:v>0.105004</c:v>
                </c:pt>
                <c:pt idx="8">
                  <c:v>0.029249</c:v>
                </c:pt>
                <c:pt idx="9">
                  <c:v>0.00744001</c:v>
                </c:pt>
                <c:pt idx="10">
                  <c:v>0.001637</c:v>
                </c:pt>
                <c:pt idx="11">
                  <c:v>0.001264</c:v>
                </c:pt>
                <c:pt idx="12">
                  <c:v>0.000132</c:v>
                </c:pt>
                <c:pt idx="13">
                  <c:v>0.000583001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437632"/>
        <c:axId val="4454392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Comps'!$B$25:$P$25</c:f>
              <c:numCache>
                <c:formatCode>General</c:formatCode>
                <c:ptCount val="15"/>
                <c:pt idx="0">
                  <c:v>0.00111198</c:v>
                </c:pt>
                <c:pt idx="1">
                  <c:v>0.0350493</c:v>
                </c:pt>
                <c:pt idx="2">
                  <c:v>0.0517227</c:v>
                </c:pt>
                <c:pt idx="3">
                  <c:v>0.343395</c:v>
                </c:pt>
                <c:pt idx="4">
                  <c:v>0.106475</c:v>
                </c:pt>
                <c:pt idx="5">
                  <c:v>0.196202</c:v>
                </c:pt>
                <c:pt idx="6">
                  <c:v>0.103057</c:v>
                </c:pt>
                <c:pt idx="7">
                  <c:v>0.124349</c:v>
                </c:pt>
                <c:pt idx="8">
                  <c:v>0.0269738</c:v>
                </c:pt>
                <c:pt idx="9">
                  <c:v>0.00627161</c:v>
                </c:pt>
                <c:pt idx="10">
                  <c:v>0.002584</c:v>
                </c:pt>
                <c:pt idx="11">
                  <c:v>0.00147018</c:v>
                </c:pt>
                <c:pt idx="12">
                  <c:v>0.000730141</c:v>
                </c:pt>
                <c:pt idx="13">
                  <c:v>0.000396728</c:v>
                </c:pt>
                <c:pt idx="14">
                  <c:v>0.000211797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437632"/>
        <c:axId val="445439264"/>
      </c:scatterChart>
      <c:catAx>
        <c:axId val="445437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439264"/>
        <c:crosses val="autoZero"/>
        <c:auto val="1"/>
        <c:lblAlgn val="ctr"/>
        <c:lblOffset val="100"/>
        <c:noMultiLvlLbl val="0"/>
      </c:catAx>
      <c:valAx>
        <c:axId val="44543926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43763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Comps'!$S$26:$AG$26</c:f>
              <c:numCache>
                <c:formatCode>General</c:formatCode>
                <c:ptCount val="15"/>
                <c:pt idx="0">
                  <c:v>0.0</c:v>
                </c:pt>
                <c:pt idx="1">
                  <c:v>0.014353</c:v>
                </c:pt>
                <c:pt idx="2">
                  <c:v>0.0809019</c:v>
                </c:pt>
                <c:pt idx="3">
                  <c:v>0.0562789</c:v>
                </c:pt>
                <c:pt idx="4">
                  <c:v>0.299858</c:v>
                </c:pt>
                <c:pt idx="5">
                  <c:v>0.100715</c:v>
                </c:pt>
                <c:pt idx="6">
                  <c:v>0.0888209</c:v>
                </c:pt>
                <c:pt idx="7">
                  <c:v>0.0657419</c:v>
                </c:pt>
                <c:pt idx="8">
                  <c:v>0.179309</c:v>
                </c:pt>
                <c:pt idx="9">
                  <c:v>0.039207</c:v>
                </c:pt>
                <c:pt idx="10">
                  <c:v>0.028064</c:v>
                </c:pt>
                <c:pt idx="11">
                  <c:v>0.015557</c:v>
                </c:pt>
                <c:pt idx="12">
                  <c:v>0.020974</c:v>
                </c:pt>
                <c:pt idx="13">
                  <c:v>0.004421</c:v>
                </c:pt>
                <c:pt idx="14">
                  <c:v>0.00579899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403200"/>
        <c:axId val="44540524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Comps'!$B$26:$P$26</c:f>
              <c:numCache>
                <c:formatCode>General</c:formatCode>
                <c:ptCount val="15"/>
                <c:pt idx="0">
                  <c:v>0.000518374</c:v>
                </c:pt>
                <c:pt idx="1">
                  <c:v>0.0139021</c:v>
                </c:pt>
                <c:pt idx="2">
                  <c:v>0.147785</c:v>
                </c:pt>
                <c:pt idx="3">
                  <c:v>0.0831662</c:v>
                </c:pt>
                <c:pt idx="4">
                  <c:v>0.344932</c:v>
                </c:pt>
                <c:pt idx="5">
                  <c:v>0.101118</c:v>
                </c:pt>
                <c:pt idx="6">
                  <c:v>0.120268</c:v>
                </c:pt>
                <c:pt idx="7">
                  <c:v>0.068732</c:v>
                </c:pt>
                <c:pt idx="8">
                  <c:v>0.0946952</c:v>
                </c:pt>
                <c:pt idx="9">
                  <c:v>0.0175194</c:v>
                </c:pt>
                <c:pt idx="10">
                  <c:v>0.00395883</c:v>
                </c:pt>
                <c:pt idx="11">
                  <c:v>0.0016311</c:v>
                </c:pt>
                <c:pt idx="12">
                  <c:v>0.000928018</c:v>
                </c:pt>
                <c:pt idx="13">
                  <c:v>0.000460887</c:v>
                </c:pt>
                <c:pt idx="14">
                  <c:v>0.000384119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403200"/>
        <c:axId val="445405248"/>
      </c:scatterChart>
      <c:catAx>
        <c:axId val="445403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4052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540524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40320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Comps'!$S$27:$AG$27</c:f>
              <c:numCache>
                <c:formatCode>General</c:formatCode>
                <c:ptCount val="15"/>
                <c:pt idx="0">
                  <c:v>0.0</c:v>
                </c:pt>
                <c:pt idx="1">
                  <c:v>0.004867</c:v>
                </c:pt>
                <c:pt idx="2">
                  <c:v>0.207078</c:v>
                </c:pt>
                <c:pt idx="3">
                  <c:v>0.192308</c:v>
                </c:pt>
                <c:pt idx="4">
                  <c:v>0.115004</c:v>
                </c:pt>
                <c:pt idx="5">
                  <c:v>0.248302</c:v>
                </c:pt>
                <c:pt idx="6">
                  <c:v>0.102527</c:v>
                </c:pt>
                <c:pt idx="7">
                  <c:v>0.047866</c:v>
                </c:pt>
                <c:pt idx="8">
                  <c:v>0.017872</c:v>
                </c:pt>
                <c:pt idx="9">
                  <c:v>0.044149</c:v>
                </c:pt>
                <c:pt idx="10">
                  <c:v>0.00832399</c:v>
                </c:pt>
                <c:pt idx="11">
                  <c:v>0.004658</c:v>
                </c:pt>
                <c:pt idx="12">
                  <c:v>0.001715</c:v>
                </c:pt>
                <c:pt idx="13">
                  <c:v>0.002506</c:v>
                </c:pt>
                <c:pt idx="14">
                  <c:v>0.002825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598720"/>
        <c:axId val="42960076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Comps'!$B$27:$P$27</c:f>
              <c:numCache>
                <c:formatCode>General</c:formatCode>
                <c:ptCount val="15"/>
                <c:pt idx="0">
                  <c:v>0.000308991</c:v>
                </c:pt>
                <c:pt idx="1">
                  <c:v>0.00694314</c:v>
                </c:pt>
                <c:pt idx="2">
                  <c:v>0.0990396</c:v>
                </c:pt>
                <c:pt idx="3">
                  <c:v>0.220665</c:v>
                </c:pt>
                <c:pt idx="4">
                  <c:v>0.102449</c:v>
                </c:pt>
                <c:pt idx="5">
                  <c:v>0.304656</c:v>
                </c:pt>
                <c:pt idx="6">
                  <c:v>0.0746159</c:v>
                </c:pt>
                <c:pt idx="7">
                  <c:v>0.0814515</c:v>
                </c:pt>
                <c:pt idx="8">
                  <c:v>0.0423212</c:v>
                </c:pt>
                <c:pt idx="9">
                  <c:v>0.053235</c:v>
                </c:pt>
                <c:pt idx="10">
                  <c:v>0.010079</c:v>
                </c:pt>
                <c:pt idx="11">
                  <c:v>0.00227753</c:v>
                </c:pt>
                <c:pt idx="12">
                  <c:v>0.000938378</c:v>
                </c:pt>
                <c:pt idx="13">
                  <c:v>0.000533892</c:v>
                </c:pt>
                <c:pt idx="14">
                  <c:v>0.000486135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98720"/>
        <c:axId val="429600768"/>
      </c:scatterChart>
      <c:catAx>
        <c:axId val="429598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600768"/>
        <c:crosses val="autoZero"/>
        <c:auto val="1"/>
        <c:lblAlgn val="ctr"/>
        <c:lblOffset val="100"/>
        <c:noMultiLvlLbl val="0"/>
      </c:catAx>
      <c:valAx>
        <c:axId val="42960076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59872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Comps'!$S$28:$AG$28</c:f>
              <c:numCache>
                <c:formatCode>General</c:formatCode>
                <c:ptCount val="15"/>
                <c:pt idx="0">
                  <c:v>0.0</c:v>
                </c:pt>
                <c:pt idx="1">
                  <c:v>0.002671</c:v>
                </c:pt>
                <c:pt idx="2">
                  <c:v>0.030904</c:v>
                </c:pt>
                <c:pt idx="3">
                  <c:v>0.0835269</c:v>
                </c:pt>
                <c:pt idx="4">
                  <c:v>0.252883</c:v>
                </c:pt>
                <c:pt idx="5">
                  <c:v>0.0934729</c:v>
                </c:pt>
                <c:pt idx="6">
                  <c:v>0.320776</c:v>
                </c:pt>
                <c:pt idx="7">
                  <c:v>0.0539969</c:v>
                </c:pt>
                <c:pt idx="8">
                  <c:v>0.0581659</c:v>
                </c:pt>
                <c:pt idx="9">
                  <c:v>0.018176</c:v>
                </c:pt>
                <c:pt idx="10">
                  <c:v>0.0723299</c:v>
                </c:pt>
                <c:pt idx="11">
                  <c:v>0.00610199</c:v>
                </c:pt>
                <c:pt idx="12">
                  <c:v>0.002235</c:v>
                </c:pt>
                <c:pt idx="13">
                  <c:v>0.001436</c:v>
                </c:pt>
                <c:pt idx="14">
                  <c:v>0.003325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549808"/>
        <c:axId val="4453859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Comps'!$B$28:$P$28</c:f>
              <c:numCache>
                <c:formatCode>General</c:formatCode>
                <c:ptCount val="15"/>
                <c:pt idx="0">
                  <c:v>0.000575099</c:v>
                </c:pt>
                <c:pt idx="1">
                  <c:v>0.00516341</c:v>
                </c:pt>
                <c:pt idx="2">
                  <c:v>0.0424636</c:v>
                </c:pt>
                <c:pt idx="3">
                  <c:v>0.115772</c:v>
                </c:pt>
                <c:pt idx="4">
                  <c:v>0.286042</c:v>
                </c:pt>
                <c:pt idx="5">
                  <c:v>0.0903096</c:v>
                </c:pt>
                <c:pt idx="6">
                  <c:v>0.280529</c:v>
                </c:pt>
                <c:pt idx="7">
                  <c:v>0.051285</c:v>
                </c:pt>
                <c:pt idx="8">
                  <c:v>0.0561401</c:v>
                </c:pt>
                <c:pt idx="9">
                  <c:v>0.0271649</c:v>
                </c:pt>
                <c:pt idx="10">
                  <c:v>0.0351137</c:v>
                </c:pt>
                <c:pt idx="11">
                  <c:v>0.00664808</c:v>
                </c:pt>
                <c:pt idx="12">
                  <c:v>0.00150225</c:v>
                </c:pt>
                <c:pt idx="13">
                  <c:v>0.000618952</c:v>
                </c:pt>
                <c:pt idx="14">
                  <c:v>0.000672808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49808"/>
        <c:axId val="445385904"/>
      </c:scatterChart>
      <c:catAx>
        <c:axId val="42954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385904"/>
        <c:crosses val="autoZero"/>
        <c:auto val="1"/>
        <c:lblAlgn val="ctr"/>
        <c:lblOffset val="100"/>
        <c:noMultiLvlLbl val="0"/>
      </c:catAx>
      <c:valAx>
        <c:axId val="44538590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54980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Comps'!$S$29:$AG$29</c:f>
              <c:numCache>
                <c:formatCode>General</c:formatCode>
                <c:ptCount val="15"/>
                <c:pt idx="0">
                  <c:v>0.000752</c:v>
                </c:pt>
                <c:pt idx="1">
                  <c:v>0.018901</c:v>
                </c:pt>
                <c:pt idx="2">
                  <c:v>0.032625</c:v>
                </c:pt>
                <c:pt idx="3">
                  <c:v>0.125708</c:v>
                </c:pt>
                <c:pt idx="4">
                  <c:v>0.114964</c:v>
                </c:pt>
                <c:pt idx="5">
                  <c:v>0.273633</c:v>
                </c:pt>
                <c:pt idx="6">
                  <c:v>0.074005</c:v>
                </c:pt>
                <c:pt idx="7">
                  <c:v>0.211015</c:v>
                </c:pt>
                <c:pt idx="8">
                  <c:v>0.037632</c:v>
                </c:pt>
                <c:pt idx="9">
                  <c:v>0.058368</c:v>
                </c:pt>
                <c:pt idx="10">
                  <c:v>0.005178</c:v>
                </c:pt>
                <c:pt idx="11">
                  <c:v>0.034402</c:v>
                </c:pt>
                <c:pt idx="12">
                  <c:v>0.004865</c:v>
                </c:pt>
                <c:pt idx="13">
                  <c:v>0.002677</c:v>
                </c:pt>
                <c:pt idx="14">
                  <c:v>0.005275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361328"/>
        <c:axId val="44536337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Comps'!$B$29:$P$29</c:f>
              <c:numCache>
                <c:formatCode>General</c:formatCode>
                <c:ptCount val="15"/>
                <c:pt idx="0">
                  <c:v>0.00273084</c:v>
                </c:pt>
                <c:pt idx="1">
                  <c:v>0.0128568</c:v>
                </c:pt>
                <c:pt idx="2">
                  <c:v>0.0293951</c:v>
                </c:pt>
                <c:pt idx="3">
                  <c:v>0.0854493</c:v>
                </c:pt>
                <c:pt idx="4">
                  <c:v>0.166885</c:v>
                </c:pt>
                <c:pt idx="5">
                  <c:v>0.291923</c:v>
                </c:pt>
                <c:pt idx="6">
                  <c:v>0.0811212</c:v>
                </c:pt>
                <c:pt idx="7">
                  <c:v>0.196849</c:v>
                </c:pt>
                <c:pt idx="8">
                  <c:v>0.0372743</c:v>
                </c:pt>
                <c:pt idx="9">
                  <c:v>0.0416809</c:v>
                </c:pt>
                <c:pt idx="10">
                  <c:v>0.0203905</c:v>
                </c:pt>
                <c:pt idx="11">
                  <c:v>0.026357</c:v>
                </c:pt>
                <c:pt idx="12">
                  <c:v>0.00499017</c:v>
                </c:pt>
                <c:pt idx="13">
                  <c:v>0.00112762</c:v>
                </c:pt>
                <c:pt idx="14">
                  <c:v>0.000969619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61328"/>
        <c:axId val="445363376"/>
      </c:scatterChart>
      <c:catAx>
        <c:axId val="445361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363376"/>
        <c:crosses val="autoZero"/>
        <c:auto val="1"/>
        <c:lblAlgn val="ctr"/>
        <c:lblOffset val="100"/>
        <c:noMultiLvlLbl val="0"/>
      </c:catAx>
      <c:valAx>
        <c:axId val="44536337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36132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Comps'!$S$30:$AG$30</c:f>
              <c:numCache>
                <c:formatCode>General</c:formatCode>
                <c:ptCount val="15"/>
                <c:pt idx="0">
                  <c:v>0.00046045</c:v>
                </c:pt>
                <c:pt idx="1">
                  <c:v>0.0760726</c:v>
                </c:pt>
                <c:pt idx="2">
                  <c:v>0.0271552</c:v>
                </c:pt>
                <c:pt idx="3">
                  <c:v>0.0588726</c:v>
                </c:pt>
                <c:pt idx="4">
                  <c:v>0.0946976</c:v>
                </c:pt>
                <c:pt idx="5">
                  <c:v>0.103979</c:v>
                </c:pt>
                <c:pt idx="6">
                  <c:v>0.262792</c:v>
                </c:pt>
                <c:pt idx="7">
                  <c:v>0.0353414</c:v>
                </c:pt>
                <c:pt idx="8">
                  <c:v>0.14861</c:v>
                </c:pt>
                <c:pt idx="9">
                  <c:v>0.014828</c:v>
                </c:pt>
                <c:pt idx="10">
                  <c:v>0.0782523</c:v>
                </c:pt>
                <c:pt idx="11">
                  <c:v>0.00936707</c:v>
                </c:pt>
                <c:pt idx="12">
                  <c:v>0.0494342</c:v>
                </c:pt>
                <c:pt idx="13">
                  <c:v>0.0116125</c:v>
                </c:pt>
                <c:pt idx="14">
                  <c:v>0.0285249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340912"/>
        <c:axId val="44534296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Comps'!$B$30:$P$30</c:f>
              <c:numCache>
                <c:formatCode>General</c:formatCode>
                <c:ptCount val="15"/>
                <c:pt idx="0">
                  <c:v>0.00162839</c:v>
                </c:pt>
                <c:pt idx="1">
                  <c:v>0.0728968</c:v>
                </c:pt>
                <c:pt idx="2">
                  <c:v>0.0569582</c:v>
                </c:pt>
                <c:pt idx="3">
                  <c:v>0.0620567</c:v>
                </c:pt>
                <c:pt idx="4">
                  <c:v>0.0959138</c:v>
                </c:pt>
                <c:pt idx="5">
                  <c:v>0.131081</c:v>
                </c:pt>
                <c:pt idx="6">
                  <c:v>0.25989</c:v>
                </c:pt>
                <c:pt idx="7">
                  <c:v>0.0574116</c:v>
                </c:pt>
                <c:pt idx="8">
                  <c:v>0.151818</c:v>
                </c:pt>
                <c:pt idx="9">
                  <c:v>0.0299562</c:v>
                </c:pt>
                <c:pt idx="10">
                  <c:v>0.0350799</c:v>
                </c:pt>
                <c:pt idx="11">
                  <c:v>0.0171612</c:v>
                </c:pt>
                <c:pt idx="12">
                  <c:v>0.0221828</c:v>
                </c:pt>
                <c:pt idx="13">
                  <c:v>0.00419988</c:v>
                </c:pt>
                <c:pt idx="14">
                  <c:v>0.0017651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40912"/>
        <c:axId val="445342960"/>
      </c:scatterChart>
      <c:catAx>
        <c:axId val="44534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342960"/>
        <c:crosses val="autoZero"/>
        <c:auto val="1"/>
        <c:lblAlgn val="ctr"/>
        <c:lblOffset val="100"/>
        <c:noMultiLvlLbl val="0"/>
      </c:catAx>
      <c:valAx>
        <c:axId val="44534296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34091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Comps'!$S$31:$AG$31</c:f>
              <c:numCache>
                <c:formatCode>General</c:formatCode>
                <c:ptCount val="15"/>
                <c:pt idx="0">
                  <c:v>0.0</c:v>
                </c:pt>
                <c:pt idx="1">
                  <c:v>0.0487028</c:v>
                </c:pt>
                <c:pt idx="2">
                  <c:v>0.351375</c:v>
                </c:pt>
                <c:pt idx="3">
                  <c:v>0.0691207</c:v>
                </c:pt>
                <c:pt idx="4">
                  <c:v>0.0414104</c:v>
                </c:pt>
                <c:pt idx="5">
                  <c:v>0.0594687</c:v>
                </c:pt>
                <c:pt idx="6">
                  <c:v>0.0699293</c:v>
                </c:pt>
                <c:pt idx="7">
                  <c:v>0.131291</c:v>
                </c:pt>
                <c:pt idx="8">
                  <c:v>0.0521205</c:v>
                </c:pt>
                <c:pt idx="9">
                  <c:v>0.080743</c:v>
                </c:pt>
                <c:pt idx="10">
                  <c:v>0.0282823</c:v>
                </c:pt>
                <c:pt idx="11">
                  <c:v>0.0224298</c:v>
                </c:pt>
                <c:pt idx="12">
                  <c:v>0.00649846</c:v>
                </c:pt>
                <c:pt idx="13">
                  <c:v>0.0217889</c:v>
                </c:pt>
                <c:pt idx="14">
                  <c:v>0.0168392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213616"/>
        <c:axId val="44519905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Comps'!$B$31:$P$31</c:f>
              <c:numCache>
                <c:formatCode>General</c:formatCode>
                <c:ptCount val="15"/>
                <c:pt idx="0">
                  <c:v>0.00127144</c:v>
                </c:pt>
                <c:pt idx="1">
                  <c:v>0.0350023</c:v>
                </c:pt>
                <c:pt idx="2">
                  <c:v>0.342029</c:v>
                </c:pt>
                <c:pt idx="3">
                  <c:v>0.0991424</c:v>
                </c:pt>
                <c:pt idx="4">
                  <c:v>0.0521479</c:v>
                </c:pt>
                <c:pt idx="5">
                  <c:v>0.0664039</c:v>
                </c:pt>
                <c:pt idx="6">
                  <c:v>0.0904802</c:v>
                </c:pt>
                <c:pt idx="7">
                  <c:v>0.139578</c:v>
                </c:pt>
                <c:pt idx="8">
                  <c:v>0.0354657</c:v>
                </c:pt>
                <c:pt idx="9">
                  <c:v>0.0800195</c:v>
                </c:pt>
                <c:pt idx="10">
                  <c:v>0.0158705</c:v>
                </c:pt>
                <c:pt idx="11">
                  <c:v>0.018585</c:v>
                </c:pt>
                <c:pt idx="12">
                  <c:v>0.00909188</c:v>
                </c:pt>
                <c:pt idx="13">
                  <c:v>0.0117523</c:v>
                </c:pt>
                <c:pt idx="14">
                  <c:v>0.00316019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213616"/>
        <c:axId val="445199056"/>
      </c:scatterChart>
      <c:catAx>
        <c:axId val="44521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19905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519905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21361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Comps'!$S$32:$AG$32</c:f>
              <c:numCache>
                <c:formatCode>General</c:formatCode>
                <c:ptCount val="15"/>
                <c:pt idx="0">
                  <c:v>8.7098E-5</c:v>
                </c:pt>
                <c:pt idx="1">
                  <c:v>0.0042856</c:v>
                </c:pt>
                <c:pt idx="2">
                  <c:v>0.13875</c:v>
                </c:pt>
                <c:pt idx="3">
                  <c:v>0.605311</c:v>
                </c:pt>
                <c:pt idx="4">
                  <c:v>0.0539465</c:v>
                </c:pt>
                <c:pt idx="5">
                  <c:v>0.0347654</c:v>
                </c:pt>
                <c:pt idx="6">
                  <c:v>0.033647</c:v>
                </c:pt>
                <c:pt idx="7">
                  <c:v>0.0281261</c:v>
                </c:pt>
                <c:pt idx="8">
                  <c:v>0.0481754</c:v>
                </c:pt>
                <c:pt idx="9">
                  <c:v>0.0108196</c:v>
                </c:pt>
                <c:pt idx="10">
                  <c:v>0.0170609</c:v>
                </c:pt>
                <c:pt idx="11">
                  <c:v>0.00617717</c:v>
                </c:pt>
                <c:pt idx="12">
                  <c:v>0.00661219</c:v>
                </c:pt>
                <c:pt idx="13">
                  <c:v>0.00352101</c:v>
                </c:pt>
                <c:pt idx="14">
                  <c:v>0.0087146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985024"/>
        <c:axId val="43598707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Comps'!$B$32:$P$32</c:f>
              <c:numCache>
                <c:formatCode>General</c:formatCode>
                <c:ptCount val="15"/>
                <c:pt idx="0">
                  <c:v>0.00165844</c:v>
                </c:pt>
                <c:pt idx="1">
                  <c:v>0.0146865</c:v>
                </c:pt>
                <c:pt idx="2">
                  <c:v>0.121517</c:v>
                </c:pt>
                <c:pt idx="3">
                  <c:v>0.566166</c:v>
                </c:pt>
                <c:pt idx="4">
                  <c:v>0.0775988</c:v>
                </c:pt>
                <c:pt idx="5">
                  <c:v>0.0363983</c:v>
                </c:pt>
                <c:pt idx="6">
                  <c:v>0.0361477</c:v>
                </c:pt>
                <c:pt idx="7">
                  <c:v>0.0352334</c:v>
                </c:pt>
                <c:pt idx="8">
                  <c:v>0.0500296</c:v>
                </c:pt>
                <c:pt idx="9">
                  <c:v>0.0121551</c:v>
                </c:pt>
                <c:pt idx="10">
                  <c:v>0.027973</c:v>
                </c:pt>
                <c:pt idx="11">
                  <c:v>0.00554798</c:v>
                </c:pt>
                <c:pt idx="12">
                  <c:v>0.0064969</c:v>
                </c:pt>
                <c:pt idx="13">
                  <c:v>0.00317831</c:v>
                </c:pt>
                <c:pt idx="14">
                  <c:v>0.00521306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85024"/>
        <c:axId val="435987072"/>
      </c:scatterChart>
      <c:catAx>
        <c:axId val="43598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987072"/>
        <c:crosses val="autoZero"/>
        <c:auto val="1"/>
        <c:lblAlgn val="ctr"/>
        <c:lblOffset val="100"/>
        <c:tickLblSkip val="2"/>
        <c:noMultiLvlLbl val="0"/>
      </c:catAx>
      <c:valAx>
        <c:axId val="4359870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98502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Comps'!$S$33:$AG$33</c:f>
              <c:numCache>
                <c:formatCode>General</c:formatCode>
                <c:ptCount val="15"/>
                <c:pt idx="0">
                  <c:v>0.000890056</c:v>
                </c:pt>
                <c:pt idx="1">
                  <c:v>0.0195377</c:v>
                </c:pt>
                <c:pt idx="2">
                  <c:v>0.0308233</c:v>
                </c:pt>
                <c:pt idx="3">
                  <c:v>0.195297</c:v>
                </c:pt>
                <c:pt idx="4">
                  <c:v>0.579247</c:v>
                </c:pt>
                <c:pt idx="5">
                  <c:v>0.0954464</c:v>
                </c:pt>
                <c:pt idx="6">
                  <c:v>0.0295743</c:v>
                </c:pt>
                <c:pt idx="7">
                  <c:v>0.010967</c:v>
                </c:pt>
                <c:pt idx="8">
                  <c:v>0.00725792</c:v>
                </c:pt>
                <c:pt idx="9">
                  <c:v>0.0112467</c:v>
                </c:pt>
                <c:pt idx="10">
                  <c:v>0.00464513</c:v>
                </c:pt>
                <c:pt idx="11">
                  <c:v>0.00510857</c:v>
                </c:pt>
                <c:pt idx="12">
                  <c:v>0.00381768</c:v>
                </c:pt>
                <c:pt idx="13">
                  <c:v>0.00201982</c:v>
                </c:pt>
                <c:pt idx="14">
                  <c:v>0.00412112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951472"/>
        <c:axId val="43595352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Comps'!$B$33:$P$33</c:f>
              <c:numCache>
                <c:formatCode>General</c:formatCode>
                <c:ptCount val="15"/>
                <c:pt idx="0">
                  <c:v>0.000491088</c:v>
                </c:pt>
                <c:pt idx="1">
                  <c:v>0.0272204</c:v>
                </c:pt>
                <c:pt idx="2">
                  <c:v>0.0521353</c:v>
                </c:pt>
                <c:pt idx="3">
                  <c:v>0.181248</c:v>
                </c:pt>
                <c:pt idx="4">
                  <c:v>0.534403</c:v>
                </c:pt>
                <c:pt idx="5">
                  <c:v>0.0811463</c:v>
                </c:pt>
                <c:pt idx="6">
                  <c:v>0.0281406</c:v>
                </c:pt>
                <c:pt idx="7">
                  <c:v>0.0189695</c:v>
                </c:pt>
                <c:pt idx="8">
                  <c:v>0.0183279</c:v>
                </c:pt>
                <c:pt idx="9">
                  <c:v>0.0255491</c:v>
                </c:pt>
                <c:pt idx="10">
                  <c:v>0.00649646</c:v>
                </c:pt>
                <c:pt idx="11">
                  <c:v>0.0149505</c:v>
                </c:pt>
                <c:pt idx="12">
                  <c:v>0.00296518</c:v>
                </c:pt>
                <c:pt idx="13">
                  <c:v>0.00347235</c:v>
                </c:pt>
                <c:pt idx="14">
                  <c:v>0.00448487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51472"/>
        <c:axId val="435953520"/>
      </c:scatterChart>
      <c:catAx>
        <c:axId val="43595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953520"/>
        <c:crosses val="autoZero"/>
        <c:auto val="1"/>
        <c:lblAlgn val="ctr"/>
        <c:lblOffset val="100"/>
        <c:noMultiLvlLbl val="0"/>
      </c:catAx>
      <c:valAx>
        <c:axId val="43595352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95147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Comps'!$S$34:$AG$34</c:f>
              <c:numCache>
                <c:formatCode>General</c:formatCode>
                <c:ptCount val="15"/>
                <c:pt idx="0">
                  <c:v>0.0</c:v>
                </c:pt>
                <c:pt idx="1">
                  <c:v>0.000292896</c:v>
                </c:pt>
                <c:pt idx="2">
                  <c:v>0.0503631</c:v>
                </c:pt>
                <c:pt idx="3">
                  <c:v>0.0939223</c:v>
                </c:pt>
                <c:pt idx="4">
                  <c:v>0.246087</c:v>
                </c:pt>
                <c:pt idx="5">
                  <c:v>0.471285</c:v>
                </c:pt>
                <c:pt idx="6">
                  <c:v>0.080853</c:v>
                </c:pt>
                <c:pt idx="7">
                  <c:v>0.019942</c:v>
                </c:pt>
                <c:pt idx="8">
                  <c:v>0.00685885</c:v>
                </c:pt>
                <c:pt idx="9">
                  <c:v>0.00525206</c:v>
                </c:pt>
                <c:pt idx="10">
                  <c:v>0.0112851</c:v>
                </c:pt>
                <c:pt idx="11">
                  <c:v>0.00338819</c:v>
                </c:pt>
                <c:pt idx="12">
                  <c:v>0.00391021</c:v>
                </c:pt>
                <c:pt idx="13">
                  <c:v>0.000959091</c:v>
                </c:pt>
                <c:pt idx="14">
                  <c:v>0.00560123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917040"/>
        <c:axId val="43589131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Comps'!$B$34:$P$34</c:f>
              <c:numCache>
                <c:formatCode>General</c:formatCode>
                <c:ptCount val="15"/>
                <c:pt idx="0">
                  <c:v>0.000317586</c:v>
                </c:pt>
                <c:pt idx="1">
                  <c:v>0.0105353</c:v>
                </c:pt>
                <c:pt idx="2">
                  <c:v>0.0771362</c:v>
                </c:pt>
                <c:pt idx="3">
                  <c:v>0.088121</c:v>
                </c:pt>
                <c:pt idx="4">
                  <c:v>0.2285</c:v>
                </c:pt>
                <c:pt idx="5">
                  <c:v>0.453743</c:v>
                </c:pt>
                <c:pt idx="6">
                  <c:v>0.0664273</c:v>
                </c:pt>
                <c:pt idx="7">
                  <c:v>0.0173605</c:v>
                </c:pt>
                <c:pt idx="8">
                  <c:v>0.0114629</c:v>
                </c:pt>
                <c:pt idx="9">
                  <c:v>0.0109248</c:v>
                </c:pt>
                <c:pt idx="10">
                  <c:v>0.0156475</c:v>
                </c:pt>
                <c:pt idx="11">
                  <c:v>0.00397875</c:v>
                </c:pt>
                <c:pt idx="12">
                  <c:v>0.00915642</c:v>
                </c:pt>
                <c:pt idx="13">
                  <c:v>0.00181602</c:v>
                </c:pt>
                <c:pt idx="14">
                  <c:v>0.00487339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17040"/>
        <c:axId val="435891312"/>
      </c:scatterChart>
      <c:catAx>
        <c:axId val="435917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891312"/>
        <c:crosses val="autoZero"/>
        <c:auto val="1"/>
        <c:lblAlgn val="ctr"/>
        <c:lblOffset val="100"/>
        <c:noMultiLvlLbl val="0"/>
      </c:catAx>
      <c:valAx>
        <c:axId val="435891312"/>
        <c:scaling>
          <c:orientation val="minMax"/>
          <c:max val="0.5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91704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Comps'!$S$35:$AG$35</c:f>
              <c:numCache>
                <c:formatCode>General</c:formatCode>
                <c:ptCount val="15"/>
                <c:pt idx="0">
                  <c:v>0.0</c:v>
                </c:pt>
                <c:pt idx="1">
                  <c:v>0.0161936</c:v>
                </c:pt>
                <c:pt idx="2">
                  <c:v>0.0391917</c:v>
                </c:pt>
                <c:pt idx="3">
                  <c:v>0.0570069</c:v>
                </c:pt>
                <c:pt idx="4">
                  <c:v>0.115988</c:v>
                </c:pt>
                <c:pt idx="5">
                  <c:v>0.256795</c:v>
                </c:pt>
                <c:pt idx="6">
                  <c:v>0.331094</c:v>
                </c:pt>
                <c:pt idx="7">
                  <c:v>0.129347</c:v>
                </c:pt>
                <c:pt idx="8">
                  <c:v>0.0218901</c:v>
                </c:pt>
                <c:pt idx="9">
                  <c:v>0.00935885</c:v>
                </c:pt>
                <c:pt idx="10">
                  <c:v>0.00614178</c:v>
                </c:pt>
                <c:pt idx="11">
                  <c:v>0.00596614</c:v>
                </c:pt>
                <c:pt idx="12">
                  <c:v>0.00333018</c:v>
                </c:pt>
                <c:pt idx="13">
                  <c:v>0.00369757</c:v>
                </c:pt>
                <c:pt idx="14">
                  <c:v>0.00399953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879280"/>
        <c:axId val="43588132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Comps'!$B$35:$P$35</c:f>
              <c:numCache>
                <c:formatCode>General</c:formatCode>
                <c:ptCount val="15"/>
                <c:pt idx="0">
                  <c:v>0.00073479</c:v>
                </c:pt>
                <c:pt idx="1">
                  <c:v>0.0119578</c:v>
                </c:pt>
                <c:pt idx="2">
                  <c:v>0.0371317</c:v>
                </c:pt>
                <c:pt idx="3">
                  <c:v>0.112866</c:v>
                </c:pt>
                <c:pt idx="4">
                  <c:v>0.138393</c:v>
                </c:pt>
                <c:pt idx="5">
                  <c:v>0.256574</c:v>
                </c:pt>
                <c:pt idx="6">
                  <c:v>0.335066</c:v>
                </c:pt>
                <c:pt idx="7">
                  <c:v>0.0532874</c:v>
                </c:pt>
                <c:pt idx="8">
                  <c:v>0.0126756</c:v>
                </c:pt>
                <c:pt idx="9">
                  <c:v>0.00795197</c:v>
                </c:pt>
                <c:pt idx="10">
                  <c:v>0.00785522</c:v>
                </c:pt>
                <c:pt idx="11">
                  <c:v>0.011251</c:v>
                </c:pt>
                <c:pt idx="12">
                  <c:v>0.00286084</c:v>
                </c:pt>
                <c:pt idx="13">
                  <c:v>0.00658373</c:v>
                </c:pt>
                <c:pt idx="14">
                  <c:v>0.00480988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79280"/>
        <c:axId val="435881328"/>
      </c:scatterChart>
      <c:catAx>
        <c:axId val="43587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81328"/>
        <c:crosses val="autoZero"/>
        <c:auto val="1"/>
        <c:lblAlgn val="ctr"/>
        <c:lblOffset val="100"/>
        <c:tickLblSkip val="2"/>
        <c:noMultiLvlLbl val="0"/>
      </c:catAx>
      <c:valAx>
        <c:axId val="43588132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87928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Comps'!$S$36:$AG$36</c:f>
              <c:numCache>
                <c:formatCode>General</c:formatCode>
                <c:ptCount val="15"/>
                <c:pt idx="0">
                  <c:v>0.00151926</c:v>
                </c:pt>
                <c:pt idx="1">
                  <c:v>0.0536976</c:v>
                </c:pt>
                <c:pt idx="2">
                  <c:v>0.0242623</c:v>
                </c:pt>
                <c:pt idx="3">
                  <c:v>0.0717564</c:v>
                </c:pt>
                <c:pt idx="4">
                  <c:v>0.307506</c:v>
                </c:pt>
                <c:pt idx="5">
                  <c:v>0.18525</c:v>
                </c:pt>
                <c:pt idx="6">
                  <c:v>0.161498</c:v>
                </c:pt>
                <c:pt idx="7">
                  <c:v>0.126406</c:v>
                </c:pt>
                <c:pt idx="8">
                  <c:v>0.0395697</c:v>
                </c:pt>
                <c:pt idx="9">
                  <c:v>0.00871515</c:v>
                </c:pt>
                <c:pt idx="10">
                  <c:v>0.00412527</c:v>
                </c:pt>
                <c:pt idx="11">
                  <c:v>0.00319792</c:v>
                </c:pt>
                <c:pt idx="12">
                  <c:v>0.00225278</c:v>
                </c:pt>
                <c:pt idx="13">
                  <c:v>0.00306435</c:v>
                </c:pt>
                <c:pt idx="14">
                  <c:v>0.00717969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000176"/>
        <c:axId val="43500180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Comps'!$B$36:$P$36</c:f>
              <c:numCache>
                <c:formatCode>General</c:formatCode>
                <c:ptCount val="15"/>
                <c:pt idx="0">
                  <c:v>0.000916295</c:v>
                </c:pt>
                <c:pt idx="1">
                  <c:v>0.0339811</c:v>
                </c:pt>
                <c:pt idx="2">
                  <c:v>0.0298145</c:v>
                </c:pt>
                <c:pt idx="3">
                  <c:v>0.0645787</c:v>
                </c:pt>
                <c:pt idx="4">
                  <c:v>0.300088</c:v>
                </c:pt>
                <c:pt idx="5">
                  <c:v>0.192271</c:v>
                </c:pt>
                <c:pt idx="6">
                  <c:v>0.173222</c:v>
                </c:pt>
                <c:pt idx="7">
                  <c:v>0.148888</c:v>
                </c:pt>
                <c:pt idx="8">
                  <c:v>0.0253718</c:v>
                </c:pt>
                <c:pt idx="9">
                  <c:v>0.0066113</c:v>
                </c:pt>
                <c:pt idx="10">
                  <c:v>0.00466929</c:v>
                </c:pt>
                <c:pt idx="11">
                  <c:v>0.00461248</c:v>
                </c:pt>
                <c:pt idx="12">
                  <c:v>0.00660645</c:v>
                </c:pt>
                <c:pt idx="13">
                  <c:v>0.00167984</c:v>
                </c:pt>
                <c:pt idx="14">
                  <c:v>0.00669017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00176"/>
        <c:axId val="435001808"/>
      </c:scatterChart>
      <c:catAx>
        <c:axId val="435000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001808"/>
        <c:crosses val="autoZero"/>
        <c:auto val="1"/>
        <c:lblAlgn val="ctr"/>
        <c:lblOffset val="100"/>
        <c:noMultiLvlLbl val="0"/>
      </c:catAx>
      <c:valAx>
        <c:axId val="43500180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00017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 horizontalDpi="300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Comps'!$S$37:$AG$37</c:f>
              <c:numCache>
                <c:formatCode>General</c:formatCode>
                <c:ptCount val="15"/>
                <c:pt idx="0">
                  <c:v>0.000398951</c:v>
                </c:pt>
                <c:pt idx="1">
                  <c:v>0.0330678</c:v>
                </c:pt>
                <c:pt idx="2">
                  <c:v>0.0580669</c:v>
                </c:pt>
                <c:pt idx="3">
                  <c:v>0.0465417</c:v>
                </c:pt>
                <c:pt idx="4">
                  <c:v>0.101453</c:v>
                </c:pt>
                <c:pt idx="5">
                  <c:v>0.444133</c:v>
                </c:pt>
                <c:pt idx="6">
                  <c:v>0.128693</c:v>
                </c:pt>
                <c:pt idx="7">
                  <c:v>0.0829782</c:v>
                </c:pt>
                <c:pt idx="8">
                  <c:v>0.0702854</c:v>
                </c:pt>
                <c:pt idx="9">
                  <c:v>0.0190685</c:v>
                </c:pt>
                <c:pt idx="10">
                  <c:v>0.00409032</c:v>
                </c:pt>
                <c:pt idx="11">
                  <c:v>0.00374447</c:v>
                </c:pt>
                <c:pt idx="12">
                  <c:v>0.0018544</c:v>
                </c:pt>
                <c:pt idx="13">
                  <c:v>0.00207897</c:v>
                </c:pt>
                <c:pt idx="14">
                  <c:v>0.00354517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149936"/>
        <c:axId val="4451519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Comps'!$B$37:$P$37</c:f>
              <c:numCache>
                <c:formatCode>General</c:formatCode>
                <c:ptCount val="15"/>
                <c:pt idx="0">
                  <c:v>0.000344514</c:v>
                </c:pt>
                <c:pt idx="1">
                  <c:v>0.029913</c:v>
                </c:pt>
                <c:pt idx="2">
                  <c:v>0.0736852</c:v>
                </c:pt>
                <c:pt idx="3">
                  <c:v>0.052293</c:v>
                </c:pt>
                <c:pt idx="4">
                  <c:v>0.101559</c:v>
                </c:pt>
                <c:pt idx="5">
                  <c:v>0.426041</c:v>
                </c:pt>
                <c:pt idx="6">
                  <c:v>0.133485</c:v>
                </c:pt>
                <c:pt idx="7">
                  <c:v>0.0881776</c:v>
                </c:pt>
                <c:pt idx="8">
                  <c:v>0.0700497</c:v>
                </c:pt>
                <c:pt idx="9">
                  <c:v>0.0105736</c:v>
                </c:pt>
                <c:pt idx="10">
                  <c:v>0.00297229</c:v>
                </c:pt>
                <c:pt idx="11">
                  <c:v>0.00209921</c:v>
                </c:pt>
                <c:pt idx="12">
                  <c:v>0.00207367</c:v>
                </c:pt>
                <c:pt idx="13">
                  <c:v>0.00297011</c:v>
                </c:pt>
                <c:pt idx="14">
                  <c:v>0.00376297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49936"/>
        <c:axId val="445151984"/>
      </c:scatterChart>
      <c:catAx>
        <c:axId val="445149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151984"/>
        <c:crosses val="autoZero"/>
        <c:auto val="1"/>
        <c:lblAlgn val="ctr"/>
        <c:lblOffset val="100"/>
        <c:noMultiLvlLbl val="0"/>
      </c:catAx>
      <c:valAx>
        <c:axId val="44515198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14993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Comps'!$S$37:$AG$37</c:f>
              <c:numCache>
                <c:formatCode>General</c:formatCode>
                <c:ptCount val="15"/>
                <c:pt idx="0">
                  <c:v>0.000398951</c:v>
                </c:pt>
                <c:pt idx="1">
                  <c:v>0.0330678</c:v>
                </c:pt>
                <c:pt idx="2">
                  <c:v>0.0580669</c:v>
                </c:pt>
                <c:pt idx="3">
                  <c:v>0.0465417</c:v>
                </c:pt>
                <c:pt idx="4">
                  <c:v>0.101453</c:v>
                </c:pt>
                <c:pt idx="5">
                  <c:v>0.444133</c:v>
                </c:pt>
                <c:pt idx="6">
                  <c:v>0.128693</c:v>
                </c:pt>
                <c:pt idx="7">
                  <c:v>0.0829782</c:v>
                </c:pt>
                <c:pt idx="8">
                  <c:v>0.0702854</c:v>
                </c:pt>
                <c:pt idx="9">
                  <c:v>0.0190685</c:v>
                </c:pt>
                <c:pt idx="10">
                  <c:v>0.00409032</c:v>
                </c:pt>
                <c:pt idx="11">
                  <c:v>0.00374447</c:v>
                </c:pt>
                <c:pt idx="12">
                  <c:v>0.0018544</c:v>
                </c:pt>
                <c:pt idx="13">
                  <c:v>0.00207897</c:v>
                </c:pt>
                <c:pt idx="14">
                  <c:v>0.00354517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087696"/>
        <c:axId val="445089328"/>
      </c:barChart>
      <c:catAx>
        <c:axId val="44508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089328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445089328"/>
        <c:scaling>
          <c:orientation val="minMax"/>
          <c:max val="0.5"/>
          <c:min val="0.0"/>
        </c:scaling>
        <c:delete val="1"/>
        <c:axPos val="l"/>
        <c:numFmt formatCode="General" sourceLinked="1"/>
        <c:majorTickMark val="out"/>
        <c:minorTickMark val="none"/>
        <c:tickLblPos val="nextTo"/>
        <c:crossAx val="44508769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67832167832168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Comps'!$S$38:$AG$38</c:f>
              <c:numCache>
                <c:formatCode>General</c:formatCode>
                <c:ptCount val="15"/>
                <c:pt idx="0">
                  <c:v>0.000273758</c:v>
                </c:pt>
                <c:pt idx="1">
                  <c:v>0.0077235</c:v>
                </c:pt>
                <c:pt idx="2">
                  <c:v>0.196484</c:v>
                </c:pt>
                <c:pt idx="3">
                  <c:v>0.151708</c:v>
                </c:pt>
                <c:pt idx="4">
                  <c:v>0.0701089</c:v>
                </c:pt>
                <c:pt idx="5">
                  <c:v>0.103698</c:v>
                </c:pt>
                <c:pt idx="6">
                  <c:v>0.315569</c:v>
                </c:pt>
                <c:pt idx="7">
                  <c:v>0.0884031</c:v>
                </c:pt>
                <c:pt idx="8">
                  <c:v>0.0383205</c:v>
                </c:pt>
                <c:pt idx="9">
                  <c:v>0.0219097</c:v>
                </c:pt>
                <c:pt idx="10">
                  <c:v>0.00231834</c:v>
                </c:pt>
                <c:pt idx="11">
                  <c:v>0.00148507</c:v>
                </c:pt>
                <c:pt idx="12">
                  <c:v>0.00049212</c:v>
                </c:pt>
                <c:pt idx="13">
                  <c:v>0.00025911</c:v>
                </c:pt>
                <c:pt idx="14">
                  <c:v>0.00124775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852896"/>
        <c:axId val="43585494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Comps'!$B$38:$P$38</c:f>
              <c:numCache>
                <c:formatCode>General</c:formatCode>
                <c:ptCount val="15"/>
                <c:pt idx="0">
                  <c:v>0.000269092</c:v>
                </c:pt>
                <c:pt idx="1">
                  <c:v>0.00866454</c:v>
                </c:pt>
                <c:pt idx="2">
                  <c:v>0.186628</c:v>
                </c:pt>
                <c:pt idx="3">
                  <c:v>0.151242</c:v>
                </c:pt>
                <c:pt idx="4">
                  <c:v>0.0715605</c:v>
                </c:pt>
                <c:pt idx="5">
                  <c:v>0.104537</c:v>
                </c:pt>
                <c:pt idx="6">
                  <c:v>0.313587</c:v>
                </c:pt>
                <c:pt idx="7">
                  <c:v>0.0875621</c:v>
                </c:pt>
                <c:pt idx="8">
                  <c:v>0.0394267</c:v>
                </c:pt>
                <c:pt idx="9">
                  <c:v>0.0265121</c:v>
                </c:pt>
                <c:pt idx="10">
                  <c:v>0.00432845</c:v>
                </c:pt>
                <c:pt idx="11">
                  <c:v>0.00121674</c:v>
                </c:pt>
                <c:pt idx="12">
                  <c:v>0.000859335</c:v>
                </c:pt>
                <c:pt idx="13">
                  <c:v>0.00084888</c:v>
                </c:pt>
                <c:pt idx="14">
                  <c:v>0.00275627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52896"/>
        <c:axId val="435854944"/>
      </c:scatterChart>
      <c:catAx>
        <c:axId val="43585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854944"/>
        <c:crosses val="autoZero"/>
        <c:auto val="1"/>
        <c:lblAlgn val="ctr"/>
        <c:lblOffset val="100"/>
        <c:noMultiLvlLbl val="0"/>
      </c:catAx>
      <c:valAx>
        <c:axId val="43585494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85289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Comps'!$S$39:$AG$39</c:f>
              <c:numCache>
                <c:formatCode>General</c:formatCode>
                <c:ptCount val="15"/>
                <c:pt idx="0">
                  <c:v>0.0</c:v>
                </c:pt>
                <c:pt idx="1">
                  <c:v>0.0105444</c:v>
                </c:pt>
                <c:pt idx="2">
                  <c:v>0.0486736</c:v>
                </c:pt>
                <c:pt idx="3">
                  <c:v>0.256919</c:v>
                </c:pt>
                <c:pt idx="4">
                  <c:v>0.208256</c:v>
                </c:pt>
                <c:pt idx="5">
                  <c:v>0.0639795</c:v>
                </c:pt>
                <c:pt idx="6">
                  <c:v>0.102642</c:v>
                </c:pt>
                <c:pt idx="7">
                  <c:v>0.21825</c:v>
                </c:pt>
                <c:pt idx="8">
                  <c:v>0.0521894</c:v>
                </c:pt>
                <c:pt idx="9">
                  <c:v>0.0179699</c:v>
                </c:pt>
                <c:pt idx="10">
                  <c:v>0.0147968</c:v>
                </c:pt>
                <c:pt idx="11">
                  <c:v>0.00344159</c:v>
                </c:pt>
                <c:pt idx="12">
                  <c:v>0.000941497</c:v>
                </c:pt>
                <c:pt idx="13">
                  <c:v>0.000490627</c:v>
                </c:pt>
                <c:pt idx="14">
                  <c:v>0.000905599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869568"/>
        <c:axId val="44487120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Comps'!$B$39:$P$39</c:f>
              <c:numCache>
                <c:formatCode>General</c:formatCode>
                <c:ptCount val="15"/>
                <c:pt idx="0">
                  <c:v>0.000368281</c:v>
                </c:pt>
                <c:pt idx="1">
                  <c:v>0.0081874</c:v>
                </c:pt>
                <c:pt idx="2">
                  <c:v>0.0501048</c:v>
                </c:pt>
                <c:pt idx="3">
                  <c:v>0.256701</c:v>
                </c:pt>
                <c:pt idx="4">
                  <c:v>0.209311</c:v>
                </c:pt>
                <c:pt idx="5">
                  <c:v>0.0685945</c:v>
                </c:pt>
                <c:pt idx="6">
                  <c:v>0.101877</c:v>
                </c:pt>
                <c:pt idx="7">
                  <c:v>0.211463</c:v>
                </c:pt>
                <c:pt idx="8">
                  <c:v>0.050948</c:v>
                </c:pt>
                <c:pt idx="9">
                  <c:v>0.0213519</c:v>
                </c:pt>
                <c:pt idx="10">
                  <c:v>0.0153124</c:v>
                </c:pt>
                <c:pt idx="11">
                  <c:v>0.00249996</c:v>
                </c:pt>
                <c:pt idx="12">
                  <c:v>0.000702747</c:v>
                </c:pt>
                <c:pt idx="13">
                  <c:v>0.000496321</c:v>
                </c:pt>
                <c:pt idx="14">
                  <c:v>0.00208221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869568"/>
        <c:axId val="444871200"/>
      </c:scatterChart>
      <c:catAx>
        <c:axId val="444869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4871200"/>
        <c:crosses val="autoZero"/>
        <c:auto val="1"/>
        <c:lblAlgn val="ctr"/>
        <c:lblOffset val="100"/>
        <c:tickLblSkip val="2"/>
        <c:noMultiLvlLbl val="0"/>
      </c:catAx>
      <c:valAx>
        <c:axId val="44487120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86956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Comps'!$S$40:$AG$40</c:f>
              <c:numCache>
                <c:formatCode>General</c:formatCode>
                <c:ptCount val="15"/>
                <c:pt idx="0">
                  <c:v>0.0</c:v>
                </c:pt>
                <c:pt idx="1">
                  <c:v>0.002139</c:v>
                </c:pt>
                <c:pt idx="2">
                  <c:v>0.0325011</c:v>
                </c:pt>
                <c:pt idx="3">
                  <c:v>0.0928013</c:v>
                </c:pt>
                <c:pt idx="4">
                  <c:v>0.329149</c:v>
                </c:pt>
                <c:pt idx="5">
                  <c:v>0.232373</c:v>
                </c:pt>
                <c:pt idx="6">
                  <c:v>0.0779237</c:v>
                </c:pt>
                <c:pt idx="7">
                  <c:v>0.0739774</c:v>
                </c:pt>
                <c:pt idx="8">
                  <c:v>0.0906377</c:v>
                </c:pt>
                <c:pt idx="9">
                  <c:v>0.0329538</c:v>
                </c:pt>
                <c:pt idx="10">
                  <c:v>0.0201034</c:v>
                </c:pt>
                <c:pt idx="11">
                  <c:v>0.00918787</c:v>
                </c:pt>
                <c:pt idx="12">
                  <c:v>0.00335961</c:v>
                </c:pt>
                <c:pt idx="13">
                  <c:v>0.00167446</c:v>
                </c:pt>
                <c:pt idx="14">
                  <c:v>0.00121861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833648"/>
        <c:axId val="43583569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Comps'!$B$40:$P$40</c:f>
              <c:numCache>
                <c:formatCode>General</c:formatCode>
                <c:ptCount val="15"/>
                <c:pt idx="0">
                  <c:v>0.00049767</c:v>
                </c:pt>
                <c:pt idx="1">
                  <c:v>0.0100413</c:v>
                </c:pt>
                <c:pt idx="2">
                  <c:v>0.0376523</c:v>
                </c:pt>
                <c:pt idx="3">
                  <c:v>0.096629</c:v>
                </c:pt>
                <c:pt idx="4">
                  <c:v>0.33384</c:v>
                </c:pt>
                <c:pt idx="5">
                  <c:v>0.229911</c:v>
                </c:pt>
                <c:pt idx="6">
                  <c:v>0.0747535</c:v>
                </c:pt>
                <c:pt idx="7">
                  <c:v>0.0656929</c:v>
                </c:pt>
                <c:pt idx="8">
                  <c:v>0.0959852</c:v>
                </c:pt>
                <c:pt idx="9">
                  <c:v>0.0281325</c:v>
                </c:pt>
                <c:pt idx="10">
                  <c:v>0.0135144</c:v>
                </c:pt>
                <c:pt idx="11">
                  <c:v>0.00969181</c:v>
                </c:pt>
                <c:pt idx="12">
                  <c:v>0.00158232</c:v>
                </c:pt>
                <c:pt idx="13">
                  <c:v>0.000444795</c:v>
                </c:pt>
                <c:pt idx="14">
                  <c:v>0.00163205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33648"/>
        <c:axId val="435835696"/>
      </c:scatterChart>
      <c:catAx>
        <c:axId val="435833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8356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83569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83364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Comps'!$S$41:$AG$41</c:f>
              <c:numCache>
                <c:formatCode>General</c:formatCode>
                <c:ptCount val="15"/>
                <c:pt idx="0">
                  <c:v>0.000488012</c:v>
                </c:pt>
                <c:pt idx="1">
                  <c:v>0.0300755</c:v>
                </c:pt>
                <c:pt idx="2">
                  <c:v>0.0589022</c:v>
                </c:pt>
                <c:pt idx="3">
                  <c:v>0.113915</c:v>
                </c:pt>
                <c:pt idx="4">
                  <c:v>0.150654</c:v>
                </c:pt>
                <c:pt idx="5">
                  <c:v>0.319366</c:v>
                </c:pt>
                <c:pt idx="6">
                  <c:v>0.141706</c:v>
                </c:pt>
                <c:pt idx="7">
                  <c:v>0.0526721</c:v>
                </c:pt>
                <c:pt idx="8">
                  <c:v>0.0463404</c:v>
                </c:pt>
                <c:pt idx="9">
                  <c:v>0.0506823</c:v>
                </c:pt>
                <c:pt idx="10">
                  <c:v>0.0184929</c:v>
                </c:pt>
                <c:pt idx="11">
                  <c:v>0.0076696</c:v>
                </c:pt>
                <c:pt idx="12">
                  <c:v>0.00669068</c:v>
                </c:pt>
                <c:pt idx="13">
                  <c:v>0.00147154</c:v>
                </c:pt>
                <c:pt idx="14">
                  <c:v>0.000873597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499168"/>
        <c:axId val="42950121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Comps'!$B$41:$P$41</c:f>
              <c:numCache>
                <c:formatCode>General</c:formatCode>
                <c:ptCount val="15"/>
                <c:pt idx="0">
                  <c:v>0.00034755</c:v>
                </c:pt>
                <c:pt idx="1">
                  <c:v>0.0222264</c:v>
                </c:pt>
                <c:pt idx="2">
                  <c:v>0.065229</c:v>
                </c:pt>
                <c:pt idx="3">
                  <c:v>0.113927</c:v>
                </c:pt>
                <c:pt idx="4">
                  <c:v>0.153365</c:v>
                </c:pt>
                <c:pt idx="5">
                  <c:v>0.326465</c:v>
                </c:pt>
                <c:pt idx="6">
                  <c:v>0.144759</c:v>
                </c:pt>
                <c:pt idx="7">
                  <c:v>0.0475102</c:v>
                </c:pt>
                <c:pt idx="8">
                  <c:v>0.0388328</c:v>
                </c:pt>
                <c:pt idx="9">
                  <c:v>0.0539433</c:v>
                </c:pt>
                <c:pt idx="10">
                  <c:v>0.0170817</c:v>
                </c:pt>
                <c:pt idx="11">
                  <c:v>0.00820581</c:v>
                </c:pt>
                <c:pt idx="12">
                  <c:v>0.00588476</c:v>
                </c:pt>
                <c:pt idx="13">
                  <c:v>0.000960765</c:v>
                </c:pt>
                <c:pt idx="14">
                  <c:v>0.00126103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499168"/>
        <c:axId val="429501216"/>
      </c:scatterChart>
      <c:catAx>
        <c:axId val="429499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501216"/>
        <c:crosses val="autoZero"/>
        <c:auto val="1"/>
        <c:lblAlgn val="ctr"/>
        <c:lblOffset val="100"/>
        <c:noMultiLvlLbl val="0"/>
      </c:catAx>
      <c:valAx>
        <c:axId val="42950121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49916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Comps'!$S$42:$AG$42</c:f>
              <c:numCache>
                <c:formatCode>General</c:formatCode>
                <c:ptCount val="15"/>
                <c:pt idx="0">
                  <c:v>0.0</c:v>
                </c:pt>
                <c:pt idx="1">
                  <c:v>0.00836037</c:v>
                </c:pt>
                <c:pt idx="2">
                  <c:v>0.194383</c:v>
                </c:pt>
                <c:pt idx="3">
                  <c:v>0.155026</c:v>
                </c:pt>
                <c:pt idx="4">
                  <c:v>0.177271</c:v>
                </c:pt>
                <c:pt idx="5">
                  <c:v>0.147524</c:v>
                </c:pt>
                <c:pt idx="6">
                  <c:v>0.160482</c:v>
                </c:pt>
                <c:pt idx="7">
                  <c:v>0.0760449</c:v>
                </c:pt>
                <c:pt idx="8">
                  <c:v>0.0256309</c:v>
                </c:pt>
                <c:pt idx="9">
                  <c:v>0.0194124</c:v>
                </c:pt>
                <c:pt idx="10">
                  <c:v>0.0176452</c:v>
                </c:pt>
                <c:pt idx="11">
                  <c:v>0.0114728</c:v>
                </c:pt>
                <c:pt idx="12">
                  <c:v>0.00335896</c:v>
                </c:pt>
                <c:pt idx="13">
                  <c:v>0.00145535</c:v>
                </c:pt>
                <c:pt idx="14">
                  <c:v>0.00193341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451584"/>
        <c:axId val="42942876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Comps'!$B$42:$P$42</c:f>
              <c:numCache>
                <c:formatCode>General</c:formatCode>
                <c:ptCount val="15"/>
                <c:pt idx="0">
                  <c:v>0.000194423</c:v>
                </c:pt>
                <c:pt idx="1">
                  <c:v>0.00951012</c:v>
                </c:pt>
                <c:pt idx="2">
                  <c:v>0.181388</c:v>
                </c:pt>
                <c:pt idx="3">
                  <c:v>0.163558</c:v>
                </c:pt>
                <c:pt idx="4">
                  <c:v>0.177429</c:v>
                </c:pt>
                <c:pt idx="5">
                  <c:v>0.146704</c:v>
                </c:pt>
                <c:pt idx="6">
                  <c:v>0.164795</c:v>
                </c:pt>
                <c:pt idx="7">
                  <c:v>0.0728939</c:v>
                </c:pt>
                <c:pt idx="8">
                  <c:v>0.0217135</c:v>
                </c:pt>
                <c:pt idx="9">
                  <c:v>0.01654</c:v>
                </c:pt>
                <c:pt idx="10">
                  <c:v>0.0279622</c:v>
                </c:pt>
                <c:pt idx="11">
                  <c:v>0.00885453</c:v>
                </c:pt>
                <c:pt idx="12">
                  <c:v>0.00425359</c:v>
                </c:pt>
                <c:pt idx="13">
                  <c:v>0.00305044</c:v>
                </c:pt>
                <c:pt idx="14">
                  <c:v>0.0011517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451584"/>
        <c:axId val="429428768"/>
      </c:scatterChart>
      <c:catAx>
        <c:axId val="42945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428768"/>
        <c:crosses val="autoZero"/>
        <c:auto val="1"/>
        <c:lblAlgn val="ctr"/>
        <c:lblOffset val="100"/>
        <c:noMultiLvlLbl val="0"/>
      </c:catAx>
      <c:valAx>
        <c:axId val="42942876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45158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Comps'!$S$43:$AG$43</c:f>
              <c:numCache>
                <c:formatCode>General</c:formatCode>
                <c:ptCount val="15"/>
                <c:pt idx="0">
                  <c:v>0.0</c:v>
                </c:pt>
                <c:pt idx="1">
                  <c:v>0.000535269</c:v>
                </c:pt>
                <c:pt idx="2">
                  <c:v>0.042572</c:v>
                </c:pt>
                <c:pt idx="3">
                  <c:v>0.392363</c:v>
                </c:pt>
                <c:pt idx="4">
                  <c:v>0.226882</c:v>
                </c:pt>
                <c:pt idx="5">
                  <c:v>0.112643</c:v>
                </c:pt>
                <c:pt idx="6">
                  <c:v>0.0797763</c:v>
                </c:pt>
                <c:pt idx="7">
                  <c:v>0.074195</c:v>
                </c:pt>
                <c:pt idx="8">
                  <c:v>0.0302896</c:v>
                </c:pt>
                <c:pt idx="9">
                  <c:v>0.00800241</c:v>
                </c:pt>
                <c:pt idx="10">
                  <c:v>0.00892179</c:v>
                </c:pt>
                <c:pt idx="11">
                  <c:v>0.0123507</c:v>
                </c:pt>
                <c:pt idx="12">
                  <c:v>0.0050169</c:v>
                </c:pt>
                <c:pt idx="13">
                  <c:v>0.00313934</c:v>
                </c:pt>
                <c:pt idx="14">
                  <c:v>0.00331284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386704"/>
        <c:axId val="42938875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Comps'!$B$43:$P$43</c:f>
              <c:numCache>
                <c:formatCode>General</c:formatCode>
                <c:ptCount val="15"/>
                <c:pt idx="0">
                  <c:v>7.1502E-5</c:v>
                </c:pt>
                <c:pt idx="1">
                  <c:v>0.00393811</c:v>
                </c:pt>
                <c:pt idx="2">
                  <c:v>0.0504452</c:v>
                </c:pt>
                <c:pt idx="3">
                  <c:v>0.385938</c:v>
                </c:pt>
                <c:pt idx="4">
                  <c:v>0.231288</c:v>
                </c:pt>
                <c:pt idx="5">
                  <c:v>0.117325</c:v>
                </c:pt>
                <c:pt idx="6">
                  <c:v>0.0750772</c:v>
                </c:pt>
                <c:pt idx="7">
                  <c:v>0.0692915</c:v>
                </c:pt>
                <c:pt idx="8">
                  <c:v>0.0279221</c:v>
                </c:pt>
                <c:pt idx="9">
                  <c:v>0.00838865</c:v>
                </c:pt>
                <c:pt idx="10">
                  <c:v>0.00811184</c:v>
                </c:pt>
                <c:pt idx="11">
                  <c:v>0.0137137</c:v>
                </c:pt>
                <c:pt idx="12">
                  <c:v>0.0043426</c:v>
                </c:pt>
                <c:pt idx="13">
                  <c:v>0.00208612</c:v>
                </c:pt>
                <c:pt idx="14">
                  <c:v>0.00206089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86704"/>
        <c:axId val="429388752"/>
      </c:scatterChart>
      <c:catAx>
        <c:axId val="42938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88752"/>
        <c:crosses val="autoZero"/>
        <c:auto val="1"/>
        <c:lblAlgn val="ctr"/>
        <c:lblOffset val="100"/>
        <c:noMultiLvlLbl val="0"/>
      </c:catAx>
      <c:valAx>
        <c:axId val="42938875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38670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04895104895105"/>
          <c:w val="0.826843322355767"/>
          <c:h val="0.79720279720279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Comps'!$S$44:$AG$44</c:f>
              <c:numCache>
                <c:formatCode>General</c:formatCode>
                <c:ptCount val="15"/>
                <c:pt idx="0">
                  <c:v>0.0</c:v>
                </c:pt>
                <c:pt idx="1">
                  <c:v>0.00145222</c:v>
                </c:pt>
                <c:pt idx="2">
                  <c:v>0.0249523</c:v>
                </c:pt>
                <c:pt idx="3">
                  <c:v>0.181587</c:v>
                </c:pt>
                <c:pt idx="4">
                  <c:v>0.400084</c:v>
                </c:pt>
                <c:pt idx="5">
                  <c:v>0.227061</c:v>
                </c:pt>
                <c:pt idx="6">
                  <c:v>0.0726244</c:v>
                </c:pt>
                <c:pt idx="7">
                  <c:v>0.0313231</c:v>
                </c:pt>
                <c:pt idx="8">
                  <c:v>0.0311431</c:v>
                </c:pt>
                <c:pt idx="9">
                  <c:v>0.0156602</c:v>
                </c:pt>
                <c:pt idx="10">
                  <c:v>0.00522106</c:v>
                </c:pt>
                <c:pt idx="11">
                  <c:v>0.00475014</c:v>
                </c:pt>
                <c:pt idx="12">
                  <c:v>0.00158314</c:v>
                </c:pt>
                <c:pt idx="13">
                  <c:v>0.000909148</c:v>
                </c:pt>
                <c:pt idx="14">
                  <c:v>0.00164963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350416"/>
        <c:axId val="42935246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Comps'!$B$44:$P$44</c:f>
              <c:numCache>
                <c:formatCode>General</c:formatCode>
                <c:ptCount val="15"/>
                <c:pt idx="0">
                  <c:v>4.63884E-5</c:v>
                </c:pt>
                <c:pt idx="1">
                  <c:v>0.00185094</c:v>
                </c:pt>
                <c:pt idx="2">
                  <c:v>0.029509</c:v>
                </c:pt>
                <c:pt idx="3">
                  <c:v>0.18131</c:v>
                </c:pt>
                <c:pt idx="4">
                  <c:v>0.403395</c:v>
                </c:pt>
                <c:pt idx="5">
                  <c:v>0.218617</c:v>
                </c:pt>
                <c:pt idx="6">
                  <c:v>0.0729085</c:v>
                </c:pt>
                <c:pt idx="7">
                  <c:v>0.0316508</c:v>
                </c:pt>
                <c:pt idx="8">
                  <c:v>0.0286021</c:v>
                </c:pt>
                <c:pt idx="9">
                  <c:v>0.0119324</c:v>
                </c:pt>
                <c:pt idx="10">
                  <c:v>0.00437333</c:v>
                </c:pt>
                <c:pt idx="11">
                  <c:v>0.00422902</c:v>
                </c:pt>
                <c:pt idx="12">
                  <c:v>0.00714951</c:v>
                </c:pt>
                <c:pt idx="13">
                  <c:v>0.00226397</c:v>
                </c:pt>
                <c:pt idx="14">
                  <c:v>0.002162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50416"/>
        <c:axId val="429352464"/>
      </c:scatterChart>
      <c:catAx>
        <c:axId val="42935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29352464"/>
        <c:crosses val="autoZero"/>
        <c:auto val="1"/>
        <c:lblAlgn val="ctr"/>
        <c:lblOffset val="100"/>
        <c:tickLblSkip val="2"/>
        <c:noMultiLvlLbl val="0"/>
      </c:catAx>
      <c:valAx>
        <c:axId val="42935246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35041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132867132867134"/>
          <c:w val="0.865804526026983"/>
          <c:h val="0.720279720279721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Comps'!$S$45:$AG$45</c:f>
              <c:numCache>
                <c:formatCode>General</c:formatCode>
                <c:ptCount val="15"/>
                <c:pt idx="0">
                  <c:v>0.0</c:v>
                </c:pt>
                <c:pt idx="1">
                  <c:v>0.00573053</c:v>
                </c:pt>
                <c:pt idx="2">
                  <c:v>0.0395735</c:v>
                </c:pt>
                <c:pt idx="3">
                  <c:v>0.136406</c:v>
                </c:pt>
                <c:pt idx="4">
                  <c:v>0.292811</c:v>
                </c:pt>
                <c:pt idx="5">
                  <c:v>0.278439</c:v>
                </c:pt>
                <c:pt idx="6">
                  <c:v>0.131602</c:v>
                </c:pt>
                <c:pt idx="7">
                  <c:v>0.0512015</c:v>
                </c:pt>
                <c:pt idx="8">
                  <c:v>0.0233288</c:v>
                </c:pt>
                <c:pt idx="9">
                  <c:v>0.0180328</c:v>
                </c:pt>
                <c:pt idx="10">
                  <c:v>0.00772019</c:v>
                </c:pt>
                <c:pt idx="11">
                  <c:v>0.00451978</c:v>
                </c:pt>
                <c:pt idx="12">
                  <c:v>0.00448663</c:v>
                </c:pt>
                <c:pt idx="13">
                  <c:v>0.00240922</c:v>
                </c:pt>
                <c:pt idx="14">
                  <c:v>0.00373945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972256"/>
        <c:axId val="43497430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Comps'!$B$45:$P$45</c:f>
              <c:numCache>
                <c:formatCode>General</c:formatCode>
                <c:ptCount val="15"/>
                <c:pt idx="0">
                  <c:v>0.00014512</c:v>
                </c:pt>
                <c:pt idx="1">
                  <c:v>0.00217678</c:v>
                </c:pt>
                <c:pt idx="2">
                  <c:v>0.0314092</c:v>
                </c:pt>
                <c:pt idx="3">
                  <c:v>0.13489</c:v>
                </c:pt>
                <c:pt idx="4">
                  <c:v>0.290912</c:v>
                </c:pt>
                <c:pt idx="5">
                  <c:v>0.295075</c:v>
                </c:pt>
                <c:pt idx="6">
                  <c:v>0.13291</c:v>
                </c:pt>
                <c:pt idx="7">
                  <c:v>0.0480319</c:v>
                </c:pt>
                <c:pt idx="8">
                  <c:v>0.0211216</c:v>
                </c:pt>
                <c:pt idx="9">
                  <c:v>0.0186697</c:v>
                </c:pt>
                <c:pt idx="10">
                  <c:v>0.00916306</c:v>
                </c:pt>
                <c:pt idx="11">
                  <c:v>0.00335833</c:v>
                </c:pt>
                <c:pt idx="12">
                  <c:v>0.00324751</c:v>
                </c:pt>
                <c:pt idx="13">
                  <c:v>0.00549019</c:v>
                </c:pt>
                <c:pt idx="14">
                  <c:v>0.00339875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72256"/>
        <c:axId val="434974304"/>
      </c:scatterChart>
      <c:catAx>
        <c:axId val="43497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349743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497430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97225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61761112465493"/>
          <c:y val="0.0173010672933798"/>
          <c:w val="0.948053284030715"/>
          <c:h val="0.664360984065785"/>
        </c:manualLayout>
      </c:layout>
      <c:barChart>
        <c:barDir val="col"/>
        <c:grouping val="clustered"/>
        <c:varyColors val="0"/>
        <c:ser>
          <c:idx val="0"/>
          <c:order val="0"/>
          <c:tx>
            <c:v>Observed</c:v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Comps'!$B$57:$Z$57</c:f>
              <c:numCache>
                <c:formatCode>General</c:formatCode>
                <c:ptCount val="25"/>
                <c:pt idx="0">
                  <c:v>26.0</c:v>
                </c:pt>
                <c:pt idx="1">
                  <c:v>28.0</c:v>
                </c:pt>
                <c:pt idx="2">
                  <c:v>30.0</c:v>
                </c:pt>
                <c:pt idx="3">
                  <c:v>32.0</c:v>
                </c:pt>
                <c:pt idx="4">
                  <c:v>34.0</c:v>
                </c:pt>
                <c:pt idx="5">
                  <c:v>35.5</c:v>
                </c:pt>
                <c:pt idx="6">
                  <c:v>36.5</c:v>
                </c:pt>
                <c:pt idx="7">
                  <c:v>37.5</c:v>
                </c:pt>
                <c:pt idx="8">
                  <c:v>38.5</c:v>
                </c:pt>
                <c:pt idx="9">
                  <c:v>39.5</c:v>
                </c:pt>
                <c:pt idx="10">
                  <c:v>40.5</c:v>
                </c:pt>
                <c:pt idx="11">
                  <c:v>41.5</c:v>
                </c:pt>
                <c:pt idx="12">
                  <c:v>42.5</c:v>
                </c:pt>
                <c:pt idx="13">
                  <c:v>43.5</c:v>
                </c:pt>
                <c:pt idx="14">
                  <c:v>44.5</c:v>
                </c:pt>
                <c:pt idx="15">
                  <c:v>45.5</c:v>
                </c:pt>
                <c:pt idx="16">
                  <c:v>47.0</c:v>
                </c:pt>
                <c:pt idx="17">
                  <c:v>49.0</c:v>
                </c:pt>
                <c:pt idx="18">
                  <c:v>51.0</c:v>
                </c:pt>
                <c:pt idx="19">
                  <c:v>53.0</c:v>
                </c:pt>
                <c:pt idx="20">
                  <c:v>55.0</c:v>
                </c:pt>
                <c:pt idx="21">
                  <c:v>57.0</c:v>
                </c:pt>
                <c:pt idx="22">
                  <c:v>59.0</c:v>
                </c:pt>
                <c:pt idx="23">
                  <c:v>61.0</c:v>
                </c:pt>
                <c:pt idx="24">
                  <c:v>63.0</c:v>
                </c:pt>
              </c:numCache>
            </c:numRef>
          </c:cat>
          <c:val>
            <c:numRef>
              <c:f>pm.rep!$B$331:$Z$331</c:f>
              <c:numCache>
                <c:formatCode>General</c:formatCode>
                <c:ptCount val="25"/>
                <c:pt idx="0">
                  <c:v>0.00205706</c:v>
                </c:pt>
                <c:pt idx="1">
                  <c:v>0.00173226</c:v>
                </c:pt>
                <c:pt idx="2">
                  <c:v>0.00223941</c:v>
                </c:pt>
                <c:pt idx="3">
                  <c:v>0.00361838</c:v>
                </c:pt>
                <c:pt idx="4">
                  <c:v>0.00511701</c:v>
                </c:pt>
                <c:pt idx="5">
                  <c:v>0.00272376</c:v>
                </c:pt>
                <c:pt idx="6">
                  <c:v>0.00309984</c:v>
                </c:pt>
                <c:pt idx="7">
                  <c:v>0.00404005</c:v>
                </c:pt>
                <c:pt idx="8">
                  <c:v>0.00561846</c:v>
                </c:pt>
                <c:pt idx="9">
                  <c:v>0.00791485</c:v>
                </c:pt>
                <c:pt idx="10">
                  <c:v>0.0115275</c:v>
                </c:pt>
                <c:pt idx="11">
                  <c:v>0.0162969</c:v>
                </c:pt>
                <c:pt idx="12">
                  <c:v>0.0230437</c:v>
                </c:pt>
                <c:pt idx="13">
                  <c:v>0.0330213</c:v>
                </c:pt>
                <c:pt idx="14">
                  <c:v>0.0444006</c:v>
                </c:pt>
                <c:pt idx="15">
                  <c:v>0.0601676</c:v>
                </c:pt>
                <c:pt idx="16">
                  <c:v>0.153926</c:v>
                </c:pt>
                <c:pt idx="17">
                  <c:v>0.162474</c:v>
                </c:pt>
                <c:pt idx="18">
                  <c:v>0.13808</c:v>
                </c:pt>
                <c:pt idx="19">
                  <c:v>0.10397</c:v>
                </c:pt>
                <c:pt idx="20">
                  <c:v>0.0744018</c:v>
                </c:pt>
                <c:pt idx="21">
                  <c:v>0.0504237</c:v>
                </c:pt>
                <c:pt idx="22">
                  <c:v>0.0332891</c:v>
                </c:pt>
                <c:pt idx="23">
                  <c:v>0.0214595</c:v>
                </c:pt>
                <c:pt idx="24">
                  <c:v>0.0353575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796608"/>
        <c:axId val="435777104"/>
      </c:barChart>
      <c:lineChart>
        <c:grouping val="standard"/>
        <c:varyColors val="0"/>
        <c:ser>
          <c:idx val="1"/>
          <c:order val="1"/>
          <c:tx>
            <c:v>Predicted</c:v>
          </c:tx>
          <c:spPr>
            <a:ln w="12700">
              <a:solidFill>
                <a:srgbClr val="3333CC"/>
              </a:solidFill>
              <a:prstDash val="solid"/>
            </a:ln>
          </c:spPr>
          <c:marker>
            <c:symbol val="dash"/>
            <c:size val="9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pm.rep!$B$386:$Z$386</c:f>
              <c:numCache>
                <c:formatCode>General</c:formatCode>
                <c:ptCount val="25"/>
                <c:pt idx="0">
                  <c:v>0.0232344</c:v>
                </c:pt>
                <c:pt idx="1">
                  <c:v>0.0331538</c:v>
                </c:pt>
                <c:pt idx="2">
                  <c:v>0.0498265</c:v>
                </c:pt>
                <c:pt idx="3">
                  <c:v>0.0691227</c:v>
                </c:pt>
                <c:pt idx="4">
                  <c:v>0.0692984</c:v>
                </c:pt>
                <c:pt idx="5">
                  <c:v>0.054008</c:v>
                </c:pt>
                <c:pt idx="6">
                  <c:v>0.0571261</c:v>
                </c:pt>
                <c:pt idx="7">
                  <c:v>0.0562079</c:v>
                </c:pt>
                <c:pt idx="8">
                  <c:v>0.0514831</c:v>
                </c:pt>
                <c:pt idx="9">
                  <c:v>0.0443909</c:v>
                </c:pt>
                <c:pt idx="10">
                  <c:v>0.0368494</c:v>
                </c:pt>
                <c:pt idx="11">
                  <c:v>0.0304421</c:v>
                </c:pt>
                <c:pt idx="12">
                  <c:v>0.0259714</c:v>
                </c:pt>
                <c:pt idx="13">
                  <c:v>0.023489</c:v>
                </c:pt>
                <c:pt idx="14">
                  <c:v>0.0226048</c:v>
                </c:pt>
                <c:pt idx="15">
                  <c:v>0.0344932</c:v>
                </c:pt>
                <c:pt idx="16">
                  <c:v>0.0494482</c:v>
                </c:pt>
                <c:pt idx="17">
                  <c:v>0.0532872</c:v>
                </c:pt>
                <c:pt idx="18">
                  <c:v>0.0541357</c:v>
                </c:pt>
                <c:pt idx="19">
                  <c:v>0.0501355</c:v>
                </c:pt>
                <c:pt idx="20">
                  <c:v>0.0412138</c:v>
                </c:pt>
                <c:pt idx="21">
                  <c:v>0.0296154</c:v>
                </c:pt>
                <c:pt idx="22">
                  <c:v>0.0186432</c:v>
                </c:pt>
                <c:pt idx="23">
                  <c:v>0.0105</c:v>
                </c:pt>
                <c:pt idx="24">
                  <c:v>0.0113193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96608"/>
        <c:axId val="435777104"/>
      </c:lineChart>
      <c:catAx>
        <c:axId val="43579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Length bin (cm)</a:t>
                </a:r>
              </a:p>
            </c:rich>
          </c:tx>
          <c:layout>
            <c:manualLayout>
              <c:xMode val="edge"/>
              <c:yMode val="edge"/>
              <c:x val="0.489178246658562"/>
              <c:y val="0.87543415693727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5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7771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777104"/>
        <c:scaling>
          <c:orientation val="minMax"/>
          <c:max val="0.2"/>
          <c:min val="0.0"/>
        </c:scaling>
        <c:delete val="1"/>
        <c:axPos val="l"/>
        <c:numFmt formatCode="General" sourceLinked="1"/>
        <c:majorTickMark val="out"/>
        <c:minorTickMark val="none"/>
        <c:tickLblPos val="nextTo"/>
        <c:crossAx val="435796608"/>
        <c:crosses val="autoZero"/>
        <c:crossBetween val="between"/>
        <c:majorUnit val="0.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38095541087667"/>
          <c:y val="0.386206896551724"/>
          <c:w val="0.184704487696614"/>
          <c:h val="0.1931034482758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692302950965942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Comps'!$S$46:$AG$46</c:f>
              <c:numCache>
                <c:formatCode>General</c:formatCode>
                <c:ptCount val="15"/>
                <c:pt idx="0">
                  <c:v>0.00109808</c:v>
                </c:pt>
                <c:pt idx="1">
                  <c:v>0.011658</c:v>
                </c:pt>
                <c:pt idx="2">
                  <c:v>0.03424</c:v>
                </c:pt>
                <c:pt idx="3">
                  <c:v>0.07437</c:v>
                </c:pt>
                <c:pt idx="4">
                  <c:v>0.223902</c:v>
                </c:pt>
                <c:pt idx="5">
                  <c:v>0.308122</c:v>
                </c:pt>
                <c:pt idx="6">
                  <c:v>0.183359</c:v>
                </c:pt>
                <c:pt idx="7">
                  <c:v>0.0831879</c:v>
                </c:pt>
                <c:pt idx="8">
                  <c:v>0.0300471</c:v>
                </c:pt>
                <c:pt idx="9">
                  <c:v>0.0167836</c:v>
                </c:pt>
                <c:pt idx="10">
                  <c:v>0.0139599</c:v>
                </c:pt>
                <c:pt idx="11">
                  <c:v>0.00564786</c:v>
                </c:pt>
                <c:pt idx="12">
                  <c:v>0.00388078</c:v>
                </c:pt>
                <c:pt idx="13">
                  <c:v>0.00204991</c:v>
                </c:pt>
                <c:pt idx="14">
                  <c:v>0.0076938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358176"/>
        <c:axId val="42933313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Comps'!$B$46:$P$46</c:f>
              <c:numCache>
                <c:formatCode>General</c:formatCode>
                <c:ptCount val="15"/>
                <c:pt idx="0">
                  <c:v>0.000406399</c:v>
                </c:pt>
                <c:pt idx="1">
                  <c:v>0.0079917</c:v>
                </c:pt>
                <c:pt idx="2">
                  <c:v>0.029006</c:v>
                </c:pt>
                <c:pt idx="3">
                  <c:v>0.0756044</c:v>
                </c:pt>
                <c:pt idx="4">
                  <c:v>0.224665</c:v>
                </c:pt>
                <c:pt idx="5">
                  <c:v>0.303747</c:v>
                </c:pt>
                <c:pt idx="6">
                  <c:v>0.19443</c:v>
                </c:pt>
                <c:pt idx="7">
                  <c:v>0.0852756</c:v>
                </c:pt>
                <c:pt idx="8">
                  <c:v>0.0308784</c:v>
                </c:pt>
                <c:pt idx="9">
                  <c:v>0.0144862</c:v>
                </c:pt>
                <c:pt idx="10">
                  <c:v>0.0144389</c:v>
                </c:pt>
                <c:pt idx="11">
                  <c:v>0.00708661</c:v>
                </c:pt>
                <c:pt idx="12">
                  <c:v>0.00259729</c:v>
                </c:pt>
                <c:pt idx="13">
                  <c:v>0.00251159</c:v>
                </c:pt>
                <c:pt idx="14">
                  <c:v>0.0068746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58176"/>
        <c:axId val="429333136"/>
      </c:scatterChart>
      <c:catAx>
        <c:axId val="42935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333136"/>
        <c:crosses val="autoZero"/>
        <c:auto val="1"/>
        <c:lblAlgn val="ctr"/>
        <c:lblOffset val="100"/>
        <c:noMultiLvlLbl val="0"/>
      </c:catAx>
      <c:valAx>
        <c:axId val="42933313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35817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692302950965941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Comps'!$S$47:$AG$47</c:f>
              <c:numCache>
                <c:formatCode>General</c:formatCode>
                <c:ptCount val="15"/>
                <c:pt idx="0">
                  <c:v>0.0</c:v>
                </c:pt>
                <c:pt idx="1">
                  <c:v>0.0229311</c:v>
                </c:pt>
                <c:pt idx="2">
                  <c:v>0.0499331</c:v>
                </c:pt>
                <c:pt idx="3">
                  <c:v>0.0669415</c:v>
                </c:pt>
                <c:pt idx="4">
                  <c:v>0.125844</c:v>
                </c:pt>
                <c:pt idx="5">
                  <c:v>0.261887</c:v>
                </c:pt>
                <c:pt idx="6">
                  <c:v>0.20641</c:v>
                </c:pt>
                <c:pt idx="7">
                  <c:v>0.127047</c:v>
                </c:pt>
                <c:pt idx="8">
                  <c:v>0.0709586</c:v>
                </c:pt>
                <c:pt idx="9">
                  <c:v>0.0189981</c:v>
                </c:pt>
                <c:pt idx="10">
                  <c:v>0.016276</c:v>
                </c:pt>
                <c:pt idx="11">
                  <c:v>0.0123257</c:v>
                </c:pt>
                <c:pt idx="12">
                  <c:v>0.00729516</c:v>
                </c:pt>
                <c:pt idx="13">
                  <c:v>0.00235034</c:v>
                </c:pt>
                <c:pt idx="14">
                  <c:v>0.0108029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295104"/>
        <c:axId val="42929715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Comps'!$B$47:$P$47</c:f>
              <c:numCache>
                <c:formatCode>General</c:formatCode>
                <c:ptCount val="15"/>
                <c:pt idx="0">
                  <c:v>0.000305745</c:v>
                </c:pt>
                <c:pt idx="1">
                  <c:v>0.0203378</c:v>
                </c:pt>
                <c:pt idx="2">
                  <c:v>0.0571773</c:v>
                </c:pt>
                <c:pt idx="3">
                  <c:v>0.0693942</c:v>
                </c:pt>
                <c:pt idx="4">
                  <c:v>0.127915</c:v>
                </c:pt>
                <c:pt idx="5">
                  <c:v>0.259135</c:v>
                </c:pt>
                <c:pt idx="6">
                  <c:v>0.201712</c:v>
                </c:pt>
                <c:pt idx="7">
                  <c:v>0.134685</c:v>
                </c:pt>
                <c:pt idx="8">
                  <c:v>0.0656991</c:v>
                </c:pt>
                <c:pt idx="9">
                  <c:v>0.0237502</c:v>
                </c:pt>
                <c:pt idx="10">
                  <c:v>0.0120393</c:v>
                </c:pt>
                <c:pt idx="11">
                  <c:v>0.012</c:v>
                </c:pt>
                <c:pt idx="12">
                  <c:v>0.00588959</c:v>
                </c:pt>
                <c:pt idx="13">
                  <c:v>0.00215858</c:v>
                </c:pt>
                <c:pt idx="14">
                  <c:v>0.00780075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295104"/>
        <c:axId val="429297152"/>
      </c:scatterChart>
      <c:catAx>
        <c:axId val="429295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2971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2929715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29510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692302950965941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Comps'!$S$48:$AG$48</c:f>
              <c:numCache>
                <c:formatCode>General</c:formatCode>
                <c:ptCount val="15"/>
                <c:pt idx="0">
                  <c:v>0.000799435</c:v>
                </c:pt>
                <c:pt idx="1">
                  <c:v>0.00358202</c:v>
                </c:pt>
                <c:pt idx="2">
                  <c:v>0.160502</c:v>
                </c:pt>
                <c:pt idx="3">
                  <c:v>0.199602</c:v>
                </c:pt>
                <c:pt idx="4">
                  <c:v>0.0776356</c:v>
                </c:pt>
                <c:pt idx="5">
                  <c:v>0.107806</c:v>
                </c:pt>
                <c:pt idx="6">
                  <c:v>0.134176</c:v>
                </c:pt>
                <c:pt idx="7">
                  <c:v>0.112955</c:v>
                </c:pt>
                <c:pt idx="8">
                  <c:v>0.090557</c:v>
                </c:pt>
                <c:pt idx="9">
                  <c:v>0.0429895</c:v>
                </c:pt>
                <c:pt idx="10">
                  <c:v>0.0278884</c:v>
                </c:pt>
                <c:pt idx="11">
                  <c:v>0.0111498</c:v>
                </c:pt>
                <c:pt idx="12">
                  <c:v>0.00950442</c:v>
                </c:pt>
                <c:pt idx="13">
                  <c:v>0.00437769</c:v>
                </c:pt>
                <c:pt idx="14">
                  <c:v>0.0164751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290160"/>
        <c:axId val="42929220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Comps'!$B$48:$P$48</c:f>
              <c:numCache>
                <c:formatCode>General</c:formatCode>
                <c:ptCount val="15"/>
                <c:pt idx="0">
                  <c:v>0.001375</c:v>
                </c:pt>
                <c:pt idx="1">
                  <c:v>0.00962344</c:v>
                </c:pt>
                <c:pt idx="2">
                  <c:v>0.15423</c:v>
                </c:pt>
                <c:pt idx="3">
                  <c:v>0.209093</c:v>
                </c:pt>
                <c:pt idx="4">
                  <c:v>0.0880316</c:v>
                </c:pt>
                <c:pt idx="5">
                  <c:v>0.114355</c:v>
                </c:pt>
                <c:pt idx="6">
                  <c:v>0.135255</c:v>
                </c:pt>
                <c:pt idx="7">
                  <c:v>0.111364</c:v>
                </c:pt>
                <c:pt idx="8">
                  <c:v>0.087508</c:v>
                </c:pt>
                <c:pt idx="9">
                  <c:v>0.042799</c:v>
                </c:pt>
                <c:pt idx="10">
                  <c:v>0.0173041</c:v>
                </c:pt>
                <c:pt idx="11">
                  <c:v>0.0087717</c:v>
                </c:pt>
                <c:pt idx="12">
                  <c:v>0.00874306</c:v>
                </c:pt>
                <c:pt idx="13">
                  <c:v>0.00429109</c:v>
                </c:pt>
                <c:pt idx="14">
                  <c:v>0.00725625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290160"/>
        <c:axId val="429292208"/>
      </c:scatterChart>
      <c:catAx>
        <c:axId val="42929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29220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2929220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29016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692302950965941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Comps'!$S$49:$AG$49</c:f>
              <c:numCache>
                <c:formatCode>General</c:formatCode>
                <c:ptCount val="15"/>
                <c:pt idx="0">
                  <c:v>0.00208277</c:v>
                </c:pt>
                <c:pt idx="1">
                  <c:v>0.027822</c:v>
                </c:pt>
                <c:pt idx="2">
                  <c:v>0.028166</c:v>
                </c:pt>
                <c:pt idx="3">
                  <c:v>0.496685</c:v>
                </c:pt>
                <c:pt idx="4">
                  <c:v>0.197127</c:v>
                </c:pt>
                <c:pt idx="5">
                  <c:v>0.0476215</c:v>
                </c:pt>
                <c:pt idx="6">
                  <c:v>0.0392518</c:v>
                </c:pt>
                <c:pt idx="7">
                  <c:v>0.0494943</c:v>
                </c:pt>
                <c:pt idx="8">
                  <c:v>0.043741</c:v>
                </c:pt>
                <c:pt idx="9">
                  <c:v>0.0307314</c:v>
                </c:pt>
                <c:pt idx="10">
                  <c:v>0.0123559</c:v>
                </c:pt>
                <c:pt idx="11">
                  <c:v>0.00802838</c:v>
                </c:pt>
                <c:pt idx="12">
                  <c:v>0.00509238</c:v>
                </c:pt>
                <c:pt idx="13">
                  <c:v>0.00554816</c:v>
                </c:pt>
                <c:pt idx="14">
                  <c:v>0.00625234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940944"/>
        <c:axId val="43493601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Comps'!$B$49:$P$49</c:f>
              <c:numCache>
                <c:formatCode>General</c:formatCode>
                <c:ptCount val="15"/>
                <c:pt idx="0">
                  <c:v>0.000371332</c:v>
                </c:pt>
                <c:pt idx="1">
                  <c:v>0.0268552</c:v>
                </c:pt>
                <c:pt idx="2">
                  <c:v>0.0356677</c:v>
                </c:pt>
                <c:pt idx="3">
                  <c:v>0.488194</c:v>
                </c:pt>
                <c:pt idx="4">
                  <c:v>0.198307</c:v>
                </c:pt>
                <c:pt idx="5">
                  <c:v>0.0547737</c:v>
                </c:pt>
                <c:pt idx="6">
                  <c:v>0.0442303</c:v>
                </c:pt>
                <c:pt idx="7">
                  <c:v>0.0488489</c:v>
                </c:pt>
                <c:pt idx="8">
                  <c:v>0.0406383</c:v>
                </c:pt>
                <c:pt idx="9">
                  <c:v>0.0303956</c:v>
                </c:pt>
                <c:pt idx="10">
                  <c:v>0.0152247</c:v>
                </c:pt>
                <c:pt idx="11">
                  <c:v>0.00615554</c:v>
                </c:pt>
                <c:pt idx="12">
                  <c:v>0.00312033</c:v>
                </c:pt>
                <c:pt idx="13">
                  <c:v>0.00311014</c:v>
                </c:pt>
                <c:pt idx="14">
                  <c:v>0.0041077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40944"/>
        <c:axId val="434936016"/>
      </c:scatterChart>
      <c:catAx>
        <c:axId val="434940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9360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4936016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94094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822969411647121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Comps'!$S$50:$AG$50</c:f>
              <c:numCache>
                <c:formatCode>General</c:formatCode>
                <c:ptCount val="15"/>
                <c:pt idx="0">
                  <c:v>0.00056031</c:v>
                </c:pt>
                <c:pt idx="1">
                  <c:v>0.00893437</c:v>
                </c:pt>
                <c:pt idx="2">
                  <c:v>0.116218</c:v>
                </c:pt>
                <c:pt idx="3">
                  <c:v>0.0713761</c:v>
                </c:pt>
                <c:pt idx="4">
                  <c:v>0.489798</c:v>
                </c:pt>
                <c:pt idx="5">
                  <c:v>0.172115</c:v>
                </c:pt>
                <c:pt idx="6">
                  <c:v>0.0388507</c:v>
                </c:pt>
                <c:pt idx="7">
                  <c:v>0.0238655</c:v>
                </c:pt>
                <c:pt idx="8">
                  <c:v>0.0232068</c:v>
                </c:pt>
                <c:pt idx="9">
                  <c:v>0.0243155</c:v>
                </c:pt>
                <c:pt idx="10">
                  <c:v>0.0153531</c:v>
                </c:pt>
                <c:pt idx="11">
                  <c:v>0.00805158</c:v>
                </c:pt>
                <c:pt idx="12">
                  <c:v>0.0010459</c:v>
                </c:pt>
                <c:pt idx="13">
                  <c:v>0.00283988</c:v>
                </c:pt>
                <c:pt idx="14">
                  <c:v>0.00346882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196688"/>
        <c:axId val="4291911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Comps'!$B$50:$P$50</c:f>
              <c:numCache>
                <c:formatCode>General</c:formatCode>
                <c:ptCount val="15"/>
                <c:pt idx="0">
                  <c:v>0.000194775</c:v>
                </c:pt>
                <c:pt idx="1">
                  <c:v>0.0100053</c:v>
                </c:pt>
                <c:pt idx="2">
                  <c:v>0.1198</c:v>
                </c:pt>
                <c:pt idx="3">
                  <c:v>0.0842049</c:v>
                </c:pt>
                <c:pt idx="4">
                  <c:v>0.496134</c:v>
                </c:pt>
                <c:pt idx="5">
                  <c:v>0.162078</c:v>
                </c:pt>
                <c:pt idx="6">
                  <c:v>0.0355536</c:v>
                </c:pt>
                <c:pt idx="7">
                  <c:v>0.0227939</c:v>
                </c:pt>
                <c:pt idx="8">
                  <c:v>0.0221834</c:v>
                </c:pt>
                <c:pt idx="9">
                  <c:v>0.018329</c:v>
                </c:pt>
                <c:pt idx="10">
                  <c:v>0.0140554</c:v>
                </c:pt>
                <c:pt idx="11">
                  <c:v>0.00704018</c:v>
                </c:pt>
                <c:pt idx="12">
                  <c:v>0.00284643</c:v>
                </c:pt>
                <c:pt idx="13">
                  <c:v>0.00144289</c:v>
                </c:pt>
                <c:pt idx="14">
                  <c:v>0.00333765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196688"/>
        <c:axId val="429191184"/>
      </c:scatterChart>
      <c:catAx>
        <c:axId val="42919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1911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29191184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19668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868943069594345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Comps'!$S$51:$AG$51</c:f>
              <c:numCache>
                <c:formatCode>General</c:formatCode>
                <c:ptCount val="15"/>
                <c:pt idx="0">
                  <c:v>0.0</c:v>
                </c:pt>
                <c:pt idx="1">
                  <c:v>0.0144548</c:v>
                </c:pt>
                <c:pt idx="2">
                  <c:v>0.0616066</c:v>
                </c:pt>
                <c:pt idx="3">
                  <c:v>0.481846</c:v>
                </c:pt>
                <c:pt idx="4">
                  <c:v>0.0884308</c:v>
                </c:pt>
                <c:pt idx="5">
                  <c:v>0.221205</c:v>
                </c:pt>
                <c:pt idx="6">
                  <c:v>0.0707185</c:v>
                </c:pt>
                <c:pt idx="7">
                  <c:v>0.0193501</c:v>
                </c:pt>
                <c:pt idx="8">
                  <c:v>0.00910264</c:v>
                </c:pt>
                <c:pt idx="9">
                  <c:v>0.00684965</c:v>
                </c:pt>
                <c:pt idx="10">
                  <c:v>0.00811483</c:v>
                </c:pt>
                <c:pt idx="11">
                  <c:v>0.00818271</c:v>
                </c:pt>
                <c:pt idx="12">
                  <c:v>0.00423391</c:v>
                </c:pt>
                <c:pt idx="13">
                  <c:v>0.00407354</c:v>
                </c:pt>
                <c:pt idx="14">
                  <c:v>0.00183028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692432"/>
        <c:axId val="43567572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Comps'!$B$51:$P$51</c:f>
              <c:numCache>
                <c:formatCode>General</c:formatCode>
                <c:ptCount val="15"/>
                <c:pt idx="0">
                  <c:v>0.000135868</c:v>
                </c:pt>
                <c:pt idx="1">
                  <c:v>0.00685975</c:v>
                </c:pt>
                <c:pt idx="2">
                  <c:v>0.0587822</c:v>
                </c:pt>
                <c:pt idx="3">
                  <c:v>0.480424</c:v>
                </c:pt>
                <c:pt idx="4">
                  <c:v>0.0978244</c:v>
                </c:pt>
                <c:pt idx="5">
                  <c:v>0.233065</c:v>
                </c:pt>
                <c:pt idx="6">
                  <c:v>0.0660194</c:v>
                </c:pt>
                <c:pt idx="7">
                  <c:v>0.0155259</c:v>
                </c:pt>
                <c:pt idx="8">
                  <c:v>0.00988307</c:v>
                </c:pt>
                <c:pt idx="9">
                  <c:v>0.00977251</c:v>
                </c:pt>
                <c:pt idx="10">
                  <c:v>0.00845652</c:v>
                </c:pt>
                <c:pt idx="11">
                  <c:v>0.0064848</c:v>
                </c:pt>
                <c:pt idx="12">
                  <c:v>0.00324815</c:v>
                </c:pt>
                <c:pt idx="13">
                  <c:v>0.00131326</c:v>
                </c:pt>
                <c:pt idx="14">
                  <c:v>0.00220561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92432"/>
        <c:axId val="435675728"/>
      </c:scatterChart>
      <c:catAx>
        <c:axId val="43569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56757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75728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69243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813797924792111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Comps'!$S$52:$AG$52</c:f>
              <c:numCache>
                <c:formatCode>General</c:formatCode>
                <c:ptCount val="15"/>
                <c:pt idx="0">
                  <c:v>0.00183451</c:v>
                </c:pt>
                <c:pt idx="1">
                  <c:v>0.000919166</c:v>
                </c:pt>
                <c:pt idx="2">
                  <c:v>0.0377668</c:v>
                </c:pt>
                <c:pt idx="3">
                  <c:v>0.183994</c:v>
                </c:pt>
                <c:pt idx="4">
                  <c:v>0.507836</c:v>
                </c:pt>
                <c:pt idx="5">
                  <c:v>0.101058</c:v>
                </c:pt>
                <c:pt idx="6">
                  <c:v>0.08321</c:v>
                </c:pt>
                <c:pt idx="7">
                  <c:v>0.0368286</c:v>
                </c:pt>
                <c:pt idx="8">
                  <c:v>0.011068</c:v>
                </c:pt>
                <c:pt idx="9">
                  <c:v>0.00951955</c:v>
                </c:pt>
                <c:pt idx="10">
                  <c:v>0.00732086</c:v>
                </c:pt>
                <c:pt idx="11">
                  <c:v>0.00667507</c:v>
                </c:pt>
                <c:pt idx="12">
                  <c:v>0.00485526</c:v>
                </c:pt>
                <c:pt idx="13">
                  <c:v>0.00315169</c:v>
                </c:pt>
                <c:pt idx="14">
                  <c:v>0.00396334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854144"/>
        <c:axId val="44485619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Comps'!$B$52:$P$52</c:f>
              <c:numCache>
                <c:formatCode>General</c:formatCode>
                <c:ptCount val="15"/>
                <c:pt idx="0">
                  <c:v>0.000726213</c:v>
                </c:pt>
                <c:pt idx="1">
                  <c:v>0.00394536</c:v>
                </c:pt>
                <c:pt idx="2">
                  <c:v>0.0361949</c:v>
                </c:pt>
                <c:pt idx="3">
                  <c:v>0.186194</c:v>
                </c:pt>
                <c:pt idx="4">
                  <c:v>0.515024</c:v>
                </c:pt>
                <c:pt idx="5">
                  <c:v>0.100418</c:v>
                </c:pt>
                <c:pt idx="6">
                  <c:v>0.0948127</c:v>
                </c:pt>
                <c:pt idx="7">
                  <c:v>0.0325629</c:v>
                </c:pt>
                <c:pt idx="8">
                  <c:v>0.00768702</c:v>
                </c:pt>
                <c:pt idx="9">
                  <c:v>0.00522531</c:v>
                </c:pt>
                <c:pt idx="10">
                  <c:v>0.00534231</c:v>
                </c:pt>
                <c:pt idx="11">
                  <c:v>0.0046229</c:v>
                </c:pt>
                <c:pt idx="12">
                  <c:v>0.00354503</c:v>
                </c:pt>
                <c:pt idx="13">
                  <c:v>0.00177566</c:v>
                </c:pt>
                <c:pt idx="14">
                  <c:v>0.00192366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854144"/>
        <c:axId val="444856192"/>
      </c:scatterChart>
      <c:catAx>
        <c:axId val="44485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48561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4856192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85414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692302950965941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rotWithShape="0">
              <a:gsLst>
                <a:gs pos="0">
                  <a:srgbClr val="FFFFFF"/>
                </a:gs>
                <a:gs pos="100000">
                  <a:srgbClr val="3366FF"/>
                </a:gs>
              </a:gsLst>
              <a:lin ang="5400000" scaled="1"/>
            </a:gra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Comps'!$S$52:$AG$52</c:f>
              <c:numCache>
                <c:formatCode>General</c:formatCode>
                <c:ptCount val="15"/>
                <c:pt idx="0">
                  <c:v>0.00183451</c:v>
                </c:pt>
                <c:pt idx="1">
                  <c:v>0.000919166</c:v>
                </c:pt>
                <c:pt idx="2">
                  <c:v>0.0377668</c:v>
                </c:pt>
                <c:pt idx="3">
                  <c:v>0.183994</c:v>
                </c:pt>
                <c:pt idx="4">
                  <c:v>0.507836</c:v>
                </c:pt>
                <c:pt idx="5">
                  <c:v>0.101058</c:v>
                </c:pt>
                <c:pt idx="6">
                  <c:v>0.08321</c:v>
                </c:pt>
                <c:pt idx="7">
                  <c:v>0.0368286</c:v>
                </c:pt>
                <c:pt idx="8">
                  <c:v>0.011068</c:v>
                </c:pt>
                <c:pt idx="9">
                  <c:v>0.00951955</c:v>
                </c:pt>
                <c:pt idx="10">
                  <c:v>0.00732086</c:v>
                </c:pt>
                <c:pt idx="11">
                  <c:v>0.00667507</c:v>
                </c:pt>
                <c:pt idx="12">
                  <c:v>0.00485526</c:v>
                </c:pt>
                <c:pt idx="13">
                  <c:v>0.00315169</c:v>
                </c:pt>
                <c:pt idx="14">
                  <c:v>0.00396334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804240"/>
        <c:axId val="44480628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Comps'!$B$52:$P$52</c:f>
              <c:numCache>
                <c:formatCode>General</c:formatCode>
                <c:ptCount val="15"/>
                <c:pt idx="0">
                  <c:v>0.000726213</c:v>
                </c:pt>
                <c:pt idx="1">
                  <c:v>0.00394536</c:v>
                </c:pt>
                <c:pt idx="2">
                  <c:v>0.0361949</c:v>
                </c:pt>
                <c:pt idx="3">
                  <c:v>0.186194</c:v>
                </c:pt>
                <c:pt idx="4">
                  <c:v>0.515024</c:v>
                </c:pt>
                <c:pt idx="5">
                  <c:v>0.100418</c:v>
                </c:pt>
                <c:pt idx="6">
                  <c:v>0.0948127</c:v>
                </c:pt>
                <c:pt idx="7">
                  <c:v>0.0325629</c:v>
                </c:pt>
                <c:pt idx="8">
                  <c:v>0.00768702</c:v>
                </c:pt>
                <c:pt idx="9">
                  <c:v>0.00522531</c:v>
                </c:pt>
                <c:pt idx="10">
                  <c:v>0.00534231</c:v>
                </c:pt>
                <c:pt idx="11">
                  <c:v>0.0046229</c:v>
                </c:pt>
                <c:pt idx="12">
                  <c:v>0.00354503</c:v>
                </c:pt>
                <c:pt idx="13">
                  <c:v>0.00177566</c:v>
                </c:pt>
                <c:pt idx="14">
                  <c:v>0.00192366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804240"/>
        <c:axId val="444806288"/>
      </c:scatterChart>
      <c:catAx>
        <c:axId val="44480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80628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4806288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80424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785980410985212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rotWithShape="0">
              <a:gsLst>
                <a:gs pos="0">
                  <a:srgbClr val="FFFFFF"/>
                </a:gs>
                <a:gs pos="100000">
                  <a:srgbClr val="3366FF"/>
                </a:gs>
              </a:gsLst>
              <a:lin ang="5400000" scaled="1"/>
            </a:gra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Comps'!$S$96:$AG$96</c:f>
              <c:numCache>
                <c:formatCode>General</c:formatCode>
                <c:ptCount val="15"/>
                <c:pt idx="0">
                  <c:v>0.138797</c:v>
                </c:pt>
                <c:pt idx="1">
                  <c:v>0.0375898</c:v>
                </c:pt>
                <c:pt idx="2">
                  <c:v>0.0172665</c:v>
                </c:pt>
                <c:pt idx="3">
                  <c:v>0.0226354</c:v>
                </c:pt>
                <c:pt idx="4">
                  <c:v>0.104709</c:v>
                </c:pt>
                <c:pt idx="5">
                  <c:v>0.384159</c:v>
                </c:pt>
                <c:pt idx="6">
                  <c:v>0.199827</c:v>
                </c:pt>
                <c:pt idx="7">
                  <c:v>0.0425686</c:v>
                </c:pt>
                <c:pt idx="8">
                  <c:v>0.0234142</c:v>
                </c:pt>
                <c:pt idx="9">
                  <c:v>0.00852652</c:v>
                </c:pt>
                <c:pt idx="10">
                  <c:v>0.00326201</c:v>
                </c:pt>
                <c:pt idx="11">
                  <c:v>0.00460093</c:v>
                </c:pt>
                <c:pt idx="12">
                  <c:v>0.00467776</c:v>
                </c:pt>
                <c:pt idx="13">
                  <c:v>0.00218577</c:v>
                </c:pt>
                <c:pt idx="14">
                  <c:v>0.00578004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741248"/>
        <c:axId val="44473248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Comps'!$B$96:$P$96</c:f>
              <c:numCache>
                <c:formatCode>General</c:formatCode>
                <c:ptCount val="15"/>
                <c:pt idx="0">
                  <c:v>0.133595</c:v>
                </c:pt>
                <c:pt idx="1">
                  <c:v>0.0443287</c:v>
                </c:pt>
                <c:pt idx="2">
                  <c:v>0.0203638</c:v>
                </c:pt>
                <c:pt idx="3">
                  <c:v>0.0590289</c:v>
                </c:pt>
                <c:pt idx="4">
                  <c:v>0.162632</c:v>
                </c:pt>
                <c:pt idx="5">
                  <c:v>0.418295</c:v>
                </c:pt>
                <c:pt idx="6">
                  <c:v>0.0829722</c:v>
                </c:pt>
                <c:pt idx="7">
                  <c:v>0.0523888</c:v>
                </c:pt>
                <c:pt idx="8">
                  <c:v>0.013685</c:v>
                </c:pt>
                <c:pt idx="9">
                  <c:v>0.00323249</c:v>
                </c:pt>
                <c:pt idx="10">
                  <c:v>0.00220724</c:v>
                </c:pt>
                <c:pt idx="11">
                  <c:v>0.00225714</c:v>
                </c:pt>
                <c:pt idx="12">
                  <c:v>0.00195329</c:v>
                </c:pt>
                <c:pt idx="13">
                  <c:v>0.00149788</c:v>
                </c:pt>
                <c:pt idx="14">
                  <c:v>0.00156308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741248"/>
        <c:axId val="444732480"/>
      </c:scatterChart>
      <c:catAx>
        <c:axId val="44474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7324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473248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741248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785980410985212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Comps'!$S$95:$AG$95</c:f>
              <c:numCache>
                <c:formatCode>General</c:formatCode>
                <c:ptCount val="15"/>
                <c:pt idx="0">
                  <c:v>0.119953</c:v>
                </c:pt>
                <c:pt idx="1">
                  <c:v>0.0129405</c:v>
                </c:pt>
                <c:pt idx="2">
                  <c:v>0.0248947</c:v>
                </c:pt>
                <c:pt idx="3">
                  <c:v>0.0979444</c:v>
                </c:pt>
                <c:pt idx="4">
                  <c:v>0.487101</c:v>
                </c:pt>
                <c:pt idx="5">
                  <c:v>0.112975</c:v>
                </c:pt>
                <c:pt idx="6">
                  <c:v>0.0704152</c:v>
                </c:pt>
                <c:pt idx="7">
                  <c:v>0.0247005</c:v>
                </c:pt>
                <c:pt idx="8">
                  <c:v>0.00836185</c:v>
                </c:pt>
                <c:pt idx="9">
                  <c:v>0.00755546</c:v>
                </c:pt>
                <c:pt idx="10">
                  <c:v>0.00992806</c:v>
                </c:pt>
                <c:pt idx="11">
                  <c:v>0.00746899</c:v>
                </c:pt>
                <c:pt idx="12">
                  <c:v>0.00692148</c:v>
                </c:pt>
                <c:pt idx="13">
                  <c:v>0.00378466</c:v>
                </c:pt>
                <c:pt idx="14">
                  <c:v>0.00505455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692960"/>
        <c:axId val="444694592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Comps'!$B$95:$P$95</c:f>
              <c:numCache>
                <c:formatCode>General</c:formatCode>
                <c:ptCount val="15"/>
                <c:pt idx="0">
                  <c:v>0.141644</c:v>
                </c:pt>
                <c:pt idx="1">
                  <c:v>0.00849068</c:v>
                </c:pt>
                <c:pt idx="2">
                  <c:v>0.025511</c:v>
                </c:pt>
                <c:pt idx="3">
                  <c:v>0.0998982</c:v>
                </c:pt>
                <c:pt idx="4">
                  <c:v>0.431893</c:v>
                </c:pt>
                <c:pt idx="5">
                  <c:v>0.132441</c:v>
                </c:pt>
                <c:pt idx="6">
                  <c:v>0.102549</c:v>
                </c:pt>
                <c:pt idx="7">
                  <c:v>0.0294006</c:v>
                </c:pt>
                <c:pt idx="8">
                  <c:v>0.00714077</c:v>
                </c:pt>
                <c:pt idx="9">
                  <c:v>0.0048927</c:v>
                </c:pt>
                <c:pt idx="10">
                  <c:v>0.0050086</c:v>
                </c:pt>
                <c:pt idx="11">
                  <c:v>0.00433557</c:v>
                </c:pt>
                <c:pt idx="12">
                  <c:v>0.00332498</c:v>
                </c:pt>
                <c:pt idx="13">
                  <c:v>0.00166548</c:v>
                </c:pt>
                <c:pt idx="14">
                  <c:v>0.0018043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692960"/>
        <c:axId val="444694592"/>
      </c:scatterChart>
      <c:catAx>
        <c:axId val="44469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6945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4694592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692960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739497315473424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flip="none" rotWithShape="1">
              <a:gsLst>
                <a:gs pos="0">
                  <a:schemeClr val="accent1"/>
                </a:gs>
                <a:gs pos="100000">
                  <a:prstClr val="white"/>
                </a:gs>
              </a:gsLst>
              <a:lin ang="5400000" scaled="0"/>
              <a:tileRect/>
            </a:gradFill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Comps'!$S$120:$AB$120</c:f>
              <c:numCache>
                <c:formatCode>General</c:formatCode>
                <c:ptCount val="10"/>
                <c:pt idx="0">
                  <c:v>0.0</c:v>
                </c:pt>
                <c:pt idx="1">
                  <c:v>0.665488</c:v>
                </c:pt>
                <c:pt idx="2">
                  <c:v>0.0727121</c:v>
                </c:pt>
                <c:pt idx="3">
                  <c:v>0.0850236</c:v>
                </c:pt>
                <c:pt idx="4">
                  <c:v>0.0689317</c:v>
                </c:pt>
                <c:pt idx="5">
                  <c:v>0.0752889</c:v>
                </c:pt>
                <c:pt idx="6">
                  <c:v>0.0244818</c:v>
                </c:pt>
                <c:pt idx="7">
                  <c:v>0.00516736</c:v>
                </c:pt>
                <c:pt idx="8">
                  <c:v>0.00165881</c:v>
                </c:pt>
                <c:pt idx="9">
                  <c:v>0.000450176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658672"/>
        <c:axId val="444646672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Comps'!$B$120:$K$120</c:f>
              <c:numCache>
                <c:formatCode>General</c:formatCode>
                <c:ptCount val="10"/>
                <c:pt idx="0">
                  <c:v>0.0</c:v>
                </c:pt>
                <c:pt idx="1">
                  <c:v>0.605794</c:v>
                </c:pt>
                <c:pt idx="2">
                  <c:v>0.0870008</c:v>
                </c:pt>
                <c:pt idx="3">
                  <c:v>0.0779641</c:v>
                </c:pt>
                <c:pt idx="4">
                  <c:v>0.0850191</c:v>
                </c:pt>
                <c:pt idx="5">
                  <c:v>0.111447</c:v>
                </c:pt>
                <c:pt idx="6">
                  <c:v>0.0186913</c:v>
                </c:pt>
                <c:pt idx="7">
                  <c:v>0.00941234</c:v>
                </c:pt>
                <c:pt idx="8">
                  <c:v>0.00242658</c:v>
                </c:pt>
                <c:pt idx="9">
                  <c:v>0.000571273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658672"/>
        <c:axId val="444646672"/>
      </c:lineChart>
      <c:catAx>
        <c:axId val="44465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464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46466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465867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769671793362278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Comps'!$S$53:$AG$53</c:f>
              <c:numCache>
                <c:formatCode>General</c:formatCode>
                <c:ptCount val="15"/>
                <c:pt idx="0">
                  <c:v>0.0</c:v>
                </c:pt>
                <c:pt idx="1">
                  <c:v>0.0240278</c:v>
                </c:pt>
                <c:pt idx="2">
                  <c:v>0.0178352</c:v>
                </c:pt>
                <c:pt idx="3">
                  <c:v>0.0972447</c:v>
                </c:pt>
                <c:pt idx="4">
                  <c:v>0.227033</c:v>
                </c:pt>
                <c:pt idx="5">
                  <c:v>0.427525</c:v>
                </c:pt>
                <c:pt idx="6">
                  <c:v>0.119696</c:v>
                </c:pt>
                <c:pt idx="7">
                  <c:v>0.0501855</c:v>
                </c:pt>
                <c:pt idx="8">
                  <c:v>0.016557</c:v>
                </c:pt>
                <c:pt idx="9">
                  <c:v>0.00519636</c:v>
                </c:pt>
                <c:pt idx="10">
                  <c:v>0.00272582</c:v>
                </c:pt>
                <c:pt idx="11">
                  <c:v>0.00284397</c:v>
                </c:pt>
                <c:pt idx="12">
                  <c:v>0.00242381</c:v>
                </c:pt>
                <c:pt idx="13">
                  <c:v>0.00164931</c:v>
                </c:pt>
                <c:pt idx="14">
                  <c:v>0.00505704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4618848"/>
        <c:axId val="44462089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Comps'!$B$53:$P$53</c:f>
              <c:numCache>
                <c:formatCode>General</c:formatCode>
                <c:ptCount val="15"/>
                <c:pt idx="0">
                  <c:v>0.000342398</c:v>
                </c:pt>
                <c:pt idx="1">
                  <c:v>0.0220808</c:v>
                </c:pt>
                <c:pt idx="2">
                  <c:v>0.0261852</c:v>
                </c:pt>
                <c:pt idx="3">
                  <c:v>0.101398</c:v>
                </c:pt>
                <c:pt idx="4">
                  <c:v>0.227143</c:v>
                </c:pt>
                <c:pt idx="5">
                  <c:v>0.434786</c:v>
                </c:pt>
                <c:pt idx="6">
                  <c:v>0.102382</c:v>
                </c:pt>
                <c:pt idx="7">
                  <c:v>0.0562704</c:v>
                </c:pt>
                <c:pt idx="8">
                  <c:v>0.0145474</c:v>
                </c:pt>
                <c:pt idx="9">
                  <c:v>0.00378329</c:v>
                </c:pt>
                <c:pt idx="10">
                  <c:v>0.0025812</c:v>
                </c:pt>
                <c:pt idx="11">
                  <c:v>0.00263899</c:v>
                </c:pt>
                <c:pt idx="12">
                  <c:v>0.00228362</c:v>
                </c:pt>
                <c:pt idx="13">
                  <c:v>0.00175117</c:v>
                </c:pt>
                <c:pt idx="14">
                  <c:v>0.00182739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618848"/>
        <c:axId val="444620896"/>
      </c:scatterChart>
      <c:catAx>
        <c:axId val="4446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6208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4620896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461884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44814684856"/>
          <c:y val="0.0862571983727718"/>
          <c:w val="0.749170752434977"/>
          <c:h val="0.769671793362278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ln>
              <a:solidFill>
                <a:schemeClr val="tx1"/>
              </a:solidFill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Comps'!$S$54:$AG$54</c:f>
              <c:numCache>
                <c:formatCode>General</c:formatCode>
                <c:ptCount val="15"/>
                <c:pt idx="0">
                  <c:v>0.0</c:v>
                </c:pt>
                <c:pt idx="1">
                  <c:v>0.00876855</c:v>
                </c:pt>
                <c:pt idx="2">
                  <c:v>0.297346</c:v>
                </c:pt>
                <c:pt idx="3">
                  <c:v>0.0915997</c:v>
                </c:pt>
                <c:pt idx="4">
                  <c:v>0.107011</c:v>
                </c:pt>
                <c:pt idx="5">
                  <c:v>0.180381</c:v>
                </c:pt>
                <c:pt idx="6">
                  <c:v>0.238985</c:v>
                </c:pt>
                <c:pt idx="7">
                  <c:v>0.0407761</c:v>
                </c:pt>
                <c:pt idx="8">
                  <c:v>0.019935</c:v>
                </c:pt>
                <c:pt idx="9">
                  <c:v>0.00869547</c:v>
                </c:pt>
                <c:pt idx="10">
                  <c:v>0.00133712</c:v>
                </c:pt>
                <c:pt idx="11">
                  <c:v>0.00125203</c:v>
                </c:pt>
                <c:pt idx="12">
                  <c:v>0.00146348</c:v>
                </c:pt>
                <c:pt idx="13">
                  <c:v>0.00160643</c:v>
                </c:pt>
                <c:pt idx="14">
                  <c:v>0.000842734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627744"/>
        <c:axId val="435629104"/>
      </c:barChart>
      <c:scatterChart>
        <c:scatterStyle val="lineMarker"/>
        <c:varyColors val="0"/>
        <c:ser>
          <c:idx val="0"/>
          <c:order val="1"/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Comps'!$B$54:$P$54</c:f>
              <c:numCache>
                <c:formatCode>General</c:formatCode>
                <c:ptCount val="15"/>
                <c:pt idx="0">
                  <c:v>0.000171765</c:v>
                </c:pt>
                <c:pt idx="1">
                  <c:v>0.00897248</c:v>
                </c:pt>
                <c:pt idx="2">
                  <c:v>0.289096</c:v>
                </c:pt>
                <c:pt idx="3">
                  <c:v>0.0879682</c:v>
                </c:pt>
                <c:pt idx="4">
                  <c:v>0.109091</c:v>
                </c:pt>
                <c:pt idx="5">
                  <c:v>0.175449</c:v>
                </c:pt>
                <c:pt idx="6">
                  <c:v>0.249665</c:v>
                </c:pt>
                <c:pt idx="7">
                  <c:v>0.0403601</c:v>
                </c:pt>
                <c:pt idx="8">
                  <c:v>0.0241442</c:v>
                </c:pt>
                <c:pt idx="9">
                  <c:v>0.00789083</c:v>
                </c:pt>
                <c:pt idx="10">
                  <c:v>0.00183032</c:v>
                </c:pt>
                <c:pt idx="11">
                  <c:v>0.00124876</c:v>
                </c:pt>
                <c:pt idx="12">
                  <c:v>0.00127672</c:v>
                </c:pt>
                <c:pt idx="13">
                  <c:v>0.00110479</c:v>
                </c:pt>
                <c:pt idx="14">
                  <c:v>0.00173127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27744"/>
        <c:axId val="435629104"/>
      </c:scatterChart>
      <c:catAx>
        <c:axId val="4356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6291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629104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62774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911963495222"/>
          <c:y val="0.0862574243392836"/>
          <c:w val="0.749170752434977"/>
          <c:h val="0.769671793362278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ln>
              <a:solidFill>
                <a:schemeClr val="tx1"/>
              </a:solidFill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Comps'!$S$54:$AG$54</c:f>
              <c:numCache>
                <c:formatCode>General</c:formatCode>
                <c:ptCount val="15"/>
                <c:pt idx="0">
                  <c:v>0.0</c:v>
                </c:pt>
                <c:pt idx="1">
                  <c:v>0.00876855</c:v>
                </c:pt>
                <c:pt idx="2">
                  <c:v>0.297346</c:v>
                </c:pt>
                <c:pt idx="3">
                  <c:v>0.0915997</c:v>
                </c:pt>
                <c:pt idx="4">
                  <c:v>0.107011</c:v>
                </c:pt>
                <c:pt idx="5">
                  <c:v>0.180381</c:v>
                </c:pt>
                <c:pt idx="6">
                  <c:v>0.238985</c:v>
                </c:pt>
                <c:pt idx="7">
                  <c:v>0.0407761</c:v>
                </c:pt>
                <c:pt idx="8">
                  <c:v>0.019935</c:v>
                </c:pt>
                <c:pt idx="9">
                  <c:v>0.00869547</c:v>
                </c:pt>
                <c:pt idx="10">
                  <c:v>0.00133712</c:v>
                </c:pt>
                <c:pt idx="11">
                  <c:v>0.00125203</c:v>
                </c:pt>
                <c:pt idx="12">
                  <c:v>0.00146348</c:v>
                </c:pt>
                <c:pt idx="13">
                  <c:v>0.00160643</c:v>
                </c:pt>
                <c:pt idx="14">
                  <c:v>0.000842734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925056"/>
        <c:axId val="434927104"/>
      </c:barChart>
      <c:scatterChart>
        <c:scatterStyle val="lineMarker"/>
        <c:varyColors val="0"/>
        <c:ser>
          <c:idx val="0"/>
          <c:order val="1"/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Comps'!$B$54:$P$54</c:f>
              <c:numCache>
                <c:formatCode>General</c:formatCode>
                <c:ptCount val="15"/>
                <c:pt idx="0">
                  <c:v>0.000171765</c:v>
                </c:pt>
                <c:pt idx="1">
                  <c:v>0.00897248</c:v>
                </c:pt>
                <c:pt idx="2">
                  <c:v>0.289096</c:v>
                </c:pt>
                <c:pt idx="3">
                  <c:v>0.0879682</c:v>
                </c:pt>
                <c:pt idx="4">
                  <c:v>0.109091</c:v>
                </c:pt>
                <c:pt idx="5">
                  <c:v>0.175449</c:v>
                </c:pt>
                <c:pt idx="6">
                  <c:v>0.249665</c:v>
                </c:pt>
                <c:pt idx="7">
                  <c:v>0.0403601</c:v>
                </c:pt>
                <c:pt idx="8">
                  <c:v>0.0241442</c:v>
                </c:pt>
                <c:pt idx="9">
                  <c:v>0.00789083</c:v>
                </c:pt>
                <c:pt idx="10">
                  <c:v>0.00183032</c:v>
                </c:pt>
                <c:pt idx="11">
                  <c:v>0.00124876</c:v>
                </c:pt>
                <c:pt idx="12">
                  <c:v>0.00127672</c:v>
                </c:pt>
                <c:pt idx="13">
                  <c:v>0.00110479</c:v>
                </c:pt>
                <c:pt idx="14">
                  <c:v>0.00173127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25056"/>
        <c:axId val="434927104"/>
      </c:scatterChart>
      <c:catAx>
        <c:axId val="43492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9271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4927104"/>
        <c:scaling>
          <c:orientation val="minMax"/>
          <c:max val="0.51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92505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785980410985212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>
              <a:solidFill>
                <a:schemeClr val="tx1"/>
              </a:solidFill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Comps'!$S$97:$AG$97</c:f>
              <c:numCache>
                <c:formatCode>General</c:formatCode>
                <c:ptCount val="15"/>
                <c:pt idx="0">
                  <c:v>0.0816577</c:v>
                </c:pt>
                <c:pt idx="1">
                  <c:v>0.056112</c:v>
                </c:pt>
                <c:pt idx="2">
                  <c:v>0.158055</c:v>
                </c:pt>
                <c:pt idx="3">
                  <c:v>0.039749</c:v>
                </c:pt>
                <c:pt idx="4">
                  <c:v>0.0827997</c:v>
                </c:pt>
                <c:pt idx="5">
                  <c:v>0.15426</c:v>
                </c:pt>
                <c:pt idx="6">
                  <c:v>0.300537</c:v>
                </c:pt>
                <c:pt idx="7">
                  <c:v>0.0876375</c:v>
                </c:pt>
                <c:pt idx="8">
                  <c:v>0.0207587</c:v>
                </c:pt>
                <c:pt idx="9">
                  <c:v>0.0099453</c:v>
                </c:pt>
                <c:pt idx="10">
                  <c:v>0.00129026</c:v>
                </c:pt>
                <c:pt idx="11">
                  <c:v>0.00121312</c:v>
                </c:pt>
                <c:pt idx="12">
                  <c:v>0.00208717</c:v>
                </c:pt>
                <c:pt idx="13">
                  <c:v>0.00124063</c:v>
                </c:pt>
                <c:pt idx="14">
                  <c:v>0.002657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867792"/>
        <c:axId val="434869840"/>
      </c:barChart>
      <c:scatterChart>
        <c:scatterStyle val="lineMarker"/>
        <c:varyColors val="0"/>
        <c:ser>
          <c:idx val="0"/>
          <c:order val="1"/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Comps'!$B$97:$P$97</c:f>
              <c:numCache>
                <c:formatCode>General</c:formatCode>
                <c:ptCount val="15"/>
                <c:pt idx="0">
                  <c:v>0.0798603</c:v>
                </c:pt>
                <c:pt idx="1">
                  <c:v>0.0363444</c:v>
                </c:pt>
                <c:pt idx="2">
                  <c:v>0.157532</c:v>
                </c:pt>
                <c:pt idx="3">
                  <c:v>0.0572201</c:v>
                </c:pt>
                <c:pt idx="4">
                  <c:v>0.103914</c:v>
                </c:pt>
                <c:pt idx="5">
                  <c:v>0.162461</c:v>
                </c:pt>
                <c:pt idx="6">
                  <c:v>0.304162</c:v>
                </c:pt>
                <c:pt idx="7">
                  <c:v>0.0513185</c:v>
                </c:pt>
                <c:pt idx="8">
                  <c:v>0.0319226</c:v>
                </c:pt>
                <c:pt idx="9">
                  <c:v>0.00797737</c:v>
                </c:pt>
                <c:pt idx="10">
                  <c:v>0.00185377</c:v>
                </c:pt>
                <c:pt idx="11">
                  <c:v>0.00126543</c:v>
                </c:pt>
                <c:pt idx="12">
                  <c:v>0.00129397</c:v>
                </c:pt>
                <c:pt idx="13">
                  <c:v>0.00111978</c:v>
                </c:pt>
                <c:pt idx="14">
                  <c:v>0.00175478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867792"/>
        <c:axId val="434869840"/>
      </c:scatterChart>
      <c:catAx>
        <c:axId val="43486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698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4869840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67792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475246262233"/>
          <c:y val="0.0454012227130145"/>
          <c:w val="0.833684529312379"/>
          <c:h val="0.785980410985212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ln>
              <a:solidFill>
                <a:schemeClr val="tx1"/>
              </a:solidFill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Comps'!$S$98:$AG$98</c:f>
              <c:numCache>
                <c:formatCode>General</c:formatCode>
                <c:ptCount val="15"/>
                <c:pt idx="0">
                  <c:v>0.0674274</c:v>
                </c:pt>
                <c:pt idx="1">
                  <c:v>0.0424725</c:v>
                </c:pt>
                <c:pt idx="2">
                  <c:v>0.0609983</c:v>
                </c:pt>
                <c:pt idx="3">
                  <c:v>0.292244</c:v>
                </c:pt>
                <c:pt idx="4">
                  <c:v>0.119802</c:v>
                </c:pt>
                <c:pt idx="5">
                  <c:v>0.0809194</c:v>
                </c:pt>
                <c:pt idx="6">
                  <c:v>0.114202</c:v>
                </c:pt>
                <c:pt idx="7">
                  <c:v>0.168426</c:v>
                </c:pt>
                <c:pt idx="8">
                  <c:v>0.0330734</c:v>
                </c:pt>
                <c:pt idx="9">
                  <c:v>0.0129743</c:v>
                </c:pt>
                <c:pt idx="10">
                  <c:v>0.0043286</c:v>
                </c:pt>
                <c:pt idx="11">
                  <c:v>0.00101989</c:v>
                </c:pt>
                <c:pt idx="12">
                  <c:v>0.00104913</c:v>
                </c:pt>
                <c:pt idx="13">
                  <c:v>0.000364239</c:v>
                </c:pt>
                <c:pt idx="14">
                  <c:v>0.000698457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820576"/>
        <c:axId val="434822624"/>
      </c:barChart>
      <c:scatterChart>
        <c:scatterStyle val="lineMarker"/>
        <c:varyColors val="0"/>
        <c:ser>
          <c:idx val="0"/>
          <c:order val="1"/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Comps'!$B$98:$P$98</c:f>
              <c:numCache>
                <c:formatCode>General</c:formatCode>
                <c:ptCount val="15"/>
                <c:pt idx="0">
                  <c:v>0.069641</c:v>
                </c:pt>
                <c:pt idx="1">
                  <c:v>0.0202646</c:v>
                </c:pt>
                <c:pt idx="2">
                  <c:v>0.0741752</c:v>
                </c:pt>
                <c:pt idx="3">
                  <c:v>0.290715</c:v>
                </c:pt>
                <c:pt idx="4">
                  <c:v>0.0795744</c:v>
                </c:pt>
                <c:pt idx="5">
                  <c:v>0.0982234</c:v>
                </c:pt>
                <c:pt idx="6">
                  <c:v>0.114882</c:v>
                </c:pt>
                <c:pt idx="7">
                  <c:v>0.193773</c:v>
                </c:pt>
                <c:pt idx="8">
                  <c:v>0.0313901</c:v>
                </c:pt>
                <c:pt idx="9">
                  <c:v>0.0187535</c:v>
                </c:pt>
                <c:pt idx="10">
                  <c:v>0.00450127</c:v>
                </c:pt>
                <c:pt idx="11">
                  <c:v>0.001045</c:v>
                </c:pt>
                <c:pt idx="12">
                  <c:v>0.000713153</c:v>
                </c:pt>
                <c:pt idx="13">
                  <c:v>0.000729182</c:v>
                </c:pt>
                <c:pt idx="14">
                  <c:v>0.00161982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820576"/>
        <c:axId val="434822624"/>
      </c:scatterChart>
      <c:catAx>
        <c:axId val="43482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2262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4822624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820576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739497315473424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tx1"/>
              </a:solidFill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Comps'!$S$121:$AB$121</c:f>
              <c:numCache>
                <c:formatCode>General</c:formatCode>
                <c:ptCount val="10"/>
                <c:pt idx="0">
                  <c:v>0.0</c:v>
                </c:pt>
                <c:pt idx="1">
                  <c:v>0.0951306</c:v>
                </c:pt>
                <c:pt idx="2">
                  <c:v>0.40146</c:v>
                </c:pt>
                <c:pt idx="3">
                  <c:v>0.350241</c:v>
                </c:pt>
                <c:pt idx="4">
                  <c:v>0.0826869</c:v>
                </c:pt>
                <c:pt idx="5">
                  <c:v>0.0237121</c:v>
                </c:pt>
                <c:pt idx="6">
                  <c:v>0.0218542</c:v>
                </c:pt>
                <c:pt idx="7">
                  <c:v>0.0196618</c:v>
                </c:pt>
                <c:pt idx="8">
                  <c:v>0.0033687</c:v>
                </c:pt>
                <c:pt idx="9">
                  <c:v>0.00130376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791392"/>
        <c:axId val="434793440"/>
      </c:barChart>
      <c:lineChart>
        <c:grouping val="standard"/>
        <c:varyColors val="0"/>
        <c:ser>
          <c:idx val="0"/>
          <c:order val="1"/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Comps'!$B$121:$K$121</c:f>
              <c:numCache>
                <c:formatCode>General</c:formatCode>
                <c:ptCount val="10"/>
                <c:pt idx="0">
                  <c:v>0.0</c:v>
                </c:pt>
                <c:pt idx="1">
                  <c:v>0.188714</c:v>
                </c:pt>
                <c:pt idx="2">
                  <c:v>0.267392</c:v>
                </c:pt>
                <c:pt idx="3">
                  <c:v>0.393376</c:v>
                </c:pt>
                <c:pt idx="4">
                  <c:v>0.0475486</c:v>
                </c:pt>
                <c:pt idx="5">
                  <c:v>0.0294249</c:v>
                </c:pt>
                <c:pt idx="6">
                  <c:v>0.0274604</c:v>
                </c:pt>
                <c:pt idx="7">
                  <c:v>0.0356327</c:v>
                </c:pt>
                <c:pt idx="8">
                  <c:v>0.00561036</c:v>
                </c:pt>
                <c:pt idx="9">
                  <c:v>0.0033219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791392"/>
        <c:axId val="434793440"/>
      </c:lineChart>
      <c:catAx>
        <c:axId val="43479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479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47934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479139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Comps'!$S$102:$AB$102</c:f>
              <c:numCache>
                <c:formatCode>General</c:formatCode>
                <c:ptCount val="10"/>
                <c:pt idx="0">
                  <c:v>0.0</c:v>
                </c:pt>
                <c:pt idx="1">
                  <c:v>0.888112</c:v>
                </c:pt>
                <c:pt idx="2">
                  <c:v>0.0838623</c:v>
                </c:pt>
                <c:pt idx="3">
                  <c:v>0.00891739</c:v>
                </c:pt>
                <c:pt idx="4">
                  <c:v>0.01153</c:v>
                </c:pt>
                <c:pt idx="5">
                  <c:v>0.00276374</c:v>
                </c:pt>
                <c:pt idx="6">
                  <c:v>0.000647752</c:v>
                </c:pt>
                <c:pt idx="7">
                  <c:v>8.6367E-5</c:v>
                </c:pt>
                <c:pt idx="8">
                  <c:v>0.000604569</c:v>
                </c:pt>
                <c:pt idx="9">
                  <c:v>0.00127391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442256"/>
        <c:axId val="44987048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Comps'!$C$102:$K$102</c:f>
              <c:numCache>
                <c:formatCode>General</c:formatCode>
                <c:ptCount val="9"/>
                <c:pt idx="0">
                  <c:v>0.867661</c:v>
                </c:pt>
                <c:pt idx="1">
                  <c:v>0.0808421</c:v>
                </c:pt>
                <c:pt idx="2">
                  <c:v>0.0225791</c:v>
                </c:pt>
                <c:pt idx="3">
                  <c:v>0.0146469</c:v>
                </c:pt>
                <c:pt idx="4">
                  <c:v>0.00757458</c:v>
                </c:pt>
                <c:pt idx="5">
                  <c:v>0.0042727</c:v>
                </c:pt>
                <c:pt idx="6">
                  <c:v>0.000925149</c:v>
                </c:pt>
                <c:pt idx="7">
                  <c:v>0.000566243</c:v>
                </c:pt>
                <c:pt idx="8">
                  <c:v>0.00044787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442256"/>
        <c:axId val="449870480"/>
      </c:scatterChart>
      <c:catAx>
        <c:axId val="45044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49870480"/>
        <c:crosses val="autoZero"/>
        <c:auto val="1"/>
        <c:lblAlgn val="ctr"/>
        <c:lblOffset val="100"/>
        <c:tickMarkSkip val="1"/>
        <c:noMultiLvlLbl val="0"/>
      </c:catAx>
      <c:valAx>
        <c:axId val="44987048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44225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Comps'!$B$2:$J$2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cat>
          <c:val>
            <c:numRef>
              <c:f>'Age Comps'!$S$103:$AB$103</c:f>
              <c:numCache>
                <c:formatCode>General</c:formatCode>
                <c:ptCount val="10"/>
                <c:pt idx="0">
                  <c:v>0.0</c:v>
                </c:pt>
                <c:pt idx="1">
                  <c:v>0.191014</c:v>
                </c:pt>
                <c:pt idx="2">
                  <c:v>0.230722</c:v>
                </c:pt>
                <c:pt idx="3">
                  <c:v>0.428924</c:v>
                </c:pt>
                <c:pt idx="4">
                  <c:v>0.100534</c:v>
                </c:pt>
                <c:pt idx="5">
                  <c:v>0.0158944</c:v>
                </c:pt>
                <c:pt idx="6">
                  <c:v>0.00791912</c:v>
                </c:pt>
                <c:pt idx="7">
                  <c:v>0.00999719</c:v>
                </c:pt>
                <c:pt idx="8">
                  <c:v>0.00505476</c:v>
                </c:pt>
                <c:pt idx="9">
                  <c:v>0.00308902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147840"/>
        <c:axId val="42914988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Comps'!$C$2:$J$2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xVal>
          <c:yVal>
            <c:numRef>
              <c:f>'Age Comps'!$C$103:$J$103</c:f>
              <c:numCache>
                <c:formatCode>General</c:formatCode>
                <c:ptCount val="8"/>
                <c:pt idx="0">
                  <c:v>0.319789</c:v>
                </c:pt>
                <c:pt idx="1">
                  <c:v>0.225682</c:v>
                </c:pt>
                <c:pt idx="2">
                  <c:v>0.351833</c:v>
                </c:pt>
                <c:pt idx="3">
                  <c:v>0.0757905</c:v>
                </c:pt>
                <c:pt idx="4">
                  <c:v>0.0147539</c:v>
                </c:pt>
                <c:pt idx="5">
                  <c:v>0.00628673</c:v>
                </c:pt>
                <c:pt idx="6">
                  <c:v>0.00305932</c:v>
                </c:pt>
                <c:pt idx="7">
                  <c:v>0.00153016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147840"/>
        <c:axId val="429149888"/>
      </c:scatterChart>
      <c:catAx>
        <c:axId val="42914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29149888"/>
        <c:crosses val="autoZero"/>
        <c:auto val="1"/>
        <c:lblAlgn val="ctr"/>
        <c:lblOffset val="100"/>
        <c:tickMarkSkip val="1"/>
        <c:noMultiLvlLbl val="0"/>
      </c:catAx>
      <c:valAx>
        <c:axId val="42914988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914784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Comps'!$S$104:$AB$104</c:f>
              <c:numCache>
                <c:formatCode>General</c:formatCode>
                <c:ptCount val="10"/>
                <c:pt idx="0">
                  <c:v>0.0</c:v>
                </c:pt>
                <c:pt idx="1">
                  <c:v>0.0620782</c:v>
                </c:pt>
                <c:pt idx="2">
                  <c:v>0.544537</c:v>
                </c:pt>
                <c:pt idx="3">
                  <c:v>0.0600067</c:v>
                </c:pt>
                <c:pt idx="4">
                  <c:v>0.146074</c:v>
                </c:pt>
                <c:pt idx="5">
                  <c:v>0.100902</c:v>
                </c:pt>
                <c:pt idx="6">
                  <c:v>0.0753091</c:v>
                </c:pt>
                <c:pt idx="7">
                  <c:v>0.00868694</c:v>
                </c:pt>
                <c:pt idx="8">
                  <c:v>0.00140327</c:v>
                </c:pt>
                <c:pt idx="9">
                  <c:v>0.000467758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720976"/>
        <c:axId val="4347163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Comps'!$C$104:$K$104</c:f>
              <c:numCache>
                <c:formatCode>General</c:formatCode>
                <c:ptCount val="9"/>
                <c:pt idx="0">
                  <c:v>0.146341</c:v>
                </c:pt>
                <c:pt idx="1">
                  <c:v>0.454264</c:v>
                </c:pt>
                <c:pt idx="2">
                  <c:v>0.106421</c:v>
                </c:pt>
                <c:pt idx="3">
                  <c:v>0.13615</c:v>
                </c:pt>
                <c:pt idx="4">
                  <c:v>0.0603846</c:v>
                </c:pt>
                <c:pt idx="5">
                  <c:v>0.0783411</c:v>
                </c:pt>
                <c:pt idx="6">
                  <c:v>0.0126981</c:v>
                </c:pt>
                <c:pt idx="7">
                  <c:v>0.00289619</c:v>
                </c:pt>
                <c:pt idx="8">
                  <c:v>0.00119939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20976"/>
        <c:axId val="434716384"/>
      </c:scatterChart>
      <c:catAx>
        <c:axId val="43472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34716384"/>
        <c:crosses val="autoZero"/>
        <c:auto val="1"/>
        <c:lblAlgn val="ctr"/>
        <c:lblOffset val="100"/>
        <c:tickMarkSkip val="1"/>
        <c:noMultiLvlLbl val="0"/>
      </c:catAx>
      <c:valAx>
        <c:axId val="4347163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72097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Comps'!$S$105:$AB$105</c:f>
              <c:numCache>
                <c:formatCode>General</c:formatCode>
                <c:ptCount val="10"/>
                <c:pt idx="0">
                  <c:v>0.0</c:v>
                </c:pt>
                <c:pt idx="1">
                  <c:v>0.0905534</c:v>
                </c:pt>
                <c:pt idx="2">
                  <c:v>0.292018</c:v>
                </c:pt>
                <c:pt idx="3">
                  <c:v>0.314657</c:v>
                </c:pt>
                <c:pt idx="4">
                  <c:v>0.0601789</c:v>
                </c:pt>
                <c:pt idx="5">
                  <c:v>0.153257</c:v>
                </c:pt>
                <c:pt idx="6">
                  <c:v>0.0328175</c:v>
                </c:pt>
                <c:pt idx="7">
                  <c:v>0.0122964</c:v>
                </c:pt>
                <c:pt idx="8">
                  <c:v>0.0105479</c:v>
                </c:pt>
                <c:pt idx="9">
                  <c:v>0.0207262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664240"/>
        <c:axId val="43465460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Comps'!$C$105:$K$105</c:f>
              <c:numCache>
                <c:formatCode>General</c:formatCode>
                <c:ptCount val="9"/>
                <c:pt idx="0">
                  <c:v>0.11825</c:v>
                </c:pt>
                <c:pt idx="1">
                  <c:v>0.175334</c:v>
                </c:pt>
                <c:pt idx="2">
                  <c:v>0.317602</c:v>
                </c:pt>
                <c:pt idx="3">
                  <c:v>0.0864896</c:v>
                </c:pt>
                <c:pt idx="4">
                  <c:v>0.184553</c:v>
                </c:pt>
                <c:pt idx="5">
                  <c:v>0.0368164</c:v>
                </c:pt>
                <c:pt idx="6">
                  <c:v>0.035288</c:v>
                </c:pt>
                <c:pt idx="7">
                  <c:v>0.0173219</c:v>
                </c:pt>
                <c:pt idx="8">
                  <c:v>0.0223382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64240"/>
        <c:axId val="434654608"/>
      </c:scatterChart>
      <c:catAx>
        <c:axId val="43466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34654608"/>
        <c:crosses val="autoZero"/>
        <c:auto val="1"/>
        <c:lblAlgn val="ctr"/>
        <c:lblOffset val="100"/>
        <c:tickMarkSkip val="1"/>
        <c:noMultiLvlLbl val="0"/>
      </c:catAx>
      <c:valAx>
        <c:axId val="434654608"/>
        <c:scaling>
          <c:orientation val="minMax"/>
          <c:max val="0.5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66424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8783707897360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Comps'!$S$106:$AB$106</c:f>
              <c:numCache>
                <c:formatCode>General</c:formatCode>
                <c:ptCount val="10"/>
                <c:pt idx="0">
                  <c:v>0.0</c:v>
                </c:pt>
                <c:pt idx="1">
                  <c:v>0.768784</c:v>
                </c:pt>
                <c:pt idx="2">
                  <c:v>0.125108</c:v>
                </c:pt>
                <c:pt idx="3">
                  <c:v>0.027757</c:v>
                </c:pt>
                <c:pt idx="4">
                  <c:v>0.0289965</c:v>
                </c:pt>
                <c:pt idx="5">
                  <c:v>0.0172126</c:v>
                </c:pt>
                <c:pt idx="6">
                  <c:v>0.0154902</c:v>
                </c:pt>
                <c:pt idx="7">
                  <c:v>0.00500488</c:v>
                </c:pt>
                <c:pt idx="8">
                  <c:v>0.00479163</c:v>
                </c:pt>
                <c:pt idx="9">
                  <c:v>0.00189756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573136"/>
        <c:axId val="434575184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Comps'!$C$106:$K$106</c:f>
              <c:numCache>
                <c:formatCode>General</c:formatCode>
                <c:ptCount val="9"/>
                <c:pt idx="0">
                  <c:v>0.649664</c:v>
                </c:pt>
                <c:pt idx="1">
                  <c:v>0.118958</c:v>
                </c:pt>
                <c:pt idx="2">
                  <c:v>0.0432219</c:v>
                </c:pt>
                <c:pt idx="3">
                  <c:v>0.038534</c:v>
                </c:pt>
                <c:pt idx="4">
                  <c:v>0.0360556</c:v>
                </c:pt>
                <c:pt idx="5">
                  <c:v>0.0554916</c:v>
                </c:pt>
                <c:pt idx="6">
                  <c:v>0.0115439</c:v>
                </c:pt>
                <c:pt idx="7">
                  <c:v>0.0268957</c:v>
                </c:pt>
                <c:pt idx="8">
                  <c:v>0.00533047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73136"/>
        <c:axId val="434575184"/>
      </c:scatterChart>
      <c:catAx>
        <c:axId val="4345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3457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457518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57313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Comps'!$S$107:$AB$107</c:f>
              <c:numCache>
                <c:formatCode>General</c:formatCode>
                <c:ptCount val="10"/>
                <c:pt idx="0">
                  <c:v>0.0</c:v>
                </c:pt>
                <c:pt idx="1">
                  <c:v>0.427795</c:v>
                </c:pt>
                <c:pt idx="2">
                  <c:v>0.12347</c:v>
                </c:pt>
                <c:pt idx="3">
                  <c:v>0.182954</c:v>
                </c:pt>
                <c:pt idx="4">
                  <c:v>0.209043</c:v>
                </c:pt>
                <c:pt idx="5">
                  <c:v>0.0321211</c:v>
                </c:pt>
                <c:pt idx="6">
                  <c:v>0.00759384</c:v>
                </c:pt>
                <c:pt idx="7">
                  <c:v>0.00731374</c:v>
                </c:pt>
                <c:pt idx="8">
                  <c:v>0.00329637</c:v>
                </c:pt>
                <c:pt idx="9">
                  <c:v>0.00230693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473856"/>
        <c:axId val="43447548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Comps'!$C$107:$K$107</c:f>
              <c:numCache>
                <c:formatCode>General</c:formatCode>
                <c:ptCount val="9"/>
                <c:pt idx="0">
                  <c:v>0.457378</c:v>
                </c:pt>
                <c:pt idx="1">
                  <c:v>0.180879</c:v>
                </c:pt>
                <c:pt idx="2">
                  <c:v>0.148054</c:v>
                </c:pt>
                <c:pt idx="3">
                  <c:v>0.167526</c:v>
                </c:pt>
                <c:pt idx="4">
                  <c:v>0.0222412</c:v>
                </c:pt>
                <c:pt idx="5">
                  <c:v>0.00609627</c:v>
                </c:pt>
                <c:pt idx="6">
                  <c:v>0.00346541</c:v>
                </c:pt>
                <c:pt idx="7">
                  <c:v>0.00338933</c:v>
                </c:pt>
                <c:pt idx="8">
                  <c:v>0.00483908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73856"/>
        <c:axId val="434475488"/>
      </c:scatterChart>
      <c:catAx>
        <c:axId val="434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 baseline="0"/>
            </a:pPr>
            <a:endParaRPr lang="en-US"/>
          </a:p>
        </c:txPr>
        <c:crossAx val="434475488"/>
        <c:crosses val="autoZero"/>
        <c:auto val="1"/>
        <c:lblAlgn val="ctr"/>
        <c:lblOffset val="100"/>
        <c:tickMarkSkip val="1"/>
        <c:noMultiLvlLbl val="0"/>
      </c:catAx>
      <c:valAx>
        <c:axId val="434475488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47385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Comps'!$S$108:$AB$108</c:f>
              <c:numCache>
                <c:formatCode>General</c:formatCode>
                <c:ptCount val="10"/>
                <c:pt idx="0">
                  <c:v>0.0</c:v>
                </c:pt>
                <c:pt idx="1">
                  <c:v>0.0803898</c:v>
                </c:pt>
                <c:pt idx="2">
                  <c:v>0.0937116</c:v>
                </c:pt>
                <c:pt idx="3">
                  <c:v>0.483798</c:v>
                </c:pt>
                <c:pt idx="4">
                  <c:v>0.147803</c:v>
                </c:pt>
                <c:pt idx="5">
                  <c:v>0.0917169</c:v>
                </c:pt>
                <c:pt idx="6">
                  <c:v>0.0782211</c:v>
                </c:pt>
                <c:pt idx="7">
                  <c:v>0.0152837</c:v>
                </c:pt>
                <c:pt idx="8">
                  <c:v>0.00301154</c:v>
                </c:pt>
                <c:pt idx="9">
                  <c:v>0.00113003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454416"/>
        <c:axId val="43444137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Comps'!$C$108:$K$108</c:f>
              <c:numCache>
                <c:formatCode>General</c:formatCode>
                <c:ptCount val="9"/>
                <c:pt idx="0">
                  <c:v>0.146046</c:v>
                </c:pt>
                <c:pt idx="1">
                  <c:v>0.174189</c:v>
                </c:pt>
                <c:pt idx="2">
                  <c:v>0.397647</c:v>
                </c:pt>
                <c:pt idx="3">
                  <c:v>0.135445</c:v>
                </c:pt>
                <c:pt idx="4">
                  <c:v>0.0703723</c:v>
                </c:pt>
                <c:pt idx="5">
                  <c:v>0.0584616</c:v>
                </c:pt>
                <c:pt idx="6">
                  <c:v>0.00796522</c:v>
                </c:pt>
                <c:pt idx="7">
                  <c:v>0.00214199</c:v>
                </c:pt>
                <c:pt idx="8">
                  <c:v>0.00148825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54416"/>
        <c:axId val="434441376"/>
      </c:scatterChart>
      <c:catAx>
        <c:axId val="43445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441376"/>
        <c:crosses val="autoZero"/>
        <c:auto val="1"/>
        <c:lblAlgn val="ctr"/>
        <c:lblOffset val="100"/>
        <c:noMultiLvlLbl val="0"/>
      </c:catAx>
      <c:valAx>
        <c:axId val="434441376"/>
        <c:scaling>
          <c:orientation val="minMax"/>
          <c:max val="0.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45441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Comps'!$S$109:$AB$109</c:f>
              <c:numCache>
                <c:formatCode>General</c:formatCode>
                <c:ptCount val="10"/>
                <c:pt idx="0">
                  <c:v>0.0</c:v>
                </c:pt>
                <c:pt idx="1">
                  <c:v>0.434015</c:v>
                </c:pt>
                <c:pt idx="2">
                  <c:v>0.0609747</c:v>
                </c:pt>
                <c:pt idx="3">
                  <c:v>0.0776819</c:v>
                </c:pt>
                <c:pt idx="4">
                  <c:v>0.303524</c:v>
                </c:pt>
                <c:pt idx="5">
                  <c:v>0.0607654</c:v>
                </c:pt>
                <c:pt idx="6">
                  <c:v>0.0324845</c:v>
                </c:pt>
                <c:pt idx="7">
                  <c:v>0.0225766</c:v>
                </c:pt>
                <c:pt idx="8">
                  <c:v>0.00518014</c:v>
                </c:pt>
                <c:pt idx="9">
                  <c:v>0.000615315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412992"/>
        <c:axId val="43439880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xVal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xVal>
          <c:yVal>
            <c:numRef>
              <c:f>'Age Comps'!$B$109:$K$109</c:f>
              <c:numCache>
                <c:formatCode>General</c:formatCode>
                <c:ptCount val="10"/>
                <c:pt idx="0">
                  <c:v>0.0</c:v>
                </c:pt>
                <c:pt idx="1">
                  <c:v>0.308439</c:v>
                </c:pt>
                <c:pt idx="2">
                  <c:v>0.11966</c:v>
                </c:pt>
                <c:pt idx="3">
                  <c:v>0.134686</c:v>
                </c:pt>
                <c:pt idx="4">
                  <c:v>0.287263</c:v>
                </c:pt>
                <c:pt idx="5">
                  <c:v>0.0749108</c:v>
                </c:pt>
                <c:pt idx="6">
                  <c:v>0.0403747</c:v>
                </c:pt>
                <c:pt idx="7">
                  <c:v>0.0252835</c:v>
                </c:pt>
                <c:pt idx="8">
                  <c:v>0.00408328</c:v>
                </c:pt>
                <c:pt idx="9">
                  <c:v>0.00113502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12992"/>
        <c:axId val="434398800"/>
      </c:scatterChart>
      <c:catAx>
        <c:axId val="43441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34398800"/>
        <c:crosses val="autoZero"/>
        <c:auto val="1"/>
        <c:lblAlgn val="ctr"/>
        <c:lblOffset val="100"/>
        <c:tickMarkSkip val="1"/>
        <c:noMultiLvlLbl val="0"/>
      </c:catAx>
      <c:valAx>
        <c:axId val="43439880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41299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886556440709603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Comps'!$S$110:$AB$110</c:f>
              <c:numCache>
                <c:formatCode>General</c:formatCode>
                <c:ptCount val="10"/>
                <c:pt idx="0">
                  <c:v>0.0</c:v>
                </c:pt>
                <c:pt idx="1">
                  <c:v>0.167315</c:v>
                </c:pt>
                <c:pt idx="2">
                  <c:v>0.379074</c:v>
                </c:pt>
                <c:pt idx="3">
                  <c:v>0.17743</c:v>
                </c:pt>
                <c:pt idx="4">
                  <c:v>0.0613952</c:v>
                </c:pt>
                <c:pt idx="5">
                  <c:v>0.0288705</c:v>
                </c:pt>
                <c:pt idx="6">
                  <c:v>0.123204</c:v>
                </c:pt>
                <c:pt idx="7">
                  <c:v>0.0421798</c:v>
                </c:pt>
                <c:pt idx="8">
                  <c:v>0.0110281</c:v>
                </c:pt>
                <c:pt idx="9">
                  <c:v>0.00704765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78006288"/>
        <c:axId val="27802196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Comps'!$C$110:$K$110</c:f>
              <c:numCache>
                <c:formatCode>General</c:formatCode>
                <c:ptCount val="9"/>
                <c:pt idx="0">
                  <c:v>0.210189</c:v>
                </c:pt>
                <c:pt idx="1">
                  <c:v>0.340257</c:v>
                </c:pt>
                <c:pt idx="2">
                  <c:v>0.189926</c:v>
                </c:pt>
                <c:pt idx="3">
                  <c:v>0.064921</c:v>
                </c:pt>
                <c:pt idx="4">
                  <c:v>0.0538782</c:v>
                </c:pt>
                <c:pt idx="5">
                  <c:v>0.0956954</c:v>
                </c:pt>
                <c:pt idx="6">
                  <c:v>0.0234611</c:v>
                </c:pt>
                <c:pt idx="7">
                  <c:v>0.0109335</c:v>
                </c:pt>
                <c:pt idx="8">
                  <c:v>0.00779544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06288"/>
        <c:axId val="278021968"/>
      </c:scatterChart>
      <c:catAx>
        <c:axId val="27800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78021968"/>
        <c:crosses val="autoZero"/>
        <c:auto val="1"/>
        <c:lblAlgn val="ctr"/>
        <c:lblOffset val="100"/>
        <c:tickMarkSkip val="1"/>
        <c:noMultiLvlLbl val="0"/>
      </c:catAx>
      <c:valAx>
        <c:axId val="27802196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27800628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gradFill rotWithShape="0">
              <a:gsLst>
                <a:gs pos="0">
                  <a:srgbClr val="0000FF"/>
                </a:gs>
                <a:gs pos="100000">
                  <a:srgbClr val="FFFFFF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Comps'!$S$110:$AG$110</c:f>
              <c:numCache>
                <c:formatCode>General</c:formatCode>
                <c:ptCount val="15"/>
                <c:pt idx="0">
                  <c:v>0.0</c:v>
                </c:pt>
                <c:pt idx="1">
                  <c:v>0.167315</c:v>
                </c:pt>
                <c:pt idx="2">
                  <c:v>0.379074</c:v>
                </c:pt>
                <c:pt idx="3">
                  <c:v>0.17743</c:v>
                </c:pt>
                <c:pt idx="4">
                  <c:v>0.0613952</c:v>
                </c:pt>
                <c:pt idx="5">
                  <c:v>0.0288705</c:v>
                </c:pt>
                <c:pt idx="6">
                  <c:v>0.123204</c:v>
                </c:pt>
                <c:pt idx="7">
                  <c:v>0.0421798</c:v>
                </c:pt>
                <c:pt idx="8">
                  <c:v>0.0110281</c:v>
                </c:pt>
                <c:pt idx="9">
                  <c:v>0.00704765</c:v>
                </c:pt>
                <c:pt idx="10">
                  <c:v>0.00152438</c:v>
                </c:pt>
                <c:pt idx="11">
                  <c:v>0.00068202</c:v>
                </c:pt>
                <c:pt idx="12">
                  <c:v>0.000176027</c:v>
                </c:pt>
                <c:pt idx="13">
                  <c:v>0.0</c:v>
                </c:pt>
                <c:pt idx="14">
                  <c:v>7.30603E-5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5452192"/>
        <c:axId val="444602704"/>
      </c:barChart>
      <c:catAx>
        <c:axId val="44545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omic Sans MS"/>
                <a:ea typeface="Comic Sans MS"/>
                <a:cs typeface="Comic Sans MS"/>
              </a:defRPr>
            </a:pPr>
            <a:endParaRPr lang="en-US"/>
          </a:p>
        </c:txPr>
        <c:crossAx val="444602704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444602704"/>
        <c:scaling>
          <c:orientation val="minMax"/>
          <c:max val="0.5"/>
          <c:min val="0.0"/>
        </c:scaling>
        <c:delete val="1"/>
        <c:axPos val="l"/>
        <c:numFmt formatCode="General" sourceLinked="1"/>
        <c:majorTickMark val="out"/>
        <c:minorTickMark val="none"/>
        <c:tickLblPos val="nextTo"/>
        <c:crossAx val="44545219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26558358864488"/>
          <c:y val="0.0588236500944765"/>
          <c:w val="0.907344164113552"/>
          <c:h val="0.873848725316605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Comps'!$S$111:$AB$111</c:f>
              <c:numCache>
                <c:formatCode>General</c:formatCode>
                <c:ptCount val="10"/>
                <c:pt idx="0">
                  <c:v>0.0</c:v>
                </c:pt>
                <c:pt idx="1">
                  <c:v>0.172593</c:v>
                </c:pt>
                <c:pt idx="2">
                  <c:v>0.160739</c:v>
                </c:pt>
                <c:pt idx="3">
                  <c:v>0.336419</c:v>
                </c:pt>
                <c:pt idx="4">
                  <c:v>0.122047</c:v>
                </c:pt>
                <c:pt idx="5">
                  <c:v>0.0330838</c:v>
                </c:pt>
                <c:pt idx="6">
                  <c:v>0.0317415</c:v>
                </c:pt>
                <c:pt idx="7">
                  <c:v>0.0983642</c:v>
                </c:pt>
                <c:pt idx="8">
                  <c:v>0.0258318</c:v>
                </c:pt>
                <c:pt idx="9">
                  <c:v>0.0114889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860368"/>
        <c:axId val="45086241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Comps'!$C$111:$K$111</c:f>
              <c:numCache>
                <c:formatCode>General</c:formatCode>
                <c:ptCount val="9"/>
                <c:pt idx="0">
                  <c:v>0.247394</c:v>
                </c:pt>
                <c:pt idx="1">
                  <c:v>0.184858</c:v>
                </c:pt>
                <c:pt idx="2">
                  <c:v>0.272433</c:v>
                </c:pt>
                <c:pt idx="3">
                  <c:v>0.140506</c:v>
                </c:pt>
                <c:pt idx="4">
                  <c:v>0.0392113</c:v>
                </c:pt>
                <c:pt idx="5">
                  <c:v>0.0365567</c:v>
                </c:pt>
                <c:pt idx="6">
                  <c:v>0.0497974</c:v>
                </c:pt>
                <c:pt idx="7">
                  <c:v>0.0150566</c:v>
                </c:pt>
                <c:pt idx="8">
                  <c:v>0.00713675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60368"/>
        <c:axId val="450862416"/>
      </c:scatterChart>
      <c:catAx>
        <c:axId val="45086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5086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086241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86036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Comps'!$S$112:$AB$112</c:f>
              <c:numCache>
                <c:formatCode>General</c:formatCode>
                <c:ptCount val="10"/>
                <c:pt idx="0">
                  <c:v>0.0</c:v>
                </c:pt>
                <c:pt idx="1">
                  <c:v>0.362231</c:v>
                </c:pt>
                <c:pt idx="2">
                  <c:v>0.332257</c:v>
                </c:pt>
                <c:pt idx="3">
                  <c:v>0.112043</c:v>
                </c:pt>
                <c:pt idx="4">
                  <c:v>0.0592837</c:v>
                </c:pt>
                <c:pt idx="5">
                  <c:v>0.0513246</c:v>
                </c:pt>
                <c:pt idx="6">
                  <c:v>0.0248756</c:v>
                </c:pt>
                <c:pt idx="7">
                  <c:v>0.00864945</c:v>
                </c:pt>
                <c:pt idx="8">
                  <c:v>0.0113935</c:v>
                </c:pt>
                <c:pt idx="9">
                  <c:v>0.0205768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818960"/>
        <c:axId val="45081369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Comps'!$C$112:$K$112</c:f>
              <c:numCache>
                <c:formatCode>General</c:formatCode>
                <c:ptCount val="9"/>
                <c:pt idx="0">
                  <c:v>0.422291</c:v>
                </c:pt>
                <c:pt idx="1">
                  <c:v>0.247043</c:v>
                </c:pt>
                <c:pt idx="2">
                  <c:v>0.120811</c:v>
                </c:pt>
                <c:pt idx="3">
                  <c:v>0.07402</c:v>
                </c:pt>
                <c:pt idx="4">
                  <c:v>0.067869</c:v>
                </c:pt>
                <c:pt idx="5">
                  <c:v>0.0309094</c:v>
                </c:pt>
                <c:pt idx="6">
                  <c:v>0.0086394</c:v>
                </c:pt>
                <c:pt idx="7">
                  <c:v>0.00774274</c:v>
                </c:pt>
                <c:pt idx="8">
                  <c:v>0.0127697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18960"/>
        <c:axId val="450813696"/>
      </c:scatterChart>
      <c:catAx>
        <c:axId val="45081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50813696"/>
        <c:crosses val="autoZero"/>
        <c:auto val="1"/>
        <c:lblAlgn val="ctr"/>
        <c:lblOffset val="100"/>
        <c:tickMarkSkip val="1"/>
        <c:noMultiLvlLbl val="0"/>
      </c:catAx>
      <c:valAx>
        <c:axId val="45081369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81896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6070204139548"/>
          <c:y val="0.0672270286794017"/>
          <c:w val="0.903848039880559"/>
          <c:h val="0.86974968353976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Comps'!$S$113:$AB$113</c:f>
              <c:numCache>
                <c:formatCode>General</c:formatCode>
                <c:ptCount val="10"/>
                <c:pt idx="0">
                  <c:v>0.0</c:v>
                </c:pt>
                <c:pt idx="1">
                  <c:v>0.0403398</c:v>
                </c:pt>
                <c:pt idx="2">
                  <c:v>0.174343</c:v>
                </c:pt>
                <c:pt idx="3">
                  <c:v>0.429543</c:v>
                </c:pt>
                <c:pt idx="4">
                  <c:v>0.21182</c:v>
                </c:pt>
                <c:pt idx="5">
                  <c:v>0.0611589</c:v>
                </c:pt>
                <c:pt idx="6">
                  <c:v>0.0296967</c:v>
                </c:pt>
                <c:pt idx="7">
                  <c:v>0.0282705</c:v>
                </c:pt>
                <c:pt idx="8">
                  <c:v>0.00997222</c:v>
                </c:pt>
                <c:pt idx="9">
                  <c:v>0.00508881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776992"/>
        <c:axId val="45077904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Comps'!$C$2:$K$2</c:f>
              <c:numCache>
                <c:formatCode>General</c:formatCode>
                <c:ptCount val="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'Age Comps'!$C$113:$K$113</c:f>
              <c:numCache>
                <c:formatCode>General</c:formatCode>
                <c:ptCount val="9"/>
                <c:pt idx="0">
                  <c:v>0.200806</c:v>
                </c:pt>
                <c:pt idx="1">
                  <c:v>0.267453</c:v>
                </c:pt>
                <c:pt idx="2">
                  <c:v>0.281557</c:v>
                </c:pt>
                <c:pt idx="3">
                  <c:v>0.142456</c:v>
                </c:pt>
                <c:pt idx="4">
                  <c:v>0.0454064</c:v>
                </c:pt>
                <c:pt idx="5">
                  <c:v>0.0224362</c:v>
                </c:pt>
                <c:pt idx="6">
                  <c:v>0.0178605</c:v>
                </c:pt>
                <c:pt idx="7">
                  <c:v>0.00830115</c:v>
                </c:pt>
                <c:pt idx="8">
                  <c:v>0.00297439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776992"/>
        <c:axId val="450779040"/>
      </c:scatterChart>
      <c:catAx>
        <c:axId val="450776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 baseline="0"/>
            </a:pPr>
            <a:endParaRPr lang="en-US"/>
          </a:p>
        </c:txPr>
        <c:crossAx val="450779040"/>
        <c:crosses val="autoZero"/>
        <c:auto val="1"/>
        <c:lblAlgn val="ctr"/>
        <c:lblOffset val="100"/>
        <c:tickMarkSkip val="1"/>
        <c:noMultiLvlLbl val="0"/>
      </c:catAx>
      <c:valAx>
        <c:axId val="45077904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77699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88655644070960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Comps'!$S$114:$AB$114</c:f>
              <c:numCache>
                <c:formatCode>General</c:formatCode>
                <c:ptCount val="10"/>
                <c:pt idx="0">
                  <c:v>0.0</c:v>
                </c:pt>
                <c:pt idx="1">
                  <c:v>0.0709545</c:v>
                </c:pt>
                <c:pt idx="2">
                  <c:v>0.0959062</c:v>
                </c:pt>
                <c:pt idx="3">
                  <c:v>0.207502</c:v>
                </c:pt>
                <c:pt idx="4">
                  <c:v>0.236488</c:v>
                </c:pt>
                <c:pt idx="5">
                  <c:v>0.187674</c:v>
                </c:pt>
                <c:pt idx="6">
                  <c:v>0.108739</c:v>
                </c:pt>
                <c:pt idx="7">
                  <c:v>0.0374383</c:v>
                </c:pt>
                <c:pt idx="8">
                  <c:v>0.018023</c:v>
                </c:pt>
                <c:pt idx="9">
                  <c:v>0.0137159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757952"/>
        <c:axId val="450760272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Comps'!$B$114:$K$114</c:f>
              <c:numCache>
                <c:formatCode>General</c:formatCode>
                <c:ptCount val="10"/>
                <c:pt idx="0">
                  <c:v>0.0</c:v>
                </c:pt>
                <c:pt idx="1">
                  <c:v>0.125353</c:v>
                </c:pt>
                <c:pt idx="2">
                  <c:v>0.138529</c:v>
                </c:pt>
                <c:pt idx="3">
                  <c:v>0.226473</c:v>
                </c:pt>
                <c:pt idx="4">
                  <c:v>0.234621</c:v>
                </c:pt>
                <c:pt idx="5">
                  <c:v>0.146516</c:v>
                </c:pt>
                <c:pt idx="6">
                  <c:v>0.0702171</c:v>
                </c:pt>
                <c:pt idx="7">
                  <c:v>0.022396</c:v>
                </c:pt>
                <c:pt idx="8">
                  <c:v>0.0109466</c:v>
                </c:pt>
                <c:pt idx="9">
                  <c:v>0.0107502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757952"/>
        <c:axId val="450760272"/>
      </c:lineChart>
      <c:catAx>
        <c:axId val="45075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50760272"/>
        <c:crosses val="autoZero"/>
        <c:auto val="1"/>
        <c:lblAlgn val="ctr"/>
        <c:lblOffset val="100"/>
        <c:tickMarkSkip val="1"/>
        <c:noMultiLvlLbl val="0"/>
      </c:catAx>
      <c:valAx>
        <c:axId val="450760272"/>
        <c:scaling>
          <c:orientation val="minMax"/>
          <c:max val="0.25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75795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2400" baseline="0"/>
              <a:t>AT survey numbers</a:t>
            </a:r>
          </a:p>
        </c:rich>
      </c:tx>
      <c:layout>
        <c:manualLayout>
          <c:xMode val="edge"/>
          <c:yMode val="edge"/>
          <c:x val="0.440171239278851"/>
          <c:y val="0.033613395010706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62393623125906"/>
          <c:y val="0.0756304072643269"/>
          <c:w val="0.916667304261335"/>
          <c:h val="0.747900694058349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Summary!$R$15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2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Summary!$S$1:$AX$1</c:f>
              <c:numCache>
                <c:formatCode>General</c:formatCode>
                <c:ptCount val="32"/>
                <c:pt idx="0">
                  <c:v>1979.0</c:v>
                </c:pt>
                <c:pt idx="1">
                  <c:v>1980.0</c:v>
                </c:pt>
                <c:pt idx="2">
                  <c:v>1981.0</c:v>
                </c:pt>
                <c:pt idx="3">
                  <c:v>1982.0</c:v>
                </c:pt>
                <c:pt idx="4">
                  <c:v>1983.0</c:v>
                </c:pt>
                <c:pt idx="5">
                  <c:v>1984.0</c:v>
                </c:pt>
                <c:pt idx="6">
                  <c:v>1985.0</c:v>
                </c:pt>
                <c:pt idx="7">
                  <c:v>1986.0</c:v>
                </c:pt>
                <c:pt idx="8">
                  <c:v>1987.0</c:v>
                </c:pt>
                <c:pt idx="9">
                  <c:v>1988.0</c:v>
                </c:pt>
                <c:pt idx="10">
                  <c:v>1989.0</c:v>
                </c:pt>
                <c:pt idx="11">
                  <c:v>1990.0</c:v>
                </c:pt>
                <c:pt idx="12">
                  <c:v>1991.0</c:v>
                </c:pt>
                <c:pt idx="13">
                  <c:v>1992.0</c:v>
                </c:pt>
                <c:pt idx="14">
                  <c:v>1993.0</c:v>
                </c:pt>
                <c:pt idx="15">
                  <c:v>1994.0</c:v>
                </c:pt>
                <c:pt idx="16">
                  <c:v>1995.0</c:v>
                </c:pt>
                <c:pt idx="17">
                  <c:v>1996.0</c:v>
                </c:pt>
                <c:pt idx="18">
                  <c:v>1997.0</c:v>
                </c:pt>
                <c:pt idx="19">
                  <c:v>1998.0</c:v>
                </c:pt>
                <c:pt idx="20">
                  <c:v>1999.0</c:v>
                </c:pt>
                <c:pt idx="21">
                  <c:v>2000.0</c:v>
                </c:pt>
                <c:pt idx="22">
                  <c:v>2001.0</c:v>
                </c:pt>
                <c:pt idx="23">
                  <c:v>2002.0</c:v>
                </c:pt>
                <c:pt idx="24">
                  <c:v>2003.0</c:v>
                </c:pt>
                <c:pt idx="25">
                  <c:v>2004.0</c:v>
                </c:pt>
                <c:pt idx="26">
                  <c:v>2005.0</c:v>
                </c:pt>
                <c:pt idx="27">
                  <c:v>2006.0</c:v>
                </c:pt>
                <c:pt idx="28">
                  <c:v>2007.0</c:v>
                </c:pt>
                <c:pt idx="29">
                  <c:v>2008.0</c:v>
                </c:pt>
                <c:pt idx="30">
                  <c:v>2009.0</c:v>
                </c:pt>
                <c:pt idx="31">
                  <c:v>2010.0</c:v>
                </c:pt>
              </c:numCache>
            </c:numRef>
          </c:xVal>
          <c:yVal>
            <c:numRef>
              <c:f>Summary!$S$15:$AX$15</c:f>
              <c:numCache>
                <c:formatCode>General</c:formatCode>
                <c:ptCount val="32"/>
                <c:pt idx="0">
                  <c:v>46314.0</c:v>
                </c:pt>
                <c:pt idx="3">
                  <c:v>17805.0</c:v>
                </c:pt>
                <c:pt idx="6">
                  <c:v>14965.0</c:v>
                </c:pt>
                <c:pt idx="9">
                  <c:v>12280.0</c:v>
                </c:pt>
                <c:pt idx="12">
                  <c:v>7729.52</c:v>
                </c:pt>
                <c:pt idx="15">
                  <c:v>9129.62</c:v>
                </c:pt>
                <c:pt idx="17">
                  <c:v>5552.9</c:v>
                </c:pt>
                <c:pt idx="18">
                  <c:v>6319.49</c:v>
                </c:pt>
                <c:pt idx="20">
                  <c:v>9488.79</c:v>
                </c:pt>
                <c:pt idx="21">
                  <c:v>7371.83</c:v>
                </c:pt>
                <c:pt idx="23">
                  <c:v>11560.4</c:v>
                </c:pt>
                <c:pt idx="25">
                  <c:v>6818.74</c:v>
                </c:pt>
                <c:pt idx="27">
                  <c:v>2940.09</c:v>
                </c:pt>
                <c:pt idx="28">
                  <c:v>3618.12</c:v>
                </c:pt>
                <c:pt idx="29">
                  <c:v>4667.5</c:v>
                </c:pt>
                <c:pt idx="30">
                  <c:v>2869.71</c:v>
                </c:pt>
                <c:pt idx="31">
                  <c:v>10023.0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Summary!$R$14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12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Summary!$S$1:$AX$1</c:f>
              <c:numCache>
                <c:formatCode>General</c:formatCode>
                <c:ptCount val="32"/>
                <c:pt idx="0">
                  <c:v>1979.0</c:v>
                </c:pt>
                <c:pt idx="1">
                  <c:v>1980.0</c:v>
                </c:pt>
                <c:pt idx="2">
                  <c:v>1981.0</c:v>
                </c:pt>
                <c:pt idx="3">
                  <c:v>1982.0</c:v>
                </c:pt>
                <c:pt idx="4">
                  <c:v>1983.0</c:v>
                </c:pt>
                <c:pt idx="5">
                  <c:v>1984.0</c:v>
                </c:pt>
                <c:pt idx="6">
                  <c:v>1985.0</c:v>
                </c:pt>
                <c:pt idx="7">
                  <c:v>1986.0</c:v>
                </c:pt>
                <c:pt idx="8">
                  <c:v>1987.0</c:v>
                </c:pt>
                <c:pt idx="9">
                  <c:v>1988.0</c:v>
                </c:pt>
                <c:pt idx="10">
                  <c:v>1989.0</c:v>
                </c:pt>
                <c:pt idx="11">
                  <c:v>1990.0</c:v>
                </c:pt>
                <c:pt idx="12">
                  <c:v>1991.0</c:v>
                </c:pt>
                <c:pt idx="13">
                  <c:v>1992.0</c:v>
                </c:pt>
                <c:pt idx="14">
                  <c:v>1993.0</c:v>
                </c:pt>
                <c:pt idx="15">
                  <c:v>1994.0</c:v>
                </c:pt>
                <c:pt idx="16">
                  <c:v>1995.0</c:v>
                </c:pt>
                <c:pt idx="17">
                  <c:v>1996.0</c:v>
                </c:pt>
                <c:pt idx="18">
                  <c:v>1997.0</c:v>
                </c:pt>
                <c:pt idx="19">
                  <c:v>1998.0</c:v>
                </c:pt>
                <c:pt idx="20">
                  <c:v>1999.0</c:v>
                </c:pt>
                <c:pt idx="21">
                  <c:v>2000.0</c:v>
                </c:pt>
                <c:pt idx="22">
                  <c:v>2001.0</c:v>
                </c:pt>
                <c:pt idx="23">
                  <c:v>2002.0</c:v>
                </c:pt>
                <c:pt idx="24">
                  <c:v>2003.0</c:v>
                </c:pt>
                <c:pt idx="25">
                  <c:v>2004.0</c:v>
                </c:pt>
                <c:pt idx="26">
                  <c:v>2005.0</c:v>
                </c:pt>
                <c:pt idx="27">
                  <c:v>2006.0</c:v>
                </c:pt>
                <c:pt idx="28">
                  <c:v>2007.0</c:v>
                </c:pt>
                <c:pt idx="29">
                  <c:v>2008.0</c:v>
                </c:pt>
                <c:pt idx="30">
                  <c:v>2009.0</c:v>
                </c:pt>
                <c:pt idx="31">
                  <c:v>2010.0</c:v>
                </c:pt>
              </c:numCache>
            </c:numRef>
          </c:xVal>
          <c:yVal>
            <c:numRef>
              <c:f>Summary!$S$14:$AX$14</c:f>
              <c:numCache>
                <c:formatCode>General</c:formatCode>
                <c:ptCount val="32"/>
                <c:pt idx="0" formatCode="#,##0">
                  <c:v>12241.7</c:v>
                </c:pt>
                <c:pt idx="3">
                  <c:v>10850.0</c:v>
                </c:pt>
                <c:pt idx="6">
                  <c:v>10486.4</c:v>
                </c:pt>
                <c:pt idx="9">
                  <c:v>7497.98</c:v>
                </c:pt>
                <c:pt idx="12">
                  <c:v>8498.82</c:v>
                </c:pt>
                <c:pt idx="15">
                  <c:v>11604.5</c:v>
                </c:pt>
                <c:pt idx="17">
                  <c:v>8449.03</c:v>
                </c:pt>
                <c:pt idx="18">
                  <c:v>8385.24</c:v>
                </c:pt>
                <c:pt idx="20">
                  <c:v>8346.23</c:v>
                </c:pt>
                <c:pt idx="21">
                  <c:v>7707.07</c:v>
                </c:pt>
                <c:pt idx="23">
                  <c:v>9644.23</c:v>
                </c:pt>
                <c:pt idx="25">
                  <c:v>8255.52</c:v>
                </c:pt>
                <c:pt idx="27">
                  <c:v>4366.5</c:v>
                </c:pt>
                <c:pt idx="28">
                  <c:v>3938.44</c:v>
                </c:pt>
                <c:pt idx="29">
                  <c:v>5496.39</c:v>
                </c:pt>
                <c:pt idx="30">
                  <c:v>5643.1</c:v>
                </c:pt>
                <c:pt idx="31">
                  <c:v>10496.6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65792"/>
        <c:axId val="434360592"/>
      </c:scatterChart>
      <c:valAx>
        <c:axId val="434365792"/>
        <c:scaling>
          <c:orientation val="minMax"/>
          <c:max val="2010.0"/>
          <c:min val="1978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360592"/>
        <c:crosses val="autoZero"/>
        <c:crossBetween val="midCat"/>
        <c:majorUnit val="3.0"/>
      </c:valAx>
      <c:valAx>
        <c:axId val="434360592"/>
        <c:scaling>
          <c:logBase val="10.0"/>
          <c:orientation val="minMax"/>
          <c:max val="100000.0"/>
          <c:min val="100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365792"/>
        <c:crosses val="autoZero"/>
        <c:crossBetween val="midCat"/>
        <c:majorUnit val="1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7278417120937"/>
          <c:y val="0.0804721509258856"/>
          <c:w val="0.102360709184856"/>
          <c:h val="0.23572782683932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26558150685285"/>
          <c:y val="0.0588236500944765"/>
          <c:w val="0.907344184931471"/>
          <c:h val="0.88529446977022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/>
            </a:solidFill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Comps'!$S$115:$AB$115</c:f>
              <c:numCache>
                <c:formatCode>General</c:formatCode>
                <c:ptCount val="10"/>
                <c:pt idx="0">
                  <c:v>0.0</c:v>
                </c:pt>
                <c:pt idx="1">
                  <c:v>0.283631</c:v>
                </c:pt>
                <c:pt idx="2">
                  <c:v>0.0883626</c:v>
                </c:pt>
                <c:pt idx="3">
                  <c:v>0.118866</c:v>
                </c:pt>
                <c:pt idx="4">
                  <c:v>0.184955</c:v>
                </c:pt>
                <c:pt idx="5">
                  <c:v>0.162744</c:v>
                </c:pt>
                <c:pt idx="6">
                  <c:v>0.0844828</c:v>
                </c:pt>
                <c:pt idx="7">
                  <c:v>0.0459384</c:v>
                </c:pt>
                <c:pt idx="8">
                  <c:v>0.016638</c:v>
                </c:pt>
                <c:pt idx="9">
                  <c:v>0.00518981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097680"/>
        <c:axId val="429073408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Comps'!$B$115:$K$115</c:f>
              <c:numCache>
                <c:formatCode>General</c:formatCode>
                <c:ptCount val="10"/>
                <c:pt idx="0">
                  <c:v>0.0</c:v>
                </c:pt>
                <c:pt idx="1">
                  <c:v>0.351066</c:v>
                </c:pt>
                <c:pt idx="2">
                  <c:v>0.111673</c:v>
                </c:pt>
                <c:pt idx="3">
                  <c:v>0.111228</c:v>
                </c:pt>
                <c:pt idx="4">
                  <c:v>0.155912</c:v>
                </c:pt>
                <c:pt idx="5">
                  <c:v>0.115841</c:v>
                </c:pt>
                <c:pt idx="6">
                  <c:v>0.0843762</c:v>
                </c:pt>
                <c:pt idx="7">
                  <c:v>0.0344051</c:v>
                </c:pt>
                <c:pt idx="8">
                  <c:v>0.0133313</c:v>
                </c:pt>
                <c:pt idx="9">
                  <c:v>0.00669078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97680"/>
        <c:axId val="429073408"/>
      </c:lineChart>
      <c:catAx>
        <c:axId val="4290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429073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9073408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29097680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Age 1 index from AT survey</a:t>
            </a:r>
          </a:p>
        </c:rich>
      </c:tx>
      <c:layout>
        <c:manualLayout>
          <c:xMode val="edge"/>
          <c:yMode val="edge"/>
          <c:x val="0.319800794131503"/>
          <c:y val="0.012320404393895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47578937118111"/>
          <c:y val="0.0431211931319714"/>
          <c:w val="0.894587516823805"/>
          <c:h val="0.792608597568622"/>
        </c:manualLayout>
      </c:layout>
      <c:scatterChart>
        <c:scatterStyle val="lineMarker"/>
        <c:varyColors val="0"/>
        <c:ser>
          <c:idx val="0"/>
          <c:order val="0"/>
          <c:tx>
            <c:v>Observed</c:v>
          </c:tx>
          <c:spPr>
            <a:ln w="28575">
              <a:noFill/>
            </a:ln>
          </c:spPr>
          <c:marker>
            <c:symbol val="circle"/>
            <c:size val="15"/>
            <c:spPr>
              <a:solidFill>
                <a:srgbClr val="FFFF0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pm.rep!$B$871:$T$871</c:f>
              <c:numCache>
                <c:formatCode>General</c:formatCode>
                <c:ptCount val="19"/>
                <c:pt idx="0">
                  <c:v>69110.0</c:v>
                </c:pt>
                <c:pt idx="1">
                  <c:v>108.0</c:v>
                </c:pt>
                <c:pt idx="2">
                  <c:v>2076.0</c:v>
                </c:pt>
                <c:pt idx="3">
                  <c:v>10.8547</c:v>
                </c:pt>
                <c:pt idx="4">
                  <c:v>639.268</c:v>
                </c:pt>
                <c:pt idx="5">
                  <c:v>452.855</c:v>
                </c:pt>
                <c:pt idx="6">
                  <c:v>972.336</c:v>
                </c:pt>
                <c:pt idx="7">
                  <c:v>12383.8</c:v>
                </c:pt>
                <c:pt idx="8">
                  <c:v>111.866</c:v>
                </c:pt>
                <c:pt idx="9">
                  <c:v>257.922</c:v>
                </c:pt>
                <c:pt idx="10">
                  <c:v>561.314</c:v>
                </c:pt>
                <c:pt idx="11">
                  <c:v>15.7537</c:v>
                </c:pt>
                <c:pt idx="12">
                  <c:v>455.565</c:v>
                </c:pt>
                <c:pt idx="13">
                  <c:v>5588.54</c:v>
                </c:pt>
                <c:pt idx="14">
                  <c:v>36.4815</c:v>
                </c:pt>
                <c:pt idx="15">
                  <c:v>5127.67</c:v>
                </c:pt>
                <c:pt idx="16">
                  <c:v>2525.54</c:v>
                </c:pt>
                <c:pt idx="17">
                  <c:v>66.87439999999999</c:v>
                </c:pt>
                <c:pt idx="18">
                  <c:v>4438.33</c:v>
                </c:pt>
              </c:numCache>
            </c:numRef>
          </c:xVal>
          <c:yVal>
            <c:numRef>
              <c:f>pm.rep!$B$872:$T$872</c:f>
              <c:numCache>
                <c:formatCode>General</c:formatCode>
                <c:ptCount val="19"/>
                <c:pt idx="0">
                  <c:v>1636.08</c:v>
                </c:pt>
                <c:pt idx="1">
                  <c:v>431.016</c:v>
                </c:pt>
                <c:pt idx="2">
                  <c:v>915.566</c:v>
                </c:pt>
                <c:pt idx="3">
                  <c:v>147.037</c:v>
                </c:pt>
                <c:pt idx="4">
                  <c:v>676.332</c:v>
                </c:pt>
                <c:pt idx="5">
                  <c:v>421.519</c:v>
                </c:pt>
                <c:pt idx="6">
                  <c:v>604.8869999999999</c:v>
                </c:pt>
                <c:pt idx="7">
                  <c:v>824.3440000000001</c:v>
                </c:pt>
                <c:pt idx="8">
                  <c:v>444.91</c:v>
                </c:pt>
                <c:pt idx="9">
                  <c:v>683.4829999999999</c:v>
                </c:pt>
                <c:pt idx="10">
                  <c:v>633.285</c:v>
                </c:pt>
                <c:pt idx="11">
                  <c:v>175.574</c:v>
                </c:pt>
                <c:pt idx="12">
                  <c:v>322.767</c:v>
                </c:pt>
                <c:pt idx="13">
                  <c:v>697.765</c:v>
                </c:pt>
                <c:pt idx="14">
                  <c:v>386.617</c:v>
                </c:pt>
                <c:pt idx="15">
                  <c:v>1505.25</c:v>
                </c:pt>
                <c:pt idx="16">
                  <c:v>594.905</c:v>
                </c:pt>
                <c:pt idx="17">
                  <c:v>296.149</c:v>
                </c:pt>
                <c:pt idx="18">
                  <c:v>842.997</c:v>
                </c:pt>
              </c:numCache>
            </c:numRef>
          </c:yVal>
          <c:smooth val="0"/>
        </c:ser>
        <c:ser>
          <c:idx val="1"/>
          <c:order val="1"/>
          <c:tx>
            <c:v>Predicted</c:v>
          </c:tx>
          <c:spPr>
            <a:ln w="28575">
              <a:noFill/>
            </a:ln>
          </c:spPr>
          <c:marker>
            <c:symbol val="dash"/>
            <c:size val="1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pm.rep!$B$871:$T$871</c:f>
              <c:numCache>
                <c:formatCode>General</c:formatCode>
                <c:ptCount val="19"/>
                <c:pt idx="0">
                  <c:v>69110.0</c:v>
                </c:pt>
                <c:pt idx="1">
                  <c:v>108.0</c:v>
                </c:pt>
                <c:pt idx="2">
                  <c:v>2076.0</c:v>
                </c:pt>
                <c:pt idx="3">
                  <c:v>10.8547</c:v>
                </c:pt>
                <c:pt idx="4">
                  <c:v>639.268</c:v>
                </c:pt>
                <c:pt idx="5">
                  <c:v>452.855</c:v>
                </c:pt>
                <c:pt idx="6">
                  <c:v>972.336</c:v>
                </c:pt>
                <c:pt idx="7">
                  <c:v>12383.8</c:v>
                </c:pt>
                <c:pt idx="8">
                  <c:v>111.866</c:v>
                </c:pt>
                <c:pt idx="9">
                  <c:v>257.922</c:v>
                </c:pt>
                <c:pt idx="10">
                  <c:v>561.314</c:v>
                </c:pt>
                <c:pt idx="11">
                  <c:v>15.7537</c:v>
                </c:pt>
                <c:pt idx="12">
                  <c:v>455.565</c:v>
                </c:pt>
                <c:pt idx="13">
                  <c:v>5588.54</c:v>
                </c:pt>
                <c:pt idx="14">
                  <c:v>36.4815</c:v>
                </c:pt>
                <c:pt idx="15">
                  <c:v>5127.67</c:v>
                </c:pt>
                <c:pt idx="16">
                  <c:v>2525.54</c:v>
                </c:pt>
                <c:pt idx="17">
                  <c:v>66.87439999999999</c:v>
                </c:pt>
                <c:pt idx="18">
                  <c:v>4438.33</c:v>
                </c:pt>
              </c:numCache>
            </c:numRef>
          </c:xVal>
          <c:yVal>
            <c:numRef>
              <c:f>pm.rep!$B$873:$T$873</c:f>
              <c:numCache>
                <c:formatCode>General</c:formatCode>
                <c:ptCount val="19"/>
                <c:pt idx="0">
                  <c:v>39455.0</c:v>
                </c:pt>
                <c:pt idx="1">
                  <c:v>10394.2</c:v>
                </c:pt>
                <c:pt idx="2">
                  <c:v>22079.4</c:v>
                </c:pt>
                <c:pt idx="3">
                  <c:v>3545.87</c:v>
                </c:pt>
                <c:pt idx="4">
                  <c:v>16310.1</c:v>
                </c:pt>
                <c:pt idx="5">
                  <c:v>10165.2</c:v>
                </c:pt>
                <c:pt idx="6">
                  <c:v>14587.2</c:v>
                </c:pt>
                <c:pt idx="7">
                  <c:v>19879.5</c:v>
                </c:pt>
                <c:pt idx="8">
                  <c:v>10729.3</c:v>
                </c:pt>
                <c:pt idx="9">
                  <c:v>16482.6</c:v>
                </c:pt>
                <c:pt idx="10">
                  <c:v>15272.0</c:v>
                </c:pt>
                <c:pt idx="11">
                  <c:v>4234.07</c:v>
                </c:pt>
                <c:pt idx="12">
                  <c:v>7783.71</c:v>
                </c:pt>
                <c:pt idx="13">
                  <c:v>16827.0</c:v>
                </c:pt>
                <c:pt idx="14">
                  <c:v>9323.49</c:v>
                </c:pt>
                <c:pt idx="15">
                  <c:v>36299.9</c:v>
                </c:pt>
                <c:pt idx="16">
                  <c:v>14346.5</c:v>
                </c:pt>
                <c:pt idx="17">
                  <c:v>7141.8</c:v>
                </c:pt>
                <c:pt idx="18">
                  <c:v>20329.3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03584"/>
        <c:axId val="435590032"/>
      </c:scatterChart>
      <c:valAx>
        <c:axId val="435603584"/>
        <c:scaling>
          <c:orientation val="minMax"/>
          <c:max val="2014.0"/>
          <c:min val="1978.0"/>
        </c:scaling>
        <c:delete val="0"/>
        <c:axPos val="b"/>
        <c:title>
          <c:tx>
            <c:rich>
              <a:bodyPr/>
              <a:lstStyle/>
              <a:p>
                <a:pPr>
                  <a:defRPr sz="2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 sz="2200" baseline="0"/>
                  <a:t>Year</a:t>
                </a:r>
              </a:p>
            </c:rich>
          </c:tx>
          <c:layout>
            <c:manualLayout>
              <c:xMode val="edge"/>
              <c:yMode val="edge"/>
              <c:x val="0.507835131719646"/>
              <c:y val="0.905545078470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590032"/>
        <c:crosses val="autoZero"/>
        <c:crossBetween val="midCat"/>
        <c:majorUnit val="2.0"/>
      </c:valAx>
      <c:valAx>
        <c:axId val="435590032"/>
        <c:scaling>
          <c:logBase val="10.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925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millions</a:t>
                </a:r>
              </a:p>
            </c:rich>
          </c:tx>
          <c:layout>
            <c:manualLayout>
              <c:xMode val="edge"/>
              <c:yMode val="edge"/>
              <c:x val="0.00356125356125356"/>
              <c:y val="0.3244358035492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6035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09688008016092"/>
          <c:y val="0.559030923603685"/>
          <c:w val="0.0958992305448998"/>
          <c:h val="0.19316872427983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882775549856701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Comps'!$S$116:$AB$116</c:f>
              <c:numCache>
                <c:formatCode>General</c:formatCode>
                <c:ptCount val="10"/>
                <c:pt idx="0">
                  <c:v>0.0</c:v>
                </c:pt>
                <c:pt idx="1">
                  <c:v>0.622451</c:v>
                </c:pt>
                <c:pt idx="2">
                  <c:v>0.221019</c:v>
                </c:pt>
                <c:pt idx="3">
                  <c:v>0.0309348</c:v>
                </c:pt>
                <c:pt idx="4">
                  <c:v>0.022896</c:v>
                </c:pt>
                <c:pt idx="5">
                  <c:v>0.0364598</c:v>
                </c:pt>
                <c:pt idx="6">
                  <c:v>0.0283615</c:v>
                </c:pt>
                <c:pt idx="7">
                  <c:v>0.0151453</c:v>
                </c:pt>
                <c:pt idx="8">
                  <c:v>0.012473</c:v>
                </c:pt>
                <c:pt idx="9">
                  <c:v>0.00320682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9019776"/>
        <c:axId val="429022096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Comps'!$B$116:$K$116</c:f>
              <c:numCache>
                <c:formatCode>General</c:formatCode>
                <c:ptCount val="10"/>
                <c:pt idx="0">
                  <c:v>0.0</c:v>
                </c:pt>
                <c:pt idx="1">
                  <c:v>0.543948</c:v>
                </c:pt>
                <c:pt idx="2">
                  <c:v>0.204091</c:v>
                </c:pt>
                <c:pt idx="3">
                  <c:v>0.058279</c:v>
                </c:pt>
                <c:pt idx="4">
                  <c:v>0.0500355</c:v>
                </c:pt>
                <c:pt idx="5">
                  <c:v>0.0492902</c:v>
                </c:pt>
                <c:pt idx="6">
                  <c:v>0.0414244</c:v>
                </c:pt>
                <c:pt idx="7">
                  <c:v>0.0261409</c:v>
                </c:pt>
                <c:pt idx="8">
                  <c:v>0.0129661</c:v>
                </c:pt>
                <c:pt idx="9">
                  <c:v>0.00515956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19776"/>
        <c:axId val="429022096"/>
      </c:lineChart>
      <c:catAx>
        <c:axId val="42901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2902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9022096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2901977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87955314409228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/>
            </a:solidFill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Comps'!$S$117:$AB$117</c:f>
              <c:numCache>
                <c:formatCode>General</c:formatCode>
                <c:ptCount val="10"/>
                <c:pt idx="0">
                  <c:v>0.0</c:v>
                </c:pt>
                <c:pt idx="1">
                  <c:v>0.277867</c:v>
                </c:pt>
                <c:pt idx="2">
                  <c:v>0.583454</c:v>
                </c:pt>
                <c:pt idx="3">
                  <c:v>0.0693214</c:v>
                </c:pt>
                <c:pt idx="4">
                  <c:v>0.0108222</c:v>
                </c:pt>
                <c:pt idx="5">
                  <c:v>0.0118161</c:v>
                </c:pt>
                <c:pt idx="6">
                  <c:v>0.0176022</c:v>
                </c:pt>
                <c:pt idx="7">
                  <c:v>0.0130732</c:v>
                </c:pt>
                <c:pt idx="8">
                  <c:v>0.00724599</c:v>
                </c:pt>
                <c:pt idx="9">
                  <c:v>0.00551346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665296"/>
        <c:axId val="450667344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Comps'!$B$117:$K$117</c:f>
              <c:numCache>
                <c:formatCode>General</c:formatCode>
                <c:ptCount val="10"/>
                <c:pt idx="0">
                  <c:v>0.0</c:v>
                </c:pt>
                <c:pt idx="1">
                  <c:v>0.293696</c:v>
                </c:pt>
                <c:pt idx="2">
                  <c:v>0.430149</c:v>
                </c:pt>
                <c:pt idx="3">
                  <c:v>0.147069</c:v>
                </c:pt>
                <c:pt idx="4">
                  <c:v>0.0372055</c:v>
                </c:pt>
                <c:pt idx="5">
                  <c:v>0.023099</c:v>
                </c:pt>
                <c:pt idx="6">
                  <c:v>0.0244296</c:v>
                </c:pt>
                <c:pt idx="7">
                  <c:v>0.0173129</c:v>
                </c:pt>
                <c:pt idx="8">
                  <c:v>0.0132547</c:v>
                </c:pt>
                <c:pt idx="9">
                  <c:v>0.00661636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665296"/>
        <c:axId val="450667344"/>
      </c:lineChart>
      <c:catAx>
        <c:axId val="45066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66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066734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665296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'EIT AgeCompFit 2+'!$B$13:$Q$13</c:f>
              <c:numCache>
                <c:formatCode>General</c:formatCode>
                <c:ptCount val="16"/>
                <c:pt idx="0">
                  <c:v>1979.0</c:v>
                </c:pt>
                <c:pt idx="1">
                  <c:v>1982.0</c:v>
                </c:pt>
                <c:pt idx="2">
                  <c:v>1985.0</c:v>
                </c:pt>
                <c:pt idx="3">
                  <c:v>1988.0</c:v>
                </c:pt>
                <c:pt idx="4">
                  <c:v>1991.0</c:v>
                </c:pt>
                <c:pt idx="5">
                  <c:v>1994.0</c:v>
                </c:pt>
                <c:pt idx="6">
                  <c:v>1996.0</c:v>
                </c:pt>
                <c:pt idx="7">
                  <c:v>1997.0</c:v>
                </c:pt>
                <c:pt idx="8">
                  <c:v>1999.0</c:v>
                </c:pt>
                <c:pt idx="9">
                  <c:v>2000.0</c:v>
                </c:pt>
                <c:pt idx="10">
                  <c:v>2002.0</c:v>
                </c:pt>
                <c:pt idx="11">
                  <c:v>2004.0</c:v>
                </c:pt>
                <c:pt idx="12">
                  <c:v>2006.0</c:v>
                </c:pt>
                <c:pt idx="13">
                  <c:v>2007.0</c:v>
                </c:pt>
                <c:pt idx="14">
                  <c:v>2008.0</c:v>
                </c:pt>
                <c:pt idx="15">
                  <c:v>2009.0</c:v>
                </c:pt>
              </c:numCache>
            </c:numRef>
          </c:xVal>
          <c:yVal>
            <c:numRef>
              <c:f>'EIT AgeCompFit 2+'!$B$14:$Q$14</c:f>
              <c:numCache>
                <c:formatCode>#,##0</c:formatCode>
                <c:ptCount val="16"/>
                <c:pt idx="0">
                  <c:v>69110.0</c:v>
                </c:pt>
                <c:pt idx="1">
                  <c:v>108.0</c:v>
                </c:pt>
                <c:pt idx="2">
                  <c:v>2076.0</c:v>
                </c:pt>
                <c:pt idx="3">
                  <c:v>10.8547</c:v>
                </c:pt>
                <c:pt idx="4">
                  <c:v>639.268</c:v>
                </c:pt>
                <c:pt idx="5">
                  <c:v>452.855</c:v>
                </c:pt>
                <c:pt idx="6">
                  <c:v>972.336</c:v>
                </c:pt>
                <c:pt idx="7">
                  <c:v>12383.8</c:v>
                </c:pt>
                <c:pt idx="8">
                  <c:v>111.866</c:v>
                </c:pt>
                <c:pt idx="9">
                  <c:v>257.922</c:v>
                </c:pt>
                <c:pt idx="10">
                  <c:v>561.314</c:v>
                </c:pt>
                <c:pt idx="11">
                  <c:v>15.7537</c:v>
                </c:pt>
                <c:pt idx="12">
                  <c:v>455.565</c:v>
                </c:pt>
                <c:pt idx="13">
                  <c:v>5588.54</c:v>
                </c:pt>
                <c:pt idx="14">
                  <c:v>36.4815</c:v>
                </c:pt>
                <c:pt idx="15">
                  <c:v>5127.67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'EIT AgeCompFit 2+'!$B$13:$Q$13</c:f>
              <c:numCache>
                <c:formatCode>General</c:formatCode>
                <c:ptCount val="16"/>
                <c:pt idx="0">
                  <c:v>1979.0</c:v>
                </c:pt>
                <c:pt idx="1">
                  <c:v>1982.0</c:v>
                </c:pt>
                <c:pt idx="2">
                  <c:v>1985.0</c:v>
                </c:pt>
                <c:pt idx="3">
                  <c:v>1988.0</c:v>
                </c:pt>
                <c:pt idx="4">
                  <c:v>1991.0</c:v>
                </c:pt>
                <c:pt idx="5">
                  <c:v>1994.0</c:v>
                </c:pt>
                <c:pt idx="6">
                  <c:v>1996.0</c:v>
                </c:pt>
                <c:pt idx="7">
                  <c:v>1997.0</c:v>
                </c:pt>
                <c:pt idx="8">
                  <c:v>1999.0</c:v>
                </c:pt>
                <c:pt idx="9">
                  <c:v>2000.0</c:v>
                </c:pt>
                <c:pt idx="10">
                  <c:v>2002.0</c:v>
                </c:pt>
                <c:pt idx="11">
                  <c:v>2004.0</c:v>
                </c:pt>
                <c:pt idx="12">
                  <c:v>2006.0</c:v>
                </c:pt>
                <c:pt idx="13">
                  <c:v>2007.0</c:v>
                </c:pt>
                <c:pt idx="14">
                  <c:v>2008.0</c:v>
                </c:pt>
                <c:pt idx="15">
                  <c:v>2009.0</c:v>
                </c:pt>
              </c:numCache>
            </c:numRef>
          </c:xVal>
          <c:yVal>
            <c:numRef>
              <c:f>'EIT AgeCompFit 2+'!$B$15:$Q$15</c:f>
              <c:numCache>
                <c:formatCode>#,##0</c:formatCode>
                <c:ptCount val="16"/>
                <c:pt idx="0">
                  <c:v>1636.08</c:v>
                </c:pt>
                <c:pt idx="1">
                  <c:v>431.016</c:v>
                </c:pt>
                <c:pt idx="2">
                  <c:v>915.566</c:v>
                </c:pt>
                <c:pt idx="3">
                  <c:v>147.037</c:v>
                </c:pt>
                <c:pt idx="4">
                  <c:v>676.332</c:v>
                </c:pt>
                <c:pt idx="5">
                  <c:v>421.519</c:v>
                </c:pt>
                <c:pt idx="6">
                  <c:v>604.8869999999999</c:v>
                </c:pt>
                <c:pt idx="7">
                  <c:v>824.3440000000001</c:v>
                </c:pt>
                <c:pt idx="8">
                  <c:v>444.91</c:v>
                </c:pt>
                <c:pt idx="9">
                  <c:v>683.4829999999999</c:v>
                </c:pt>
                <c:pt idx="10">
                  <c:v>633.285</c:v>
                </c:pt>
                <c:pt idx="11">
                  <c:v>175.574</c:v>
                </c:pt>
                <c:pt idx="12">
                  <c:v>322.767</c:v>
                </c:pt>
                <c:pt idx="13">
                  <c:v>697.765</c:v>
                </c:pt>
                <c:pt idx="14">
                  <c:v>386.617</c:v>
                </c:pt>
                <c:pt idx="15">
                  <c:v>1505.25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66624"/>
        <c:axId val="435568672"/>
      </c:scatterChart>
      <c:valAx>
        <c:axId val="43556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5568672"/>
        <c:crosses val="autoZero"/>
        <c:crossBetween val="midCat"/>
      </c:valAx>
      <c:valAx>
        <c:axId val="435568672"/>
        <c:scaling>
          <c:logBase val="10.0"/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435566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845939698714131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Comps'!$S$118:$AB$118</c:f>
              <c:numCache>
                <c:formatCode>General</c:formatCode>
                <c:ptCount val="10"/>
                <c:pt idx="0">
                  <c:v>0.0</c:v>
                </c:pt>
                <c:pt idx="1">
                  <c:v>0.63805</c:v>
                </c:pt>
                <c:pt idx="2">
                  <c:v>0.0971238</c:v>
                </c:pt>
                <c:pt idx="3">
                  <c:v>0.217843</c:v>
                </c:pt>
                <c:pt idx="4">
                  <c:v>0.0382764</c:v>
                </c:pt>
                <c:pt idx="5">
                  <c:v>0.00461905</c:v>
                </c:pt>
                <c:pt idx="6">
                  <c:v>0.000620599</c:v>
                </c:pt>
                <c:pt idx="7">
                  <c:v>0.000738318</c:v>
                </c:pt>
                <c:pt idx="8">
                  <c:v>0.000677356</c:v>
                </c:pt>
                <c:pt idx="9">
                  <c:v>0.000646445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505104"/>
        <c:axId val="435507424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Comps'!$B$118:$K$118</c:f>
              <c:numCache>
                <c:formatCode>General</c:formatCode>
                <c:ptCount val="10"/>
                <c:pt idx="0">
                  <c:v>0.0</c:v>
                </c:pt>
                <c:pt idx="1">
                  <c:v>0.614811</c:v>
                </c:pt>
                <c:pt idx="2">
                  <c:v>0.129023</c:v>
                </c:pt>
                <c:pt idx="3">
                  <c:v>0.168125</c:v>
                </c:pt>
                <c:pt idx="4">
                  <c:v>0.0518119</c:v>
                </c:pt>
                <c:pt idx="5">
                  <c:v>0.0102851</c:v>
                </c:pt>
                <c:pt idx="6">
                  <c:v>0.00701088</c:v>
                </c:pt>
                <c:pt idx="7">
                  <c:v>0.00595325</c:v>
                </c:pt>
                <c:pt idx="8">
                  <c:v>0.00506545</c:v>
                </c:pt>
                <c:pt idx="9">
                  <c:v>0.00387279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05104"/>
        <c:axId val="435507424"/>
      </c:lineChart>
      <c:catAx>
        <c:axId val="43550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gradFill>
            <a:gsLst>
              <a:gs pos="0">
                <a:schemeClr val="accent1">
                  <a:lumMod val="75000"/>
                </a:schemeClr>
              </a:gs>
              <a:gs pos="39999">
                <a:srgbClr val="85C2FF"/>
              </a:gs>
              <a:gs pos="70000">
                <a:srgbClr val="C4D6EB"/>
              </a:gs>
              <a:gs pos="100000">
                <a:srgbClr val="FFEBFA"/>
              </a:gs>
            </a:gsLst>
          </a:gradFill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507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550742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50510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87283070866141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Comps'!$S$119:$AB$119</c:f>
              <c:numCache>
                <c:formatCode>General</c:formatCode>
                <c:ptCount val="10"/>
                <c:pt idx="0">
                  <c:v>0.0</c:v>
                </c:pt>
                <c:pt idx="1">
                  <c:v>0.29742</c:v>
                </c:pt>
                <c:pt idx="2">
                  <c:v>0.248563</c:v>
                </c:pt>
                <c:pt idx="3">
                  <c:v>0.370301</c:v>
                </c:pt>
                <c:pt idx="4">
                  <c:v>0.0307009</c:v>
                </c:pt>
                <c:pt idx="5">
                  <c:v>0.0372813</c:v>
                </c:pt>
                <c:pt idx="6">
                  <c:v>0.00964021</c:v>
                </c:pt>
                <c:pt idx="7">
                  <c:v>0.0019818</c:v>
                </c:pt>
                <c:pt idx="8">
                  <c:v>0.00126224</c:v>
                </c:pt>
                <c:pt idx="9">
                  <c:v>0.000978766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440624"/>
        <c:axId val="435442672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Comps'!$B$119:$K$119</c:f>
              <c:numCache>
                <c:formatCode>General</c:formatCode>
                <c:ptCount val="10"/>
                <c:pt idx="0">
                  <c:v>0.0</c:v>
                </c:pt>
                <c:pt idx="1">
                  <c:v>0.171822</c:v>
                </c:pt>
                <c:pt idx="2">
                  <c:v>0.233147</c:v>
                </c:pt>
                <c:pt idx="3">
                  <c:v>0.439381</c:v>
                </c:pt>
                <c:pt idx="4">
                  <c:v>0.0800088</c:v>
                </c:pt>
                <c:pt idx="5">
                  <c:v>0.0503431</c:v>
                </c:pt>
                <c:pt idx="6">
                  <c:v>0.0142575</c:v>
                </c:pt>
                <c:pt idx="7">
                  <c:v>0.0028425</c:v>
                </c:pt>
                <c:pt idx="8">
                  <c:v>0.00191674</c:v>
                </c:pt>
                <c:pt idx="9">
                  <c:v>0.00194985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40624"/>
        <c:axId val="435442672"/>
      </c:lineChart>
      <c:catAx>
        <c:axId val="43544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44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5442672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5440624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739497315473424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Comps'!$S$120:$AB$120</c:f>
              <c:numCache>
                <c:formatCode>General</c:formatCode>
                <c:ptCount val="10"/>
                <c:pt idx="0">
                  <c:v>0.0</c:v>
                </c:pt>
                <c:pt idx="1">
                  <c:v>0.665488</c:v>
                </c:pt>
                <c:pt idx="2">
                  <c:v>0.0727121</c:v>
                </c:pt>
                <c:pt idx="3">
                  <c:v>0.0850236</c:v>
                </c:pt>
                <c:pt idx="4">
                  <c:v>0.0689317</c:v>
                </c:pt>
                <c:pt idx="5">
                  <c:v>0.0752889</c:v>
                </c:pt>
                <c:pt idx="6">
                  <c:v>0.0244818</c:v>
                </c:pt>
                <c:pt idx="7">
                  <c:v>0.00516736</c:v>
                </c:pt>
                <c:pt idx="8">
                  <c:v>0.00165881</c:v>
                </c:pt>
                <c:pt idx="9">
                  <c:v>0.000450176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4289888"/>
        <c:axId val="434287120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Comps'!$B$120:$K$120</c:f>
              <c:numCache>
                <c:formatCode>General</c:formatCode>
                <c:ptCount val="10"/>
                <c:pt idx="0">
                  <c:v>0.0</c:v>
                </c:pt>
                <c:pt idx="1">
                  <c:v>0.605794</c:v>
                </c:pt>
                <c:pt idx="2">
                  <c:v>0.0870008</c:v>
                </c:pt>
                <c:pt idx="3">
                  <c:v>0.0779641</c:v>
                </c:pt>
                <c:pt idx="4">
                  <c:v>0.0850191</c:v>
                </c:pt>
                <c:pt idx="5">
                  <c:v>0.111447</c:v>
                </c:pt>
                <c:pt idx="6">
                  <c:v>0.0186913</c:v>
                </c:pt>
                <c:pt idx="7">
                  <c:v>0.00941234</c:v>
                </c:pt>
                <c:pt idx="8">
                  <c:v>0.00242658</c:v>
                </c:pt>
                <c:pt idx="9">
                  <c:v>0.000571273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89888"/>
        <c:axId val="434287120"/>
      </c:lineChart>
      <c:catAx>
        <c:axId val="43428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428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4287120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3428988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7437770094172"/>
          <c:y val="0.0588236500944765"/>
          <c:w val="0.901711283285097"/>
          <c:h val="0.739497315473424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tx1"/>
              </a:solidFill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Comps'!$S$121:$AB$121</c:f>
              <c:numCache>
                <c:formatCode>General</c:formatCode>
                <c:ptCount val="10"/>
                <c:pt idx="0">
                  <c:v>0.0</c:v>
                </c:pt>
                <c:pt idx="1">
                  <c:v>0.0951306</c:v>
                </c:pt>
                <c:pt idx="2">
                  <c:v>0.40146</c:v>
                </c:pt>
                <c:pt idx="3">
                  <c:v>0.350241</c:v>
                </c:pt>
                <c:pt idx="4">
                  <c:v>0.0826869</c:v>
                </c:pt>
                <c:pt idx="5">
                  <c:v>0.0237121</c:v>
                </c:pt>
                <c:pt idx="6">
                  <c:v>0.0218542</c:v>
                </c:pt>
                <c:pt idx="7">
                  <c:v>0.0196618</c:v>
                </c:pt>
                <c:pt idx="8">
                  <c:v>0.0033687</c:v>
                </c:pt>
                <c:pt idx="9">
                  <c:v>0.00130376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608048"/>
        <c:axId val="450592064"/>
      </c:barChart>
      <c:lineChart>
        <c:grouping val="standard"/>
        <c:varyColors val="0"/>
        <c:ser>
          <c:idx val="0"/>
          <c:order val="1"/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Comps'!$B$121:$K$121</c:f>
              <c:numCache>
                <c:formatCode>General</c:formatCode>
                <c:ptCount val="10"/>
                <c:pt idx="0">
                  <c:v>0.0</c:v>
                </c:pt>
                <c:pt idx="1">
                  <c:v>0.188714</c:v>
                </c:pt>
                <c:pt idx="2">
                  <c:v>0.267392</c:v>
                </c:pt>
                <c:pt idx="3">
                  <c:v>0.393376</c:v>
                </c:pt>
                <c:pt idx="4">
                  <c:v>0.0475486</c:v>
                </c:pt>
                <c:pt idx="5">
                  <c:v>0.0294249</c:v>
                </c:pt>
                <c:pt idx="6">
                  <c:v>0.0274604</c:v>
                </c:pt>
                <c:pt idx="7">
                  <c:v>0.0356327</c:v>
                </c:pt>
                <c:pt idx="8">
                  <c:v>0.00561036</c:v>
                </c:pt>
                <c:pt idx="9">
                  <c:v>0.0033219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608048"/>
        <c:axId val="450592064"/>
      </c:lineChart>
      <c:catAx>
        <c:axId val="45060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59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0592064"/>
        <c:scaling>
          <c:orientation val="minMax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60804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AT survey numbers (age 2+)</a:t>
            </a:r>
          </a:p>
        </c:rich>
      </c:tx>
      <c:layout>
        <c:manualLayout>
          <c:xMode val="edge"/>
          <c:yMode val="edge"/>
          <c:x val="0.284849907006657"/>
          <c:y val="0.025021580635753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266546286422"/>
          <c:y val="0.0556036088950389"/>
          <c:w val="0.791617912127812"/>
          <c:h val="0.747868539638279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Summary!$R$15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Summary!$S$19:$BD$19</c:f>
                <c:numCache>
                  <c:formatCode>General</c:formatCode>
                  <c:ptCount val="38"/>
                  <c:pt idx="0">
                    <c:v>32419.8</c:v>
                  </c:pt>
                  <c:pt idx="3">
                    <c:v>8902.5</c:v>
                  </c:pt>
                  <c:pt idx="6">
                    <c:v>7482.5</c:v>
                  </c:pt>
                  <c:pt idx="9">
                    <c:v>6140.0</c:v>
                  </c:pt>
                  <c:pt idx="12">
                    <c:v>3864.76</c:v>
                  </c:pt>
                  <c:pt idx="15">
                    <c:v>4564.81</c:v>
                  </c:pt>
                  <c:pt idx="17">
                    <c:v>2776.45</c:v>
                  </c:pt>
                  <c:pt idx="18">
                    <c:v>3159.745</c:v>
                  </c:pt>
                  <c:pt idx="20">
                    <c:v>4744.395</c:v>
                  </c:pt>
                  <c:pt idx="21">
                    <c:v>3685.915</c:v>
                  </c:pt>
                  <c:pt idx="23">
                    <c:v>5780.2</c:v>
                  </c:pt>
                  <c:pt idx="25">
                    <c:v>3409.37</c:v>
                  </c:pt>
                  <c:pt idx="27">
                    <c:v>1470.045</c:v>
                  </c:pt>
                  <c:pt idx="28">
                    <c:v>1809.06</c:v>
                  </c:pt>
                  <c:pt idx="29">
                    <c:v>2333.75</c:v>
                  </c:pt>
                  <c:pt idx="30">
                    <c:v>1434.855</c:v>
                  </c:pt>
                  <c:pt idx="31">
                    <c:v>5011.5</c:v>
                  </c:pt>
                  <c:pt idx="33">
                    <c:v>3300.2</c:v>
                  </c:pt>
                  <c:pt idx="35">
                    <c:v>6472.6</c:v>
                  </c:pt>
                  <c:pt idx="37">
                    <c:v>5346.15</c:v>
                  </c:pt>
                </c:numCache>
              </c:numRef>
            </c:plus>
            <c:minus>
              <c:numRef>
                <c:f>Summary!$S$19:$BD$19</c:f>
                <c:numCache>
                  <c:formatCode>General</c:formatCode>
                  <c:ptCount val="38"/>
                  <c:pt idx="0">
                    <c:v>32419.8</c:v>
                  </c:pt>
                  <c:pt idx="3">
                    <c:v>8902.5</c:v>
                  </c:pt>
                  <c:pt idx="6">
                    <c:v>7482.5</c:v>
                  </c:pt>
                  <c:pt idx="9">
                    <c:v>6140.0</c:v>
                  </c:pt>
                  <c:pt idx="12">
                    <c:v>3864.76</c:v>
                  </c:pt>
                  <c:pt idx="15">
                    <c:v>4564.81</c:v>
                  </c:pt>
                  <c:pt idx="17">
                    <c:v>2776.45</c:v>
                  </c:pt>
                  <c:pt idx="18">
                    <c:v>3159.745</c:v>
                  </c:pt>
                  <c:pt idx="20">
                    <c:v>4744.395</c:v>
                  </c:pt>
                  <c:pt idx="21">
                    <c:v>3685.915</c:v>
                  </c:pt>
                  <c:pt idx="23">
                    <c:v>5780.2</c:v>
                  </c:pt>
                  <c:pt idx="25">
                    <c:v>3409.37</c:v>
                  </c:pt>
                  <c:pt idx="27">
                    <c:v>1470.045</c:v>
                  </c:pt>
                  <c:pt idx="28">
                    <c:v>1809.06</c:v>
                  </c:pt>
                  <c:pt idx="29">
                    <c:v>2333.75</c:v>
                  </c:pt>
                  <c:pt idx="30">
                    <c:v>1434.855</c:v>
                  </c:pt>
                  <c:pt idx="31">
                    <c:v>5011.5</c:v>
                  </c:pt>
                  <c:pt idx="33">
                    <c:v>3300.2</c:v>
                  </c:pt>
                  <c:pt idx="35">
                    <c:v>6472.6</c:v>
                  </c:pt>
                  <c:pt idx="37">
                    <c:v>5346.15</c:v>
                  </c:pt>
                </c:numCache>
              </c:numRef>
            </c:minus>
            <c:spPr>
              <a:ln w="127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Summary!$S$1:$BD$1</c:f>
              <c:numCache>
                <c:formatCode>General</c:formatCode>
                <c:ptCount val="38"/>
                <c:pt idx="0">
                  <c:v>1979.0</c:v>
                </c:pt>
                <c:pt idx="1">
                  <c:v>1980.0</c:v>
                </c:pt>
                <c:pt idx="2">
                  <c:v>1981.0</c:v>
                </c:pt>
                <c:pt idx="3">
                  <c:v>1982.0</c:v>
                </c:pt>
                <c:pt idx="4">
                  <c:v>1983.0</c:v>
                </c:pt>
                <c:pt idx="5">
                  <c:v>1984.0</c:v>
                </c:pt>
                <c:pt idx="6">
                  <c:v>1985.0</c:v>
                </c:pt>
                <c:pt idx="7">
                  <c:v>1986.0</c:v>
                </c:pt>
                <c:pt idx="8">
                  <c:v>1987.0</c:v>
                </c:pt>
                <c:pt idx="9">
                  <c:v>1988.0</c:v>
                </c:pt>
                <c:pt idx="10">
                  <c:v>1989.0</c:v>
                </c:pt>
                <c:pt idx="11">
                  <c:v>1990.0</c:v>
                </c:pt>
                <c:pt idx="12">
                  <c:v>1991.0</c:v>
                </c:pt>
                <c:pt idx="13">
                  <c:v>1992.0</c:v>
                </c:pt>
                <c:pt idx="14">
                  <c:v>1993.0</c:v>
                </c:pt>
                <c:pt idx="15">
                  <c:v>1994.0</c:v>
                </c:pt>
                <c:pt idx="16">
                  <c:v>1995.0</c:v>
                </c:pt>
                <c:pt idx="17">
                  <c:v>1996.0</c:v>
                </c:pt>
                <c:pt idx="18">
                  <c:v>1997.0</c:v>
                </c:pt>
                <c:pt idx="19">
                  <c:v>1998.0</c:v>
                </c:pt>
                <c:pt idx="20">
                  <c:v>1999.0</c:v>
                </c:pt>
                <c:pt idx="21">
                  <c:v>2000.0</c:v>
                </c:pt>
                <c:pt idx="22">
                  <c:v>2001.0</c:v>
                </c:pt>
                <c:pt idx="23">
                  <c:v>2002.0</c:v>
                </c:pt>
                <c:pt idx="24">
                  <c:v>2003.0</c:v>
                </c:pt>
                <c:pt idx="25">
                  <c:v>2004.0</c:v>
                </c:pt>
                <c:pt idx="26">
                  <c:v>2005.0</c:v>
                </c:pt>
                <c:pt idx="27">
                  <c:v>2006.0</c:v>
                </c:pt>
                <c:pt idx="28">
                  <c:v>2007.0</c:v>
                </c:pt>
                <c:pt idx="29">
                  <c:v>2008.0</c:v>
                </c:pt>
                <c:pt idx="30">
                  <c:v>2009.0</c:v>
                </c:pt>
                <c:pt idx="31">
                  <c:v>2010.0</c:v>
                </c:pt>
                <c:pt idx="32">
                  <c:v>2011.0</c:v>
                </c:pt>
                <c:pt idx="33">
                  <c:v>2012.0</c:v>
                </c:pt>
                <c:pt idx="34">
                  <c:v>2013.0</c:v>
                </c:pt>
                <c:pt idx="35">
                  <c:v>2014.0</c:v>
                </c:pt>
                <c:pt idx="36">
                  <c:v>2015.0</c:v>
                </c:pt>
                <c:pt idx="37">
                  <c:v>2016.0</c:v>
                </c:pt>
              </c:numCache>
            </c:numRef>
          </c:xVal>
          <c:yVal>
            <c:numRef>
              <c:f>Summary!$S$15:$BD$15</c:f>
              <c:numCache>
                <c:formatCode>General</c:formatCode>
                <c:ptCount val="38"/>
                <c:pt idx="0">
                  <c:v>46314.0</c:v>
                </c:pt>
                <c:pt idx="3">
                  <c:v>17805.0</c:v>
                </c:pt>
                <c:pt idx="6">
                  <c:v>14965.0</c:v>
                </c:pt>
                <c:pt idx="9">
                  <c:v>12280.0</c:v>
                </c:pt>
                <c:pt idx="12">
                  <c:v>7729.52</c:v>
                </c:pt>
                <c:pt idx="15">
                  <c:v>9129.62</c:v>
                </c:pt>
                <c:pt idx="17">
                  <c:v>5552.9</c:v>
                </c:pt>
                <c:pt idx="18">
                  <c:v>6319.49</c:v>
                </c:pt>
                <c:pt idx="20">
                  <c:v>9488.79</c:v>
                </c:pt>
                <c:pt idx="21">
                  <c:v>7371.83</c:v>
                </c:pt>
                <c:pt idx="23">
                  <c:v>11560.4</c:v>
                </c:pt>
                <c:pt idx="25">
                  <c:v>6818.74</c:v>
                </c:pt>
                <c:pt idx="27">
                  <c:v>2940.09</c:v>
                </c:pt>
                <c:pt idx="28">
                  <c:v>3618.12</c:v>
                </c:pt>
                <c:pt idx="29">
                  <c:v>4667.5</c:v>
                </c:pt>
                <c:pt idx="30">
                  <c:v>2869.71</c:v>
                </c:pt>
                <c:pt idx="31">
                  <c:v>10023.0</c:v>
                </c:pt>
                <c:pt idx="33">
                  <c:v>6600.4</c:v>
                </c:pt>
                <c:pt idx="35">
                  <c:v>12945.2</c:v>
                </c:pt>
                <c:pt idx="37">
                  <c:v>10692.3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Summary!$R$14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Summary!$S$1:$BD$1</c:f>
              <c:numCache>
                <c:formatCode>General</c:formatCode>
                <c:ptCount val="38"/>
                <c:pt idx="0">
                  <c:v>1979.0</c:v>
                </c:pt>
                <c:pt idx="1">
                  <c:v>1980.0</c:v>
                </c:pt>
                <c:pt idx="2">
                  <c:v>1981.0</c:v>
                </c:pt>
                <c:pt idx="3">
                  <c:v>1982.0</c:v>
                </c:pt>
                <c:pt idx="4">
                  <c:v>1983.0</c:v>
                </c:pt>
                <c:pt idx="5">
                  <c:v>1984.0</c:v>
                </c:pt>
                <c:pt idx="6">
                  <c:v>1985.0</c:v>
                </c:pt>
                <c:pt idx="7">
                  <c:v>1986.0</c:v>
                </c:pt>
                <c:pt idx="8">
                  <c:v>1987.0</c:v>
                </c:pt>
                <c:pt idx="9">
                  <c:v>1988.0</c:v>
                </c:pt>
                <c:pt idx="10">
                  <c:v>1989.0</c:v>
                </c:pt>
                <c:pt idx="11">
                  <c:v>1990.0</c:v>
                </c:pt>
                <c:pt idx="12">
                  <c:v>1991.0</c:v>
                </c:pt>
                <c:pt idx="13">
                  <c:v>1992.0</c:v>
                </c:pt>
                <c:pt idx="14">
                  <c:v>1993.0</c:v>
                </c:pt>
                <c:pt idx="15">
                  <c:v>1994.0</c:v>
                </c:pt>
                <c:pt idx="16">
                  <c:v>1995.0</c:v>
                </c:pt>
                <c:pt idx="17">
                  <c:v>1996.0</c:v>
                </c:pt>
                <c:pt idx="18">
                  <c:v>1997.0</c:v>
                </c:pt>
                <c:pt idx="19">
                  <c:v>1998.0</c:v>
                </c:pt>
                <c:pt idx="20">
                  <c:v>1999.0</c:v>
                </c:pt>
                <c:pt idx="21">
                  <c:v>2000.0</c:v>
                </c:pt>
                <c:pt idx="22">
                  <c:v>2001.0</c:v>
                </c:pt>
                <c:pt idx="23">
                  <c:v>2002.0</c:v>
                </c:pt>
                <c:pt idx="24">
                  <c:v>2003.0</c:v>
                </c:pt>
                <c:pt idx="25">
                  <c:v>2004.0</c:v>
                </c:pt>
                <c:pt idx="26">
                  <c:v>2005.0</c:v>
                </c:pt>
                <c:pt idx="27">
                  <c:v>2006.0</c:v>
                </c:pt>
                <c:pt idx="28">
                  <c:v>2007.0</c:v>
                </c:pt>
                <c:pt idx="29">
                  <c:v>2008.0</c:v>
                </c:pt>
                <c:pt idx="30">
                  <c:v>2009.0</c:v>
                </c:pt>
                <c:pt idx="31">
                  <c:v>2010.0</c:v>
                </c:pt>
                <c:pt idx="32">
                  <c:v>2011.0</c:v>
                </c:pt>
                <c:pt idx="33">
                  <c:v>2012.0</c:v>
                </c:pt>
                <c:pt idx="34">
                  <c:v>2013.0</c:v>
                </c:pt>
                <c:pt idx="35">
                  <c:v>2014.0</c:v>
                </c:pt>
                <c:pt idx="36">
                  <c:v>2015.0</c:v>
                </c:pt>
                <c:pt idx="37">
                  <c:v>2016.0</c:v>
                </c:pt>
              </c:numCache>
            </c:numRef>
          </c:xVal>
          <c:yVal>
            <c:numRef>
              <c:f>Summary!$S$14:$BD$14</c:f>
              <c:numCache>
                <c:formatCode>General</c:formatCode>
                <c:ptCount val="38"/>
                <c:pt idx="0" formatCode="#,##0">
                  <c:v>12241.7</c:v>
                </c:pt>
                <c:pt idx="3">
                  <c:v>10850.0</c:v>
                </c:pt>
                <c:pt idx="6">
                  <c:v>10486.4</c:v>
                </c:pt>
                <c:pt idx="9">
                  <c:v>7497.98</c:v>
                </c:pt>
                <c:pt idx="12">
                  <c:v>8498.82</c:v>
                </c:pt>
                <c:pt idx="15">
                  <c:v>11604.5</c:v>
                </c:pt>
                <c:pt idx="17">
                  <c:v>8449.03</c:v>
                </c:pt>
                <c:pt idx="18">
                  <c:v>8385.24</c:v>
                </c:pt>
                <c:pt idx="20">
                  <c:v>8346.23</c:v>
                </c:pt>
                <c:pt idx="21">
                  <c:v>7707.07</c:v>
                </c:pt>
                <c:pt idx="23">
                  <c:v>9644.23</c:v>
                </c:pt>
                <c:pt idx="25">
                  <c:v>8255.52</c:v>
                </c:pt>
                <c:pt idx="27">
                  <c:v>4366.5</c:v>
                </c:pt>
                <c:pt idx="28">
                  <c:v>3938.44</c:v>
                </c:pt>
                <c:pt idx="29">
                  <c:v>5496.39</c:v>
                </c:pt>
                <c:pt idx="30">
                  <c:v>5643.1</c:v>
                </c:pt>
                <c:pt idx="31">
                  <c:v>10496.6</c:v>
                </c:pt>
                <c:pt idx="33">
                  <c:v>8886.28</c:v>
                </c:pt>
                <c:pt idx="35">
                  <c:v>11884.7</c:v>
                </c:pt>
                <c:pt idx="37">
                  <c:v>10920.5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12560"/>
        <c:axId val="450515264"/>
      </c:scatterChart>
      <c:valAx>
        <c:axId val="450512560"/>
        <c:scaling>
          <c:orientation val="minMax"/>
          <c:max val="2016.0"/>
          <c:min val="1978.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5048408684014"/>
              <c:y val="0.8701965587634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515264"/>
        <c:crosses val="autoZero"/>
        <c:crossBetween val="midCat"/>
        <c:majorUnit val="3.0"/>
      </c:valAx>
      <c:valAx>
        <c:axId val="450515264"/>
        <c:scaling>
          <c:orientation val="minMax"/>
          <c:max val="30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Millions</a:t>
                </a:r>
              </a:p>
            </c:rich>
          </c:tx>
          <c:layout>
            <c:manualLayout>
              <c:xMode val="edge"/>
              <c:yMode val="edge"/>
              <c:x val="0.00828057916601484"/>
              <c:y val="0.28913881598133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512560"/>
        <c:crosses val="autoZero"/>
        <c:crossBetween val="midCat"/>
        <c:majorUnit val="10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1325198588587"/>
          <c:y val="0.0194444444444444"/>
          <c:w val="0.187086266534564"/>
          <c:h val="0.155555847185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 horizontalDpi="300"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Bottom trawl 
survey selectivity</a:t>
            </a:r>
          </a:p>
        </c:rich>
      </c:tx>
      <c:layout>
        <c:manualLayout>
          <c:xMode val="edge"/>
          <c:yMode val="edge"/>
          <c:x val="0.674034520519372"/>
          <c:y val="0.148762331432709"/>
        </c:manualLayout>
      </c:layout>
      <c:overlay val="0"/>
      <c:spPr>
        <a:noFill/>
        <a:ln w="25400">
          <a:noFill/>
        </a:ln>
      </c:spPr>
    </c:title>
    <c:autoTitleDeleted val="0"/>
    <c:view3D>
      <c:rotX val="10"/>
      <c:hPercent val="30"/>
      <c:rotY val="359"/>
      <c:depthPercent val="500"/>
      <c:rAngAx val="0"/>
      <c:perspective val="1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084153416167737"/>
          <c:y val="0.0110086988257976"/>
          <c:w val="0.907285501673012"/>
          <c:h val="0.881246295779976"/>
        </c:manualLayout>
      </c:layout>
      <c:area3DChart>
        <c:grouping val="standard"/>
        <c:varyColors val="0"/>
        <c:ser>
          <c:idx val="0"/>
          <c:order val="0"/>
          <c:tx>
            <c:strRef>
              <c:f>Summary!$U$126</c:f>
              <c:strCache>
                <c:ptCount val="1"/>
                <c:pt idx="0">
                  <c:v>1982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Summary!$V$126:$AJ$126</c:f>
              <c:numCache>
                <c:formatCode>General</c:formatCode>
                <c:ptCount val="15"/>
                <c:pt idx="0">
                  <c:v>0.0685021</c:v>
                </c:pt>
                <c:pt idx="1">
                  <c:v>0.113314</c:v>
                </c:pt>
                <c:pt idx="2">
                  <c:v>0.211704</c:v>
                </c:pt>
                <c:pt idx="3">
                  <c:v>0.360766</c:v>
                </c:pt>
                <c:pt idx="4">
                  <c:v>0.542548</c:v>
                </c:pt>
                <c:pt idx="5">
                  <c:v>0.713664</c:v>
                </c:pt>
                <c:pt idx="6">
                  <c:v>0.839686</c:v>
                </c:pt>
                <c:pt idx="7">
                  <c:v>0.916716</c:v>
                </c:pt>
                <c:pt idx="8">
                  <c:v>0.95856</c:v>
                </c:pt>
                <c:pt idx="9">
                  <c:v>0.979843</c:v>
                </c:pt>
                <c:pt idx="10">
                  <c:v>0.990306</c:v>
                </c:pt>
                <c:pt idx="11">
                  <c:v>0.995363</c:v>
                </c:pt>
                <c:pt idx="12">
                  <c:v>0.997788</c:v>
                </c:pt>
                <c:pt idx="13">
                  <c:v>0.998946</c:v>
                </c:pt>
                <c:pt idx="14">
                  <c:v>0.999498</c:v>
                </c:pt>
              </c:numCache>
            </c:numRef>
          </c:val>
        </c:ser>
        <c:ser>
          <c:idx val="1"/>
          <c:order val="1"/>
          <c:tx>
            <c:strRef>
              <c:f>Summary!$U$127</c:f>
              <c:strCache>
                <c:ptCount val="1"/>
                <c:pt idx="0">
                  <c:v>1983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Summary!$V$127:$AJ$127</c:f>
              <c:numCache>
                <c:formatCode>General</c:formatCode>
                <c:ptCount val="15"/>
                <c:pt idx="0">
                  <c:v>0.0742773</c:v>
                </c:pt>
                <c:pt idx="1">
                  <c:v>0.0905084</c:v>
                </c:pt>
                <c:pt idx="2">
                  <c:v>0.193631</c:v>
                </c:pt>
                <c:pt idx="3">
                  <c:v>0.366854</c:v>
                </c:pt>
                <c:pt idx="4">
                  <c:v>0.583004</c:v>
                </c:pt>
                <c:pt idx="5">
                  <c:v>0.771353</c:v>
                </c:pt>
                <c:pt idx="6">
                  <c:v>0.890594</c:v>
                </c:pt>
                <c:pt idx="7">
                  <c:v>0.951555</c:v>
                </c:pt>
                <c:pt idx="8">
                  <c:v>0.979337</c:v>
                </c:pt>
                <c:pt idx="9">
                  <c:v>0.991332</c:v>
                </c:pt>
                <c:pt idx="10">
                  <c:v>0.996389</c:v>
                </c:pt>
                <c:pt idx="11">
                  <c:v>0.9985</c:v>
                </c:pt>
                <c:pt idx="12">
                  <c:v>0.999378</c:v>
                </c:pt>
                <c:pt idx="13">
                  <c:v>0.999742</c:v>
                </c:pt>
                <c:pt idx="14">
                  <c:v>0.999893</c:v>
                </c:pt>
              </c:numCache>
            </c:numRef>
          </c:val>
        </c:ser>
        <c:ser>
          <c:idx val="2"/>
          <c:order val="2"/>
          <c:tx>
            <c:strRef>
              <c:f>Summary!$U$128</c:f>
              <c:strCache>
                <c:ptCount val="1"/>
                <c:pt idx="0">
                  <c:v>1984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Summary!$V$128:$AJ$128</c:f>
              <c:numCache>
                <c:formatCode>General</c:formatCode>
                <c:ptCount val="15"/>
                <c:pt idx="0">
                  <c:v>0.0473198</c:v>
                </c:pt>
                <c:pt idx="1">
                  <c:v>0.0357584</c:v>
                </c:pt>
                <c:pt idx="2">
                  <c:v>0.0878605</c:v>
                </c:pt>
                <c:pt idx="3">
                  <c:v>0.200122</c:v>
                </c:pt>
                <c:pt idx="4">
                  <c:v>0.393883</c:v>
                </c:pt>
                <c:pt idx="5">
                  <c:v>0.627965</c:v>
                </c:pt>
                <c:pt idx="6">
                  <c:v>0.814272</c:v>
                </c:pt>
                <c:pt idx="7">
                  <c:v>0.919274</c:v>
                </c:pt>
                <c:pt idx="8">
                  <c:v>0.967297</c:v>
                </c:pt>
                <c:pt idx="9">
                  <c:v>0.987151</c:v>
                </c:pt>
                <c:pt idx="10">
                  <c:v>0.995014</c:v>
                </c:pt>
                <c:pt idx="11">
                  <c:v>0.998074</c:v>
                </c:pt>
                <c:pt idx="12">
                  <c:v>0.999258</c:v>
                </c:pt>
                <c:pt idx="13">
                  <c:v>0.999714</c:v>
                </c:pt>
                <c:pt idx="14">
                  <c:v>0.99989</c:v>
                </c:pt>
              </c:numCache>
            </c:numRef>
          </c:val>
        </c:ser>
        <c:ser>
          <c:idx val="3"/>
          <c:order val="3"/>
          <c:tx>
            <c:strRef>
              <c:f>Summary!$U$129</c:f>
              <c:strCache>
                <c:ptCount val="1"/>
                <c:pt idx="0">
                  <c:v>1985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Summary!$V$129:$AJ$129</c:f>
              <c:numCache>
                <c:formatCode>General</c:formatCode>
                <c:ptCount val="15"/>
                <c:pt idx="0">
                  <c:v>0.109854</c:v>
                </c:pt>
                <c:pt idx="1">
                  <c:v>0.0528794</c:v>
                </c:pt>
                <c:pt idx="2">
                  <c:v>0.111267</c:v>
                </c:pt>
                <c:pt idx="3">
                  <c:v>0.219204</c:v>
                </c:pt>
                <c:pt idx="4">
                  <c:v>0.386331</c:v>
                </c:pt>
                <c:pt idx="5">
                  <c:v>0.585353</c:v>
                </c:pt>
                <c:pt idx="6">
                  <c:v>0.759938</c:v>
                </c:pt>
                <c:pt idx="7">
                  <c:v>0.876521</c:v>
                </c:pt>
                <c:pt idx="8">
                  <c:v>0.940891</c:v>
                </c:pt>
                <c:pt idx="9">
                  <c:v>0.972748</c:v>
                </c:pt>
                <c:pt idx="10">
                  <c:v>0.987661</c:v>
                </c:pt>
                <c:pt idx="11">
                  <c:v>0.994459</c:v>
                </c:pt>
                <c:pt idx="12">
                  <c:v>0.997522</c:v>
                </c:pt>
                <c:pt idx="13">
                  <c:v>0.998893</c:v>
                </c:pt>
                <c:pt idx="14">
                  <c:v>0.999506</c:v>
                </c:pt>
              </c:numCache>
            </c:numRef>
          </c:val>
        </c:ser>
        <c:ser>
          <c:idx val="4"/>
          <c:order val="4"/>
          <c:tx>
            <c:strRef>
              <c:f>Summary!$U$130</c:f>
              <c:strCache>
                <c:ptCount val="1"/>
                <c:pt idx="0">
                  <c:v>1986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Summary!$V$130:$AJ$130</c:f>
              <c:numCache>
                <c:formatCode>General</c:formatCode>
                <c:ptCount val="15"/>
                <c:pt idx="0">
                  <c:v>0.142647</c:v>
                </c:pt>
                <c:pt idx="1">
                  <c:v>0.035809</c:v>
                </c:pt>
                <c:pt idx="2">
                  <c:v>0.0796728</c:v>
                </c:pt>
                <c:pt idx="3">
                  <c:v>0.16791</c:v>
                </c:pt>
                <c:pt idx="4">
                  <c:v>0.319902</c:v>
                </c:pt>
                <c:pt idx="5">
                  <c:v>0.523</c:v>
                </c:pt>
                <c:pt idx="6">
                  <c:v>0.718767</c:v>
                </c:pt>
                <c:pt idx="7">
                  <c:v>0.856269</c:v>
                </c:pt>
                <c:pt idx="8">
                  <c:v>0.932826</c:v>
                </c:pt>
                <c:pt idx="9">
                  <c:v>0.970033</c:v>
                </c:pt>
                <c:pt idx="10">
                  <c:v>0.98692</c:v>
                </c:pt>
                <c:pt idx="11">
                  <c:v>0.994346</c:v>
                </c:pt>
                <c:pt idx="12">
                  <c:v>0.997567</c:v>
                </c:pt>
                <c:pt idx="13">
                  <c:v>0.998955</c:v>
                </c:pt>
                <c:pt idx="14">
                  <c:v>0.999551</c:v>
                </c:pt>
              </c:numCache>
            </c:numRef>
          </c:val>
        </c:ser>
        <c:ser>
          <c:idx val="5"/>
          <c:order val="5"/>
          <c:tx>
            <c:strRef>
              <c:f>Summary!$U$131</c:f>
              <c:strCache>
                <c:ptCount val="1"/>
                <c:pt idx="0">
                  <c:v>1987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Summary!$V$131:$AJ$131</c:f>
              <c:numCache>
                <c:formatCode>General</c:formatCode>
                <c:ptCount val="15"/>
                <c:pt idx="0">
                  <c:v>0.0863927</c:v>
                </c:pt>
                <c:pt idx="1">
                  <c:v>0.0553897</c:v>
                </c:pt>
                <c:pt idx="2">
                  <c:v>0.120762</c:v>
                </c:pt>
                <c:pt idx="3">
                  <c:v>0.243407</c:v>
                </c:pt>
                <c:pt idx="4">
                  <c:v>0.429731</c:v>
                </c:pt>
                <c:pt idx="5">
                  <c:v>0.638347</c:v>
                </c:pt>
                <c:pt idx="6">
                  <c:v>0.805235</c:v>
                </c:pt>
                <c:pt idx="7">
                  <c:v>0.906403</c:v>
                </c:pt>
                <c:pt idx="8">
                  <c:v>0.957776</c:v>
                </c:pt>
                <c:pt idx="9">
                  <c:v>0.981526</c:v>
                </c:pt>
                <c:pt idx="10">
                  <c:v>0.992029</c:v>
                </c:pt>
                <c:pt idx="11">
                  <c:v>0.996581</c:v>
                </c:pt>
                <c:pt idx="12">
                  <c:v>0.998538</c:v>
                </c:pt>
                <c:pt idx="13">
                  <c:v>0.999375</c:v>
                </c:pt>
                <c:pt idx="14">
                  <c:v>0.999733</c:v>
                </c:pt>
              </c:numCache>
            </c:numRef>
          </c:val>
        </c:ser>
        <c:ser>
          <c:idx val="6"/>
          <c:order val="6"/>
          <c:tx>
            <c:strRef>
              <c:f>Summary!$U$132</c:f>
              <c:strCache>
                <c:ptCount val="1"/>
                <c:pt idx="0">
                  <c:v>1988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Summary!$V$132:$AJ$132</c:f>
              <c:numCache>
                <c:formatCode>General</c:formatCode>
                <c:ptCount val="15"/>
                <c:pt idx="0">
                  <c:v>0.117604</c:v>
                </c:pt>
                <c:pt idx="1">
                  <c:v>0.0873954</c:v>
                </c:pt>
                <c:pt idx="2">
                  <c:v>0.186356</c:v>
                </c:pt>
                <c:pt idx="3">
                  <c:v>0.353915</c:v>
                </c:pt>
                <c:pt idx="4">
                  <c:v>0.567123</c:v>
                </c:pt>
                <c:pt idx="5">
                  <c:v>0.758068</c:v>
                </c:pt>
                <c:pt idx="6">
                  <c:v>0.882271</c:v>
                </c:pt>
                <c:pt idx="7">
                  <c:v>0.947155</c:v>
                </c:pt>
                <c:pt idx="8">
                  <c:v>0.977204</c:v>
                </c:pt>
                <c:pt idx="9">
                  <c:v>0.99034</c:v>
                </c:pt>
                <c:pt idx="10">
                  <c:v>0.995938</c:v>
                </c:pt>
                <c:pt idx="11">
                  <c:v>0.998298</c:v>
                </c:pt>
                <c:pt idx="12">
                  <c:v>0.999288</c:v>
                </c:pt>
                <c:pt idx="13">
                  <c:v>0.999702</c:v>
                </c:pt>
                <c:pt idx="14">
                  <c:v>0.999875</c:v>
                </c:pt>
              </c:numCache>
            </c:numRef>
          </c:val>
        </c:ser>
        <c:ser>
          <c:idx val="7"/>
          <c:order val="7"/>
          <c:tx>
            <c:strRef>
              <c:f>Summary!$U$133</c:f>
              <c:strCache>
                <c:ptCount val="1"/>
                <c:pt idx="0">
                  <c:v>1989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Summary!$V$133:$AJ$133</c:f>
              <c:numCache>
                <c:formatCode>General</c:formatCode>
                <c:ptCount val="15"/>
                <c:pt idx="0">
                  <c:v>0.0717871</c:v>
                </c:pt>
                <c:pt idx="1">
                  <c:v>0.0844019</c:v>
                </c:pt>
                <c:pt idx="2">
                  <c:v>0.191745</c:v>
                </c:pt>
                <c:pt idx="3">
                  <c:v>0.379084</c:v>
                </c:pt>
                <c:pt idx="4">
                  <c:v>0.611076</c:v>
                </c:pt>
                <c:pt idx="5">
                  <c:v>0.801725</c:v>
                </c:pt>
                <c:pt idx="6">
                  <c:v>0.912327</c:v>
                </c:pt>
                <c:pt idx="7">
                  <c:v>0.964003</c:v>
                </c:pt>
                <c:pt idx="8">
                  <c:v>0.985698</c:v>
                </c:pt>
                <c:pt idx="9">
                  <c:v>0.994394</c:v>
                </c:pt>
                <c:pt idx="10">
                  <c:v>0.997814</c:v>
                </c:pt>
                <c:pt idx="11">
                  <c:v>0.999149</c:v>
                </c:pt>
                <c:pt idx="12">
                  <c:v>0.999669</c:v>
                </c:pt>
                <c:pt idx="13">
                  <c:v>0.999871</c:v>
                </c:pt>
                <c:pt idx="14">
                  <c:v>0.99995</c:v>
                </c:pt>
              </c:numCache>
            </c:numRef>
          </c:val>
        </c:ser>
        <c:ser>
          <c:idx val="8"/>
          <c:order val="8"/>
          <c:tx>
            <c:strRef>
              <c:f>Summary!$U$134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Summary!$V$134:$AJ$134</c:f>
              <c:numCache>
                <c:formatCode>General</c:formatCode>
                <c:ptCount val="15"/>
                <c:pt idx="0">
                  <c:v>0.0370982</c:v>
                </c:pt>
                <c:pt idx="1">
                  <c:v>0.0561268</c:v>
                </c:pt>
                <c:pt idx="2">
                  <c:v>0.145228</c:v>
                </c:pt>
                <c:pt idx="3">
                  <c:v>0.326802</c:v>
                </c:pt>
                <c:pt idx="4">
                  <c:v>0.581069</c:v>
                </c:pt>
                <c:pt idx="5">
                  <c:v>0.79851</c:v>
                </c:pt>
                <c:pt idx="6">
                  <c:v>0.918852</c:v>
                </c:pt>
                <c:pt idx="7">
                  <c:v>0.970018</c:v>
                </c:pt>
                <c:pt idx="8">
                  <c:v>0.989298</c:v>
                </c:pt>
                <c:pt idx="9">
                  <c:v>0.996228</c:v>
                </c:pt>
                <c:pt idx="10">
                  <c:v>0.998677</c:v>
                </c:pt>
                <c:pt idx="11">
                  <c:v>0.999536</c:v>
                </c:pt>
                <c:pt idx="12">
                  <c:v>0.999838</c:v>
                </c:pt>
                <c:pt idx="13">
                  <c:v>0.999943</c:v>
                </c:pt>
                <c:pt idx="14">
                  <c:v>0.99998</c:v>
                </c:pt>
              </c:numCache>
            </c:numRef>
          </c:val>
        </c:ser>
        <c:ser>
          <c:idx val="9"/>
          <c:order val="9"/>
          <c:tx>
            <c:strRef>
              <c:f>Summary!$U$135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Summary!$V$135:$AJ$135</c:f>
              <c:numCache>
                <c:formatCode>General</c:formatCode>
                <c:ptCount val="15"/>
                <c:pt idx="0">
                  <c:v>0.0815519</c:v>
                </c:pt>
                <c:pt idx="1">
                  <c:v>0.0284711</c:v>
                </c:pt>
                <c:pt idx="2">
                  <c:v>0.0803747</c:v>
                </c:pt>
                <c:pt idx="3">
                  <c:v>0.206762</c:v>
                </c:pt>
                <c:pt idx="4">
                  <c:v>0.43737</c:v>
                </c:pt>
                <c:pt idx="5">
                  <c:v>0.698648</c:v>
                </c:pt>
                <c:pt idx="6">
                  <c:v>0.873645</c:v>
                </c:pt>
                <c:pt idx="7">
                  <c:v>0.953748</c:v>
                </c:pt>
                <c:pt idx="8">
                  <c:v>0.984</c:v>
                </c:pt>
                <c:pt idx="9">
                  <c:v>0.994577</c:v>
                </c:pt>
                <c:pt idx="10">
                  <c:v>0.998175</c:v>
                </c:pt>
                <c:pt idx="11">
                  <c:v>0.999387</c:v>
                </c:pt>
                <c:pt idx="12">
                  <c:v>0.999794</c:v>
                </c:pt>
                <c:pt idx="13">
                  <c:v>0.999931</c:v>
                </c:pt>
                <c:pt idx="14">
                  <c:v>0.999977</c:v>
                </c:pt>
              </c:numCache>
            </c:numRef>
          </c:val>
        </c:ser>
        <c:ser>
          <c:idx val="10"/>
          <c:order val="10"/>
          <c:tx>
            <c:strRef>
              <c:f>Summary!$U$136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Summary!$V$136:$AJ$136</c:f>
              <c:numCache>
                <c:formatCode>General</c:formatCode>
                <c:ptCount val="15"/>
                <c:pt idx="0">
                  <c:v>0.0566941</c:v>
                </c:pt>
                <c:pt idx="1">
                  <c:v>0.0334927</c:v>
                </c:pt>
                <c:pt idx="2">
                  <c:v>0.0950763</c:v>
                </c:pt>
                <c:pt idx="3">
                  <c:v>0.24159</c:v>
                </c:pt>
                <c:pt idx="4">
                  <c:v>0.491303</c:v>
                </c:pt>
                <c:pt idx="5">
                  <c:v>0.745432</c:v>
                </c:pt>
                <c:pt idx="6">
                  <c:v>0.898766</c:v>
                </c:pt>
                <c:pt idx="7">
                  <c:v>0.96418</c:v>
                </c:pt>
                <c:pt idx="8">
                  <c:v>0.987895</c:v>
                </c:pt>
                <c:pt idx="9">
                  <c:v>0.995975</c:v>
                </c:pt>
                <c:pt idx="10">
                  <c:v>0.998669</c:v>
                </c:pt>
                <c:pt idx="11">
                  <c:v>0.999561</c:v>
                </c:pt>
                <c:pt idx="12">
                  <c:v>0.999855</c:v>
                </c:pt>
                <c:pt idx="13">
                  <c:v>0.999952</c:v>
                </c:pt>
                <c:pt idx="14">
                  <c:v>0.999984</c:v>
                </c:pt>
              </c:numCache>
            </c:numRef>
          </c:val>
        </c:ser>
        <c:ser>
          <c:idx val="11"/>
          <c:order val="11"/>
          <c:tx>
            <c:strRef>
              <c:f>Summary!$U$137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Summary!$V$137:$AJ$137</c:f>
              <c:numCache>
                <c:formatCode>General</c:formatCode>
                <c:ptCount val="15"/>
                <c:pt idx="0">
                  <c:v>0.0475852</c:v>
                </c:pt>
                <c:pt idx="1">
                  <c:v>0.0348801</c:v>
                </c:pt>
                <c:pt idx="2">
                  <c:v>0.101262</c:v>
                </c:pt>
                <c:pt idx="3">
                  <c:v>0.259949</c:v>
                </c:pt>
                <c:pt idx="4">
                  <c:v>0.52269</c:v>
                </c:pt>
                <c:pt idx="5">
                  <c:v>0.773446</c:v>
                </c:pt>
                <c:pt idx="6">
                  <c:v>0.914113</c:v>
                </c:pt>
                <c:pt idx="7">
                  <c:v>0.970744</c:v>
                </c:pt>
                <c:pt idx="8">
                  <c:v>0.990426</c:v>
                </c:pt>
                <c:pt idx="9">
                  <c:v>0.996909</c:v>
                </c:pt>
                <c:pt idx="10">
                  <c:v>0.999006</c:v>
                </c:pt>
                <c:pt idx="11">
                  <c:v>0.999681</c:v>
                </c:pt>
                <c:pt idx="12">
                  <c:v>0.999898</c:v>
                </c:pt>
                <c:pt idx="13">
                  <c:v>0.999967</c:v>
                </c:pt>
                <c:pt idx="14">
                  <c:v>0.999989</c:v>
                </c:pt>
              </c:numCache>
            </c:numRef>
          </c:val>
        </c:ser>
        <c:ser>
          <c:idx val="12"/>
          <c:order val="12"/>
          <c:tx>
            <c:strRef>
              <c:f>Summary!$U$138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Summary!$V$138:$AJ$138</c:f>
              <c:numCache>
                <c:formatCode>General</c:formatCode>
                <c:ptCount val="15"/>
                <c:pt idx="0">
                  <c:v>0.0708683</c:v>
                </c:pt>
                <c:pt idx="1">
                  <c:v>0.024059</c:v>
                </c:pt>
                <c:pt idx="2">
                  <c:v>0.0714883</c:v>
                </c:pt>
                <c:pt idx="3">
                  <c:v>0.193847</c:v>
                </c:pt>
                <c:pt idx="4">
                  <c:v>0.428894</c:v>
                </c:pt>
                <c:pt idx="5">
                  <c:v>0.701087</c:v>
                </c:pt>
                <c:pt idx="6">
                  <c:v>0.879883</c:v>
                </c:pt>
                <c:pt idx="7">
                  <c:v>0.95812</c:v>
                </c:pt>
                <c:pt idx="8">
                  <c:v>0.986198</c:v>
                </c:pt>
                <c:pt idx="9">
                  <c:v>0.995539</c:v>
                </c:pt>
                <c:pt idx="10">
                  <c:v>0.998567</c:v>
                </c:pt>
                <c:pt idx="11">
                  <c:v>0.999541</c:v>
                </c:pt>
                <c:pt idx="12">
                  <c:v>0.999853</c:v>
                </c:pt>
                <c:pt idx="13">
                  <c:v>0.999953</c:v>
                </c:pt>
                <c:pt idx="14">
                  <c:v>0.999985</c:v>
                </c:pt>
              </c:numCache>
            </c:numRef>
          </c:val>
        </c:ser>
        <c:ser>
          <c:idx val="13"/>
          <c:order val="13"/>
          <c:tx>
            <c:strRef>
              <c:f>Summary!$U$139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Summary!$V$139:$AJ$139</c:f>
              <c:numCache>
                <c:formatCode>General</c:formatCode>
                <c:ptCount val="15"/>
                <c:pt idx="0">
                  <c:v>0.0761128</c:v>
                </c:pt>
                <c:pt idx="1">
                  <c:v>0.0122339</c:v>
                </c:pt>
                <c:pt idx="2">
                  <c:v>0.0362901</c:v>
                </c:pt>
                <c:pt idx="3">
                  <c:v>0.10273</c:v>
                </c:pt>
                <c:pt idx="4">
                  <c:v>0.258215</c:v>
                </c:pt>
                <c:pt idx="5">
                  <c:v>0.514178</c:v>
                </c:pt>
                <c:pt idx="6">
                  <c:v>0.762913</c:v>
                </c:pt>
                <c:pt idx="7">
                  <c:v>0.907267</c:v>
                </c:pt>
                <c:pt idx="8">
                  <c:v>0.967476</c:v>
                </c:pt>
                <c:pt idx="9">
                  <c:v>0.989064</c:v>
                </c:pt>
                <c:pt idx="10">
                  <c:v>0.996376</c:v>
                </c:pt>
                <c:pt idx="11">
                  <c:v>0.998805</c:v>
                </c:pt>
                <c:pt idx="12">
                  <c:v>0.999607</c:v>
                </c:pt>
                <c:pt idx="13">
                  <c:v>0.999871</c:v>
                </c:pt>
                <c:pt idx="14">
                  <c:v>0.999957</c:v>
                </c:pt>
              </c:numCache>
            </c:numRef>
          </c:val>
        </c:ser>
        <c:ser>
          <c:idx val="14"/>
          <c:order val="14"/>
          <c:tx>
            <c:strRef>
              <c:f>Summary!$U$140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Summary!$V$140:$AJ$140</c:f>
              <c:numCache>
                <c:formatCode>General</c:formatCode>
                <c:ptCount val="15"/>
                <c:pt idx="0">
                  <c:v>0.0560289</c:v>
                </c:pt>
                <c:pt idx="1">
                  <c:v>0.0100272</c:v>
                </c:pt>
                <c:pt idx="2">
                  <c:v>0.0262798</c:v>
                </c:pt>
                <c:pt idx="3">
                  <c:v>0.0670907</c:v>
                </c:pt>
                <c:pt idx="4">
                  <c:v>0.160811</c:v>
                </c:pt>
                <c:pt idx="5">
                  <c:v>0.338017</c:v>
                </c:pt>
                <c:pt idx="6">
                  <c:v>0.576376</c:v>
                </c:pt>
                <c:pt idx="7">
                  <c:v>0.783804</c:v>
                </c:pt>
                <c:pt idx="8">
                  <c:v>0.906195</c:v>
                </c:pt>
                <c:pt idx="9">
                  <c:v>0.962604</c:v>
                </c:pt>
                <c:pt idx="10">
                  <c:v>0.98563</c:v>
                </c:pt>
                <c:pt idx="11">
                  <c:v>0.994558</c:v>
                </c:pt>
                <c:pt idx="12">
                  <c:v>0.997951</c:v>
                </c:pt>
                <c:pt idx="13">
                  <c:v>0.99923</c:v>
                </c:pt>
                <c:pt idx="14">
                  <c:v>0.999711</c:v>
                </c:pt>
              </c:numCache>
            </c:numRef>
          </c:val>
        </c:ser>
        <c:ser>
          <c:idx val="15"/>
          <c:order val="15"/>
          <c:tx>
            <c:strRef>
              <c:f>Summary!$U$141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Summary!$V$141:$AJ$141</c:f>
              <c:numCache>
                <c:formatCode>General</c:formatCode>
                <c:ptCount val="15"/>
                <c:pt idx="0">
                  <c:v>0.0537545</c:v>
                </c:pt>
                <c:pt idx="1">
                  <c:v>0.0190013</c:v>
                </c:pt>
                <c:pt idx="2">
                  <c:v>0.0433436</c:v>
                </c:pt>
                <c:pt idx="3">
                  <c:v>0.0958241</c:v>
                </c:pt>
                <c:pt idx="4">
                  <c:v>0.198653</c:v>
                </c:pt>
                <c:pt idx="5">
                  <c:v>0.367035</c:v>
                </c:pt>
                <c:pt idx="6">
                  <c:v>0.57562</c:v>
                </c:pt>
                <c:pt idx="7">
                  <c:v>0.760349</c:v>
                </c:pt>
                <c:pt idx="8">
                  <c:v>0.881255</c:v>
                </c:pt>
                <c:pt idx="9">
                  <c:v>0.945533</c:v>
                </c:pt>
                <c:pt idx="10">
                  <c:v>0.975965</c:v>
                </c:pt>
                <c:pt idx="11">
                  <c:v>0.989582</c:v>
                </c:pt>
                <c:pt idx="12">
                  <c:v>0.995519</c:v>
                </c:pt>
                <c:pt idx="13">
                  <c:v>0.99808</c:v>
                </c:pt>
                <c:pt idx="14">
                  <c:v>0.999178</c:v>
                </c:pt>
              </c:numCache>
            </c:numRef>
          </c:val>
        </c:ser>
        <c:ser>
          <c:idx val="16"/>
          <c:order val="16"/>
          <c:tx>
            <c:strRef>
              <c:f>Summary!$U$142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Summary!$V$142:$AJ$142</c:f>
              <c:numCache>
                <c:formatCode>General</c:formatCode>
                <c:ptCount val="15"/>
                <c:pt idx="0">
                  <c:v>0.0395385</c:v>
                </c:pt>
                <c:pt idx="1">
                  <c:v>0.0189649</c:v>
                </c:pt>
                <c:pt idx="2">
                  <c:v>0.039635</c:v>
                </c:pt>
                <c:pt idx="3">
                  <c:v>0.0809739</c:v>
                </c:pt>
                <c:pt idx="4">
                  <c:v>0.158321</c:v>
                </c:pt>
                <c:pt idx="5">
                  <c:v>0.286517</c:v>
                </c:pt>
                <c:pt idx="6">
                  <c:v>0.46159</c:v>
                </c:pt>
                <c:pt idx="7">
                  <c:v>0.646678</c:v>
                </c:pt>
                <c:pt idx="8">
                  <c:v>0.796228</c:v>
                </c:pt>
                <c:pt idx="9">
                  <c:v>0.892956</c:v>
                </c:pt>
                <c:pt idx="10">
                  <c:v>0.946834</c:v>
                </c:pt>
                <c:pt idx="11">
                  <c:v>0.974373</c:v>
                </c:pt>
                <c:pt idx="12">
                  <c:v>0.98783</c:v>
                </c:pt>
                <c:pt idx="13">
                  <c:v>0.994262</c:v>
                </c:pt>
                <c:pt idx="14">
                  <c:v>0.997304</c:v>
                </c:pt>
              </c:numCache>
            </c:numRef>
          </c:val>
        </c:ser>
        <c:ser>
          <c:idx val="17"/>
          <c:order val="17"/>
          <c:tx>
            <c:strRef>
              <c:f>Summary!$U$143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Summary!$V$143:$AJ$143</c:f>
              <c:numCache>
                <c:formatCode>General</c:formatCode>
                <c:ptCount val="15"/>
                <c:pt idx="0">
                  <c:v>0.0472525</c:v>
                </c:pt>
                <c:pt idx="1">
                  <c:v>0.0431882</c:v>
                </c:pt>
                <c:pt idx="2">
                  <c:v>0.0854911</c:v>
                </c:pt>
                <c:pt idx="3">
                  <c:v>0.162205</c:v>
                </c:pt>
                <c:pt idx="4">
                  <c:v>0.286214</c:v>
                </c:pt>
                <c:pt idx="5">
                  <c:v>0.453688</c:v>
                </c:pt>
                <c:pt idx="6">
                  <c:v>0.632344</c:v>
                </c:pt>
                <c:pt idx="7">
                  <c:v>0.780803</c:v>
                </c:pt>
                <c:pt idx="8">
                  <c:v>0.88063</c:v>
                </c:pt>
                <c:pt idx="9">
                  <c:v>0.938571</c:v>
                </c:pt>
                <c:pt idx="10">
                  <c:v>0.969366</c:v>
                </c:pt>
                <c:pt idx="11">
                  <c:v>0.984971</c:v>
                </c:pt>
                <c:pt idx="12">
                  <c:v>0.992686</c:v>
                </c:pt>
                <c:pt idx="13">
                  <c:v>0.996455</c:v>
                </c:pt>
                <c:pt idx="14">
                  <c:v>0.998285</c:v>
                </c:pt>
              </c:numCache>
            </c:numRef>
          </c:val>
        </c:ser>
        <c:ser>
          <c:idx val="18"/>
          <c:order val="18"/>
          <c:tx>
            <c:strRef>
              <c:f>Summary!$U$144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Summary!$V$144:$AJ$144</c:f>
              <c:numCache>
                <c:formatCode>General</c:formatCode>
                <c:ptCount val="15"/>
                <c:pt idx="0">
                  <c:v>0.0318411</c:v>
                </c:pt>
                <c:pt idx="1">
                  <c:v>0.0418311</c:v>
                </c:pt>
                <c:pt idx="2">
                  <c:v>0.0864514</c:v>
                </c:pt>
                <c:pt idx="3">
                  <c:v>0.170212</c:v>
                </c:pt>
                <c:pt idx="4">
                  <c:v>0.307785</c:v>
                </c:pt>
                <c:pt idx="5">
                  <c:v>0.490785</c:v>
                </c:pt>
                <c:pt idx="6">
                  <c:v>0.676289</c:v>
                </c:pt>
                <c:pt idx="7">
                  <c:v>0.81912</c:v>
                </c:pt>
                <c:pt idx="8">
                  <c:v>0.907546</c:v>
                </c:pt>
                <c:pt idx="9">
                  <c:v>0.955112</c:v>
                </c:pt>
                <c:pt idx="10">
                  <c:v>0.978778</c:v>
                </c:pt>
                <c:pt idx="11">
                  <c:v>0.990097</c:v>
                </c:pt>
                <c:pt idx="12">
                  <c:v>0.995407</c:v>
                </c:pt>
                <c:pt idx="13">
                  <c:v>0.997876</c:v>
                </c:pt>
                <c:pt idx="14">
                  <c:v>0.999019</c:v>
                </c:pt>
              </c:numCache>
            </c:numRef>
          </c:val>
        </c:ser>
        <c:ser>
          <c:idx val="19"/>
          <c:order val="19"/>
          <c:tx>
            <c:strRef>
              <c:f>Summary!$U$145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Summary!$V$145:$AJ$145</c:f>
              <c:numCache>
                <c:formatCode>General</c:formatCode>
                <c:ptCount val="15"/>
                <c:pt idx="0">
                  <c:v>0.0361374</c:v>
                </c:pt>
                <c:pt idx="1">
                  <c:v>0.0325093</c:v>
                </c:pt>
                <c:pt idx="2">
                  <c:v>0.0681558</c:v>
                </c:pt>
                <c:pt idx="3">
                  <c:v>0.13734</c:v>
                </c:pt>
                <c:pt idx="4">
                  <c:v>0.257357</c:v>
                </c:pt>
                <c:pt idx="5">
                  <c:v>0.429977</c:v>
                </c:pt>
                <c:pt idx="6">
                  <c:v>0.621487</c:v>
                </c:pt>
                <c:pt idx="7">
                  <c:v>0.781371</c:v>
                </c:pt>
                <c:pt idx="8">
                  <c:v>0.886097</c:v>
                </c:pt>
                <c:pt idx="9">
                  <c:v>0.944238</c:v>
                </c:pt>
                <c:pt idx="10">
                  <c:v>0.973586</c:v>
                </c:pt>
                <c:pt idx="11">
                  <c:v>0.987689</c:v>
                </c:pt>
                <c:pt idx="12">
                  <c:v>0.994306</c:v>
                </c:pt>
                <c:pt idx="13">
                  <c:v>0.997376</c:v>
                </c:pt>
                <c:pt idx="14">
                  <c:v>0.998793</c:v>
                </c:pt>
              </c:numCache>
            </c:numRef>
          </c:val>
        </c:ser>
        <c:ser>
          <c:idx val="20"/>
          <c:order val="20"/>
          <c:tx>
            <c:strRef>
              <c:f>Summary!$U$146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Summary!$V$146:$AJ$146</c:f>
              <c:numCache>
                <c:formatCode>General</c:formatCode>
                <c:ptCount val="15"/>
                <c:pt idx="0">
                  <c:v>0.0221698</c:v>
                </c:pt>
                <c:pt idx="1">
                  <c:v>0.0253367</c:v>
                </c:pt>
                <c:pt idx="2">
                  <c:v>0.0593411</c:v>
                </c:pt>
                <c:pt idx="3">
                  <c:v>0.132766</c:v>
                </c:pt>
                <c:pt idx="4">
                  <c:v>0.270881</c:v>
                </c:pt>
                <c:pt idx="5">
                  <c:v>0.474124</c:v>
                </c:pt>
                <c:pt idx="6">
                  <c:v>0.686318</c:v>
                </c:pt>
                <c:pt idx="7">
                  <c:v>0.841512</c:v>
                </c:pt>
                <c:pt idx="8">
                  <c:v>0.927981</c:v>
                </c:pt>
                <c:pt idx="9">
                  <c:v>0.969011</c:v>
                </c:pt>
                <c:pt idx="10">
                  <c:v>0.986993</c:v>
                </c:pt>
                <c:pt idx="11">
                  <c:v>0.994599</c:v>
                </c:pt>
                <c:pt idx="12">
                  <c:v>0.997767</c:v>
                </c:pt>
                <c:pt idx="13">
                  <c:v>0.999079</c:v>
                </c:pt>
                <c:pt idx="14">
                  <c:v>0.99962</c:v>
                </c:pt>
              </c:numCache>
            </c:numRef>
          </c:val>
        </c:ser>
        <c:ser>
          <c:idx val="21"/>
          <c:order val="21"/>
          <c:tx>
            <c:strRef>
              <c:f>Summary!$U$147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Summary!$V$147:$AJ$147</c:f>
              <c:numCache>
                <c:formatCode>General</c:formatCode>
                <c:ptCount val="15"/>
                <c:pt idx="0">
                  <c:v>0.014895</c:v>
                </c:pt>
                <c:pt idx="1">
                  <c:v>0.0113843</c:v>
                </c:pt>
                <c:pt idx="2">
                  <c:v>0.0304448</c:v>
                </c:pt>
                <c:pt idx="3">
                  <c:v>0.0788718</c:v>
                </c:pt>
                <c:pt idx="4">
                  <c:v>0.189291</c:v>
                </c:pt>
                <c:pt idx="5">
                  <c:v>0.389009</c:v>
                </c:pt>
                <c:pt idx="6">
                  <c:v>0.634523</c:v>
                </c:pt>
                <c:pt idx="7">
                  <c:v>0.825609</c:v>
                </c:pt>
                <c:pt idx="8">
                  <c:v>0.928107</c:v>
                </c:pt>
                <c:pt idx="9">
                  <c:v>0.972378</c:v>
                </c:pt>
                <c:pt idx="10">
                  <c:v>0.98969</c:v>
                </c:pt>
                <c:pt idx="11">
                  <c:v>0.996194</c:v>
                </c:pt>
                <c:pt idx="12">
                  <c:v>0.998601</c:v>
                </c:pt>
                <c:pt idx="13">
                  <c:v>0.999486</c:v>
                </c:pt>
                <c:pt idx="14">
                  <c:v>0.999812</c:v>
                </c:pt>
              </c:numCache>
            </c:numRef>
          </c:val>
        </c:ser>
        <c:ser>
          <c:idx val="23"/>
          <c:order val="22"/>
          <c:tx>
            <c:strRef>
              <c:f>Summary!$U$148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Summary!$V$148:$AJ$148</c:f>
              <c:numCache>
                <c:formatCode>General</c:formatCode>
                <c:ptCount val="15"/>
                <c:pt idx="0">
                  <c:v>0.0393088</c:v>
                </c:pt>
                <c:pt idx="1">
                  <c:v>0.0149877</c:v>
                </c:pt>
                <c:pt idx="2">
                  <c:v>0.0408479</c:v>
                </c:pt>
                <c:pt idx="3">
                  <c:v>0.106503</c:v>
                </c:pt>
                <c:pt idx="4">
                  <c:v>0.250164</c:v>
                </c:pt>
                <c:pt idx="5">
                  <c:v>0.48288</c:v>
                </c:pt>
                <c:pt idx="6">
                  <c:v>0.723267</c:v>
                </c:pt>
                <c:pt idx="7">
                  <c:v>0.879738</c:v>
                </c:pt>
                <c:pt idx="8">
                  <c:v>0.953433</c:v>
                </c:pt>
                <c:pt idx="9">
                  <c:v>0.982849</c:v>
                </c:pt>
                <c:pt idx="10">
                  <c:v>0.993804</c:v>
                </c:pt>
                <c:pt idx="11">
                  <c:v>0.997777</c:v>
                </c:pt>
                <c:pt idx="12">
                  <c:v>0.999205</c:v>
                </c:pt>
                <c:pt idx="13">
                  <c:v>0.999716</c:v>
                </c:pt>
                <c:pt idx="14">
                  <c:v>0.999898</c:v>
                </c:pt>
              </c:numCache>
            </c:numRef>
          </c:val>
        </c:ser>
        <c:ser>
          <c:idx val="22"/>
          <c:order val="23"/>
          <c:tx>
            <c:strRef>
              <c:f>Summary!$U$149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Summary!$V$149:$AJ$149</c:f>
              <c:numCache>
                <c:formatCode>General</c:formatCode>
                <c:ptCount val="15"/>
                <c:pt idx="0">
                  <c:v>0.0530042</c:v>
                </c:pt>
                <c:pt idx="1">
                  <c:v>0.0214138</c:v>
                </c:pt>
                <c:pt idx="2">
                  <c:v>0.0605503</c:v>
                </c:pt>
                <c:pt idx="3">
                  <c:v>0.159552</c:v>
                </c:pt>
                <c:pt idx="4">
                  <c:v>0.358632</c:v>
                </c:pt>
                <c:pt idx="5">
                  <c:v>0.622212</c:v>
                </c:pt>
                <c:pt idx="6">
                  <c:v>0.829091</c:v>
                </c:pt>
                <c:pt idx="7">
                  <c:v>0.934592</c:v>
                </c:pt>
                <c:pt idx="8">
                  <c:v>0.976791</c:v>
                </c:pt>
                <c:pt idx="9">
                  <c:v>0.991998</c:v>
                </c:pt>
                <c:pt idx="10">
                  <c:v>0.997269</c:v>
                </c:pt>
                <c:pt idx="11">
                  <c:v>0.999071</c:v>
                </c:pt>
                <c:pt idx="12">
                  <c:v>0.999684</c:v>
                </c:pt>
                <c:pt idx="13">
                  <c:v>0.999893</c:v>
                </c:pt>
                <c:pt idx="14">
                  <c:v>0.999964</c:v>
                </c:pt>
              </c:numCache>
            </c:numRef>
          </c:val>
        </c:ser>
        <c:ser>
          <c:idx val="24"/>
          <c:order val="24"/>
          <c:tx>
            <c:strRef>
              <c:f>Summary!$U$150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Summary!$V$150:$AJ$150</c:f>
              <c:numCache>
                <c:formatCode>General</c:formatCode>
                <c:ptCount val="15"/>
                <c:pt idx="0">
                  <c:v>0.0581918</c:v>
                </c:pt>
                <c:pt idx="1">
                  <c:v>0.00933787</c:v>
                </c:pt>
                <c:pt idx="2">
                  <c:v>0.0271988</c:v>
                </c:pt>
                <c:pt idx="3">
                  <c:v>0.076582</c:v>
                </c:pt>
                <c:pt idx="4">
                  <c:v>0.19743</c:v>
                </c:pt>
                <c:pt idx="5">
                  <c:v>0.421859</c:v>
                </c:pt>
                <c:pt idx="6">
                  <c:v>0.683984</c:v>
                </c:pt>
                <c:pt idx="7">
                  <c:v>0.86523</c:v>
                </c:pt>
                <c:pt idx="8">
                  <c:v>0.950108</c:v>
                </c:pt>
                <c:pt idx="9">
                  <c:v>0.982605</c:v>
                </c:pt>
                <c:pt idx="10">
                  <c:v>0.994067</c:v>
                </c:pt>
                <c:pt idx="11">
                  <c:v>0.997992</c:v>
                </c:pt>
                <c:pt idx="12">
                  <c:v>0.999322</c:v>
                </c:pt>
                <c:pt idx="13">
                  <c:v>0.999771</c:v>
                </c:pt>
                <c:pt idx="14">
                  <c:v>0.999923</c:v>
                </c:pt>
              </c:numCache>
            </c:numRef>
          </c:val>
        </c:ser>
        <c:ser>
          <c:idx val="25"/>
          <c:order val="25"/>
          <c:tx>
            <c:strRef>
              <c:f>Summary!$U$151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Summary!$V$151:$AJ$151</c:f>
              <c:numCache>
                <c:formatCode>General</c:formatCode>
                <c:ptCount val="15"/>
                <c:pt idx="0">
                  <c:v>0.0583121</c:v>
                </c:pt>
                <c:pt idx="1">
                  <c:v>0.0172763</c:v>
                </c:pt>
                <c:pt idx="2">
                  <c:v>0.0555491</c:v>
                </c:pt>
                <c:pt idx="3">
                  <c:v>0.164423</c:v>
                </c:pt>
                <c:pt idx="4">
                  <c:v>0.396989</c:v>
                </c:pt>
                <c:pt idx="5">
                  <c:v>0.687751</c:v>
                </c:pt>
                <c:pt idx="6">
                  <c:v>0.880511</c:v>
                </c:pt>
                <c:pt idx="7">
                  <c:v>0.96102</c:v>
                </c:pt>
                <c:pt idx="8">
                  <c:v>0.988021</c:v>
                </c:pt>
                <c:pt idx="9">
                  <c:v>0.996389</c:v>
                </c:pt>
                <c:pt idx="10">
                  <c:v>0.998918</c:v>
                </c:pt>
                <c:pt idx="11">
                  <c:v>0.999676</c:v>
                </c:pt>
                <c:pt idx="12">
                  <c:v>0.999903</c:v>
                </c:pt>
                <c:pt idx="13">
                  <c:v>0.999971</c:v>
                </c:pt>
                <c:pt idx="14">
                  <c:v>0.999991</c:v>
                </c:pt>
              </c:numCache>
            </c:numRef>
          </c:val>
        </c:ser>
        <c:ser>
          <c:idx val="26"/>
          <c:order val="26"/>
          <c:tx>
            <c:strRef>
              <c:f>Summary!$U$152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B9CDE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Summary!$V$152:$AJ$152</c:f>
              <c:numCache>
                <c:formatCode>General</c:formatCode>
                <c:ptCount val="15"/>
                <c:pt idx="0">
                  <c:v>0.0301617</c:v>
                </c:pt>
                <c:pt idx="1">
                  <c:v>0.0108568</c:v>
                </c:pt>
                <c:pt idx="2">
                  <c:v>0.0403899</c:v>
                </c:pt>
                <c:pt idx="3">
                  <c:v>0.138973</c:v>
                </c:pt>
                <c:pt idx="4">
                  <c:v>0.38231</c:v>
                </c:pt>
                <c:pt idx="5">
                  <c:v>0.703567</c:v>
                </c:pt>
                <c:pt idx="6">
                  <c:v>0.901005</c:v>
                </c:pt>
                <c:pt idx="7">
                  <c:v>0.972146</c:v>
                </c:pt>
                <c:pt idx="8">
                  <c:v>0.992584</c:v>
                </c:pt>
                <c:pt idx="9">
                  <c:v>0.998055</c:v>
                </c:pt>
                <c:pt idx="10">
                  <c:v>0.999492</c:v>
                </c:pt>
                <c:pt idx="11">
                  <c:v>0.999868</c:v>
                </c:pt>
                <c:pt idx="12">
                  <c:v>0.999965</c:v>
                </c:pt>
                <c:pt idx="13">
                  <c:v>0.999991</c:v>
                </c:pt>
                <c:pt idx="14">
                  <c:v>0.999998</c:v>
                </c:pt>
              </c:numCache>
            </c:numRef>
          </c:val>
        </c:ser>
        <c:ser>
          <c:idx val="27"/>
          <c:order val="27"/>
          <c:tx>
            <c:strRef>
              <c:f>Summary!$U$153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B9CDE5"/>
            </a:solidFill>
            <a:ln>
              <a:solidFill>
                <a:srgbClr val="000000"/>
              </a:solidFill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Summary!$V$153:$AJ$153</c:f>
              <c:numCache>
                <c:formatCode>General</c:formatCode>
                <c:ptCount val="15"/>
                <c:pt idx="0">
                  <c:v>0.0142447</c:v>
                </c:pt>
                <c:pt idx="1">
                  <c:v>0.0119806</c:v>
                </c:pt>
                <c:pt idx="2">
                  <c:v>0.046351</c:v>
                </c:pt>
                <c:pt idx="3">
                  <c:v>0.163052</c:v>
                </c:pt>
                <c:pt idx="4">
                  <c:v>0.43848</c:v>
                </c:pt>
                <c:pt idx="5">
                  <c:v>0.757868</c:v>
                </c:pt>
                <c:pt idx="6">
                  <c:v>0.926176</c:v>
                </c:pt>
                <c:pt idx="7">
                  <c:v>0.980502</c:v>
                </c:pt>
                <c:pt idx="8">
                  <c:v>0.995063</c:v>
                </c:pt>
                <c:pt idx="9">
                  <c:v>0.998764</c:v>
                </c:pt>
                <c:pt idx="10">
                  <c:v>0.999691</c:v>
                </c:pt>
                <c:pt idx="11">
                  <c:v>0.999923</c:v>
                </c:pt>
                <c:pt idx="12">
                  <c:v>0.999981</c:v>
                </c:pt>
                <c:pt idx="13">
                  <c:v>0.999995</c:v>
                </c:pt>
                <c:pt idx="14">
                  <c:v>0.999999</c:v>
                </c:pt>
              </c:numCache>
            </c:numRef>
          </c:val>
        </c:ser>
        <c:ser>
          <c:idx val="28"/>
          <c:order val="28"/>
          <c:tx>
            <c:strRef>
              <c:f>Summary!$U$154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B9CDE5"/>
            </a:solidFill>
            <a:ln>
              <a:solidFill>
                <a:srgbClr val="000000"/>
              </a:solidFill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Summary!$V$154:$AJ$154</c:f>
              <c:numCache>
                <c:formatCode>General</c:formatCode>
                <c:ptCount val="15"/>
                <c:pt idx="0">
                  <c:v>0.0189905</c:v>
                </c:pt>
                <c:pt idx="1">
                  <c:v>0.0132847</c:v>
                </c:pt>
                <c:pt idx="2">
                  <c:v>0.0607483</c:v>
                </c:pt>
                <c:pt idx="3">
                  <c:v>0.23705</c:v>
                </c:pt>
                <c:pt idx="4">
                  <c:v>0.598808</c:v>
                </c:pt>
                <c:pt idx="5">
                  <c:v>0.877603</c:v>
                </c:pt>
                <c:pt idx="6">
                  <c:v>0.971787</c:v>
                </c:pt>
                <c:pt idx="7">
                  <c:v>0.993993</c:v>
                </c:pt>
                <c:pt idx="8">
                  <c:v>0.998744</c:v>
                </c:pt>
                <c:pt idx="9">
                  <c:v>0.999738</c:v>
                </c:pt>
                <c:pt idx="10">
                  <c:v>0.999945</c:v>
                </c:pt>
                <c:pt idx="11">
                  <c:v>0.999989</c:v>
                </c:pt>
                <c:pt idx="12">
                  <c:v>0.999998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29"/>
          <c:order val="29"/>
          <c:tx>
            <c:strRef>
              <c:f>Summary!$U$155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B9CDE5"/>
            </a:solidFill>
            <a:ln>
              <a:solidFill>
                <a:schemeClr val="tx1"/>
              </a:solidFill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Summary!$V$155:$AJ$155</c:f>
              <c:numCache>
                <c:formatCode>General</c:formatCode>
                <c:ptCount val="15"/>
                <c:pt idx="0">
                  <c:v>0.0580529</c:v>
                </c:pt>
                <c:pt idx="1">
                  <c:v>0.00450488</c:v>
                </c:pt>
                <c:pt idx="2">
                  <c:v>0.0211024</c:v>
                </c:pt>
                <c:pt idx="3">
                  <c:v>0.0931302</c:v>
                </c:pt>
                <c:pt idx="4">
                  <c:v>0.328504</c:v>
                </c:pt>
                <c:pt idx="5">
                  <c:v>0.699744</c:v>
                </c:pt>
                <c:pt idx="6">
                  <c:v>0.917368</c:v>
                </c:pt>
                <c:pt idx="7">
                  <c:v>0.981443</c:v>
                </c:pt>
                <c:pt idx="8">
                  <c:v>0.996047</c:v>
                </c:pt>
                <c:pt idx="9">
                  <c:v>0.999167</c:v>
                </c:pt>
                <c:pt idx="10">
                  <c:v>0.999825</c:v>
                </c:pt>
                <c:pt idx="11">
                  <c:v>0.999963</c:v>
                </c:pt>
                <c:pt idx="12">
                  <c:v>0.999992</c:v>
                </c:pt>
                <c:pt idx="13">
                  <c:v>0.999998</c:v>
                </c:pt>
                <c:pt idx="14">
                  <c:v>1.0</c:v>
                </c:pt>
              </c:numCache>
            </c:numRef>
          </c:val>
        </c:ser>
        <c:ser>
          <c:idx val="30"/>
          <c:order val="30"/>
          <c:tx>
            <c:strRef>
              <c:f>Summary!$U$156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B9CDE5"/>
            </a:solidFill>
            <a:ln>
              <a:solidFill>
                <a:schemeClr val="tx1"/>
              </a:solidFill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Summary!$V$156:$AJ$156</c:f>
              <c:numCache>
                <c:formatCode>General</c:formatCode>
                <c:ptCount val="15"/>
                <c:pt idx="0">
                  <c:v>0.0682779</c:v>
                </c:pt>
                <c:pt idx="1">
                  <c:v>0.0123838</c:v>
                </c:pt>
                <c:pt idx="2">
                  <c:v>0.0451728</c:v>
                </c:pt>
                <c:pt idx="3">
                  <c:v>0.151464</c:v>
                </c:pt>
                <c:pt idx="4">
                  <c:v>0.402443</c:v>
                </c:pt>
                <c:pt idx="5">
                  <c:v>0.717597</c:v>
                </c:pt>
                <c:pt idx="6">
                  <c:v>0.905548</c:v>
                </c:pt>
                <c:pt idx="7">
                  <c:v>0.973099</c:v>
                </c:pt>
                <c:pt idx="8">
                  <c:v>0.992726</c:v>
                </c:pt>
                <c:pt idx="9">
                  <c:v>0.998062</c:v>
                </c:pt>
                <c:pt idx="10">
                  <c:v>0.999486</c:v>
                </c:pt>
                <c:pt idx="11">
                  <c:v>0.999864</c:v>
                </c:pt>
                <c:pt idx="12">
                  <c:v>0.999964</c:v>
                </c:pt>
                <c:pt idx="13">
                  <c:v>0.99999</c:v>
                </c:pt>
                <c:pt idx="14">
                  <c:v>0.999997</c:v>
                </c:pt>
              </c:numCache>
            </c:numRef>
          </c:val>
        </c:ser>
        <c:ser>
          <c:idx val="31"/>
          <c:order val="31"/>
          <c:tx>
            <c:strRef>
              <c:f>Summary!$U$157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B9CDE5"/>
            </a:solidFill>
            <a:ln>
              <a:solidFill>
                <a:schemeClr val="tx1"/>
              </a:solidFill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Summary!$V$157:$AJ$157</c:f>
              <c:numCache>
                <c:formatCode>General</c:formatCode>
                <c:ptCount val="15"/>
                <c:pt idx="0">
                  <c:v>0.0191588</c:v>
                </c:pt>
                <c:pt idx="1">
                  <c:v>0.0128051</c:v>
                </c:pt>
                <c:pt idx="2">
                  <c:v>0.0471499</c:v>
                </c:pt>
                <c:pt idx="3">
                  <c:v>0.158794</c:v>
                </c:pt>
                <c:pt idx="4">
                  <c:v>0.418645</c:v>
                </c:pt>
                <c:pt idx="5">
                  <c:v>0.733129</c:v>
                </c:pt>
                <c:pt idx="6">
                  <c:v>0.912891</c:v>
                </c:pt>
                <c:pt idx="7">
                  <c:v>0.975597</c:v>
                </c:pt>
                <c:pt idx="8">
                  <c:v>0.993486</c:v>
                </c:pt>
                <c:pt idx="9">
                  <c:v>0.998284</c:v>
                </c:pt>
                <c:pt idx="10">
                  <c:v>0.99955</c:v>
                </c:pt>
                <c:pt idx="11">
                  <c:v>0.999882</c:v>
                </c:pt>
                <c:pt idx="12">
                  <c:v>0.999969</c:v>
                </c:pt>
                <c:pt idx="13">
                  <c:v>0.999992</c:v>
                </c:pt>
                <c:pt idx="14">
                  <c:v>0.999998</c:v>
                </c:pt>
              </c:numCache>
            </c:numRef>
          </c:val>
        </c:ser>
        <c:ser>
          <c:idx val="32"/>
          <c:order val="32"/>
          <c:tx>
            <c:v>2014</c:v>
          </c:tx>
          <c:spPr>
            <a:solidFill>
              <a:schemeClr val="tx2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c:spPr>
          <c:val>
            <c:numRef>
              <c:f>Summary!$V$158:$AJ$158</c:f>
              <c:numCache>
                <c:formatCode>General</c:formatCode>
                <c:ptCount val="15"/>
                <c:pt idx="0">
                  <c:v>0.0421791</c:v>
                </c:pt>
                <c:pt idx="1">
                  <c:v>0.0138101</c:v>
                </c:pt>
                <c:pt idx="2">
                  <c:v>0.0528981</c:v>
                </c:pt>
                <c:pt idx="3">
                  <c:v>0.182183</c:v>
                </c:pt>
                <c:pt idx="4">
                  <c:v>0.47048</c:v>
                </c:pt>
                <c:pt idx="5">
                  <c:v>0.779918</c:v>
                </c:pt>
                <c:pt idx="6">
                  <c:v>0.933925</c:v>
                </c:pt>
                <c:pt idx="7">
                  <c:v>0.982571</c:v>
                </c:pt>
                <c:pt idx="8">
                  <c:v>0.995572</c:v>
                </c:pt>
                <c:pt idx="9">
                  <c:v>0.998886</c:v>
                </c:pt>
                <c:pt idx="10">
                  <c:v>0.999721</c:v>
                </c:pt>
                <c:pt idx="11">
                  <c:v>0.99993</c:v>
                </c:pt>
                <c:pt idx="12">
                  <c:v>0.999982</c:v>
                </c:pt>
                <c:pt idx="13">
                  <c:v>0.999996</c:v>
                </c:pt>
                <c:pt idx="14">
                  <c:v>0.999999</c:v>
                </c:pt>
              </c:numCache>
            </c:numRef>
          </c:val>
        </c:ser>
        <c:ser>
          <c:idx val="33"/>
          <c:order val="33"/>
          <c:tx>
            <c:v>2015</c:v>
          </c:tx>
          <c:spPr>
            <a:solidFill>
              <a:schemeClr val="tx2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c:spPr>
          <c:val>
            <c:numRef>
              <c:f>Summary!$V$159:$AK$159</c:f>
              <c:numCache>
                <c:formatCode>General</c:formatCode>
                <c:ptCount val="16"/>
                <c:pt idx="0">
                  <c:v>0.0417263</c:v>
                </c:pt>
                <c:pt idx="1">
                  <c:v>0.021284</c:v>
                </c:pt>
                <c:pt idx="2">
                  <c:v>0.068815</c:v>
                </c:pt>
                <c:pt idx="3">
                  <c:v>0.200722</c:v>
                </c:pt>
                <c:pt idx="4">
                  <c:v>0.460449</c:v>
                </c:pt>
                <c:pt idx="5">
                  <c:v>0.743591</c:v>
                </c:pt>
                <c:pt idx="6">
                  <c:v>0.907875</c:v>
                </c:pt>
                <c:pt idx="7">
                  <c:v>0.971005</c:v>
                </c:pt>
                <c:pt idx="8">
                  <c:v>0.991289</c:v>
                </c:pt>
                <c:pt idx="9">
                  <c:v>0.997421</c:v>
                </c:pt>
                <c:pt idx="10">
                  <c:v>0.99924</c:v>
                </c:pt>
                <c:pt idx="11">
                  <c:v>0.999776</c:v>
                </c:pt>
                <c:pt idx="12">
                  <c:v>0.999934</c:v>
                </c:pt>
                <c:pt idx="13">
                  <c:v>0.999981</c:v>
                </c:pt>
                <c:pt idx="14">
                  <c:v>0.999994</c:v>
                </c:pt>
              </c:numCache>
            </c:numRef>
          </c:val>
        </c:ser>
        <c:ser>
          <c:idx val="34"/>
          <c:order val="34"/>
          <c:tx>
            <c:strRef>
              <c:f>Summary!$U$160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5"/>
              </a:solidFill>
            </a:ln>
          </c:spPr>
          <c:cat>
            <c:numRef>
              <c:f>Summary!$L$47:$Z$47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Summary!$V$160:$AK$160</c:f>
              <c:numCache>
                <c:formatCode>General</c:formatCode>
                <c:ptCount val="16"/>
                <c:pt idx="0">
                  <c:v>0.0339694</c:v>
                </c:pt>
                <c:pt idx="1">
                  <c:v>0.0202534</c:v>
                </c:pt>
                <c:pt idx="2">
                  <c:v>0.062653</c:v>
                </c:pt>
                <c:pt idx="3">
                  <c:v>0.177714</c:v>
                </c:pt>
                <c:pt idx="4">
                  <c:v>0.411352</c:v>
                </c:pt>
                <c:pt idx="5">
                  <c:v>0.693207</c:v>
                </c:pt>
                <c:pt idx="6">
                  <c:v>0.879604</c:v>
                </c:pt>
                <c:pt idx="7">
                  <c:v>0.959387</c:v>
                </c:pt>
                <c:pt idx="8">
                  <c:v>0.987077</c:v>
                </c:pt>
                <c:pt idx="9">
                  <c:v>0.995967</c:v>
                </c:pt>
                <c:pt idx="10">
                  <c:v>0.998749</c:v>
                </c:pt>
                <c:pt idx="11">
                  <c:v>0.999613</c:v>
                </c:pt>
                <c:pt idx="12">
                  <c:v>0.99988</c:v>
                </c:pt>
                <c:pt idx="13">
                  <c:v>0.999963</c:v>
                </c:pt>
                <c:pt idx="14">
                  <c:v>0.999989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808080"/>
              </a:solidFill>
              <a:prstDash val="solid"/>
            </a:ln>
          </c:spPr>
        </c:dropLines>
        <c:gapDepth val="500"/>
        <c:axId val="450387616"/>
        <c:axId val="450385408"/>
        <c:axId val="450378912"/>
      </c:area3DChart>
      <c:catAx>
        <c:axId val="45038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0.516108880429682"/>
              <c:y val="0.9406701963978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385408"/>
        <c:crosses val="autoZero"/>
        <c:auto val="0"/>
        <c:lblAlgn val="ctr"/>
        <c:lblOffset val="100"/>
        <c:tickLblSkip val="2"/>
        <c:tickMarkSkip val="1"/>
        <c:noMultiLvlLbl val="1"/>
      </c:catAx>
      <c:valAx>
        <c:axId val="450385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50387616"/>
        <c:crosses val="max"/>
        <c:crossBetween val="midCat"/>
      </c:valAx>
      <c:serAx>
        <c:axId val="4503789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385408"/>
        <c:crosses val="autoZero"/>
        <c:tickLblSkip val="2"/>
        <c:tickMarkSkip val="1"/>
      </c:ser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57" l="0.750000000000004" r="0.750000000000004" t="0.45" header="0.5" footer="0.5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EIT survey numbers</a:t>
            </a:r>
          </a:p>
        </c:rich>
      </c:tx>
      <c:layout>
        <c:manualLayout>
          <c:xMode val="edge"/>
          <c:yMode val="edge"/>
          <c:x val="0.349438042099042"/>
          <c:y val="0.0250896057347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4017710937002"/>
          <c:y val="0.064516317216894"/>
          <c:w val="0.806522851895908"/>
          <c:h val="0.784948526138883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Summary!$R$15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Summary!$S$1:$AW$1</c:f>
              <c:numCache>
                <c:formatCode>General</c:formatCode>
                <c:ptCount val="31"/>
                <c:pt idx="0">
                  <c:v>1979.0</c:v>
                </c:pt>
                <c:pt idx="1">
                  <c:v>1980.0</c:v>
                </c:pt>
                <c:pt idx="2">
                  <c:v>1981.0</c:v>
                </c:pt>
                <c:pt idx="3">
                  <c:v>1982.0</c:v>
                </c:pt>
                <c:pt idx="4">
                  <c:v>1983.0</c:v>
                </c:pt>
                <c:pt idx="5">
                  <c:v>1984.0</c:v>
                </c:pt>
                <c:pt idx="6">
                  <c:v>1985.0</c:v>
                </c:pt>
                <c:pt idx="7">
                  <c:v>1986.0</c:v>
                </c:pt>
                <c:pt idx="8">
                  <c:v>1987.0</c:v>
                </c:pt>
                <c:pt idx="9">
                  <c:v>1988.0</c:v>
                </c:pt>
                <c:pt idx="10">
                  <c:v>1989.0</c:v>
                </c:pt>
                <c:pt idx="11">
                  <c:v>1990.0</c:v>
                </c:pt>
                <c:pt idx="12">
                  <c:v>1991.0</c:v>
                </c:pt>
                <c:pt idx="13">
                  <c:v>1992.0</c:v>
                </c:pt>
                <c:pt idx="14">
                  <c:v>1993.0</c:v>
                </c:pt>
                <c:pt idx="15">
                  <c:v>1994.0</c:v>
                </c:pt>
                <c:pt idx="16">
                  <c:v>1995.0</c:v>
                </c:pt>
                <c:pt idx="17">
                  <c:v>1996.0</c:v>
                </c:pt>
                <c:pt idx="18">
                  <c:v>1997.0</c:v>
                </c:pt>
                <c:pt idx="19">
                  <c:v>1998.0</c:v>
                </c:pt>
                <c:pt idx="20">
                  <c:v>1999.0</c:v>
                </c:pt>
                <c:pt idx="21">
                  <c:v>2000.0</c:v>
                </c:pt>
                <c:pt idx="22">
                  <c:v>2001.0</c:v>
                </c:pt>
                <c:pt idx="23">
                  <c:v>2002.0</c:v>
                </c:pt>
                <c:pt idx="24">
                  <c:v>2003.0</c:v>
                </c:pt>
                <c:pt idx="25">
                  <c:v>2004.0</c:v>
                </c:pt>
                <c:pt idx="26">
                  <c:v>2005.0</c:v>
                </c:pt>
                <c:pt idx="27">
                  <c:v>2006.0</c:v>
                </c:pt>
                <c:pt idx="28">
                  <c:v>2007.0</c:v>
                </c:pt>
                <c:pt idx="29">
                  <c:v>2008.0</c:v>
                </c:pt>
                <c:pt idx="30">
                  <c:v>2009.0</c:v>
                </c:pt>
              </c:numCache>
            </c:numRef>
          </c:xVal>
          <c:yVal>
            <c:numRef>
              <c:f>Summary!$S$15:$AW$15</c:f>
              <c:numCache>
                <c:formatCode>General</c:formatCode>
                <c:ptCount val="31"/>
                <c:pt idx="0">
                  <c:v>46314.0</c:v>
                </c:pt>
                <c:pt idx="3">
                  <c:v>17805.0</c:v>
                </c:pt>
                <c:pt idx="6">
                  <c:v>14965.0</c:v>
                </c:pt>
                <c:pt idx="9">
                  <c:v>12280.0</c:v>
                </c:pt>
                <c:pt idx="12">
                  <c:v>7729.52</c:v>
                </c:pt>
                <c:pt idx="15">
                  <c:v>9129.62</c:v>
                </c:pt>
                <c:pt idx="17">
                  <c:v>5552.9</c:v>
                </c:pt>
                <c:pt idx="18">
                  <c:v>6319.49</c:v>
                </c:pt>
                <c:pt idx="20">
                  <c:v>9488.79</c:v>
                </c:pt>
                <c:pt idx="21">
                  <c:v>7371.83</c:v>
                </c:pt>
                <c:pt idx="23">
                  <c:v>11560.4</c:v>
                </c:pt>
                <c:pt idx="25">
                  <c:v>6818.74</c:v>
                </c:pt>
                <c:pt idx="27">
                  <c:v>2940.09</c:v>
                </c:pt>
                <c:pt idx="28">
                  <c:v>3618.12</c:v>
                </c:pt>
                <c:pt idx="29">
                  <c:v>4667.5</c:v>
                </c:pt>
                <c:pt idx="30">
                  <c:v>2869.71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Summary!$R$14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Summary!$S$1:$AW$1</c:f>
              <c:numCache>
                <c:formatCode>General</c:formatCode>
                <c:ptCount val="31"/>
                <c:pt idx="0">
                  <c:v>1979.0</c:v>
                </c:pt>
                <c:pt idx="1">
                  <c:v>1980.0</c:v>
                </c:pt>
                <c:pt idx="2">
                  <c:v>1981.0</c:v>
                </c:pt>
                <c:pt idx="3">
                  <c:v>1982.0</c:v>
                </c:pt>
                <c:pt idx="4">
                  <c:v>1983.0</c:v>
                </c:pt>
                <c:pt idx="5">
                  <c:v>1984.0</c:v>
                </c:pt>
                <c:pt idx="6">
                  <c:v>1985.0</c:v>
                </c:pt>
                <c:pt idx="7">
                  <c:v>1986.0</c:v>
                </c:pt>
                <c:pt idx="8">
                  <c:v>1987.0</c:v>
                </c:pt>
                <c:pt idx="9">
                  <c:v>1988.0</c:v>
                </c:pt>
                <c:pt idx="10">
                  <c:v>1989.0</c:v>
                </c:pt>
                <c:pt idx="11">
                  <c:v>1990.0</c:v>
                </c:pt>
                <c:pt idx="12">
                  <c:v>1991.0</c:v>
                </c:pt>
                <c:pt idx="13">
                  <c:v>1992.0</c:v>
                </c:pt>
                <c:pt idx="14">
                  <c:v>1993.0</c:v>
                </c:pt>
                <c:pt idx="15">
                  <c:v>1994.0</c:v>
                </c:pt>
                <c:pt idx="16">
                  <c:v>1995.0</c:v>
                </c:pt>
                <c:pt idx="17">
                  <c:v>1996.0</c:v>
                </c:pt>
                <c:pt idx="18">
                  <c:v>1997.0</c:v>
                </c:pt>
                <c:pt idx="19">
                  <c:v>1998.0</c:v>
                </c:pt>
                <c:pt idx="20">
                  <c:v>1999.0</c:v>
                </c:pt>
                <c:pt idx="21">
                  <c:v>2000.0</c:v>
                </c:pt>
                <c:pt idx="22">
                  <c:v>2001.0</c:v>
                </c:pt>
                <c:pt idx="23">
                  <c:v>2002.0</c:v>
                </c:pt>
                <c:pt idx="24">
                  <c:v>2003.0</c:v>
                </c:pt>
                <c:pt idx="25">
                  <c:v>2004.0</c:v>
                </c:pt>
                <c:pt idx="26">
                  <c:v>2005.0</c:v>
                </c:pt>
                <c:pt idx="27">
                  <c:v>2006.0</c:v>
                </c:pt>
                <c:pt idx="28">
                  <c:v>2007.0</c:v>
                </c:pt>
                <c:pt idx="29">
                  <c:v>2008.0</c:v>
                </c:pt>
                <c:pt idx="30">
                  <c:v>2009.0</c:v>
                </c:pt>
              </c:numCache>
            </c:numRef>
          </c:xVal>
          <c:yVal>
            <c:numRef>
              <c:f>Summary!$S$14:$AW$14</c:f>
              <c:numCache>
                <c:formatCode>General</c:formatCode>
                <c:ptCount val="31"/>
                <c:pt idx="0" formatCode="#,##0">
                  <c:v>12241.7</c:v>
                </c:pt>
                <c:pt idx="3">
                  <c:v>10850.0</c:v>
                </c:pt>
                <c:pt idx="6">
                  <c:v>10486.4</c:v>
                </c:pt>
                <c:pt idx="9">
                  <c:v>7497.98</c:v>
                </c:pt>
                <c:pt idx="12">
                  <c:v>8498.82</c:v>
                </c:pt>
                <c:pt idx="15">
                  <c:v>11604.5</c:v>
                </c:pt>
                <c:pt idx="17">
                  <c:v>8449.03</c:v>
                </c:pt>
                <c:pt idx="18">
                  <c:v>8385.24</c:v>
                </c:pt>
                <c:pt idx="20">
                  <c:v>8346.23</c:v>
                </c:pt>
                <c:pt idx="21">
                  <c:v>7707.07</c:v>
                </c:pt>
                <c:pt idx="23">
                  <c:v>9644.23</c:v>
                </c:pt>
                <c:pt idx="25">
                  <c:v>8255.52</c:v>
                </c:pt>
                <c:pt idx="27">
                  <c:v>4366.5</c:v>
                </c:pt>
                <c:pt idx="28">
                  <c:v>3938.44</c:v>
                </c:pt>
                <c:pt idx="29">
                  <c:v>5496.39</c:v>
                </c:pt>
                <c:pt idx="30">
                  <c:v>5643.1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178544"/>
        <c:axId val="448102064"/>
      </c:scatterChart>
      <c:valAx>
        <c:axId val="448178544"/>
        <c:scaling>
          <c:orientation val="minMax"/>
          <c:max val="2009.0"/>
          <c:min val="1978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102064"/>
        <c:crosses val="autoZero"/>
        <c:crossBetween val="midCat"/>
        <c:majorUnit val="3.0"/>
      </c:valAx>
      <c:valAx>
        <c:axId val="448102064"/>
        <c:scaling>
          <c:logBase val="10.0"/>
          <c:orientation val="minMax"/>
          <c:max val="100000.0"/>
          <c:min val="100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1785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5430985034156"/>
          <c:y val="0.139785322533608"/>
          <c:w val="0.187086266534564"/>
          <c:h val="0.2007175984722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Bottom Trawl Survey numbers (age 2+)</a:t>
            </a:r>
          </a:p>
        </c:rich>
      </c:tx>
      <c:layout>
        <c:manualLayout>
          <c:xMode val="edge"/>
          <c:yMode val="edge"/>
          <c:x val="0.176150713718925"/>
          <c:y val="0.055603674540682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325915419472"/>
          <c:y val="0.050043248005535"/>
          <c:w val="0.877429762021163"/>
          <c:h val="0.811812689867561"/>
        </c:manualLayout>
      </c:layout>
      <c:lineChart>
        <c:grouping val="standard"/>
        <c:varyColors val="0"/>
        <c:ser>
          <c:idx val="0"/>
          <c:order val="0"/>
          <c:tx>
            <c:strRef>
              <c:f>Summary!$U$6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9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Summary!$V$1:$BD$1</c:f>
              <c:numCache>
                <c:formatCode>General</c:formatCode>
                <c:ptCount val="35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  <c:pt idx="29">
                  <c:v>2011.0</c:v>
                </c:pt>
                <c:pt idx="30">
                  <c:v>2012.0</c:v>
                </c:pt>
                <c:pt idx="31">
                  <c:v>2013.0</c:v>
                </c:pt>
                <c:pt idx="32">
                  <c:v>2014.0</c:v>
                </c:pt>
                <c:pt idx="33">
                  <c:v>2015.0</c:v>
                </c:pt>
                <c:pt idx="34">
                  <c:v>2016.0</c:v>
                </c:pt>
              </c:numCache>
            </c:numRef>
          </c:cat>
          <c:val>
            <c:numRef>
              <c:f>Summary!$V$6:$BD$6</c:f>
              <c:numCache>
                <c:formatCode>#,##0</c:formatCode>
                <c:ptCount val="35"/>
                <c:pt idx="0">
                  <c:v>6310.33</c:v>
                </c:pt>
                <c:pt idx="1">
                  <c:v>6929.87</c:v>
                </c:pt>
                <c:pt idx="2">
                  <c:v>5254.46</c:v>
                </c:pt>
                <c:pt idx="3">
                  <c:v>6348.25</c:v>
                </c:pt>
                <c:pt idx="4">
                  <c:v>5121.55</c:v>
                </c:pt>
                <c:pt idx="5">
                  <c:v>7347.19</c:v>
                </c:pt>
                <c:pt idx="6">
                  <c:v>8657.6</c:v>
                </c:pt>
                <c:pt idx="7">
                  <c:v>7786.73</c:v>
                </c:pt>
                <c:pt idx="8">
                  <c:v>5958.58</c:v>
                </c:pt>
                <c:pt idx="9">
                  <c:v>4226.82</c:v>
                </c:pt>
                <c:pt idx="10">
                  <c:v>3952.03</c:v>
                </c:pt>
                <c:pt idx="11">
                  <c:v>4540.47</c:v>
                </c:pt>
                <c:pt idx="12">
                  <c:v>4557.5</c:v>
                </c:pt>
                <c:pt idx="13">
                  <c:v>3458.3</c:v>
                </c:pt>
                <c:pt idx="14">
                  <c:v>2700.03</c:v>
                </c:pt>
                <c:pt idx="15">
                  <c:v>3356.55</c:v>
                </c:pt>
                <c:pt idx="16">
                  <c:v>2952.98</c:v>
                </c:pt>
                <c:pt idx="17">
                  <c:v>4515.58</c:v>
                </c:pt>
                <c:pt idx="18">
                  <c:v>4539.2</c:v>
                </c:pt>
                <c:pt idx="19">
                  <c:v>3840.49</c:v>
                </c:pt>
                <c:pt idx="20">
                  <c:v>3759.51</c:v>
                </c:pt>
                <c:pt idx="21">
                  <c:v>2772.96</c:v>
                </c:pt>
                <c:pt idx="22">
                  <c:v>3243.85</c:v>
                </c:pt>
                <c:pt idx="23">
                  <c:v>4133.65</c:v>
                </c:pt>
                <c:pt idx="24">
                  <c:v>2635.86</c:v>
                </c:pt>
                <c:pt idx="25">
                  <c:v>3214.05</c:v>
                </c:pt>
                <c:pt idx="26">
                  <c:v>2429.92</c:v>
                </c:pt>
                <c:pt idx="27">
                  <c:v>2174.61</c:v>
                </c:pt>
                <c:pt idx="28">
                  <c:v>3132.32</c:v>
                </c:pt>
                <c:pt idx="29">
                  <c:v>2291.08</c:v>
                </c:pt>
                <c:pt idx="30">
                  <c:v>3659.74</c:v>
                </c:pt>
                <c:pt idx="31">
                  <c:v>4702.4</c:v>
                </c:pt>
                <c:pt idx="32">
                  <c:v>5560.98</c:v>
                </c:pt>
                <c:pt idx="33">
                  <c:v>5572.81</c:v>
                </c:pt>
                <c:pt idx="34">
                  <c:v>5483.53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Summary!$U$7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Summary!$C$403:$C$437</c:f>
                <c:numCache>
                  <c:formatCode>General</c:formatCode>
                  <c:ptCount val="35"/>
                  <c:pt idx="0">
                    <c:v>1273.281229</c:v>
                  </c:pt>
                  <c:pt idx="1">
                    <c:v>1128.229727</c:v>
                  </c:pt>
                  <c:pt idx="2">
                    <c:v>739.2267437</c:v>
                  </c:pt>
                  <c:pt idx="3">
                    <c:v>1930.851273</c:v>
                  </c:pt>
                  <c:pt idx="4">
                    <c:v>826.3730571</c:v>
                  </c:pt>
                  <c:pt idx="5">
                    <c:v>1125.630941</c:v>
                  </c:pt>
                  <c:pt idx="6">
                    <c:v>1456.237948</c:v>
                  </c:pt>
                  <c:pt idx="7">
                    <c:v>1136.250077</c:v>
                  </c:pt>
                  <c:pt idx="8">
                    <c:v>1369.842305</c:v>
                  </c:pt>
                  <c:pt idx="9">
                    <c:v>827.3787603</c:v>
                  </c:pt>
                  <c:pt idx="10">
                    <c:v>802.1038459</c:v>
                  </c:pt>
                  <c:pt idx="11">
                    <c:v>863.1712933</c:v>
                  </c:pt>
                  <c:pt idx="12">
                    <c:v>972.7242685</c:v>
                  </c:pt>
                  <c:pt idx="13">
                    <c:v>1809.108057</c:v>
                  </c:pt>
                  <c:pt idx="14">
                    <c:v>458.018317</c:v>
                  </c:pt>
                  <c:pt idx="15">
                    <c:v>981.6488213</c:v>
                  </c:pt>
                  <c:pt idx="16">
                    <c:v>578.1486389</c:v>
                  </c:pt>
                  <c:pt idx="17">
                    <c:v>833.7953316</c:v>
                  </c:pt>
                  <c:pt idx="18">
                    <c:v>1006.046504</c:v>
                  </c:pt>
                  <c:pt idx="19">
                    <c:v>695.6240203</c:v>
                  </c:pt>
                  <c:pt idx="20">
                    <c:v>750.124331</c:v>
                  </c:pt>
                  <c:pt idx="21">
                    <c:v>1863.12202</c:v>
                  </c:pt>
                  <c:pt idx="22">
                    <c:v>498.7207319</c:v>
                  </c:pt>
                  <c:pt idx="23">
                    <c:v>697.376502</c:v>
                  </c:pt>
                  <c:pt idx="24">
                    <c:v>427.3259792</c:v>
                  </c:pt>
                  <c:pt idx="25">
                    <c:v>668.5135658</c:v>
                  </c:pt>
                  <c:pt idx="26">
                    <c:v>430.8984247</c:v>
                  </c:pt>
                  <c:pt idx="27">
                    <c:v>415.0758849</c:v>
                  </c:pt>
                  <c:pt idx="28">
                    <c:v>707.0270956000001</c:v>
                  </c:pt>
                  <c:pt idx="29">
                    <c:v>452.5935264</c:v>
                  </c:pt>
                  <c:pt idx="30">
                    <c:v>610.8009021</c:v>
                  </c:pt>
                  <c:pt idx="31">
                    <c:v>625.3017876</c:v>
                  </c:pt>
                  <c:pt idx="32">
                    <c:v>792.4168797999999</c:v>
                  </c:pt>
                  <c:pt idx="33">
                    <c:v>705.3779581</c:v>
                  </c:pt>
                  <c:pt idx="34">
                    <c:v>700.0</c:v>
                  </c:pt>
                </c:numCache>
              </c:numRef>
            </c:plus>
            <c:minus>
              <c:numRef>
                <c:f>Summary!$C$403:$C$437</c:f>
                <c:numCache>
                  <c:formatCode>General</c:formatCode>
                  <c:ptCount val="35"/>
                  <c:pt idx="0">
                    <c:v>1273.281229</c:v>
                  </c:pt>
                  <c:pt idx="1">
                    <c:v>1128.229727</c:v>
                  </c:pt>
                  <c:pt idx="2">
                    <c:v>739.2267437</c:v>
                  </c:pt>
                  <c:pt idx="3">
                    <c:v>1930.851273</c:v>
                  </c:pt>
                  <c:pt idx="4">
                    <c:v>826.3730571</c:v>
                  </c:pt>
                  <c:pt idx="5">
                    <c:v>1125.630941</c:v>
                  </c:pt>
                  <c:pt idx="6">
                    <c:v>1456.237948</c:v>
                  </c:pt>
                  <c:pt idx="7">
                    <c:v>1136.250077</c:v>
                  </c:pt>
                  <c:pt idx="8">
                    <c:v>1369.842305</c:v>
                  </c:pt>
                  <c:pt idx="9">
                    <c:v>827.3787603</c:v>
                  </c:pt>
                  <c:pt idx="10">
                    <c:v>802.1038459</c:v>
                  </c:pt>
                  <c:pt idx="11">
                    <c:v>863.1712933</c:v>
                  </c:pt>
                  <c:pt idx="12">
                    <c:v>972.7242685</c:v>
                  </c:pt>
                  <c:pt idx="13">
                    <c:v>1809.108057</c:v>
                  </c:pt>
                  <c:pt idx="14">
                    <c:v>458.018317</c:v>
                  </c:pt>
                  <c:pt idx="15">
                    <c:v>981.6488213</c:v>
                  </c:pt>
                  <c:pt idx="16">
                    <c:v>578.1486389</c:v>
                  </c:pt>
                  <c:pt idx="17">
                    <c:v>833.7953316</c:v>
                  </c:pt>
                  <c:pt idx="18">
                    <c:v>1006.046504</c:v>
                  </c:pt>
                  <c:pt idx="19">
                    <c:v>695.6240203</c:v>
                  </c:pt>
                  <c:pt idx="20">
                    <c:v>750.124331</c:v>
                  </c:pt>
                  <c:pt idx="21">
                    <c:v>1863.12202</c:v>
                  </c:pt>
                  <c:pt idx="22">
                    <c:v>498.7207319</c:v>
                  </c:pt>
                  <c:pt idx="23">
                    <c:v>697.376502</c:v>
                  </c:pt>
                  <c:pt idx="24">
                    <c:v>427.3259792</c:v>
                  </c:pt>
                  <c:pt idx="25">
                    <c:v>668.5135658</c:v>
                  </c:pt>
                  <c:pt idx="26">
                    <c:v>430.8984247</c:v>
                  </c:pt>
                  <c:pt idx="27">
                    <c:v>415.0758849</c:v>
                  </c:pt>
                  <c:pt idx="28">
                    <c:v>707.0270956000001</c:v>
                  </c:pt>
                  <c:pt idx="29">
                    <c:v>452.5935264</c:v>
                  </c:pt>
                  <c:pt idx="30">
                    <c:v>610.8009021</c:v>
                  </c:pt>
                  <c:pt idx="31">
                    <c:v>625.3017876</c:v>
                  </c:pt>
                  <c:pt idx="32">
                    <c:v>792.4168797999999</c:v>
                  </c:pt>
                  <c:pt idx="33">
                    <c:v>705.3779581</c:v>
                  </c:pt>
                  <c:pt idx="34">
                    <c:v>700.0</c:v>
                  </c:pt>
                </c:numCache>
              </c:numRef>
            </c:minus>
            <c:spPr>
              <a:ln w="12700">
                <a:solidFill>
                  <a:srgbClr val="FF0000"/>
                </a:solidFill>
                <a:prstDash val="solid"/>
              </a:ln>
            </c:spPr>
          </c:errBars>
          <c:cat>
            <c:numRef>
              <c:f>Summary!$V$1:$BD$1</c:f>
              <c:numCache>
                <c:formatCode>General</c:formatCode>
                <c:ptCount val="35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  <c:pt idx="29">
                  <c:v>2011.0</c:v>
                </c:pt>
                <c:pt idx="30">
                  <c:v>2012.0</c:v>
                </c:pt>
                <c:pt idx="31">
                  <c:v>2013.0</c:v>
                </c:pt>
                <c:pt idx="32">
                  <c:v>2014.0</c:v>
                </c:pt>
                <c:pt idx="33">
                  <c:v>2015.0</c:v>
                </c:pt>
                <c:pt idx="34">
                  <c:v>2016.0</c:v>
                </c:pt>
              </c:numCache>
            </c:numRef>
          </c:cat>
          <c:val>
            <c:numRef>
              <c:f>Summary!$V$7:$BD$7</c:f>
              <c:numCache>
                <c:formatCode>#,##0</c:formatCode>
                <c:ptCount val="35"/>
                <c:pt idx="0">
                  <c:v>12818.7</c:v>
                </c:pt>
                <c:pt idx="1">
                  <c:v>15926.6</c:v>
                </c:pt>
                <c:pt idx="2">
                  <c:v>10877.4</c:v>
                </c:pt>
                <c:pt idx="3">
                  <c:v>15166.2</c:v>
                </c:pt>
                <c:pt idx="4">
                  <c:v>9997.84</c:v>
                </c:pt>
                <c:pt idx="5">
                  <c:v>12858.9</c:v>
                </c:pt>
                <c:pt idx="6">
                  <c:v>18892.4</c:v>
                </c:pt>
                <c:pt idx="7">
                  <c:v>15757.8</c:v>
                </c:pt>
                <c:pt idx="8">
                  <c:v>15785.4</c:v>
                </c:pt>
                <c:pt idx="9">
                  <c:v>8479.68</c:v>
                </c:pt>
                <c:pt idx="10">
                  <c:v>8325.03</c:v>
                </c:pt>
                <c:pt idx="11">
                  <c:v>10213.1</c:v>
                </c:pt>
                <c:pt idx="12">
                  <c:v>10042.8</c:v>
                </c:pt>
                <c:pt idx="13">
                  <c:v>13415.1</c:v>
                </c:pt>
                <c:pt idx="14">
                  <c:v>6213.77</c:v>
                </c:pt>
                <c:pt idx="15">
                  <c:v>8496.35</c:v>
                </c:pt>
                <c:pt idx="16">
                  <c:v>6296.36</c:v>
                </c:pt>
                <c:pt idx="17">
                  <c:v>9138.450000000001</c:v>
                </c:pt>
                <c:pt idx="18">
                  <c:v>11305.7</c:v>
                </c:pt>
                <c:pt idx="19">
                  <c:v>8144.45</c:v>
                </c:pt>
                <c:pt idx="20">
                  <c:v>9537.389999999999</c:v>
                </c:pt>
                <c:pt idx="21">
                  <c:v>15526.5</c:v>
                </c:pt>
                <c:pt idx="22">
                  <c:v>6744.19</c:v>
                </c:pt>
                <c:pt idx="23">
                  <c:v>10345.6</c:v>
                </c:pt>
                <c:pt idx="24">
                  <c:v>5056.71</c:v>
                </c:pt>
                <c:pt idx="25">
                  <c:v>7357.24</c:v>
                </c:pt>
                <c:pt idx="26">
                  <c:v>4636.5</c:v>
                </c:pt>
                <c:pt idx="27">
                  <c:v>3648.9</c:v>
                </c:pt>
                <c:pt idx="28">
                  <c:v>7033.5</c:v>
                </c:pt>
                <c:pt idx="29">
                  <c:v>4950.78</c:v>
                </c:pt>
                <c:pt idx="30">
                  <c:v>7317.35</c:v>
                </c:pt>
                <c:pt idx="31">
                  <c:v>9055.2</c:v>
                </c:pt>
                <c:pt idx="32">
                  <c:v>14027.1</c:v>
                </c:pt>
                <c:pt idx="33">
                  <c:v>13548.4</c:v>
                </c:pt>
                <c:pt idx="34">
                  <c:v>10626.0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765200"/>
        <c:axId val="448767520"/>
      </c:lineChart>
      <c:catAx>
        <c:axId val="44876520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40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7675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448767520"/>
        <c:scaling>
          <c:orientation val="minMax"/>
          <c:max val="15000.0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765200"/>
        <c:crosses val="autoZero"/>
        <c:crossBetween val="between"/>
        <c:majorUnit val="5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32890365448505"/>
          <c:y val="0.655557305336833"/>
          <c:w val="0.1578073089701"/>
          <c:h val="0.12222251385243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Bottom Trawl Survey numbers</a:t>
            </a:r>
          </a:p>
        </c:rich>
      </c:tx>
      <c:layout>
        <c:manualLayout>
          <c:xMode val="edge"/>
          <c:yMode val="edge"/>
          <c:x val="0.418773292873275"/>
          <c:y val="0.01792114695340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325915419472"/>
          <c:y val="0.0681005570622768"/>
          <c:w val="0.842531987395321"/>
          <c:h val="0.788532765984246"/>
        </c:manualLayout>
      </c:layout>
      <c:lineChart>
        <c:grouping val="standard"/>
        <c:varyColors val="0"/>
        <c:ser>
          <c:idx val="0"/>
          <c:order val="0"/>
          <c:tx>
            <c:strRef>
              <c:f>Summary!$U$6</c:f>
              <c:strCache>
                <c:ptCount val="1"/>
                <c:pt idx="0">
                  <c:v>Predicted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Summary!$V$1:$AT$1</c:f>
              <c:numCache>
                <c:formatCode>General</c:formatCode>
                <c:ptCount val="25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</c:numCache>
            </c:numRef>
          </c:cat>
          <c:val>
            <c:numRef>
              <c:f>Summary!$V$6:$AT$6</c:f>
              <c:numCache>
                <c:formatCode>#,##0</c:formatCode>
                <c:ptCount val="25"/>
                <c:pt idx="0">
                  <c:v>6310.33</c:v>
                </c:pt>
                <c:pt idx="1">
                  <c:v>6929.87</c:v>
                </c:pt>
                <c:pt idx="2">
                  <c:v>5254.46</c:v>
                </c:pt>
                <c:pt idx="3">
                  <c:v>6348.25</c:v>
                </c:pt>
                <c:pt idx="4">
                  <c:v>5121.55</c:v>
                </c:pt>
                <c:pt idx="5">
                  <c:v>7347.19</c:v>
                </c:pt>
                <c:pt idx="6">
                  <c:v>8657.6</c:v>
                </c:pt>
                <c:pt idx="7">
                  <c:v>7786.73</c:v>
                </c:pt>
                <c:pt idx="8">
                  <c:v>5958.58</c:v>
                </c:pt>
                <c:pt idx="9">
                  <c:v>4226.82</c:v>
                </c:pt>
                <c:pt idx="10">
                  <c:v>3952.03</c:v>
                </c:pt>
                <c:pt idx="11">
                  <c:v>4540.47</c:v>
                </c:pt>
                <c:pt idx="12">
                  <c:v>4557.5</c:v>
                </c:pt>
                <c:pt idx="13">
                  <c:v>3458.3</c:v>
                </c:pt>
                <c:pt idx="14">
                  <c:v>2700.03</c:v>
                </c:pt>
                <c:pt idx="15">
                  <c:v>3356.55</c:v>
                </c:pt>
                <c:pt idx="16">
                  <c:v>2952.98</c:v>
                </c:pt>
                <c:pt idx="17">
                  <c:v>4515.58</c:v>
                </c:pt>
                <c:pt idx="18">
                  <c:v>4539.2</c:v>
                </c:pt>
                <c:pt idx="19">
                  <c:v>3840.49</c:v>
                </c:pt>
                <c:pt idx="20">
                  <c:v>3759.51</c:v>
                </c:pt>
                <c:pt idx="21">
                  <c:v>2772.96</c:v>
                </c:pt>
                <c:pt idx="22">
                  <c:v>3243.85</c:v>
                </c:pt>
                <c:pt idx="23">
                  <c:v>4133.65</c:v>
                </c:pt>
                <c:pt idx="24">
                  <c:v>2635.86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Summary!$U$7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Summary!$V$1:$AT$1</c:f>
              <c:numCache>
                <c:formatCode>General</c:formatCode>
                <c:ptCount val="25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</c:numCache>
            </c:numRef>
          </c:cat>
          <c:val>
            <c:numRef>
              <c:f>Summary!$V$7:$AT$7</c:f>
              <c:numCache>
                <c:formatCode>#,##0</c:formatCode>
                <c:ptCount val="25"/>
                <c:pt idx="0">
                  <c:v>12818.7</c:v>
                </c:pt>
                <c:pt idx="1">
                  <c:v>15926.6</c:v>
                </c:pt>
                <c:pt idx="2">
                  <c:v>10877.4</c:v>
                </c:pt>
                <c:pt idx="3">
                  <c:v>15166.2</c:v>
                </c:pt>
                <c:pt idx="4">
                  <c:v>9997.84</c:v>
                </c:pt>
                <c:pt idx="5">
                  <c:v>12858.9</c:v>
                </c:pt>
                <c:pt idx="6">
                  <c:v>18892.4</c:v>
                </c:pt>
                <c:pt idx="7">
                  <c:v>15757.8</c:v>
                </c:pt>
                <c:pt idx="8">
                  <c:v>15785.4</c:v>
                </c:pt>
                <c:pt idx="9">
                  <c:v>8479.68</c:v>
                </c:pt>
                <c:pt idx="10">
                  <c:v>8325.03</c:v>
                </c:pt>
                <c:pt idx="11">
                  <c:v>10213.1</c:v>
                </c:pt>
                <c:pt idx="12">
                  <c:v>10042.8</c:v>
                </c:pt>
                <c:pt idx="13">
                  <c:v>13415.1</c:v>
                </c:pt>
                <c:pt idx="14">
                  <c:v>6213.77</c:v>
                </c:pt>
                <c:pt idx="15">
                  <c:v>8496.35</c:v>
                </c:pt>
                <c:pt idx="16">
                  <c:v>6296.36</c:v>
                </c:pt>
                <c:pt idx="17">
                  <c:v>9138.450000000001</c:v>
                </c:pt>
                <c:pt idx="18">
                  <c:v>11305.7</c:v>
                </c:pt>
                <c:pt idx="19">
                  <c:v>8144.45</c:v>
                </c:pt>
                <c:pt idx="20">
                  <c:v>9537.389999999999</c:v>
                </c:pt>
                <c:pt idx="21">
                  <c:v>15526.5</c:v>
                </c:pt>
                <c:pt idx="22">
                  <c:v>6744.19</c:v>
                </c:pt>
                <c:pt idx="23">
                  <c:v>10345.6</c:v>
                </c:pt>
                <c:pt idx="24">
                  <c:v>5056.71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Residuals!$Z$3</c:f>
              <c:strCache>
                <c:ptCount val="1"/>
                <c:pt idx="0">
                  <c:v>Model abs 6+ Numbers</c:v>
                </c:pt>
              </c:strCache>
            </c:strRef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triangle"/>
            <c:size val="9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Summary!$V$1:$AT$1</c:f>
              <c:numCache>
                <c:formatCode>General</c:formatCode>
                <c:ptCount val="25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</c:numCache>
            </c:numRef>
          </c:cat>
          <c:val>
            <c:numRef>
              <c:f>Residuals!$Z$4:$Z$28</c:f>
              <c:numCache>
                <c:formatCode>General</c:formatCode>
                <c:ptCount val="25"/>
                <c:pt idx="0">
                  <c:v>1021.93484</c:v>
                </c:pt>
                <c:pt idx="1">
                  <c:v>2004.31544</c:v>
                </c:pt>
                <c:pt idx="2">
                  <c:v>5609.826059999997</c:v>
                </c:pt>
                <c:pt idx="3">
                  <c:v>5562.28092</c:v>
                </c:pt>
                <c:pt idx="4">
                  <c:v>5911.314089999998</c:v>
                </c:pt>
                <c:pt idx="5">
                  <c:v>5037.12543</c:v>
                </c:pt>
                <c:pt idx="6">
                  <c:v>7782.29721</c:v>
                </c:pt>
                <c:pt idx="7">
                  <c:v>6027.96809</c:v>
                </c:pt>
                <c:pt idx="8">
                  <c:v>6549.749200000001</c:v>
                </c:pt>
                <c:pt idx="9">
                  <c:v>4770.8797</c:v>
                </c:pt>
                <c:pt idx="10">
                  <c:v>3151.8391</c:v>
                </c:pt>
                <c:pt idx="11">
                  <c:v>1936.1713</c:v>
                </c:pt>
                <c:pt idx="12">
                  <c:v>1952.811</c:v>
                </c:pt>
                <c:pt idx="13">
                  <c:v>4412.828300000001</c:v>
                </c:pt>
                <c:pt idx="14">
                  <c:v>4465.3988</c:v>
                </c:pt>
                <c:pt idx="15">
                  <c:v>4478.4228</c:v>
                </c:pt>
                <c:pt idx="16">
                  <c:v>6930.4457</c:v>
                </c:pt>
                <c:pt idx="17">
                  <c:v>5597.469080000001</c:v>
                </c:pt>
                <c:pt idx="18">
                  <c:v>4395.01091</c:v>
                </c:pt>
                <c:pt idx="19">
                  <c:v>4494.39612</c:v>
                </c:pt>
                <c:pt idx="20">
                  <c:v>4899.27245</c:v>
                </c:pt>
                <c:pt idx="21">
                  <c:v>3817.569</c:v>
                </c:pt>
                <c:pt idx="22">
                  <c:v>3290.785</c:v>
                </c:pt>
                <c:pt idx="23">
                  <c:v>3855.1624</c:v>
                </c:pt>
                <c:pt idx="24">
                  <c:v>4463.605599999998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Residuals!$AA$3</c:f>
              <c:strCache>
                <c:ptCount val="1"/>
                <c:pt idx="0">
                  <c:v>Model abs age 1-5 Numbers</c:v>
                </c:pt>
              </c:strCache>
            </c:strRef>
          </c:tx>
          <c:spPr>
            <a:ln w="38100">
              <a:solidFill>
                <a:srgbClr val="00FFFF"/>
              </a:solidFill>
              <a:prstDash val="solid"/>
            </a:ln>
          </c:spPr>
          <c:marker>
            <c:symbol val="x"/>
            <c:size val="9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Summary!$V$1:$AT$1</c:f>
              <c:numCache>
                <c:formatCode>General</c:formatCode>
                <c:ptCount val="25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</c:numCache>
            </c:numRef>
          </c:cat>
          <c:val>
            <c:numRef>
              <c:f>Residuals!$AA$4:$AA$27</c:f>
              <c:numCache>
                <c:formatCode>General</c:formatCode>
                <c:ptCount val="24"/>
                <c:pt idx="0">
                  <c:v>19881.72</c:v>
                </c:pt>
                <c:pt idx="1">
                  <c:v>19745.89</c:v>
                </c:pt>
                <c:pt idx="2">
                  <c:v>13210.69</c:v>
                </c:pt>
                <c:pt idx="3">
                  <c:v>20334.26</c:v>
                </c:pt>
                <c:pt idx="4">
                  <c:v>15218.71</c:v>
                </c:pt>
                <c:pt idx="5">
                  <c:v>18044.73</c:v>
                </c:pt>
                <c:pt idx="6">
                  <c:v>11966.73</c:v>
                </c:pt>
                <c:pt idx="7">
                  <c:v>9080.75</c:v>
                </c:pt>
                <c:pt idx="8">
                  <c:v>4651.2</c:v>
                </c:pt>
                <c:pt idx="9">
                  <c:v>4799.753</c:v>
                </c:pt>
                <c:pt idx="10">
                  <c:v>15282.819</c:v>
                </c:pt>
                <c:pt idx="11">
                  <c:v>16639.07</c:v>
                </c:pt>
                <c:pt idx="12">
                  <c:v>16107.63</c:v>
                </c:pt>
                <c:pt idx="13">
                  <c:v>19566.16</c:v>
                </c:pt>
                <c:pt idx="14">
                  <c:v>16023.32</c:v>
                </c:pt>
                <c:pt idx="15">
                  <c:v>12232.44</c:v>
                </c:pt>
                <c:pt idx="16">
                  <c:v>10072.98</c:v>
                </c:pt>
                <c:pt idx="17">
                  <c:v>13754.19</c:v>
                </c:pt>
                <c:pt idx="18">
                  <c:v>12696.09</c:v>
                </c:pt>
                <c:pt idx="19">
                  <c:v>11126.2</c:v>
                </c:pt>
                <c:pt idx="20">
                  <c:v>11849.71</c:v>
                </c:pt>
                <c:pt idx="21">
                  <c:v>16296.93</c:v>
                </c:pt>
                <c:pt idx="22">
                  <c:v>16054.51</c:v>
                </c:pt>
                <c:pt idx="23">
                  <c:v>12428.5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343024"/>
        <c:axId val="450337184"/>
      </c:lineChart>
      <c:catAx>
        <c:axId val="45034302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337184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4503371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343024"/>
        <c:crosses val="autoZero"/>
        <c:crossBetween val="midCat"/>
        <c:majorUnit val="5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AT survey</a:t>
            </a:r>
            <a:br>
              <a:rPr lang="en-US"/>
            </a:br>
            <a:r>
              <a:rPr lang="en-US"/>
              <a:t> selectivity</a:t>
            </a:r>
          </a:p>
        </c:rich>
      </c:tx>
      <c:layout>
        <c:manualLayout>
          <c:xMode val="edge"/>
          <c:yMode val="edge"/>
          <c:x val="0.603510607685667"/>
          <c:y val="0.0108281919305541"/>
        </c:manualLayout>
      </c:layout>
      <c:overlay val="0"/>
      <c:spPr>
        <a:noFill/>
        <a:ln w="25400">
          <a:noFill/>
        </a:ln>
      </c:spPr>
    </c:title>
    <c:autoTitleDeleted val="0"/>
    <c:view3D>
      <c:rotX val="8"/>
      <c:hPercent val="40"/>
      <c:rotY val="359"/>
      <c:depthPercent val="1000"/>
      <c:rAngAx val="0"/>
      <c:perspective val="1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0764119601328904"/>
          <c:y val="0.00865802695910057"/>
          <c:w val="0.890365448504983"/>
          <c:h val="0.848486641991851"/>
        </c:manualLayout>
      </c:layout>
      <c:area3DChart>
        <c:grouping val="standard"/>
        <c:varyColors val="0"/>
        <c:ser>
          <c:idx val="15"/>
          <c:order val="0"/>
          <c:tx>
            <c:strRef>
              <c:f>Summary!$AL$123</c:f>
              <c:strCache>
                <c:ptCount val="1"/>
                <c:pt idx="0">
                  <c:v>1979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Summary!$AN$123:$BA$123</c:f>
              <c:numCache>
                <c:formatCode>General</c:formatCode>
                <c:ptCount val="14"/>
                <c:pt idx="0">
                  <c:v>3.82572</c:v>
                </c:pt>
                <c:pt idx="1">
                  <c:v>1.14351</c:v>
                </c:pt>
                <c:pt idx="2">
                  <c:v>0.64886</c:v>
                </c:pt>
                <c:pt idx="3">
                  <c:v>0.675629</c:v>
                </c:pt>
                <c:pt idx="4">
                  <c:v>0.697311</c:v>
                </c:pt>
                <c:pt idx="5">
                  <c:v>0.726349</c:v>
                </c:pt>
                <c:pt idx="6">
                  <c:v>0.75991</c:v>
                </c:pt>
                <c:pt idx="7">
                  <c:v>0.75991</c:v>
                </c:pt>
                <c:pt idx="8">
                  <c:v>0.75991</c:v>
                </c:pt>
                <c:pt idx="9">
                  <c:v>0.75991</c:v>
                </c:pt>
                <c:pt idx="10">
                  <c:v>0.75991</c:v>
                </c:pt>
                <c:pt idx="11">
                  <c:v>0.75991</c:v>
                </c:pt>
                <c:pt idx="12">
                  <c:v>0.75991</c:v>
                </c:pt>
                <c:pt idx="13">
                  <c:v>0.75991</c:v>
                </c:pt>
              </c:numCache>
            </c:numRef>
          </c:val>
        </c:ser>
        <c:ser>
          <c:idx val="1"/>
          <c:order val="1"/>
          <c:tx>
            <c:strRef>
              <c:f>Summary!$AL$124</c:f>
              <c:strCache>
                <c:ptCount val="1"/>
                <c:pt idx="0">
                  <c:v>1980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Summary!$AN$124:$BA$124</c:f>
              <c:numCache>
                <c:formatCode>General</c:formatCode>
                <c:ptCount val="14"/>
              </c:numCache>
            </c:numRef>
          </c:val>
        </c:ser>
        <c:ser>
          <c:idx val="17"/>
          <c:order val="2"/>
          <c:tx>
            <c:strRef>
              <c:f>Summary!$AL$125</c:f>
              <c:strCache>
                <c:ptCount val="1"/>
                <c:pt idx="0">
                  <c:v>1981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Summary!$AN$125:$BA$125</c:f>
              <c:numCache>
                <c:formatCode>General</c:formatCode>
                <c:ptCount val="14"/>
              </c:numCache>
            </c:numRef>
          </c:val>
        </c:ser>
        <c:ser>
          <c:idx val="18"/>
          <c:order val="3"/>
          <c:tx>
            <c:strRef>
              <c:f>Summary!$AL$126</c:f>
              <c:strCache>
                <c:ptCount val="1"/>
                <c:pt idx="0">
                  <c:v>1982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Summary!$AN$126:$BA$126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19"/>
          <c:order val="4"/>
          <c:tx>
            <c:strRef>
              <c:f>Summary!$AL$127</c:f>
              <c:strCache>
                <c:ptCount val="1"/>
                <c:pt idx="0">
                  <c:v>1983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Summary!$AN$127:$BA$127</c:f>
              <c:numCache>
                <c:formatCode>General</c:formatCode>
                <c:ptCount val="14"/>
              </c:numCache>
            </c:numRef>
          </c:val>
        </c:ser>
        <c:ser>
          <c:idx val="20"/>
          <c:order val="5"/>
          <c:tx>
            <c:strRef>
              <c:f>Summary!$AL$128</c:f>
              <c:strCache>
                <c:ptCount val="1"/>
                <c:pt idx="0">
                  <c:v>1984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Summary!$AN$128:$BA$128</c:f>
              <c:numCache>
                <c:formatCode>General</c:formatCode>
                <c:ptCount val="14"/>
              </c:numCache>
            </c:numRef>
          </c:val>
        </c:ser>
        <c:ser>
          <c:idx val="21"/>
          <c:order val="6"/>
          <c:tx>
            <c:strRef>
              <c:f>Summary!$AL$129</c:f>
              <c:strCache>
                <c:ptCount val="1"/>
                <c:pt idx="0">
                  <c:v>1985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Summary!$AN$129:$BA$129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22"/>
          <c:order val="7"/>
          <c:tx>
            <c:strRef>
              <c:f>Summary!$AL$130</c:f>
              <c:strCache>
                <c:ptCount val="1"/>
                <c:pt idx="0">
                  <c:v>1986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Summary!$AN$130:$BA$130</c:f>
              <c:numCache>
                <c:formatCode>General</c:formatCode>
                <c:ptCount val="14"/>
              </c:numCache>
            </c:numRef>
          </c:val>
        </c:ser>
        <c:ser>
          <c:idx val="23"/>
          <c:order val="8"/>
          <c:tx>
            <c:strRef>
              <c:f>Summary!$AL$131</c:f>
              <c:strCache>
                <c:ptCount val="1"/>
                <c:pt idx="0">
                  <c:v>1987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Summary!$AN$131:$BA$131</c:f>
              <c:numCache>
                <c:formatCode>General</c:formatCode>
                <c:ptCount val="14"/>
              </c:numCache>
            </c:numRef>
          </c:val>
        </c:ser>
        <c:ser>
          <c:idx val="24"/>
          <c:order val="9"/>
          <c:tx>
            <c:strRef>
              <c:f>Summary!$AL$132</c:f>
              <c:strCache>
                <c:ptCount val="1"/>
                <c:pt idx="0">
                  <c:v>1988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Summary!$AN$132:$BA$132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25"/>
          <c:order val="10"/>
          <c:tx>
            <c:strRef>
              <c:f>Summary!$AL$133</c:f>
              <c:strCache>
                <c:ptCount val="1"/>
                <c:pt idx="0">
                  <c:v>1989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solidFill>
                <a:srgbClr val="000000"/>
              </a:solidFill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Summary!$AN$133:$BA$133</c:f>
              <c:numCache>
                <c:formatCode>General</c:formatCode>
                <c:ptCount val="14"/>
              </c:numCache>
            </c:numRef>
          </c:val>
        </c:ser>
        <c:ser>
          <c:idx val="26"/>
          <c:order val="11"/>
          <c:tx>
            <c:strRef>
              <c:f>Summary!$AL$134</c:f>
              <c:strCache>
                <c:ptCount val="1"/>
                <c:pt idx="0">
                  <c:v>1990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solidFill>
                <a:srgbClr val="000000"/>
              </a:solidFill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Summary!$AN$134:$BA$134</c:f>
              <c:numCache>
                <c:formatCode>General</c:formatCode>
                <c:ptCount val="14"/>
              </c:numCache>
            </c:numRef>
          </c:val>
        </c:ser>
        <c:ser>
          <c:idx val="27"/>
          <c:order val="12"/>
          <c:tx>
            <c:strRef>
              <c:f>Summary!$AL$135</c:f>
              <c:strCache>
                <c:ptCount val="1"/>
                <c:pt idx="0">
                  <c:v>1991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Summary!$AN$135:$BA$135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28"/>
          <c:order val="13"/>
          <c:tx>
            <c:strRef>
              <c:f>Summary!$AL$136</c:f>
              <c:strCache>
                <c:ptCount val="1"/>
                <c:pt idx="0">
                  <c:v>1992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Summary!$AN$136:$BA$136</c:f>
              <c:numCache>
                <c:formatCode>General</c:formatCode>
                <c:ptCount val="14"/>
              </c:numCache>
            </c:numRef>
          </c:val>
        </c:ser>
        <c:ser>
          <c:idx val="29"/>
          <c:order val="14"/>
          <c:tx>
            <c:strRef>
              <c:f>Summary!$AL$137</c:f>
              <c:strCache>
                <c:ptCount val="1"/>
                <c:pt idx="0">
                  <c:v>1993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Summary!$AN$137:$BA$137</c:f>
              <c:numCache>
                <c:formatCode>General</c:formatCode>
                <c:ptCount val="14"/>
              </c:numCache>
            </c:numRef>
          </c:val>
        </c:ser>
        <c:ser>
          <c:idx val="30"/>
          <c:order val="15"/>
          <c:tx>
            <c:strRef>
              <c:f>Summary!$AL$138</c:f>
              <c:strCache>
                <c:ptCount val="1"/>
                <c:pt idx="0">
                  <c:v>1994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Summary!$AN$138:$BA$138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31"/>
          <c:order val="16"/>
          <c:tx>
            <c:strRef>
              <c:f>Summary!$AL$139</c:f>
              <c:strCache>
                <c:ptCount val="1"/>
                <c:pt idx="0">
                  <c:v>1995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Summary!$AN$139:$BA$139</c:f>
              <c:numCache>
                <c:formatCode>General</c:formatCode>
                <c:ptCount val="14"/>
              </c:numCache>
            </c:numRef>
          </c:val>
        </c:ser>
        <c:ser>
          <c:idx val="32"/>
          <c:order val="17"/>
          <c:tx>
            <c:strRef>
              <c:f>Summary!$AL$140</c:f>
              <c:strCache>
                <c:ptCount val="1"/>
                <c:pt idx="0">
                  <c:v>1996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Summary!$AN$140:$BA$140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3"/>
          <c:order val="18"/>
          <c:tx>
            <c:strRef>
              <c:f>Summary!$AL$141</c:f>
              <c:strCache>
                <c:ptCount val="1"/>
                <c:pt idx="0">
                  <c:v>1997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Summary!$AN$141:$BA$141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0"/>
          <c:order val="19"/>
          <c:tx>
            <c:strRef>
              <c:f>Summary!$AL$142</c:f>
              <c:strCache>
                <c:ptCount val="1"/>
                <c:pt idx="0">
                  <c:v>1998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Summary!$AN$142:$BA$142</c:f>
              <c:numCache>
                <c:formatCode>General</c:formatCode>
                <c:ptCount val="14"/>
              </c:numCache>
            </c:numRef>
          </c:val>
        </c:ser>
        <c:ser>
          <c:idx val="2"/>
          <c:order val="20"/>
          <c:tx>
            <c:strRef>
              <c:f>Summary!$AL$143</c:f>
              <c:strCache>
                <c:ptCount val="1"/>
                <c:pt idx="0">
                  <c:v>1999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Summary!$AN$143:$BA$143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4"/>
          <c:order val="21"/>
          <c:tx>
            <c:strRef>
              <c:f>Summary!$AL$144</c:f>
              <c:strCache>
                <c:ptCount val="1"/>
                <c:pt idx="0">
                  <c:v>2000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Summary!$AN$144:$BA$144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5"/>
          <c:order val="22"/>
          <c:tx>
            <c:strRef>
              <c:f>Summary!$AL$145</c:f>
              <c:strCache>
                <c:ptCount val="1"/>
                <c:pt idx="0">
                  <c:v>2001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Summary!$AN$145:$BA$145</c:f>
              <c:numCache>
                <c:formatCode>General</c:formatCode>
                <c:ptCount val="14"/>
              </c:numCache>
            </c:numRef>
          </c:val>
        </c:ser>
        <c:ser>
          <c:idx val="6"/>
          <c:order val="23"/>
          <c:tx>
            <c:strRef>
              <c:f>Summary!$AL$146</c:f>
              <c:strCache>
                <c:ptCount val="1"/>
                <c:pt idx="0">
                  <c:v>2002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Summary!$AN$146:$BA$146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7"/>
          <c:order val="24"/>
          <c:tx>
            <c:strRef>
              <c:f>Summary!$AL$147</c:f>
              <c:strCache>
                <c:ptCount val="1"/>
                <c:pt idx="0">
                  <c:v>2003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Summary!$AN$147:$BA$147</c:f>
              <c:numCache>
                <c:formatCode>General</c:formatCode>
                <c:ptCount val="14"/>
              </c:numCache>
            </c:numRef>
          </c:val>
        </c:ser>
        <c:ser>
          <c:idx val="8"/>
          <c:order val="25"/>
          <c:tx>
            <c:strRef>
              <c:f>Summary!$AL$148</c:f>
              <c:strCache>
                <c:ptCount val="1"/>
                <c:pt idx="0">
                  <c:v>2004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Summary!$AN$148:$BA$148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9"/>
          <c:order val="26"/>
          <c:tx>
            <c:strRef>
              <c:f>Summary!$AL$149</c:f>
              <c:strCache>
                <c:ptCount val="1"/>
                <c:pt idx="0">
                  <c:v>2005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25400">
              <a:noFill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Summary!$AN$149:$BA$149</c:f>
              <c:numCache>
                <c:formatCode>General</c:formatCode>
                <c:ptCount val="14"/>
              </c:numCache>
            </c:numRef>
          </c:val>
        </c:ser>
        <c:ser>
          <c:idx val="10"/>
          <c:order val="27"/>
          <c:tx>
            <c:strRef>
              <c:f>Summary!$AL$150</c:f>
              <c:strCache>
                <c:ptCount val="1"/>
                <c:pt idx="0">
                  <c:v>2006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Summary!$AN$150:$BA$150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11"/>
          <c:order val="28"/>
          <c:tx>
            <c:strRef>
              <c:f>Summary!$AL$151</c:f>
              <c:strCache>
                <c:ptCount val="1"/>
                <c:pt idx="0">
                  <c:v>2007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Summary!$AN$151:$BA$151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12"/>
          <c:order val="29"/>
          <c:tx>
            <c:strRef>
              <c:f>Summary!$AL$152</c:f>
              <c:strCache>
                <c:ptCount val="1"/>
                <c:pt idx="0">
                  <c:v>2008</c:v>
                </c:pt>
              </c:strCache>
            </c:strRef>
          </c:tx>
          <c:spPr>
            <a:gradFill rotWithShape="0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Summary!$AN$152:$BA$152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13"/>
          <c:order val="30"/>
          <c:tx>
            <c:strRef>
              <c:f>Summary!$AL$153</c:f>
              <c:strCache>
                <c:ptCount val="1"/>
                <c:pt idx="0">
                  <c:v>2009</c:v>
                </c:pt>
              </c:strCache>
            </c:strRef>
          </c:tx>
          <c:spPr>
            <a:gradFill flip="none" rotWithShape="1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  <a:tileRect/>
            </a:gradFill>
            <a:ln>
              <a:solidFill>
                <a:srgbClr val="000000"/>
              </a:solidFill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Summary!$AN$153:$BA$153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14"/>
          <c:order val="31"/>
          <c:tx>
            <c:strRef>
              <c:f>Summary!$AL$154</c:f>
              <c:strCache>
                <c:ptCount val="1"/>
                <c:pt idx="0">
                  <c:v>2010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>
              <a:solidFill>
                <a:srgbClr val="000000"/>
              </a:solidFill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Summary!$AN$154:$BA$154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16"/>
          <c:order val="32"/>
          <c:tx>
            <c:strRef>
              <c:f>Summary!$AL$155</c:f>
              <c:strCache>
                <c:ptCount val="1"/>
                <c:pt idx="0">
                  <c:v>2011</c:v>
                </c:pt>
              </c:strCache>
            </c:strRef>
          </c:tx>
          <c:spPr>
            <a:gradFill flip="none" rotWithShape="1"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1"/>
              <a:tileRect/>
            </a:gradFill>
            <a:ln>
              <a:solidFill>
                <a:srgbClr val="000000"/>
              </a:solidFill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Summary!$AN$155:$BA$155</c:f>
              <c:numCache>
                <c:formatCode>General</c:formatCode>
                <c:ptCount val="14"/>
              </c:numCache>
            </c:numRef>
          </c:val>
        </c:ser>
        <c:ser>
          <c:idx val="33"/>
          <c:order val="33"/>
          <c:tx>
            <c:strRef>
              <c:f>Summary!$AL$156</c:f>
              <c:strCache>
                <c:ptCount val="1"/>
                <c:pt idx="0">
                  <c:v>2012</c:v>
                </c:pt>
              </c:strCache>
            </c:strRef>
          </c:tx>
          <c:spPr>
            <a:gradFill>
              <a:gsLst>
                <a:gs pos="0">
                  <a:srgbClr val="4F81BD">
                    <a:tint val="66000"/>
                    <a:satMod val="160000"/>
                  </a:srgbClr>
                </a:gs>
                <a:gs pos="50000">
                  <a:srgbClr val="4F81BD">
                    <a:tint val="44500"/>
                    <a:satMod val="160000"/>
                  </a:srgbClr>
                </a:gs>
                <a:gs pos="100000">
                  <a:srgbClr val="4F81BD">
                    <a:tint val="23500"/>
                    <a:satMod val="160000"/>
                  </a:srgbClr>
                </a:gs>
              </a:gsLst>
              <a:lin ang="5400000" scaled="0"/>
            </a:gradFill>
            <a:ln>
              <a:solidFill>
                <a:srgbClr val="000000"/>
              </a:solidFill>
            </a:ln>
          </c:spPr>
          <c:cat>
            <c:numRef>
              <c:f>Summary!$AN$107:$BA$107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</c:numCache>
            </c:numRef>
          </c:cat>
          <c:val>
            <c:numRef>
              <c:f>Summary!$AN$156:$BA$156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ser>
          <c:idx val="34"/>
          <c:order val="34"/>
          <c:tx>
            <c:v>2013</c:v>
          </c:tx>
          <c:val>
            <c:numLit>
              <c:formatCode>General</c:formatCode>
              <c:ptCount val="1"/>
              <c:pt idx="0">
                <c:v>1.0</c:v>
              </c:pt>
            </c:numLit>
          </c:val>
        </c:ser>
        <c:ser>
          <c:idx val="35"/>
          <c:order val="35"/>
          <c:tx>
            <c:v>2014</c:v>
          </c:tx>
          <c:spPr>
            <a:solidFill>
              <a:srgbClr val="B9CDE5"/>
            </a:solidFill>
            <a:ln>
              <a:solidFill>
                <a:srgbClr val="000000"/>
              </a:solidFill>
            </a:ln>
          </c:spPr>
          <c:val>
            <c:numRef>
              <c:f>Summary!$AN$158:$BA$158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gapDepth val="500"/>
        <c:axId val="450184192"/>
        <c:axId val="450186736"/>
        <c:axId val="450188512"/>
      </c:area3DChart>
      <c:catAx>
        <c:axId val="45018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0.460922907892327"/>
              <c:y val="0.90523616366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186736"/>
        <c:crosses val="autoZero"/>
        <c:auto val="0"/>
        <c:lblAlgn val="ctr"/>
        <c:lblOffset val="100"/>
        <c:tickLblSkip val="2"/>
        <c:tickMarkSkip val="1"/>
        <c:noMultiLvlLbl val="1"/>
      </c:catAx>
      <c:valAx>
        <c:axId val="450186736"/>
        <c:scaling>
          <c:orientation val="minMax"/>
          <c:max val="3.0"/>
          <c:min val="0.0"/>
        </c:scaling>
        <c:delete val="1"/>
        <c:axPos val="r"/>
        <c:numFmt formatCode="General" sourceLinked="1"/>
        <c:majorTickMark val="out"/>
        <c:minorTickMark val="none"/>
        <c:tickLblPos val="nextTo"/>
        <c:crossAx val="450184192"/>
        <c:crosses val="max"/>
        <c:crossBetween val="midCat"/>
        <c:majorUnit val="1.0"/>
      </c:valAx>
      <c:serAx>
        <c:axId val="450188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186736"/>
        <c:crosses val="autoZero"/>
        <c:tickLblSkip val="3"/>
        <c:tickMarkSkip val="1"/>
      </c:ser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1998 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94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93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92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91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90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89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88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0.0</c:v>
              </c:pt>
            </c:numLit>
          </c:cat>
          <c:val>
            <c:numLit>
              <c:formatCode>General</c:formatCode>
              <c:ptCount val="1"/>
              <c:pt idx="0">
                <c:v>0.0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0318336"/>
        <c:axId val="450193232"/>
      </c:barChart>
      <c:lineChart>
        <c:grouping val="standard"/>
        <c:varyColors val="0"/>
        <c:ser>
          <c:idx val="0"/>
          <c:order val="1"/>
          <c:tx>
            <c:v>Average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1"/>
              <c:pt idx="0">
                <c:v>0.0</c:v>
              </c:pt>
            </c:numLit>
          </c:cat>
          <c:val>
            <c:numLit>
              <c:formatCode>General</c:formatCode>
              <c:ptCount val="1"/>
              <c:pt idx="0">
                <c:v>0.0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318336"/>
        <c:axId val="450193232"/>
      </c:lineChart>
      <c:catAx>
        <c:axId val="4503183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19323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450193232"/>
        <c:scaling>
          <c:orientation val="minMax"/>
        </c:scaling>
        <c:delete val="0"/>
        <c:axPos val="l"/>
        <c:numFmt formatCode="#,##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318336"/>
        <c:crosses val="autoZero"/>
        <c:crossBetween val="between"/>
        <c:majorUnit val="1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0"/>
          <c:y val="0.0"/>
          <c:w val="0.0"/>
          <c:h val="0.0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 horizontalDpi="300" verticalDpi="300"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125987252165"/>
          <c:y val="0.0952383166813539"/>
          <c:w val="0.774194709753494"/>
          <c:h val="0.719049290944223"/>
        </c:manualLayout>
      </c:layout>
      <c:scatterChart>
        <c:scatterStyle val="lineMarker"/>
        <c:varyColors val="0"/>
        <c:ser>
          <c:idx val="5"/>
          <c:order val="0"/>
          <c:tx>
            <c:v>B40%</c:v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Summary!$C$105:$C$106</c:f>
              <c:numCache>
                <c:formatCode>General</c:formatCode>
                <c:ptCount val="2"/>
                <c:pt idx="0">
                  <c:v>2000.0</c:v>
                </c:pt>
                <c:pt idx="1">
                  <c:v>2012.0</c:v>
                </c:pt>
              </c:numCache>
            </c:numRef>
          </c:xVal>
          <c:yVal>
            <c:numRef>
              <c:f>Summary!$E$105:$E$106</c:f>
              <c:numCache>
                <c:formatCode>General</c:formatCode>
                <c:ptCount val="2"/>
                <c:pt idx="0" formatCode="#,##0">
                  <c:v>2813.0</c:v>
                </c:pt>
                <c:pt idx="1">
                  <c:v>2813.0</c:v>
                </c:pt>
              </c:numCache>
            </c:numRef>
          </c:yVal>
          <c:smooth val="0"/>
        </c:ser>
        <c:ser>
          <c:idx val="6"/>
          <c:order val="1"/>
          <c:tx>
            <c:strRef>
              <c:f>Summary!$AA$47</c:f>
              <c:strCache>
                <c:ptCount val="1"/>
                <c:pt idx="0">
                  <c:v>Real Spawners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Summary!$C$48:$C$97</c:f>
              <c:numCache>
                <c:formatCode>General</c:formatCode>
                <c:ptCount val="5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</c:numCache>
            </c:numRef>
          </c:xVal>
          <c:yVal>
            <c:numRef>
              <c:f>Summary!$AA$48:$AA$97</c:f>
              <c:numCache>
                <c:formatCode>#,##0</c:formatCode>
                <c:ptCount val="50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  <c:pt idx="40">
                  <c:v>3520.4</c:v>
                </c:pt>
                <c:pt idx="41">
                  <c:v>3223.0</c:v>
                </c:pt>
                <c:pt idx="42">
                  <c:v>2651.0</c:v>
                </c:pt>
                <c:pt idx="43">
                  <c:v>2215.2</c:v>
                </c:pt>
                <c:pt idx="44">
                  <c:v>1629.7</c:v>
                </c:pt>
                <c:pt idx="45">
                  <c:v>1775.3</c:v>
                </c:pt>
                <c:pt idx="46">
                  <c:v>2017.6</c:v>
                </c:pt>
                <c:pt idx="47">
                  <c:v>2538.1</c:v>
                </c:pt>
                <c:pt idx="48">
                  <c:v>3053.0</c:v>
                </c:pt>
                <c:pt idx="49">
                  <c:v>3490.3</c:v>
                </c:pt>
              </c:numCache>
            </c:numRef>
          </c:yVal>
          <c:smooth val="0"/>
        </c:ser>
        <c:ser>
          <c:idx val="0"/>
          <c:order val="2"/>
          <c:tx>
            <c:v>Bmsy</c:v>
          </c:tx>
          <c:spPr>
            <a:ln w="25400">
              <a:solidFill>
                <a:srgbClr val="0000FF"/>
              </a:solidFill>
              <a:prstDash val="sysDash"/>
            </a:ln>
          </c:spPr>
          <c:marker>
            <c:symbol val="none"/>
          </c:marker>
          <c:xVal>
            <c:numRef>
              <c:f>Summary!$C$84:$C$95</c:f>
              <c:numCache>
                <c:formatCode>General</c:formatCode>
                <c:ptCount val="12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</c:numCache>
            </c:numRef>
          </c:xVal>
          <c:yVal>
            <c:numRef>
              <c:f>Summary!$J$84:$J$95</c:f>
              <c:numCache>
                <c:formatCode>_(* #,##0_);_(* \(#,##0\);_(* "-"??_);_(@_)</c:formatCode>
                <c:ptCount val="12"/>
                <c:pt idx="0">
                  <c:v>1948.1</c:v>
                </c:pt>
                <c:pt idx="1">
                  <c:v>1948.1</c:v>
                </c:pt>
                <c:pt idx="2">
                  <c:v>1948.1</c:v>
                </c:pt>
                <c:pt idx="3">
                  <c:v>1948.1</c:v>
                </c:pt>
                <c:pt idx="4">
                  <c:v>1948.1</c:v>
                </c:pt>
                <c:pt idx="5">
                  <c:v>1948.1</c:v>
                </c:pt>
                <c:pt idx="6">
                  <c:v>1948.1</c:v>
                </c:pt>
                <c:pt idx="7">
                  <c:v>1948.1</c:v>
                </c:pt>
                <c:pt idx="8">
                  <c:v>1948.1</c:v>
                </c:pt>
                <c:pt idx="9">
                  <c:v>1948.1</c:v>
                </c:pt>
                <c:pt idx="10">
                  <c:v>1948.1</c:v>
                </c:pt>
                <c:pt idx="11">
                  <c:v>1948.1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StdDev!$AT$62</c:f>
              <c:strCache>
                <c:ptCount val="1"/>
                <c:pt idx="0">
                  <c:v>Fmsy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StdDev!$AM$63:$AM$68</c:f>
              <c:numCache>
                <c:formatCode>General</c:formatCode>
                <c:ptCount val="6"/>
                <c:pt idx="0">
                  <c:v>2013.0</c:v>
                </c:pt>
                <c:pt idx="1">
                  <c:v>2014.0</c:v>
                </c:pt>
                <c:pt idx="2">
                  <c:v>2015.0</c:v>
                </c:pt>
                <c:pt idx="3">
                  <c:v>2016.0</c:v>
                </c:pt>
                <c:pt idx="4">
                  <c:v>2017.0</c:v>
                </c:pt>
                <c:pt idx="5">
                  <c:v>2018.0</c:v>
                </c:pt>
              </c:numCache>
            </c:numRef>
          </c:xVal>
          <c:yVal>
            <c:numRef>
              <c:f>StdDev!$AT$63:$AT$68</c:f>
              <c:numCache>
                <c:formatCode>#,##0</c:formatCode>
                <c:ptCount val="6"/>
                <c:pt idx="0">
                  <c:v>3483.4</c:v>
                </c:pt>
                <c:pt idx="1">
                  <c:v>3645.7</c:v>
                </c:pt>
                <c:pt idx="2">
                  <c:v>3832.3</c:v>
                </c:pt>
                <c:pt idx="3">
                  <c:v>3914.7</c:v>
                </c:pt>
                <c:pt idx="4">
                  <c:v>4011.3</c:v>
                </c:pt>
                <c:pt idx="5">
                  <c:v>4102.5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StdDev!$AN$62</c:f>
              <c:strCache>
                <c:ptCount val="1"/>
                <c:pt idx="0">
                  <c:v>F40%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StdDev!$AM$63:$AM$68</c:f>
              <c:numCache>
                <c:formatCode>General</c:formatCode>
                <c:ptCount val="6"/>
                <c:pt idx="0">
                  <c:v>2013.0</c:v>
                </c:pt>
                <c:pt idx="1">
                  <c:v>2014.0</c:v>
                </c:pt>
                <c:pt idx="2">
                  <c:v>2015.0</c:v>
                </c:pt>
                <c:pt idx="3">
                  <c:v>2016.0</c:v>
                </c:pt>
                <c:pt idx="4">
                  <c:v>2017.0</c:v>
                </c:pt>
                <c:pt idx="5">
                  <c:v>2018.0</c:v>
                </c:pt>
              </c:numCache>
            </c:numRef>
          </c:xVal>
          <c:yVal>
            <c:numRef>
              <c:f>StdDev!$AN$63:$AN$68</c:f>
              <c:numCache>
                <c:formatCode>#,##0</c:formatCode>
                <c:ptCount val="6"/>
                <c:pt idx="0">
                  <c:v>3483.4</c:v>
                </c:pt>
                <c:pt idx="1">
                  <c:v>3679.3</c:v>
                </c:pt>
                <c:pt idx="2">
                  <c:v>3982.5</c:v>
                </c:pt>
                <c:pt idx="3">
                  <c:v>4169.9</c:v>
                </c:pt>
                <c:pt idx="4">
                  <c:v>4347.6</c:v>
                </c:pt>
                <c:pt idx="5">
                  <c:v>4492.9</c:v>
                </c:pt>
              </c:numCache>
            </c:numRef>
          </c:yVal>
          <c:smooth val="0"/>
        </c:ser>
        <c:ser>
          <c:idx val="1"/>
          <c:order val="5"/>
          <c:tx>
            <c:strRef>
              <c:f>StdDev!$AW$62</c:f>
              <c:strCache>
                <c:ptCount val="1"/>
                <c:pt idx="0">
                  <c:v>Biomass with Catch=0.8 mmt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StdDev!$AV$64:$AV$68</c:f>
              <c:numCache>
                <c:formatCode>General</c:formatCode>
                <c:ptCount val="5"/>
                <c:pt idx="0">
                  <c:v>2014.0</c:v>
                </c:pt>
                <c:pt idx="1">
                  <c:v>2015.0</c:v>
                </c:pt>
                <c:pt idx="2">
                  <c:v>2016.0</c:v>
                </c:pt>
                <c:pt idx="3">
                  <c:v>2017.0</c:v>
                </c:pt>
                <c:pt idx="4">
                  <c:v>2018.0</c:v>
                </c:pt>
              </c:numCache>
            </c:numRef>
          </c:xVal>
          <c:yVal>
            <c:numRef>
              <c:f>StdDev!$AW$64:$AW$68</c:f>
              <c:numCache>
                <c:formatCode>#,##0</c:formatCode>
                <c:ptCount val="5"/>
                <c:pt idx="0">
                  <c:v>3628.5</c:v>
                </c:pt>
                <c:pt idx="1">
                  <c:v>3758.0</c:v>
                </c:pt>
                <c:pt idx="2">
                  <c:v>3792.0</c:v>
                </c:pt>
                <c:pt idx="3">
                  <c:v>3853.8</c:v>
                </c:pt>
                <c:pt idx="4">
                  <c:v>3923.5</c:v>
                </c:pt>
              </c:numCache>
            </c:numRef>
          </c:yVal>
          <c:smooth val="0"/>
        </c:ser>
        <c:ser>
          <c:idx val="2"/>
          <c:order val="6"/>
          <c:tx>
            <c:strRef>
              <c:f>StdDev!$AY$62</c:f>
              <c:strCache>
                <c:ptCount val="1"/>
                <c:pt idx="0">
                  <c:v>Biomass with Catch=1.0 mmt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StdDev!$AV$63:$AV$68</c:f>
              <c:numCache>
                <c:formatCode>General</c:formatCode>
                <c:ptCount val="6"/>
                <c:pt idx="0">
                  <c:v>2013.0</c:v>
                </c:pt>
                <c:pt idx="1">
                  <c:v>2014.0</c:v>
                </c:pt>
                <c:pt idx="2">
                  <c:v>2015.0</c:v>
                </c:pt>
                <c:pt idx="3">
                  <c:v>2016.0</c:v>
                </c:pt>
                <c:pt idx="4">
                  <c:v>2017.0</c:v>
                </c:pt>
                <c:pt idx="5">
                  <c:v>2018.0</c:v>
                </c:pt>
              </c:numCache>
            </c:numRef>
          </c:xVal>
          <c:yVal>
            <c:numRef>
              <c:f>StdDev!$AY$63:$AY$68</c:f>
              <c:numCache>
                <c:formatCode>#,##0</c:formatCode>
                <c:ptCount val="6"/>
                <c:pt idx="0">
                  <c:v>3483.4</c:v>
                </c:pt>
                <c:pt idx="1">
                  <c:v>3611.1</c:v>
                </c:pt>
                <c:pt idx="2">
                  <c:v>3684.2</c:v>
                </c:pt>
                <c:pt idx="3">
                  <c:v>3672.6</c:v>
                </c:pt>
                <c:pt idx="4">
                  <c:v>3703.0</c:v>
                </c:pt>
                <c:pt idx="5">
                  <c:v>3754.6</c:v>
                </c:pt>
              </c:numCache>
            </c:numRef>
          </c:yVal>
          <c:smooth val="0"/>
        </c:ser>
        <c:ser>
          <c:idx val="7"/>
          <c:order val="7"/>
          <c:tx>
            <c:v>No fishing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StdDev!$G$272:$G$276</c:f>
              <c:numCache>
                <c:formatCode>General</c:formatCode>
                <c:ptCount val="5"/>
                <c:pt idx="0">
                  <c:v>2014.0</c:v>
                </c:pt>
                <c:pt idx="1">
                  <c:v>2015.0</c:v>
                </c:pt>
                <c:pt idx="2">
                  <c:v>2016.0</c:v>
                </c:pt>
                <c:pt idx="3">
                  <c:v>2017.0</c:v>
                </c:pt>
                <c:pt idx="4">
                  <c:v>2018.0</c:v>
                </c:pt>
              </c:numCache>
            </c:numRef>
          </c:xVal>
          <c:yVal>
            <c:numRef>
              <c:f>StdDev!$H$272:$H$276</c:f>
              <c:numCache>
                <c:formatCode>#,##0</c:formatCode>
                <c:ptCount val="5"/>
                <c:pt idx="0">
                  <c:v>4629.698886094077</c:v>
                </c:pt>
                <c:pt idx="1">
                  <c:v>4945.715024917622</c:v>
                </c:pt>
                <c:pt idx="2">
                  <c:v>5286.289576457213</c:v>
                </c:pt>
                <c:pt idx="3">
                  <c:v>5603.514008906259</c:v>
                </c:pt>
                <c:pt idx="4">
                  <c:v>5820.633439754481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027968"/>
        <c:axId val="450031600"/>
      </c:scatterChart>
      <c:valAx>
        <c:axId val="450027968"/>
        <c:scaling>
          <c:orientation val="minMax"/>
          <c:max val="2018.0"/>
          <c:min val="1990.0"/>
        </c:scaling>
        <c:delete val="0"/>
        <c:axPos val="b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2995472340151"/>
              <c:y val="0.90238295213098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031600"/>
        <c:crosses val="autoZero"/>
        <c:crossBetween val="midCat"/>
      </c:valAx>
      <c:valAx>
        <c:axId val="450031600"/>
        <c:scaling>
          <c:orientation val="minMax"/>
          <c:max val="43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Female Spawning Biomass </a:t>
                </a:r>
              </a:p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(thousands of t)</a:t>
                </a:r>
              </a:p>
            </c:rich>
          </c:tx>
          <c:layout>
            <c:manualLayout>
              <c:xMode val="edge"/>
              <c:yMode val="edge"/>
              <c:x val="0.00768049155145929"/>
              <c:y val="0.15000024996875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027968"/>
        <c:crosses val="autoZero"/>
        <c:crossBetween val="midCat"/>
        <c:majorUnit val="1000.0"/>
      </c:valAx>
      <c:spPr>
        <a:noFill/>
        <a:ln w="25400">
          <a:noFill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18126282601772"/>
          <c:y val="0.535715535558055"/>
          <c:w val="0.453149646616753"/>
          <c:h val="0.2595243094613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Female Spawning Biomass
 (thousands of tons)</a:t>
            </a:r>
          </a:p>
        </c:rich>
      </c:tx>
      <c:layout>
        <c:manualLayout>
          <c:xMode val="edge"/>
          <c:yMode val="edge"/>
          <c:x val="0.158218287230225"/>
          <c:y val="0.045238095238095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37021374900056"/>
          <c:y val="0.0428572425066092"/>
          <c:w val="0.867896847243504"/>
          <c:h val="0.747620785948628"/>
        </c:manualLayout>
      </c:layout>
      <c:scatterChart>
        <c:scatterStyle val="line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Summary!$C$48:$C$91</c:f>
              <c:numCache>
                <c:formatCode>General</c:formatCode>
                <c:ptCount val="44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</c:numCache>
            </c:numRef>
          </c:xVal>
          <c:yVal>
            <c:numRef>
              <c:f>Summary!$J$48:$J$91</c:f>
              <c:numCache>
                <c:formatCode>_(* #,##0_);_(* \(#,##0\);_(* "-"??_);_(@_)</c:formatCode>
                <c:ptCount val="44"/>
                <c:pt idx="0">
                  <c:v>1948.1</c:v>
                </c:pt>
                <c:pt idx="1">
                  <c:v>1948.1</c:v>
                </c:pt>
                <c:pt idx="2">
                  <c:v>1948.1</c:v>
                </c:pt>
                <c:pt idx="3">
                  <c:v>1948.1</c:v>
                </c:pt>
                <c:pt idx="4">
                  <c:v>1948.1</c:v>
                </c:pt>
                <c:pt idx="5">
                  <c:v>1948.1</c:v>
                </c:pt>
                <c:pt idx="6">
                  <c:v>1948.1</c:v>
                </c:pt>
                <c:pt idx="7">
                  <c:v>1948.1</c:v>
                </c:pt>
                <c:pt idx="8">
                  <c:v>1948.1</c:v>
                </c:pt>
                <c:pt idx="9">
                  <c:v>1948.1</c:v>
                </c:pt>
                <c:pt idx="10">
                  <c:v>1948.1</c:v>
                </c:pt>
                <c:pt idx="11">
                  <c:v>1948.1</c:v>
                </c:pt>
                <c:pt idx="12">
                  <c:v>1948.1</c:v>
                </c:pt>
                <c:pt idx="13">
                  <c:v>1948.1</c:v>
                </c:pt>
                <c:pt idx="14">
                  <c:v>1948.1</c:v>
                </c:pt>
                <c:pt idx="15">
                  <c:v>1948.1</c:v>
                </c:pt>
                <c:pt idx="16">
                  <c:v>1948.1</c:v>
                </c:pt>
                <c:pt idx="17">
                  <c:v>1948.1</c:v>
                </c:pt>
                <c:pt idx="18">
                  <c:v>1948.1</c:v>
                </c:pt>
                <c:pt idx="19">
                  <c:v>1948.1</c:v>
                </c:pt>
                <c:pt idx="20">
                  <c:v>1948.1</c:v>
                </c:pt>
                <c:pt idx="21">
                  <c:v>1948.1</c:v>
                </c:pt>
                <c:pt idx="22">
                  <c:v>1948.1</c:v>
                </c:pt>
                <c:pt idx="23">
                  <c:v>1948.1</c:v>
                </c:pt>
                <c:pt idx="24">
                  <c:v>1948.1</c:v>
                </c:pt>
                <c:pt idx="25">
                  <c:v>1948.1</c:v>
                </c:pt>
                <c:pt idx="26">
                  <c:v>1948.1</c:v>
                </c:pt>
                <c:pt idx="27">
                  <c:v>1948.1</c:v>
                </c:pt>
                <c:pt idx="28">
                  <c:v>1948.1</c:v>
                </c:pt>
                <c:pt idx="29">
                  <c:v>1948.1</c:v>
                </c:pt>
                <c:pt idx="30">
                  <c:v>1948.1</c:v>
                </c:pt>
                <c:pt idx="31">
                  <c:v>1948.1</c:v>
                </c:pt>
                <c:pt idx="32">
                  <c:v>1948.1</c:v>
                </c:pt>
                <c:pt idx="33">
                  <c:v>1948.1</c:v>
                </c:pt>
                <c:pt idx="34">
                  <c:v>1948.1</c:v>
                </c:pt>
                <c:pt idx="35">
                  <c:v>1948.1</c:v>
                </c:pt>
                <c:pt idx="36">
                  <c:v>1948.1</c:v>
                </c:pt>
                <c:pt idx="37">
                  <c:v>1948.1</c:v>
                </c:pt>
                <c:pt idx="38">
                  <c:v>1948.1</c:v>
                </c:pt>
                <c:pt idx="39">
                  <c:v>1948.1</c:v>
                </c:pt>
                <c:pt idx="40">
                  <c:v>1948.1</c:v>
                </c:pt>
                <c:pt idx="41">
                  <c:v>1948.1</c:v>
                </c:pt>
                <c:pt idx="42">
                  <c:v>1948.1</c:v>
                </c:pt>
                <c:pt idx="43">
                  <c:v>1948.1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Summary!$AA$47</c:f>
              <c:strCache>
                <c:ptCount val="1"/>
                <c:pt idx="0">
                  <c:v>Real Spawners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Summary!$C$48:$C$92</c:f>
              <c:numCache>
                <c:formatCode>General</c:formatCode>
                <c:ptCount val="45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</c:numCache>
            </c:numRef>
          </c:xVal>
          <c:yVal>
            <c:numRef>
              <c:f>Summary!$AA$48:$AA$92</c:f>
              <c:numCache>
                <c:formatCode>#,##0</c:formatCode>
                <c:ptCount val="45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  <c:pt idx="40">
                  <c:v>3520.4</c:v>
                </c:pt>
                <c:pt idx="41">
                  <c:v>3223.0</c:v>
                </c:pt>
                <c:pt idx="42">
                  <c:v>2651.0</c:v>
                </c:pt>
                <c:pt idx="43">
                  <c:v>2215.2</c:v>
                </c:pt>
                <c:pt idx="44">
                  <c:v>1629.7</c:v>
                </c:pt>
              </c:numCache>
            </c:numRef>
          </c:yVal>
          <c:smooth val="0"/>
        </c:ser>
        <c:ser>
          <c:idx val="2"/>
          <c:order val="2"/>
          <c:spPr>
            <a:ln w="254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Summary!$I$45:$I$46</c:f>
              <c:numCache>
                <c:formatCode>General</c:formatCode>
                <c:ptCount val="2"/>
                <c:pt idx="0">
                  <c:v>1964.0</c:v>
                </c:pt>
                <c:pt idx="1">
                  <c:v>2006.0</c:v>
                </c:pt>
              </c:numCache>
            </c:numRef>
          </c:xVal>
          <c:yVal>
            <c:numRef>
              <c:f>Summary!$J$45:$J$46</c:f>
              <c:numCache>
                <c:formatCode>_(* #,##0_);_(* \(#,##0\);_(* "-"??_);_(@_)</c:formatCode>
                <c:ptCount val="2"/>
                <c:pt idx="0">
                  <c:v>-0.17519</c:v>
                </c:pt>
                <c:pt idx="1">
                  <c:v>-0.17519</c:v>
                </c:pt>
              </c:numCache>
            </c:numRef>
          </c:yVal>
          <c:smooth val="0"/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Stdev!$A$736:$A$772</c:f>
              <c:numCache>
                <c:formatCode>General</c:formatCode>
                <c:ptCount val="37"/>
                <c:pt idx="12">
                  <c:v>1978.0</c:v>
                </c:pt>
                <c:pt idx="13">
                  <c:v>1979.0</c:v>
                </c:pt>
                <c:pt idx="14">
                  <c:v>1980.0</c:v>
                </c:pt>
                <c:pt idx="15">
                  <c:v>1981.0</c:v>
                </c:pt>
                <c:pt idx="16">
                  <c:v>1982.0</c:v>
                </c:pt>
                <c:pt idx="17">
                  <c:v>1983.0</c:v>
                </c:pt>
                <c:pt idx="18">
                  <c:v>1984.0</c:v>
                </c:pt>
                <c:pt idx="19">
                  <c:v>1985.0</c:v>
                </c:pt>
                <c:pt idx="20">
                  <c:v>1986.0</c:v>
                </c:pt>
                <c:pt idx="21">
                  <c:v>1987.0</c:v>
                </c:pt>
                <c:pt idx="22">
                  <c:v>1988.0</c:v>
                </c:pt>
                <c:pt idx="23">
                  <c:v>1989.0</c:v>
                </c:pt>
                <c:pt idx="24">
                  <c:v>1990.0</c:v>
                </c:pt>
                <c:pt idx="25">
                  <c:v>1991.0</c:v>
                </c:pt>
                <c:pt idx="26">
                  <c:v>1992.0</c:v>
                </c:pt>
                <c:pt idx="27">
                  <c:v>1993.0</c:v>
                </c:pt>
                <c:pt idx="28">
                  <c:v>1994.0</c:v>
                </c:pt>
                <c:pt idx="29">
                  <c:v>1995.0</c:v>
                </c:pt>
                <c:pt idx="30">
                  <c:v>1996.0</c:v>
                </c:pt>
                <c:pt idx="31">
                  <c:v>1997.0</c:v>
                </c:pt>
                <c:pt idx="32">
                  <c:v>1998.0</c:v>
                </c:pt>
                <c:pt idx="33">
                  <c:v>1999.0</c:v>
                </c:pt>
                <c:pt idx="34">
                  <c:v>2000.0</c:v>
                </c:pt>
                <c:pt idx="35">
                  <c:v>2001.0</c:v>
                </c:pt>
                <c:pt idx="36">
                  <c:v>2002.0</c:v>
                </c:pt>
              </c:numCache>
            </c:numRef>
          </c:xVal>
          <c:yVal>
            <c:numRef>
              <c:f>Stdev!$B$738:$B$773</c:f>
              <c:numCache>
                <c:formatCode>General</c:formatCode>
                <c:ptCount val="36"/>
                <c:pt idx="0">
                  <c:v>1437.0</c:v>
                </c:pt>
                <c:pt idx="1">
                  <c:v>1438.0</c:v>
                </c:pt>
                <c:pt idx="2">
                  <c:v>1439.0</c:v>
                </c:pt>
                <c:pt idx="3">
                  <c:v>1440.0</c:v>
                </c:pt>
                <c:pt idx="4">
                  <c:v>1441.0</c:v>
                </c:pt>
                <c:pt idx="5">
                  <c:v>1442.0</c:v>
                </c:pt>
                <c:pt idx="6">
                  <c:v>1443.0</c:v>
                </c:pt>
                <c:pt idx="9">
                  <c:v>926.0</c:v>
                </c:pt>
                <c:pt idx="10">
                  <c:v>858.0</c:v>
                </c:pt>
                <c:pt idx="11">
                  <c:v>1059.26</c:v>
                </c:pt>
                <c:pt idx="12">
                  <c:v>1434.02</c:v>
                </c:pt>
                <c:pt idx="13">
                  <c:v>1952.95</c:v>
                </c:pt>
                <c:pt idx="14">
                  <c:v>3061.49</c:v>
                </c:pt>
                <c:pt idx="15">
                  <c:v>4462.69</c:v>
                </c:pt>
                <c:pt idx="16">
                  <c:v>5601.98</c:v>
                </c:pt>
                <c:pt idx="17">
                  <c:v>6217.82</c:v>
                </c:pt>
                <c:pt idx="18">
                  <c:v>6619.08</c:v>
                </c:pt>
                <c:pt idx="19">
                  <c:v>6741.28</c:v>
                </c:pt>
                <c:pt idx="20">
                  <c:v>6575.37</c:v>
                </c:pt>
                <c:pt idx="21">
                  <c:v>6176.17</c:v>
                </c:pt>
                <c:pt idx="22">
                  <c:v>5589.23</c:v>
                </c:pt>
                <c:pt idx="23">
                  <c:v>4857.79</c:v>
                </c:pt>
                <c:pt idx="24">
                  <c:v>4131.27</c:v>
                </c:pt>
                <c:pt idx="25">
                  <c:v>4185.89</c:v>
                </c:pt>
                <c:pt idx="26">
                  <c:v>5061.75</c:v>
                </c:pt>
                <c:pt idx="27">
                  <c:v>5020.34</c:v>
                </c:pt>
                <c:pt idx="28">
                  <c:v>5208.09</c:v>
                </c:pt>
                <c:pt idx="29">
                  <c:v>5355.12</c:v>
                </c:pt>
                <c:pt idx="30">
                  <c:v>5105.61</c:v>
                </c:pt>
                <c:pt idx="31">
                  <c:v>4905.4</c:v>
                </c:pt>
                <c:pt idx="32">
                  <c:v>4645.47</c:v>
                </c:pt>
                <c:pt idx="33">
                  <c:v>4650.6</c:v>
                </c:pt>
                <c:pt idx="34">
                  <c:v>4872.45</c:v>
                </c:pt>
                <c:pt idx="35">
                  <c:v>4810.94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068336"/>
        <c:axId val="450071968"/>
      </c:scatterChart>
      <c:valAx>
        <c:axId val="450068336"/>
        <c:scaling>
          <c:orientation val="minMax"/>
          <c:max val="2009.0"/>
          <c:min val="1964.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82335514512299"/>
              <c:y val="0.888097237845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071968"/>
        <c:crosses val="autoZero"/>
        <c:crossBetween val="midCat"/>
        <c:majorUnit val="4.0"/>
      </c:valAx>
      <c:valAx>
        <c:axId val="450071968"/>
        <c:scaling>
          <c:orientation val="minMax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068336"/>
        <c:crosses val="autoZero"/>
        <c:crossBetween val="midCat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 horizontalDpi="300"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339933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Spawning Exploitation Rate</a:t>
            </a:r>
          </a:p>
        </c:rich>
      </c:tx>
      <c:layout>
        <c:manualLayout>
          <c:xMode val="edge"/>
          <c:yMode val="edge"/>
          <c:x val="0.105990944680302"/>
          <c:y val="0.01190476190476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063143635909"/>
          <c:y val="0.0428572425066092"/>
          <c:w val="0.884793954003988"/>
          <c:h val="0.71666833302719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StdDev!$H$469:$H$517</c:f>
                <c:numCache>
                  <c:formatCode>General</c:formatCode>
                  <c:ptCount val="49"/>
                  <c:pt idx="0">
                    <c:v>0.0534892301670911</c:v>
                  </c:pt>
                  <c:pt idx="1">
                    <c:v>0.0548835772313346</c:v>
                  </c:pt>
                  <c:pt idx="2">
                    <c:v>0.042461755827579</c:v>
                  </c:pt>
                  <c:pt idx="3">
                    <c:v>0.0589290150101836</c:v>
                  </c:pt>
                  <c:pt idx="4">
                    <c:v>0.0573626681862738</c:v>
                  </c:pt>
                  <c:pt idx="5">
                    <c:v>0.0534975348626387</c:v>
                  </c:pt>
                  <c:pt idx="6">
                    <c:v>0.0596528963454369</c:v>
                  </c:pt>
                  <c:pt idx="7">
                    <c:v>0.0713633445428793</c:v>
                  </c:pt>
                  <c:pt idx="8">
                    <c:v>0.0826900405634727</c:v>
                  </c:pt>
                  <c:pt idx="9">
                    <c:v>0.102680364505218</c:v>
                  </c:pt>
                  <c:pt idx="10">
                    <c:v>0.0950513293793862</c:v>
                  </c:pt>
                  <c:pt idx="11">
                    <c:v>0.0731578024654835</c:v>
                  </c:pt>
                  <c:pt idx="12">
                    <c:v>0.0605949921468309</c:v>
                  </c:pt>
                  <c:pt idx="13">
                    <c:v>0.0510281271250869</c:v>
                  </c:pt>
                  <c:pt idx="14">
                    <c:v>0.0497167695549773</c:v>
                  </c:pt>
                  <c:pt idx="15">
                    <c:v>0.040889839743098</c:v>
                  </c:pt>
                  <c:pt idx="16">
                    <c:v>0.0244865619766299</c:v>
                  </c:pt>
                  <c:pt idx="17">
                    <c:v>0.0169603717050909</c:v>
                  </c:pt>
                  <c:pt idx="18">
                    <c:v>0.0141452687112091</c:v>
                  </c:pt>
                  <c:pt idx="19">
                    <c:v>0.0134413774922483</c:v>
                  </c:pt>
                  <c:pt idx="20">
                    <c:v>0.0134270927272991</c:v>
                  </c:pt>
                  <c:pt idx="21">
                    <c:v>0.0129003496375238</c:v>
                  </c:pt>
                  <c:pt idx="22">
                    <c:v>0.0126309129787921</c:v>
                  </c:pt>
                  <c:pt idx="23">
                    <c:v>0.00976102415514662</c:v>
                  </c:pt>
                  <c:pt idx="24">
                    <c:v>0.0143337455722353</c:v>
                  </c:pt>
                  <c:pt idx="25">
                    <c:v>0.017264700569935</c:v>
                  </c:pt>
                  <c:pt idx="26">
                    <c:v>0.0247497759227507</c:v>
                  </c:pt>
                  <c:pt idx="27">
                    <c:v>0.0214633373523295</c:v>
                  </c:pt>
                  <c:pt idx="28">
                    <c:v>0.0183557934209153</c:v>
                  </c:pt>
                  <c:pt idx="29">
                    <c:v>0.013783168390279</c:v>
                  </c:pt>
                  <c:pt idx="30">
                    <c:v>0.0126738319458966</c:v>
                  </c:pt>
                  <c:pt idx="31">
                    <c:v>0.012257985506364</c:v>
                  </c:pt>
                  <c:pt idx="32">
                    <c:v>0.0126732714083606</c:v>
                  </c:pt>
                  <c:pt idx="33">
                    <c:v>0.0138917741674646</c:v>
                  </c:pt>
                  <c:pt idx="34">
                    <c:v>0.0133230050730906</c:v>
                  </c:pt>
                  <c:pt idx="35">
                    <c:v>0.0118772603159823</c:v>
                  </c:pt>
                  <c:pt idx="36">
                    <c:v>0.0137193574245194</c:v>
                  </c:pt>
                  <c:pt idx="37">
                    <c:v>0.0161875424555921</c:v>
                  </c:pt>
                  <c:pt idx="38">
                    <c:v>0.0160054243607155</c:v>
                  </c:pt>
                  <c:pt idx="39">
                    <c:v>0.0145531145770905</c:v>
                  </c:pt>
                  <c:pt idx="40">
                    <c:v>0.0153058002737929</c:v>
                  </c:pt>
                  <c:pt idx="41">
                    <c:v>0.0185885964780358</c:v>
                  </c:pt>
                  <c:pt idx="42">
                    <c:v>0.0234447749804428</c:v>
                  </c:pt>
                  <c:pt idx="43">
                    <c:v>0.0262306695916586</c:v>
                  </c:pt>
                  <c:pt idx="44">
                    <c:v>0.0233261732943138</c:v>
                  </c:pt>
                  <c:pt idx="45">
                    <c:v>0.0181134758489374</c:v>
                  </c:pt>
                  <c:pt idx="46">
                    <c:v>0.0162360789082044</c:v>
                  </c:pt>
                  <c:pt idx="47">
                    <c:v>0.0212429213970818</c:v>
                  </c:pt>
                  <c:pt idx="48">
                    <c:v>0.0244181140163085</c:v>
                  </c:pt>
                </c:numCache>
              </c:numRef>
            </c:plus>
            <c:minus>
              <c:numRef>
                <c:f>StdDev!$G$469:$G$517</c:f>
                <c:numCache>
                  <c:formatCode>General</c:formatCode>
                  <c:ptCount val="49"/>
                  <c:pt idx="0">
                    <c:v>0.0345084069058451</c:v>
                  </c:pt>
                  <c:pt idx="1">
                    <c:v>0.0362659837442892</c:v>
                  </c:pt>
                  <c:pt idx="2">
                    <c:v>0.0291622260284411</c:v>
                  </c:pt>
                  <c:pt idx="3">
                    <c:v>0.0417581006349549</c:v>
                  </c:pt>
                  <c:pt idx="4">
                    <c:v>0.0414783654145146</c:v>
                  </c:pt>
                  <c:pt idx="5">
                    <c:v>0.0395988339176784</c:v>
                  </c:pt>
                  <c:pt idx="6">
                    <c:v>0.0455282302378387</c:v>
                  </c:pt>
                  <c:pt idx="7">
                    <c:v>0.0559052317973192</c:v>
                  </c:pt>
                  <c:pt idx="8">
                    <c:v>0.0650536152526806</c:v>
                  </c:pt>
                  <c:pt idx="9">
                    <c:v>0.0795794687240451</c:v>
                  </c:pt>
                  <c:pt idx="10">
                    <c:v>0.0748628944967008</c:v>
                  </c:pt>
                  <c:pt idx="11">
                    <c:v>0.0597177602864486</c:v>
                  </c:pt>
                  <c:pt idx="12">
                    <c:v>0.0501557195467716</c:v>
                  </c:pt>
                  <c:pt idx="13">
                    <c:v>0.0422820363746235</c:v>
                  </c:pt>
                  <c:pt idx="14">
                    <c:v>0.0414407997218897</c:v>
                  </c:pt>
                  <c:pt idx="15">
                    <c:v>0.0344442729460171</c:v>
                  </c:pt>
                  <c:pt idx="16">
                    <c:v>0.0211548779635009</c:v>
                  </c:pt>
                  <c:pt idx="17">
                    <c:v>0.0148050187362675</c:v>
                  </c:pt>
                  <c:pt idx="18">
                    <c:v>0.0123952520350975</c:v>
                  </c:pt>
                  <c:pt idx="19">
                    <c:v>0.011806754170965</c:v>
                  </c:pt>
                  <c:pt idx="20">
                    <c:v>0.0118624709457346</c:v>
                  </c:pt>
                  <c:pt idx="21">
                    <c:v>0.0114424564177587</c:v>
                  </c:pt>
                  <c:pt idx="22">
                    <c:v>0.0112381701491706</c:v>
                  </c:pt>
                  <c:pt idx="23">
                    <c:v>0.00868818731830774</c:v>
                  </c:pt>
                  <c:pt idx="24">
                    <c:v>0.0128152638682688</c:v>
                  </c:pt>
                  <c:pt idx="25">
                    <c:v>0.0154222005701241</c:v>
                  </c:pt>
                  <c:pt idx="26">
                    <c:v>0.0221388386512021</c:v>
                  </c:pt>
                  <c:pt idx="27">
                    <c:v>0.0192240442501039</c:v>
                  </c:pt>
                  <c:pt idx="28">
                    <c:v>0.0165606804566321</c:v>
                  </c:pt>
                  <c:pt idx="29">
                    <c:v>0.0123989411598601</c:v>
                  </c:pt>
                  <c:pt idx="30">
                    <c:v>0.0113948995835014</c:v>
                  </c:pt>
                  <c:pt idx="31">
                    <c:v>0.0110118359041524</c:v>
                  </c:pt>
                  <c:pt idx="32">
                    <c:v>0.0113663503186268</c:v>
                  </c:pt>
                  <c:pt idx="33">
                    <c:v>0.0124552784034644</c:v>
                  </c:pt>
                  <c:pt idx="34">
                    <c:v>0.0119734125506345</c:v>
                  </c:pt>
                  <c:pt idx="35">
                    <c:v>0.0106716145104772</c:v>
                  </c:pt>
                  <c:pt idx="36">
                    <c:v>0.0123540473602768</c:v>
                  </c:pt>
                  <c:pt idx="37">
                    <c:v>0.0146086052956754</c:v>
                  </c:pt>
                  <c:pt idx="38">
                    <c:v>0.0144799951075263</c:v>
                  </c:pt>
                  <c:pt idx="39">
                    <c:v>0.0131700489712035</c:v>
                  </c:pt>
                  <c:pt idx="40">
                    <c:v>0.0138458784610358</c:v>
                  </c:pt>
                  <c:pt idx="41">
                    <c:v>0.0168305787398534</c:v>
                  </c:pt>
                  <c:pt idx="42">
                    <c:v>0.0212559054727589</c:v>
                  </c:pt>
                  <c:pt idx="43">
                    <c:v>0.0236720205493147</c:v>
                  </c:pt>
                  <c:pt idx="44">
                    <c:v>0.0208745208553272</c:v>
                  </c:pt>
                  <c:pt idx="45">
                    <c:v>0.0160003065698389</c:v>
                  </c:pt>
                  <c:pt idx="46">
                    <c:v>0.0141428720956786</c:v>
                  </c:pt>
                  <c:pt idx="47">
                    <c:v>0.0182035677881115</c:v>
                  </c:pt>
                  <c:pt idx="48">
                    <c:v>0.0205450929278509</c:v>
                  </c:pt>
                </c:numCache>
              </c:numRef>
            </c:minus>
            <c:spPr>
              <a:ln w="3175">
                <a:solidFill>
                  <a:srgbClr val="000000"/>
                </a:solidFill>
                <a:prstDash val="solid"/>
              </a:ln>
            </c:spPr>
          </c:errBars>
          <c:xVal>
            <c:numRef>
              <c:f>StdDev!$B$469:$B$517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xVal>
          <c:yVal>
            <c:numRef>
              <c:f>StdDev!$E$469:$E$517</c:f>
              <c:numCache>
                <c:formatCode>General</c:formatCode>
                <c:ptCount val="49"/>
                <c:pt idx="0">
                  <c:v>0.097247</c:v>
                </c:pt>
                <c:pt idx="1">
                  <c:v>0.10691</c:v>
                </c:pt>
                <c:pt idx="2">
                  <c:v>0.093107</c:v>
                </c:pt>
                <c:pt idx="3">
                  <c:v>0.14331</c:v>
                </c:pt>
                <c:pt idx="4">
                  <c:v>0.14979</c:v>
                </c:pt>
                <c:pt idx="5">
                  <c:v>0.15242</c:v>
                </c:pt>
                <c:pt idx="6">
                  <c:v>0.19228</c:v>
                </c:pt>
                <c:pt idx="7">
                  <c:v>0.25809</c:v>
                </c:pt>
                <c:pt idx="8">
                  <c:v>0.30501</c:v>
                </c:pt>
                <c:pt idx="9">
                  <c:v>0.35372</c:v>
                </c:pt>
                <c:pt idx="10">
                  <c:v>0.35247</c:v>
                </c:pt>
                <c:pt idx="11">
                  <c:v>0.32506</c:v>
                </c:pt>
                <c:pt idx="12">
                  <c:v>0.29113</c:v>
                </c:pt>
                <c:pt idx="13">
                  <c:v>0.24669</c:v>
                </c:pt>
                <c:pt idx="14">
                  <c:v>0.24895</c:v>
                </c:pt>
                <c:pt idx="15">
                  <c:v>0.21851</c:v>
                </c:pt>
                <c:pt idx="16">
                  <c:v>0.15548</c:v>
                </c:pt>
                <c:pt idx="17">
                  <c:v>0.1165</c:v>
                </c:pt>
                <c:pt idx="18">
                  <c:v>0.10019</c:v>
                </c:pt>
                <c:pt idx="19">
                  <c:v>0.097086</c:v>
                </c:pt>
                <c:pt idx="20">
                  <c:v>0.1018</c:v>
                </c:pt>
                <c:pt idx="21">
                  <c:v>0.10125</c:v>
                </c:pt>
                <c:pt idx="22">
                  <c:v>0.10192</c:v>
                </c:pt>
                <c:pt idx="23">
                  <c:v>0.079048</c:v>
                </c:pt>
                <c:pt idx="24">
                  <c:v>0.12097</c:v>
                </c:pt>
                <c:pt idx="25">
                  <c:v>0.14451</c:v>
                </c:pt>
                <c:pt idx="26">
                  <c:v>0.20986</c:v>
                </c:pt>
                <c:pt idx="27">
                  <c:v>0.18426</c:v>
                </c:pt>
                <c:pt idx="28">
                  <c:v>0.16934</c:v>
                </c:pt>
                <c:pt idx="29">
                  <c:v>0.12346</c:v>
                </c:pt>
                <c:pt idx="30">
                  <c:v>0.11292</c:v>
                </c:pt>
                <c:pt idx="31">
                  <c:v>0.10832</c:v>
                </c:pt>
                <c:pt idx="32">
                  <c:v>0.11022</c:v>
                </c:pt>
                <c:pt idx="33">
                  <c:v>0.12045</c:v>
                </c:pt>
                <c:pt idx="34">
                  <c:v>0.1182</c:v>
                </c:pt>
                <c:pt idx="35">
                  <c:v>0.10513</c:v>
                </c:pt>
                <c:pt idx="36">
                  <c:v>0.12414</c:v>
                </c:pt>
                <c:pt idx="37">
                  <c:v>0.14977</c:v>
                </c:pt>
                <c:pt idx="38">
                  <c:v>0.15193</c:v>
                </c:pt>
                <c:pt idx="39">
                  <c:v>0.13858</c:v>
                </c:pt>
                <c:pt idx="40">
                  <c:v>0.14516</c:v>
                </c:pt>
                <c:pt idx="41">
                  <c:v>0.17796</c:v>
                </c:pt>
                <c:pt idx="42">
                  <c:v>0.22767</c:v>
                </c:pt>
                <c:pt idx="43">
                  <c:v>0.24268</c:v>
                </c:pt>
                <c:pt idx="44">
                  <c:v>0.19861</c:v>
                </c:pt>
                <c:pt idx="45">
                  <c:v>0.13715</c:v>
                </c:pt>
                <c:pt idx="46">
                  <c:v>0.1097</c:v>
                </c:pt>
                <c:pt idx="47">
                  <c:v>0.12723</c:v>
                </c:pt>
                <c:pt idx="48">
                  <c:v>0.12953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StdDev!$R$471</c:f>
              <c:strCache>
                <c:ptCount val="1"/>
                <c:pt idx="0">
                  <c:v>F40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StdDev!$T$478:$T$482</c:f>
                <c:numCache>
                  <c:formatCode>General</c:formatCode>
                  <c:ptCount val="5"/>
                  <c:pt idx="0">
                    <c:v>0.0141452687112091</c:v>
                  </c:pt>
                  <c:pt idx="1">
                    <c:v>0.0134413774922483</c:v>
                  </c:pt>
                  <c:pt idx="2">
                    <c:v>0.0134270927272991</c:v>
                  </c:pt>
                  <c:pt idx="3">
                    <c:v>0.0129003496375238</c:v>
                  </c:pt>
                  <c:pt idx="4">
                    <c:v>0.0126309129787921</c:v>
                  </c:pt>
                </c:numCache>
              </c:numRef>
            </c:plus>
            <c:minus>
              <c:numRef>
                <c:f>StdDev!$S$478:$S$482</c:f>
                <c:numCache>
                  <c:formatCode>General</c:formatCode>
                  <c:ptCount val="5"/>
                  <c:pt idx="0">
                    <c:v>0.0123952520350975</c:v>
                  </c:pt>
                  <c:pt idx="1">
                    <c:v>0.011806754170965</c:v>
                  </c:pt>
                  <c:pt idx="2">
                    <c:v>0.0118624709457346</c:v>
                  </c:pt>
                  <c:pt idx="3">
                    <c:v>0.0114424564177587</c:v>
                  </c:pt>
                  <c:pt idx="4">
                    <c:v>0.0112381701491706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StdDev!$Q$472:$Q$476</c:f>
              <c:numCache>
                <c:formatCode>General</c:formatCode>
                <c:ptCount val="5"/>
                <c:pt idx="0">
                  <c:v>2012.0</c:v>
                </c:pt>
                <c:pt idx="1">
                  <c:v>2013.0</c:v>
                </c:pt>
                <c:pt idx="2">
                  <c:v>2014.0</c:v>
                </c:pt>
                <c:pt idx="3">
                  <c:v>2015.0</c:v>
                </c:pt>
                <c:pt idx="4">
                  <c:v>2016.0</c:v>
                </c:pt>
              </c:numCache>
            </c:numRef>
          </c:xVal>
          <c:yVal>
            <c:numRef>
              <c:f>StdDev!$R$472:$R$476</c:f>
              <c:numCache>
                <c:formatCode>General</c:formatCode>
                <c:ptCount val="5"/>
                <c:pt idx="0">
                  <c:v>0.10019</c:v>
                </c:pt>
                <c:pt idx="1">
                  <c:v>0.097086</c:v>
                </c:pt>
                <c:pt idx="2">
                  <c:v>0.1018</c:v>
                </c:pt>
                <c:pt idx="3">
                  <c:v>0.10125</c:v>
                </c:pt>
                <c:pt idx="4">
                  <c:v>0.10192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StdDev!$Y$471</c:f>
              <c:strCache>
                <c:ptCount val="1"/>
                <c:pt idx="0">
                  <c:v>900 t catch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6"/>
            <c:spPr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StdDev!$Q$472:$Q$476</c:f>
              <c:numCache>
                <c:formatCode>General</c:formatCode>
                <c:ptCount val="5"/>
                <c:pt idx="0">
                  <c:v>2012.0</c:v>
                </c:pt>
                <c:pt idx="1">
                  <c:v>2013.0</c:v>
                </c:pt>
                <c:pt idx="2">
                  <c:v>2014.0</c:v>
                </c:pt>
                <c:pt idx="3">
                  <c:v>2015.0</c:v>
                </c:pt>
                <c:pt idx="4">
                  <c:v>2016.0</c:v>
                </c:pt>
              </c:numCache>
            </c:numRef>
          </c:xVal>
          <c:yVal>
            <c:numRef>
              <c:f>StdDev!$Y$472:$Y$476</c:f>
              <c:numCache>
                <c:formatCode>General</c:formatCode>
                <c:ptCount val="5"/>
                <c:pt idx="0">
                  <c:v>0.12045</c:v>
                </c:pt>
                <c:pt idx="1">
                  <c:v>0.1182</c:v>
                </c:pt>
                <c:pt idx="2">
                  <c:v>0.10513</c:v>
                </c:pt>
                <c:pt idx="3">
                  <c:v>0.12414</c:v>
                </c:pt>
                <c:pt idx="4">
                  <c:v>0.14977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StdDev!$AA$471</c:f>
              <c:strCache>
                <c:ptCount val="1"/>
                <c:pt idx="0">
                  <c:v>1.0 million t catch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StdDev!$Q$472:$Q$476</c:f>
              <c:numCache>
                <c:formatCode>General</c:formatCode>
                <c:ptCount val="5"/>
                <c:pt idx="0">
                  <c:v>2012.0</c:v>
                </c:pt>
                <c:pt idx="1">
                  <c:v>2013.0</c:v>
                </c:pt>
                <c:pt idx="2">
                  <c:v>2014.0</c:v>
                </c:pt>
                <c:pt idx="3">
                  <c:v>2015.0</c:v>
                </c:pt>
                <c:pt idx="4">
                  <c:v>2016.0</c:v>
                </c:pt>
              </c:numCache>
            </c:numRef>
          </c:xVal>
          <c:yVal>
            <c:numRef>
              <c:f>StdDev!$AA$472:$AA$476</c:f>
              <c:numCache>
                <c:formatCode>General</c:formatCode>
                <c:ptCount val="5"/>
                <c:pt idx="0">
                  <c:v>0.15193</c:v>
                </c:pt>
                <c:pt idx="1">
                  <c:v>0.13858</c:v>
                </c:pt>
                <c:pt idx="2">
                  <c:v>0.14516</c:v>
                </c:pt>
                <c:pt idx="3">
                  <c:v>0.17796</c:v>
                </c:pt>
                <c:pt idx="4">
                  <c:v>0.22767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410144"/>
        <c:axId val="240396256"/>
      </c:scatterChart>
      <c:valAx>
        <c:axId val="240410144"/>
        <c:scaling>
          <c:orientation val="minMax"/>
          <c:max val="2018.0"/>
          <c:min val="1989.0"/>
        </c:scaling>
        <c:delete val="0"/>
        <c:axPos val="b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30576419883"/>
              <c:y val="0.8952400949881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36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396256"/>
        <c:crosses val="autoZero"/>
        <c:crossBetween val="midCat"/>
        <c:majorUnit val="2.0"/>
        <c:minorUnit val="1.0"/>
      </c:valAx>
      <c:valAx>
        <c:axId val="240396256"/>
        <c:scaling>
          <c:orientation val="minMax"/>
          <c:max val="0.35"/>
          <c:min val="0.0"/>
        </c:scaling>
        <c:delete val="0"/>
        <c:axPos val="l"/>
        <c:majorGridlines>
          <c:spPr>
            <a:ln w="3175">
              <a:solidFill>
                <a:srgbClr val="CC9CCC"/>
              </a:solidFill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410144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53456543738484"/>
          <c:y val="0.16190526184227"/>
          <c:w val="0.284178671214485"/>
          <c:h val="0.171429071366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2009 Numbers-at-age</a:t>
            </a:r>
          </a:p>
        </c:rich>
      </c:tx>
      <c:layout>
        <c:manualLayout>
          <c:xMode val="edge"/>
          <c:yMode val="edge"/>
          <c:x val="0.465625328083989"/>
          <c:y val="0.259524309461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0937660932664"/>
          <c:y val="0.161905138358302"/>
          <c:w val="0.779688094854812"/>
          <c:h val="0.6785730063546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Projections!$U$6</c:f>
              <c:strCache>
                <c:ptCount val="1"/>
                <c:pt idx="0">
                  <c:v>2009 From 2009 assessment</c:v>
                </c:pt>
              </c:strCache>
            </c:strRef>
          </c:tx>
          <c:spPr>
            <a:solidFill>
              <a:srgbClr val="E3E3E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Projections!$V$5:$AJ$5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Projections!$V$6:$AJ$6</c:f>
              <c:numCache>
                <c:formatCode>#,##0</c:formatCode>
                <c:ptCount val="15"/>
                <c:pt idx="0">
                  <c:v>29419.7</c:v>
                </c:pt>
                <c:pt idx="1">
                  <c:v>3909.41</c:v>
                </c:pt>
                <c:pt idx="2">
                  <c:v>6314.9</c:v>
                </c:pt>
                <c:pt idx="3">
                  <c:v>1580.72</c:v>
                </c:pt>
                <c:pt idx="4">
                  <c:v>397.078</c:v>
                </c:pt>
                <c:pt idx="5">
                  <c:v>344.131</c:v>
                </c:pt>
                <c:pt idx="6">
                  <c:v>354.003</c:v>
                </c:pt>
                <c:pt idx="7">
                  <c:v>283.016</c:v>
                </c:pt>
                <c:pt idx="8">
                  <c:v>225.519</c:v>
                </c:pt>
                <c:pt idx="9">
                  <c:v>114.032</c:v>
                </c:pt>
                <c:pt idx="10">
                  <c:v>44.009</c:v>
                </c:pt>
                <c:pt idx="11">
                  <c:v>21.8903</c:v>
                </c:pt>
                <c:pt idx="12">
                  <c:v>22.5857</c:v>
                </c:pt>
                <c:pt idx="13">
                  <c:v>11.0636</c:v>
                </c:pt>
                <c:pt idx="14">
                  <c:v>16.5072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080688"/>
        <c:axId val="450082736"/>
      </c:barChart>
      <c:scatterChart>
        <c:scatterStyle val="lineMarker"/>
        <c:varyColors val="0"/>
        <c:ser>
          <c:idx val="1"/>
          <c:order val="1"/>
          <c:tx>
            <c:strRef>
              <c:f>Projections!$U$10</c:f>
              <c:strCache>
                <c:ptCount val="1"/>
                <c:pt idx="0">
                  <c:v>2009 current assessment</c:v>
                </c:pt>
              </c:strCache>
            </c:strRef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Projections!$V$5:$AJ$5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Projections!$V$10:$AJ$10</c:f>
              <c:numCache>
                <c:formatCode>#,##0</c:formatCode>
                <c:ptCount val="15"/>
                <c:pt idx="0">
                  <c:v>56930.6</c:v>
                </c:pt>
                <c:pt idx="1">
                  <c:v>5944.81</c:v>
                </c:pt>
                <c:pt idx="2">
                  <c:v>6821.99</c:v>
                </c:pt>
                <c:pt idx="3">
                  <c:v>2278.16</c:v>
                </c:pt>
                <c:pt idx="4">
                  <c:v>584.374</c:v>
                </c:pt>
                <c:pt idx="5">
                  <c:v>458.715</c:v>
                </c:pt>
                <c:pt idx="6">
                  <c:v>488.794</c:v>
                </c:pt>
                <c:pt idx="7">
                  <c:v>411.071</c:v>
                </c:pt>
                <c:pt idx="8">
                  <c:v>316.094</c:v>
                </c:pt>
                <c:pt idx="9">
                  <c:v>157.244</c:v>
                </c:pt>
                <c:pt idx="10">
                  <c:v>63.5754</c:v>
                </c:pt>
                <c:pt idx="11">
                  <c:v>32.2273</c:v>
                </c:pt>
                <c:pt idx="12">
                  <c:v>32.122</c:v>
                </c:pt>
                <c:pt idx="13">
                  <c:v>15.7655</c:v>
                </c:pt>
                <c:pt idx="14">
                  <c:v>26.6595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080688"/>
        <c:axId val="450082736"/>
      </c:scatterChart>
      <c:catAx>
        <c:axId val="45008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08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0082736"/>
        <c:scaling>
          <c:orientation val="minMax"/>
          <c:max val="50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75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Millions</a:t>
                </a:r>
              </a:p>
            </c:rich>
          </c:tx>
          <c:layout>
            <c:manualLayout>
              <c:xMode val="edge"/>
              <c:yMode val="edge"/>
              <c:x val="0.0078125"/>
              <c:y val="0.36428646419197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080688"/>
        <c:crosses val="autoZero"/>
        <c:crossBetween val="between"/>
        <c:majorUnit val="20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25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2010 Numbers-at-age estimate</a:t>
            </a:r>
          </a:p>
        </c:rich>
      </c:tx>
      <c:layout>
        <c:manualLayout>
          <c:xMode val="edge"/>
          <c:yMode val="edge"/>
          <c:x val="0.421875328083989"/>
          <c:y val="0.11428596425446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2500162124757"/>
          <c:y val="0.0571429900088125"/>
          <c:w val="0.785938099623188"/>
          <c:h val="0.659525343018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Projections!$U$7</c:f>
              <c:strCache>
                <c:ptCount val="1"/>
                <c:pt idx="0">
                  <c:v>2010 From 2009 assessment</c:v>
                </c:pt>
              </c:strCache>
            </c:strRef>
          </c:tx>
          <c:spPr>
            <a:solidFill>
              <a:srgbClr val="E3E3E3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Projections!$V$5:$AJ$5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Projections!$V$7:$AJ$7</c:f>
              <c:numCache>
                <c:formatCode>#,##0</c:formatCode>
                <c:ptCount val="15"/>
                <c:pt idx="0">
                  <c:v>21729.1</c:v>
                </c:pt>
                <c:pt idx="1">
                  <c:v>11959.5</c:v>
                </c:pt>
                <c:pt idx="2">
                  <c:v>2482.08</c:v>
                </c:pt>
                <c:pt idx="3">
                  <c:v>4476.0</c:v>
                </c:pt>
                <c:pt idx="4">
                  <c:v>943.992</c:v>
                </c:pt>
                <c:pt idx="5">
                  <c:v>194.977</c:v>
                </c:pt>
                <c:pt idx="6">
                  <c:v>141.945</c:v>
                </c:pt>
                <c:pt idx="7">
                  <c:v>148.391</c:v>
                </c:pt>
                <c:pt idx="8">
                  <c:v>120.768</c:v>
                </c:pt>
                <c:pt idx="9">
                  <c:v>97.5983</c:v>
                </c:pt>
                <c:pt idx="10">
                  <c:v>50.1482</c:v>
                </c:pt>
                <c:pt idx="11">
                  <c:v>19.354</c:v>
                </c:pt>
                <c:pt idx="12">
                  <c:v>9.62679</c:v>
                </c:pt>
                <c:pt idx="13">
                  <c:v>9.93262</c:v>
                </c:pt>
                <c:pt idx="14">
                  <c:v>12.1249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0116496"/>
        <c:axId val="450119616"/>
      </c:barChart>
      <c:lineChart>
        <c:grouping val="standard"/>
        <c:varyColors val="0"/>
        <c:ser>
          <c:idx val="1"/>
          <c:order val="1"/>
          <c:tx>
            <c:strRef>
              <c:f>Projections!$U$11</c:f>
              <c:strCache>
                <c:ptCount val="1"/>
                <c:pt idx="0">
                  <c:v>2010 N from current</c:v>
                </c:pt>
              </c:strCache>
            </c:strRef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Projections!$V$5:$AJ$5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Projections!$V$11:$AJ$11</c:f>
              <c:numCache>
                <c:formatCode>#,##0</c:formatCode>
                <c:ptCount val="15"/>
                <c:pt idx="0">
                  <c:v>22500.1</c:v>
                </c:pt>
                <c:pt idx="1">
                  <c:v>23145.5</c:v>
                </c:pt>
                <c:pt idx="2">
                  <c:v>3783.56</c:v>
                </c:pt>
                <c:pt idx="3">
                  <c:v>4932.12</c:v>
                </c:pt>
                <c:pt idx="4">
                  <c:v>1522.99</c:v>
                </c:pt>
                <c:pt idx="5">
                  <c:v>363.694</c:v>
                </c:pt>
                <c:pt idx="6">
                  <c:v>250.199</c:v>
                </c:pt>
                <c:pt idx="7">
                  <c:v>256.206</c:v>
                </c:pt>
                <c:pt idx="8">
                  <c:v>217.315</c:v>
                </c:pt>
                <c:pt idx="9">
                  <c:v>165.652</c:v>
                </c:pt>
                <c:pt idx="10">
                  <c:v>82.97280000000001</c:v>
                </c:pt>
                <c:pt idx="11">
                  <c:v>33.5468</c:v>
                </c:pt>
                <c:pt idx="12">
                  <c:v>17.0054</c:v>
                </c:pt>
                <c:pt idx="13">
                  <c:v>16.9498</c:v>
                </c:pt>
                <c:pt idx="14">
                  <c:v>22.3864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16496"/>
        <c:axId val="450119616"/>
      </c:lineChart>
      <c:catAx>
        <c:axId val="45011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75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0.564062992125984"/>
              <c:y val="0.8571448568928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11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0119616"/>
        <c:scaling>
          <c:orientation val="minMax"/>
          <c:max val="42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75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Millions</a:t>
                </a:r>
              </a:p>
            </c:rich>
          </c:tx>
          <c:layout>
            <c:manualLayout>
              <c:xMode val="edge"/>
              <c:yMode val="edge"/>
              <c:x val="0.0078125"/>
              <c:y val="0.2523814523184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50116496"/>
        <c:crosses val="autoZero"/>
        <c:crossBetween val="between"/>
        <c:majorUnit val="20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1875032808399"/>
          <c:y val="0.259524309461317"/>
          <c:w val="0.42968782808399"/>
          <c:h val="0.1738100237470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25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176854083942"/>
          <c:y val="0.06190490584288"/>
          <c:w val="0.831030432493333"/>
          <c:h val="0.766668449284901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Summary!$C$32</c:f>
              <c:strCache>
                <c:ptCount val="1"/>
                <c:pt idx="0">
                  <c:v>Current assessment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Summary!$D$31:$R$31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Summary!$D$32:$R$32</c:f>
              <c:numCache>
                <c:formatCode>General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Summary!$C$33</c:f>
              <c:strCache>
                <c:ptCount val="1"/>
                <c:pt idx="0">
                  <c:v>Selectivity from 2009 assessment 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Summary!$D$31:$R$31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Summary!$D$33:$R$33</c:f>
              <c:numCache>
                <c:formatCode>General</c:formatCode>
                <c:ptCount val="15"/>
                <c:pt idx="0">
                  <c:v>0.000239536053143485</c:v>
                </c:pt>
                <c:pt idx="1">
                  <c:v>0.00744121266656962</c:v>
                </c:pt>
                <c:pt idx="2">
                  <c:v>0.0870681099392608</c:v>
                </c:pt>
                <c:pt idx="3">
                  <c:v>0.372246556127513</c:v>
                </c:pt>
                <c:pt idx="4">
                  <c:v>0.713718588310021</c:v>
                </c:pt>
                <c:pt idx="5">
                  <c:v>1.0</c:v>
                </c:pt>
                <c:pt idx="6">
                  <c:v>0.987673516918313</c:v>
                </c:pt>
                <c:pt idx="7">
                  <c:v>0.930652780902222</c:v>
                </c:pt>
                <c:pt idx="8">
                  <c:v>0.881836467334489</c:v>
                </c:pt>
                <c:pt idx="9">
                  <c:v>0.823968823194696</c:v>
                </c:pt>
                <c:pt idx="10">
                  <c:v>0.823968823194696</c:v>
                </c:pt>
                <c:pt idx="11">
                  <c:v>0.823968823194696</c:v>
                </c:pt>
                <c:pt idx="12">
                  <c:v>0.823968823194696</c:v>
                </c:pt>
                <c:pt idx="13">
                  <c:v>0.823968823194696</c:v>
                </c:pt>
                <c:pt idx="14">
                  <c:v>0.823968823194696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82144"/>
        <c:axId val="449984192"/>
      </c:scatterChart>
      <c:valAx>
        <c:axId val="449982144"/>
        <c:scaling>
          <c:orientation val="minMax"/>
          <c:max val="15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5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9984192"/>
        <c:crosses val="autoZero"/>
        <c:crossBetween val="midCat"/>
        <c:majorUnit val="1.0"/>
      </c:valAx>
      <c:valAx>
        <c:axId val="449984192"/>
        <c:scaling>
          <c:orientation val="minMax"/>
          <c:max val="1.0"/>
          <c:min val="0.0"/>
        </c:scaling>
        <c:delete val="0"/>
        <c:axPos val="l"/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5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9982144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69893279469099"/>
          <c:y val="0.466667666541682"/>
          <c:w val="0.40092230406683"/>
          <c:h val="0.2190481189851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3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Cumulative 2010 spawning </a:t>
            </a:r>
            <a:br>
              <a:rPr lang="en-US" sz="1600"/>
            </a:br>
            <a:r>
              <a:rPr lang="en-US" sz="1600"/>
              <a:t>biomass by age</a:t>
            </a:r>
          </a:p>
        </c:rich>
      </c:tx>
      <c:layout>
        <c:manualLayout>
          <c:xMode val="edge"/>
          <c:yMode val="edge"/>
          <c:x val="0.141557250656168"/>
          <c:y val="0.0349206349206349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4090551181102"/>
          <c:y val="0.0352460942382202"/>
          <c:w val="0.720527395013123"/>
          <c:h val="0.805859767529059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Projections!$U$29</c:f>
              <c:strCache>
                <c:ptCount val="1"/>
                <c:pt idx="0">
                  <c:v>Cumulative wt 2009 assessment</c:v>
                </c:pt>
              </c:strCache>
            </c:strRef>
          </c:tx>
          <c:xVal>
            <c:numRef>
              <c:f>Projections!$V$28:$AI$28</c:f>
              <c:numCache>
                <c:formatCode>General</c:formatCode>
                <c:ptCount val="1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</c:numCache>
            </c:numRef>
          </c:xVal>
          <c:yVal>
            <c:numRef>
              <c:f>Projections!$V$29:$AI$29</c:f>
              <c:numCache>
                <c:formatCode>#,##0</c:formatCode>
                <c:ptCount val="14"/>
                <c:pt idx="0">
                  <c:v>0.0</c:v>
                </c:pt>
                <c:pt idx="1">
                  <c:v>9.76571916348</c:v>
                </c:pt>
                <c:pt idx="2">
                  <c:v>139.34762752812</c:v>
                </c:pt>
                <c:pt idx="3">
                  <c:v>884.29609532052</c:v>
                </c:pt>
                <c:pt idx="4">
                  <c:v>1141.859240451504</c:v>
                </c:pt>
                <c:pt idx="5">
                  <c:v>1210.282983516216</c:v>
                </c:pt>
                <c:pt idx="6">
                  <c:v>1270.901319011477</c:v>
                </c:pt>
                <c:pt idx="7">
                  <c:v>1341.717585861742</c:v>
                </c:pt>
                <c:pt idx="8">
                  <c:v>1406.710681546126</c:v>
                </c:pt>
                <c:pt idx="9">
                  <c:v>1464.630636676876</c:v>
                </c:pt>
                <c:pt idx="10">
                  <c:v>1497.292886485776</c:v>
                </c:pt>
                <c:pt idx="11">
                  <c:v>1510.605012827776</c:v>
                </c:pt>
                <c:pt idx="12">
                  <c:v>1517.669502707611</c:v>
                </c:pt>
                <c:pt idx="13">
                  <c:v>1525.212865730781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Projections!$U$30</c:f>
              <c:strCache>
                <c:ptCount val="1"/>
                <c:pt idx="0">
                  <c:v>Current assessment</c:v>
                </c:pt>
              </c:strCache>
            </c:strRef>
          </c:tx>
          <c:xVal>
            <c:numRef>
              <c:f>Projections!$V$28:$AI$28</c:f>
              <c:numCache>
                <c:formatCode>General</c:formatCode>
                <c:ptCount val="1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</c:numCache>
            </c:numRef>
          </c:xVal>
          <c:yVal>
            <c:numRef>
              <c:f>Projections!$V$30:$AI$30</c:f>
              <c:numCache>
                <c:formatCode>#,##0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48800"/>
        <c:axId val="449952704"/>
      </c:scatterChart>
      <c:scatterChart>
        <c:scatterStyle val="lineMarker"/>
        <c:varyColors val="0"/>
        <c:ser>
          <c:idx val="2"/>
          <c:order val="2"/>
          <c:tx>
            <c:strRef>
              <c:f>Projections!$U$31</c:f>
              <c:strCache>
                <c:ptCount val="1"/>
                <c:pt idx="0">
                  <c:v>Difference</c:v>
                </c:pt>
              </c:strCache>
            </c:strRef>
          </c:tx>
          <c:xVal>
            <c:numRef>
              <c:f>Projections!$V$28:$AI$28</c:f>
              <c:numCache>
                <c:formatCode>General</c:formatCode>
                <c:ptCount val="1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</c:numCache>
            </c:numRef>
          </c:xVal>
          <c:yVal>
            <c:numRef>
              <c:f>Projections!$V$31:$AI$31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59488"/>
        <c:axId val="449956096"/>
      </c:scatterChart>
      <c:valAx>
        <c:axId val="449948800"/>
        <c:scaling>
          <c:orientation val="minMax"/>
          <c:max val="14.0"/>
          <c:min val="2.0"/>
        </c:scaling>
        <c:delete val="0"/>
        <c:axPos val="b"/>
        <c:title>
          <c:tx>
            <c:rich>
              <a:bodyPr/>
              <a:lstStyle/>
              <a:p>
                <a:pPr>
                  <a:defRPr sz="2200" baseline="0"/>
                </a:pPr>
                <a:r>
                  <a:rPr lang="en-US" sz="2200" baseline="0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9952704"/>
        <c:crosses val="autoZero"/>
        <c:crossBetween val="midCat"/>
      </c:valAx>
      <c:valAx>
        <c:axId val="449952704"/>
        <c:scaling>
          <c:orientation val="minMax"/>
          <c:max val="2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Female spawning biomass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49948800"/>
        <c:crosses val="autoZero"/>
        <c:crossBetween val="midCat"/>
        <c:majorUnit val="500.0"/>
      </c:valAx>
      <c:valAx>
        <c:axId val="44995609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difference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49959488"/>
        <c:crosses val="max"/>
        <c:crossBetween val="midCat"/>
      </c:valAx>
      <c:valAx>
        <c:axId val="44995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99560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4669717847769"/>
          <c:y val="0.496430446194226"/>
          <c:w val="0.467886154855643"/>
          <c:h val="0.2325356830396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Catch Biomass</a:t>
            </a:r>
          </a:p>
        </c:rich>
      </c:tx>
      <c:layout>
        <c:manualLayout>
          <c:xMode val="edge"/>
          <c:yMode val="edge"/>
          <c:x val="0.592833876221499"/>
          <c:y val="0.082417582417582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00651465798"/>
          <c:y val="0.0412088464876562"/>
          <c:w val="0.856677524429968"/>
          <c:h val="0.873627545538329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Summary!$C$2</c:f>
              <c:strCache>
                <c:ptCount val="1"/>
                <c:pt idx="0">
                  <c:v>Predicted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Summary!$D$1:$AY$1</c:f>
              <c:numCache>
                <c:formatCode>General</c:formatCode>
                <c:ptCount val="4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</c:numCache>
            </c:numRef>
          </c:xVal>
          <c:yVal>
            <c:numRef>
              <c:f>Summary!$D$2:$AY$2</c:f>
              <c:numCache>
                <c:formatCode>General</c:formatCode>
                <c:ptCount val="48"/>
                <c:pt idx="0">
                  <c:v>175.37</c:v>
                </c:pt>
                <c:pt idx="1">
                  <c:v>231.395</c:v>
                </c:pt>
                <c:pt idx="2">
                  <c:v>262.907</c:v>
                </c:pt>
                <c:pt idx="3">
                  <c:v>551.668</c:v>
                </c:pt>
                <c:pt idx="4">
                  <c:v>704.191</c:v>
                </c:pt>
                <c:pt idx="5">
                  <c:v>865.622</c:v>
                </c:pt>
                <c:pt idx="6">
                  <c:v>1256.72</c:v>
                </c:pt>
                <c:pt idx="7">
                  <c:v>1734.98</c:v>
                </c:pt>
                <c:pt idx="8">
                  <c:v>1863.98</c:v>
                </c:pt>
                <c:pt idx="9">
                  <c:v>1751.03</c:v>
                </c:pt>
                <c:pt idx="10">
                  <c:v>1585.99</c:v>
                </c:pt>
                <c:pt idx="11">
                  <c:v>1355.08</c:v>
                </c:pt>
                <c:pt idx="12">
                  <c:v>1177.48</c:v>
                </c:pt>
                <c:pt idx="13">
                  <c:v>978.492</c:v>
                </c:pt>
                <c:pt idx="14">
                  <c:v>980.159</c:v>
                </c:pt>
                <c:pt idx="15">
                  <c:v>936.826</c:v>
                </c:pt>
                <c:pt idx="16">
                  <c:v>960.581</c:v>
                </c:pt>
                <c:pt idx="17">
                  <c:v>976.618</c:v>
                </c:pt>
                <c:pt idx="18">
                  <c:v>955.024</c:v>
                </c:pt>
                <c:pt idx="19">
                  <c:v>980.643</c:v>
                </c:pt>
                <c:pt idx="20">
                  <c:v>1097.99</c:v>
                </c:pt>
                <c:pt idx="21">
                  <c:v>1140.29</c:v>
                </c:pt>
                <c:pt idx="22">
                  <c:v>1134.43</c:v>
                </c:pt>
                <c:pt idx="23">
                  <c:v>854.991</c:v>
                </c:pt>
                <c:pt idx="24">
                  <c:v>1215.91</c:v>
                </c:pt>
                <c:pt idx="25">
                  <c:v>1215.03</c:v>
                </c:pt>
                <c:pt idx="26">
                  <c:v>1438.12</c:v>
                </c:pt>
                <c:pt idx="27">
                  <c:v>1189.47</c:v>
                </c:pt>
                <c:pt idx="28">
                  <c:v>1390.59</c:v>
                </c:pt>
                <c:pt idx="29">
                  <c:v>1335.79</c:v>
                </c:pt>
                <c:pt idx="30">
                  <c:v>1342.26</c:v>
                </c:pt>
                <c:pt idx="31">
                  <c:v>1282.94</c:v>
                </c:pt>
                <c:pt idx="32">
                  <c:v>1218.38</c:v>
                </c:pt>
                <c:pt idx="33">
                  <c:v>1138.28</c:v>
                </c:pt>
                <c:pt idx="34">
                  <c:v>1098.41</c:v>
                </c:pt>
                <c:pt idx="35">
                  <c:v>980.784</c:v>
                </c:pt>
                <c:pt idx="36">
                  <c:v>1126.73</c:v>
                </c:pt>
                <c:pt idx="37">
                  <c:v>1388.43</c:v>
                </c:pt>
                <c:pt idx="38">
                  <c:v>1481.92</c:v>
                </c:pt>
                <c:pt idx="39">
                  <c:v>1493.3</c:v>
                </c:pt>
                <c:pt idx="40">
                  <c:v>1487.44</c:v>
                </c:pt>
                <c:pt idx="41">
                  <c:v>1499.94</c:v>
                </c:pt>
                <c:pt idx="42">
                  <c:v>1487.41</c:v>
                </c:pt>
                <c:pt idx="43">
                  <c:v>1336.76</c:v>
                </c:pt>
                <c:pt idx="44">
                  <c:v>982.939</c:v>
                </c:pt>
                <c:pt idx="45">
                  <c:v>800.486</c:v>
                </c:pt>
                <c:pt idx="46">
                  <c:v>804.713</c:v>
                </c:pt>
                <c:pt idx="47">
                  <c:v>1209.0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Summary!$C$3</c:f>
              <c:strCache>
                <c:ptCount val="1"/>
                <c:pt idx="0">
                  <c:v>Observed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Summary!$D$1:$AY$1</c:f>
              <c:numCache>
                <c:formatCode>General</c:formatCode>
                <c:ptCount val="48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</c:numCache>
            </c:numRef>
          </c:xVal>
          <c:yVal>
            <c:numRef>
              <c:f>Summary!$D$3:$AY$3</c:f>
              <c:numCache>
                <c:formatCode>General</c:formatCode>
                <c:ptCount val="48"/>
                <c:pt idx="0">
                  <c:v>174.792</c:v>
                </c:pt>
                <c:pt idx="1">
                  <c:v>230.551</c:v>
                </c:pt>
                <c:pt idx="2">
                  <c:v>261.678</c:v>
                </c:pt>
                <c:pt idx="3">
                  <c:v>550.362</c:v>
                </c:pt>
                <c:pt idx="4">
                  <c:v>702.181</c:v>
                </c:pt>
                <c:pt idx="5">
                  <c:v>862.789</c:v>
                </c:pt>
                <c:pt idx="6">
                  <c:v>1256.57</c:v>
                </c:pt>
                <c:pt idx="7">
                  <c:v>1743.76</c:v>
                </c:pt>
                <c:pt idx="8">
                  <c:v>1874.53</c:v>
                </c:pt>
                <c:pt idx="9">
                  <c:v>1758.92</c:v>
                </c:pt>
                <c:pt idx="10">
                  <c:v>1588.39</c:v>
                </c:pt>
                <c:pt idx="11">
                  <c:v>1356.74</c:v>
                </c:pt>
                <c:pt idx="12">
                  <c:v>1177.82</c:v>
                </c:pt>
                <c:pt idx="13">
                  <c:v>978.37</c:v>
                </c:pt>
                <c:pt idx="14">
                  <c:v>979.431</c:v>
                </c:pt>
                <c:pt idx="15">
                  <c:v>935.714</c:v>
                </c:pt>
                <c:pt idx="16">
                  <c:v>958.28</c:v>
                </c:pt>
                <c:pt idx="17">
                  <c:v>973.502</c:v>
                </c:pt>
                <c:pt idx="18">
                  <c:v>955.9640000000001</c:v>
                </c:pt>
                <c:pt idx="19">
                  <c:v>981.45</c:v>
                </c:pt>
                <c:pt idx="20">
                  <c:v>1092.06</c:v>
                </c:pt>
                <c:pt idx="21">
                  <c:v>1139.68</c:v>
                </c:pt>
                <c:pt idx="22">
                  <c:v>1141.99</c:v>
                </c:pt>
                <c:pt idx="23">
                  <c:v>859.4160000000001</c:v>
                </c:pt>
                <c:pt idx="24">
                  <c:v>1228.72</c:v>
                </c:pt>
                <c:pt idx="25">
                  <c:v>1229.6</c:v>
                </c:pt>
                <c:pt idx="26">
                  <c:v>1455.19</c:v>
                </c:pt>
                <c:pt idx="27">
                  <c:v>1195.61</c:v>
                </c:pt>
                <c:pt idx="28">
                  <c:v>1390.33</c:v>
                </c:pt>
                <c:pt idx="29">
                  <c:v>1326.6</c:v>
                </c:pt>
                <c:pt idx="30">
                  <c:v>1329.35</c:v>
                </c:pt>
                <c:pt idx="31">
                  <c:v>1264.24</c:v>
                </c:pt>
                <c:pt idx="32">
                  <c:v>1192.78</c:v>
                </c:pt>
                <c:pt idx="33">
                  <c:v>1124.43</c:v>
                </c:pt>
                <c:pt idx="34">
                  <c:v>1101.17</c:v>
                </c:pt>
                <c:pt idx="35">
                  <c:v>989.816</c:v>
                </c:pt>
                <c:pt idx="36">
                  <c:v>1132.71</c:v>
                </c:pt>
                <c:pt idx="37">
                  <c:v>1387.19</c:v>
                </c:pt>
                <c:pt idx="38">
                  <c:v>1480.19</c:v>
                </c:pt>
                <c:pt idx="39">
                  <c:v>1490.9</c:v>
                </c:pt>
                <c:pt idx="40">
                  <c:v>1480.54</c:v>
                </c:pt>
                <c:pt idx="41">
                  <c:v>1483.29</c:v>
                </c:pt>
                <c:pt idx="42">
                  <c:v>1486.44</c:v>
                </c:pt>
                <c:pt idx="43">
                  <c:v>1354.1</c:v>
                </c:pt>
                <c:pt idx="44">
                  <c:v>990.566</c:v>
                </c:pt>
                <c:pt idx="45">
                  <c:v>807.947</c:v>
                </c:pt>
                <c:pt idx="46">
                  <c:v>810.215</c:v>
                </c:pt>
                <c:pt idx="47">
                  <c:v>1199.07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20656"/>
        <c:axId val="449922976"/>
      </c:scatterChart>
      <c:valAx>
        <c:axId val="44992065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922976"/>
        <c:crosses val="autoZero"/>
        <c:crossBetween val="midCat"/>
      </c:valAx>
      <c:valAx>
        <c:axId val="449922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Thousands of tons</a:t>
                </a:r>
              </a:p>
            </c:rich>
          </c:tx>
          <c:layout>
            <c:manualLayout>
              <c:xMode val="edge"/>
              <c:yMode val="edge"/>
              <c:x val="0.00814332247557003"/>
              <c:y val="0.230769519194716"/>
            </c:manualLayout>
          </c:layout>
          <c:overlay val="0"/>
          <c:spPr>
            <a:noFill/>
            <a:ln w="25400">
              <a:noFill/>
            </a:ln>
          </c:spPr>
        </c:title>
        <c:numFmt formatCode="_(* #,##0_);_(* \(#,##0\);_(* &quot;-&quot;??_);_(@_)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920656"/>
        <c:crosses val="autoZero"/>
        <c:crossBetween val="midCat"/>
        <c:majorUnit val="5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Biomass (thousands of tons)</a:t>
            </a:r>
          </a:p>
        </c:rich>
      </c:tx>
      <c:layout>
        <c:manualLayout>
          <c:xMode val="edge"/>
          <c:yMode val="edge"/>
          <c:x val="0.283387622149837"/>
          <c:y val="0.0302197802197802"/>
        </c:manualLayout>
      </c:layout>
      <c:overlay val="0"/>
      <c:spPr>
        <a:solidFill>
          <a:srgbClr val="FFFFFF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781758957654719"/>
          <c:y val="0.0439561029201673"/>
          <c:w val="0.892508143322476"/>
          <c:h val="0.870880289105814"/>
        </c:manualLayout>
      </c:layout>
      <c:lineChart>
        <c:grouping val="standard"/>
        <c:varyColors val="0"/>
        <c:ser>
          <c:idx val="0"/>
          <c:order val="0"/>
          <c:tx>
            <c:v>Age 1+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Summary!$C$48:$C$93</c:f>
              <c:numCache>
                <c:formatCode>General</c:formatCode>
                <c:ptCount val="46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</c:numCache>
            </c:numRef>
          </c:cat>
          <c:val>
            <c:numRef>
              <c:f>Summary!$D$48:$D$93</c:f>
              <c:numCache>
                <c:formatCode>_(* #,##0_);_(* \(#,##0\);_(* "-"??_);_(@_)</c:formatCode>
                <c:ptCount val="46"/>
                <c:pt idx="0">
                  <c:v>3136.508957803703</c:v>
                </c:pt>
                <c:pt idx="1">
                  <c:v>4640.570397373613</c:v>
                </c:pt>
                <c:pt idx="2">
                  <c:v>5472.65154975102</c:v>
                </c:pt>
                <c:pt idx="3">
                  <c:v>7155.450332413005</c:v>
                </c:pt>
                <c:pt idx="4">
                  <c:v>8206.428158867967</c:v>
                </c:pt>
                <c:pt idx="5">
                  <c:v>9364.259986950836</c:v>
                </c:pt>
                <c:pt idx="6">
                  <c:v>10080.35177187424</c:v>
                </c:pt>
                <c:pt idx="7">
                  <c:v>9519.414075930237</c:v>
                </c:pt>
                <c:pt idx="8">
                  <c:v>8244.480965258095</c:v>
                </c:pt>
                <c:pt idx="9">
                  <c:v>8104.017807708097</c:v>
                </c:pt>
                <c:pt idx="10">
                  <c:v>7416.64573645861</c:v>
                </c:pt>
                <c:pt idx="11">
                  <c:v>6754.643919399256</c:v>
                </c:pt>
                <c:pt idx="12">
                  <c:v>6143.02038792471</c:v>
                </c:pt>
                <c:pt idx="13">
                  <c:v>5807.573218830602</c:v>
                </c:pt>
                <c:pt idx="14">
                  <c:v>6665.26927649959</c:v>
                </c:pt>
                <c:pt idx="15">
                  <c:v>10545.68203765331</c:v>
                </c:pt>
                <c:pt idx="16">
                  <c:v>11366.37407667915</c:v>
                </c:pt>
                <c:pt idx="17">
                  <c:v>12781.10885519257</c:v>
                </c:pt>
                <c:pt idx="18">
                  <c:v>13070.58440200026</c:v>
                </c:pt>
                <c:pt idx="19">
                  <c:v>16065.5450681165</c:v>
                </c:pt>
                <c:pt idx="20">
                  <c:v>15314.09511565795</c:v>
                </c:pt>
                <c:pt idx="21">
                  <c:v>16269.05011609815</c:v>
                </c:pt>
                <c:pt idx="22">
                  <c:v>15538.00124962435</c:v>
                </c:pt>
                <c:pt idx="23">
                  <c:v>14017.33112353802</c:v>
                </c:pt>
                <c:pt idx="24">
                  <c:v>12604.54026597091</c:v>
                </c:pt>
                <c:pt idx="25">
                  <c:v>11128.25917026581</c:v>
                </c:pt>
                <c:pt idx="26">
                  <c:v>12834.00716484235</c:v>
                </c:pt>
                <c:pt idx="27">
                  <c:v>12318.09120930654</c:v>
                </c:pt>
                <c:pt idx="28">
                  <c:v>12260.91744455068</c:v>
                </c:pt>
                <c:pt idx="29">
                  <c:v>14564.33176604931</c:v>
                </c:pt>
                <c:pt idx="30">
                  <c:v>14127.90073884268</c:v>
                </c:pt>
                <c:pt idx="31">
                  <c:v>13263.63721501014</c:v>
                </c:pt>
                <c:pt idx="32">
                  <c:v>13523.265860348</c:v>
                </c:pt>
                <c:pt idx="33">
                  <c:v>14119.84072354293</c:v>
                </c:pt>
                <c:pt idx="34">
                  <c:v>13218.95058605896</c:v>
                </c:pt>
                <c:pt idx="35">
                  <c:v>12642.17176217423</c:v>
                </c:pt>
                <c:pt idx="36">
                  <c:v>13069.16041244809</c:v>
                </c:pt>
                <c:pt idx="37">
                  <c:v>14014.01909739445</c:v>
                </c:pt>
                <c:pt idx="38">
                  <c:v>13764.02923086024</c:v>
                </c:pt>
                <c:pt idx="39">
                  <c:v>12900.90867378291</c:v>
                </c:pt>
                <c:pt idx="40">
                  <c:v>11509.3141508813</c:v>
                </c:pt>
                <c:pt idx="41">
                  <c:v>9845.924226766037</c:v>
                </c:pt>
                <c:pt idx="42">
                  <c:v>8623.632434328217</c:v>
                </c:pt>
                <c:pt idx="43">
                  <c:v>8566.655635145446</c:v>
                </c:pt>
                <c:pt idx="44">
                  <c:v>7867.821411941447</c:v>
                </c:pt>
                <c:pt idx="45">
                  <c:v>11363.22765565846</c:v>
                </c:pt>
              </c:numCache>
            </c:numRef>
          </c:val>
          <c:smooth val="0"/>
        </c:ser>
        <c:ser>
          <c:idx val="1"/>
          <c:order val="1"/>
          <c:tx>
            <c:v>Age 3+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Summary!$C$48:$C$93</c:f>
              <c:numCache>
                <c:formatCode>General</c:formatCode>
                <c:ptCount val="46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</c:numCache>
            </c:numRef>
          </c:cat>
          <c:val>
            <c:numRef>
              <c:f>Summary!$G$48:$G$93</c:f>
              <c:numCache>
                <c:formatCode>_(* #,##0_);_(* \(#,##0\);_(* "-"??_);_(@_)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 formatCode="#,##0">
                  <c:v>0.0</c:v>
                </c:pt>
                <c:pt idx="43" formatCode="#,##0">
                  <c:v>0.0</c:v>
                </c:pt>
                <c:pt idx="44" formatCode="#,##0">
                  <c:v>0.0</c:v>
                </c:pt>
                <c:pt idx="45" formatCode="#,##0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895008"/>
        <c:axId val="449897328"/>
      </c:lineChart>
      <c:catAx>
        <c:axId val="44989500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897328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449897328"/>
        <c:scaling>
          <c:orientation val="minMax"/>
        </c:scaling>
        <c:delete val="0"/>
        <c:axPos val="l"/>
        <c:majorGridlines>
          <c:spPr>
            <a:ln w="3175">
              <a:solidFill>
                <a:srgbClr val="FF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895008"/>
        <c:crosses val="autoZero"/>
        <c:crossBetween val="midCat"/>
        <c:majorUnit val="3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10749185667752"/>
          <c:y val="0.13461567304087"/>
          <c:w val="0.151465798045603"/>
          <c:h val="0.11538490381010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Fishing mortality rate</a:t>
            </a:r>
          </a:p>
        </c:rich>
      </c:tx>
      <c:layout>
        <c:manualLayout>
          <c:xMode val="edge"/>
          <c:yMode val="edge"/>
          <c:x val="0.454397394136808"/>
          <c:y val="0.0906593406593407"/>
        </c:manualLayout>
      </c:layout>
      <c:overlay val="0"/>
      <c:spPr>
        <a:solidFill>
          <a:srgbClr val="FFFFFF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86319218241044"/>
          <c:y val="0.0412088464876562"/>
          <c:w val="0.912052117263844"/>
          <c:h val="0.87362754553832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StdDev!$I$360:$I$409</c:f>
                <c:numCache>
                  <c:formatCode>General</c:formatCode>
                  <c:ptCount val="50"/>
                  <c:pt idx="0">
                    <c:v>0.171293494065563</c:v>
                  </c:pt>
                  <c:pt idx="1">
                    <c:v>0.114366489977984</c:v>
                  </c:pt>
                  <c:pt idx="2">
                    <c:v>0.100076914398291</c:v>
                  </c:pt>
                  <c:pt idx="3">
                    <c:v>0.166027060753031</c:v>
                  </c:pt>
                  <c:pt idx="4">
                    <c:v>0.161843913764039</c:v>
                  </c:pt>
                  <c:pt idx="5">
                    <c:v>0.163594291641889</c:v>
                  </c:pt>
                  <c:pt idx="6">
                    <c:v>0.253276238925421</c:v>
                  </c:pt>
                  <c:pt idx="7">
                    <c:v>0.375087531664698</c:v>
                  </c:pt>
                  <c:pt idx="8">
                    <c:v>0.396447115363388</c:v>
                  </c:pt>
                  <c:pt idx="9">
                    <c:v>0.459587052069838</c:v>
                  </c:pt>
                  <c:pt idx="10">
                    <c:v>0.453397575581142</c:v>
                  </c:pt>
                  <c:pt idx="11">
                    <c:v>0.382747529875916</c:v>
                  </c:pt>
                  <c:pt idx="12">
                    <c:v>0.320079226596689</c:v>
                  </c:pt>
                  <c:pt idx="13">
                    <c:v>0.291982333580332</c:v>
                  </c:pt>
                  <c:pt idx="14">
                    <c:v>0.324357721722194</c:v>
                  </c:pt>
                  <c:pt idx="15">
                    <c:v>0.334893322351439</c:v>
                  </c:pt>
                  <c:pt idx="16">
                    <c:v>0.289817547756087</c:v>
                  </c:pt>
                  <c:pt idx="17">
                    <c:v>0.304412951490432</c:v>
                  </c:pt>
                  <c:pt idx="18">
                    <c:v>0.264703520408362</c:v>
                  </c:pt>
                  <c:pt idx="19">
                    <c:v>0.27263680373301</c:v>
                  </c:pt>
                  <c:pt idx="20">
                    <c:v>0.275799901301275</c:v>
                  </c:pt>
                  <c:pt idx="21">
                    <c:v>0.293033669694458</c:v>
                  </c:pt>
                  <c:pt idx="22">
                    <c:v>0.224868786823679</c:v>
                  </c:pt>
                  <c:pt idx="23">
                    <c:v>0.150336778447576</c:v>
                  </c:pt>
                  <c:pt idx="24">
                    <c:v>0.102887975944154</c:v>
                  </c:pt>
                  <c:pt idx="25">
                    <c:v>0.104184627576955</c:v>
                  </c:pt>
                  <c:pt idx="26">
                    <c:v>0.138318771547089</c:v>
                  </c:pt>
                  <c:pt idx="27">
                    <c:v>0.15647372768795</c:v>
                  </c:pt>
                  <c:pt idx="28">
                    <c:v>0.221521496214615</c:v>
                  </c:pt>
                  <c:pt idx="29">
                    <c:v>0.136777284539547</c:v>
                  </c:pt>
                  <c:pt idx="30">
                    <c:v>0.118191155446176</c:v>
                  </c:pt>
                  <c:pt idx="31">
                    <c:v>0.12735766380165</c:v>
                  </c:pt>
                  <c:pt idx="32">
                    <c:v>0.163869271057188</c:v>
                  </c:pt>
                  <c:pt idx="33">
                    <c:v>0.178344351128811</c:v>
                  </c:pt>
                  <c:pt idx="34">
                    <c:v>0.151811919489262</c:v>
                  </c:pt>
                  <c:pt idx="35">
                    <c:v>0.095876313514243</c:v>
                  </c:pt>
                  <c:pt idx="36">
                    <c:v>0.108579884564564</c:v>
                  </c:pt>
                  <c:pt idx="37">
                    <c:v>0.126830882538882</c:v>
                  </c:pt>
                  <c:pt idx="38">
                    <c:v>0.142888284708512</c:v>
                  </c:pt>
                  <c:pt idx="39">
                    <c:v>0.145294284967743</c:v>
                  </c:pt>
                  <c:pt idx="40">
                    <c:v>0.140641502678694</c:v>
                  </c:pt>
                  <c:pt idx="41">
                    <c:v>0.125594503451436</c:v>
                  </c:pt>
                  <c:pt idx="42">
                    <c:v>0.155904682876227</c:v>
                  </c:pt>
                  <c:pt idx="43">
                    <c:v>0.163777813751926</c:v>
                  </c:pt>
                  <c:pt idx="44">
                    <c:v>0.177413006582384</c:v>
                  </c:pt>
                  <c:pt idx="45">
                    <c:v>0.184895317530268</c:v>
                  </c:pt>
                  <c:pt idx="46">
                    <c:v>0.155056855097747</c:v>
                  </c:pt>
                  <c:pt idx="47">
                    <c:v>0.236171302717687</c:v>
                  </c:pt>
                  <c:pt idx="48">
                    <c:v>0.27646084581928</c:v>
                  </c:pt>
                  <c:pt idx="49">
                    <c:v>0.405200359247476</c:v>
                  </c:pt>
                </c:numCache>
              </c:numRef>
            </c:plus>
            <c:minus>
              <c:numRef>
                <c:f>StdDev!$J$360:$J$409</c:f>
                <c:numCache>
                  <c:formatCode>General</c:formatCode>
                  <c:ptCount val="50"/>
                  <c:pt idx="0">
                    <c:v>0.0706669394983872</c:v>
                  </c:pt>
                  <c:pt idx="1">
                    <c:v>0.0484313478754339</c:v>
                  </c:pt>
                  <c:pt idx="2">
                    <c:v>0.0422426660321452</c:v>
                  </c:pt>
                  <c:pt idx="3">
                    <c:v>0.0699770981545022</c:v>
                  </c:pt>
                  <c:pt idx="4">
                    <c:v>0.0679359100778317</c:v>
                  </c:pt>
                  <c:pt idx="5">
                    <c:v>0.069239643895835</c:v>
                  </c:pt>
                  <c:pt idx="6">
                    <c:v>0.107224229048414</c:v>
                  </c:pt>
                  <c:pt idx="7">
                    <c:v>0.158816828802298</c:v>
                  </c:pt>
                  <c:pt idx="8">
                    <c:v>0.167809306004574</c:v>
                  </c:pt>
                  <c:pt idx="9">
                    <c:v>0.194531180328126</c:v>
                  </c:pt>
                  <c:pt idx="10">
                    <c:v>0.191924997078373</c:v>
                  </c:pt>
                  <c:pt idx="11">
                    <c:v>0.161659140268655</c:v>
                  </c:pt>
                  <c:pt idx="12">
                    <c:v>0.134508587336809</c:v>
                  </c:pt>
                  <c:pt idx="13">
                    <c:v>0.123782924049296</c:v>
                  </c:pt>
                  <c:pt idx="14">
                    <c:v>0.136693455174321</c:v>
                  </c:pt>
                  <c:pt idx="15">
                    <c:v>0.141200733201987</c:v>
                  </c:pt>
                  <c:pt idx="16">
                    <c:v>0.122870060606701</c:v>
                  </c:pt>
                  <c:pt idx="17">
                    <c:v>0.123603855376267</c:v>
                  </c:pt>
                  <c:pt idx="18">
                    <c:v>0.102396545568556</c:v>
                  </c:pt>
                  <c:pt idx="19">
                    <c:v>0.10386962327365</c:v>
                  </c:pt>
                  <c:pt idx="20">
                    <c:v>0.10577692406741</c:v>
                  </c:pt>
                  <c:pt idx="21">
                    <c:v>0.111264363966302</c:v>
                  </c:pt>
                  <c:pt idx="22">
                    <c:v>0.0896782718265762</c:v>
                  </c:pt>
                  <c:pt idx="23">
                    <c:v>0.0617281310638136</c:v>
                  </c:pt>
                  <c:pt idx="24">
                    <c:v>0.0411377482043488</c:v>
                  </c:pt>
                  <c:pt idx="25">
                    <c:v>0.0406662754996423</c:v>
                  </c:pt>
                  <c:pt idx="26">
                    <c:v>0.052527408455098</c:v>
                  </c:pt>
                  <c:pt idx="27">
                    <c:v>0.0581653228233092</c:v>
                  </c:pt>
                  <c:pt idx="28">
                    <c:v>0.0835354712522431</c:v>
                  </c:pt>
                  <c:pt idx="29">
                    <c:v>0.0532576832052753</c:v>
                  </c:pt>
                  <c:pt idx="30">
                    <c:v>0.0473225665710239</c:v>
                  </c:pt>
                  <c:pt idx="31">
                    <c:v>0.0509323068854047</c:v>
                  </c:pt>
                  <c:pt idx="32">
                    <c:v>0.0657780959136381</c:v>
                  </c:pt>
                  <c:pt idx="33">
                    <c:v>0.0743675652899472</c:v>
                  </c:pt>
                  <c:pt idx="34">
                    <c:v>0.0618771762146311</c:v>
                  </c:pt>
                  <c:pt idx="35">
                    <c:v>0.0366938023564322</c:v>
                  </c:pt>
                  <c:pt idx="36">
                    <c:v>0.0407913549426566</c:v>
                  </c:pt>
                  <c:pt idx="37">
                    <c:v>0.0475425922166213</c:v>
                  </c:pt>
                  <c:pt idx="38">
                    <c:v>0.0521081886891052</c:v>
                  </c:pt>
                  <c:pt idx="39">
                    <c:v>0.0537784916950329</c:v>
                  </c:pt>
                  <c:pt idx="40">
                    <c:v>0.0536873506790588</c:v>
                  </c:pt>
                  <c:pt idx="41">
                    <c:v>0.047411445007634</c:v>
                  </c:pt>
                  <c:pt idx="42">
                    <c:v>0.0585190042865823</c:v>
                  </c:pt>
                  <c:pt idx="43">
                    <c:v>0.0606069322641183</c:v>
                  </c:pt>
                  <c:pt idx="44">
                    <c:v>0.0653058706749314</c:v>
                  </c:pt>
                  <c:pt idx="45">
                    <c:v>0.0710070998283964</c:v>
                  </c:pt>
                  <c:pt idx="46">
                    <c:v>0.0597556438912234</c:v>
                  </c:pt>
                  <c:pt idx="47">
                    <c:v>0.0940459260866224</c:v>
                  </c:pt>
                  <c:pt idx="48">
                    <c:v>0.115866553200558</c:v>
                  </c:pt>
                  <c:pt idx="49">
                    <c:v>0.156719828121158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numRef>
              <c:f>StdDev!$G$360:$G$409</c:f>
              <c:numCache>
                <c:formatCode>General</c:formatCode>
                <c:ptCount val="5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2011.0</c:v>
                </c:pt>
                <c:pt idx="49">
                  <c:v>2011.0</c:v>
                </c:pt>
              </c:numCache>
            </c:numRef>
          </c:cat>
          <c:val>
            <c:numRef>
              <c:f>StdDev!$H$360:$H$409</c:f>
              <c:numCache>
                <c:formatCode>0.00</c:formatCode>
                <c:ptCount val="50"/>
                <c:pt idx="0">
                  <c:v>0.153408650477412</c:v>
                </c:pt>
                <c:pt idx="1">
                  <c:v>0.130161407827461</c:v>
                </c:pt>
                <c:pt idx="2">
                  <c:v>0.117604262314911</c:v>
                </c:pt>
                <c:pt idx="3">
                  <c:v>0.197087004605136</c:v>
                </c:pt>
                <c:pt idx="4">
                  <c:v>0.196453405092973</c:v>
                </c:pt>
                <c:pt idx="5">
                  <c:v>0.187544336535805</c:v>
                </c:pt>
                <c:pt idx="6">
                  <c:v>0.289427628827477</c:v>
                </c:pt>
                <c:pt idx="7">
                  <c:v>0.427769833606058</c:v>
                </c:pt>
                <c:pt idx="8">
                  <c:v>0.453926494698233</c:v>
                </c:pt>
                <c:pt idx="9">
                  <c:v>0.526359941942599</c:v>
                </c:pt>
                <c:pt idx="10">
                  <c:v>0.518813917795556</c:v>
                </c:pt>
                <c:pt idx="11">
                  <c:v>0.447624754103335</c:v>
                </c:pt>
                <c:pt idx="12">
                  <c:v>0.386377657701114</c:v>
                </c:pt>
                <c:pt idx="13">
                  <c:v>0.314390322422422</c:v>
                </c:pt>
                <c:pt idx="14">
                  <c:v>0.324392849245554</c:v>
                </c:pt>
                <c:pt idx="15">
                  <c:v>0.336179511926461</c:v>
                </c:pt>
                <c:pt idx="16">
                  <c:v>0.321956125156354</c:v>
                </c:pt>
                <c:pt idx="17">
                  <c:v>0.2573521238883</c:v>
                </c:pt>
                <c:pt idx="18">
                  <c:v>0.195040119608156</c:v>
                </c:pt>
                <c:pt idx="19">
                  <c:v>0.193578918909281</c:v>
                </c:pt>
                <c:pt idx="20">
                  <c:v>0.198970242622371</c:v>
                </c:pt>
                <c:pt idx="21">
                  <c:v>0.20641635689344</c:v>
                </c:pt>
                <c:pt idx="22">
                  <c:v>0.179801826227917</c:v>
                </c:pt>
                <c:pt idx="23">
                  <c:v>0.132193304446395</c:v>
                </c:pt>
                <c:pt idx="24">
                  <c:v>0.141158769114879</c:v>
                </c:pt>
                <c:pt idx="25">
                  <c:v>0.147831820400049</c:v>
                </c:pt>
                <c:pt idx="26">
                  <c:v>0.202327015895488</c:v>
                </c:pt>
                <c:pt idx="27">
                  <c:v>0.233442029584659</c:v>
                </c:pt>
                <c:pt idx="28">
                  <c:v>0.326243905819551</c:v>
                </c:pt>
                <c:pt idx="29">
                  <c:v>0.194662108565384</c:v>
                </c:pt>
                <c:pt idx="30">
                  <c:v>0.161790983842301</c:v>
                </c:pt>
                <c:pt idx="31">
                  <c:v>0.17467118768001</c:v>
                </c:pt>
                <c:pt idx="32">
                  <c:v>0.223387800983411</c:v>
                </c:pt>
                <c:pt idx="33">
                  <c:v>0.222416395177401</c:v>
                </c:pt>
                <c:pt idx="34">
                  <c:v>0.201156915773826</c:v>
                </c:pt>
                <c:pt idx="35">
                  <c:v>0.139133691324855</c:v>
                </c:pt>
                <c:pt idx="36">
                  <c:v>0.160472931776913</c:v>
                </c:pt>
                <c:pt idx="37">
                  <c:v>0.18782586413352</c:v>
                </c:pt>
                <c:pt idx="38">
                  <c:v>0.216503405905112</c:v>
                </c:pt>
                <c:pt idx="39">
                  <c:v>0.217552299475503</c:v>
                </c:pt>
                <c:pt idx="40">
                  <c:v>0.204646741188295</c:v>
                </c:pt>
                <c:pt idx="41">
                  <c:v>0.184783575664248</c:v>
                </c:pt>
                <c:pt idx="42">
                  <c:v>0.230601031048844</c:v>
                </c:pt>
                <c:pt idx="43">
                  <c:v>0.245271872501903</c:v>
                </c:pt>
                <c:pt idx="44">
                  <c:v>0.266849620059823</c:v>
                </c:pt>
                <c:pt idx="45">
                  <c:v>0.267333055248996</c:v>
                </c:pt>
                <c:pt idx="46">
                  <c:v>0.223336651033878</c:v>
                </c:pt>
                <c:pt idx="47">
                  <c:v>0.326067781668209</c:v>
                </c:pt>
                <c:pt idx="48">
                  <c:v>0.337982892055678</c:v>
                </c:pt>
                <c:pt idx="49">
                  <c:v>0.298438917076261</c:v>
                </c:pt>
              </c:numCache>
            </c:numRef>
          </c:val>
          <c:smooth val="0"/>
        </c:ser>
        <c:ser>
          <c:idx val="1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dLbl>
              <c:idx val="33"/>
              <c:layout>
                <c:manualLayout>
                  <c:x val="-0.0188841297117992"/>
                  <c:y val="-0.0305026658976075"/>
                </c:manualLayout>
              </c:layout>
              <c:tx>
                <c:rich>
                  <a:bodyPr/>
                  <a:lstStyle/>
                  <a:p>
                    <a:pPr>
                      <a:defRPr sz="8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F40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StdDev!$G$360:$G$409</c:f>
              <c:numCache>
                <c:formatCode>General</c:formatCode>
                <c:ptCount val="5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2011.0</c:v>
                </c:pt>
                <c:pt idx="49">
                  <c:v>2011.0</c:v>
                </c:pt>
              </c:numCache>
            </c:numRef>
          </c:cat>
          <c:val>
            <c:numRef>
              <c:f>StdDev!$Q$360:$Q$409</c:f>
              <c:numCache>
                <c:formatCode>0.00</c:formatCode>
                <c:ptCount val="50"/>
                <c:pt idx="0">
                  <c:v>0.243901354728682</c:v>
                </c:pt>
                <c:pt idx="1">
                  <c:v>0.243901354728682</c:v>
                </c:pt>
                <c:pt idx="2">
                  <c:v>0.243901354728682</c:v>
                </c:pt>
                <c:pt idx="3">
                  <c:v>0.243901354728682</c:v>
                </c:pt>
                <c:pt idx="4">
                  <c:v>0.243901354728682</c:v>
                </c:pt>
                <c:pt idx="5">
                  <c:v>0.243901354728682</c:v>
                </c:pt>
                <c:pt idx="6">
                  <c:v>0.243901354728682</c:v>
                </c:pt>
                <c:pt idx="7">
                  <c:v>0.243901354728682</c:v>
                </c:pt>
                <c:pt idx="8">
                  <c:v>0.243901354728682</c:v>
                </c:pt>
                <c:pt idx="9">
                  <c:v>0.243901354728682</c:v>
                </c:pt>
                <c:pt idx="10">
                  <c:v>0.243901354728682</c:v>
                </c:pt>
                <c:pt idx="11">
                  <c:v>0.243901354728682</c:v>
                </c:pt>
                <c:pt idx="12">
                  <c:v>0.243901354728682</c:v>
                </c:pt>
                <c:pt idx="13">
                  <c:v>0.243901354728682</c:v>
                </c:pt>
                <c:pt idx="14">
                  <c:v>0.243901354728682</c:v>
                </c:pt>
                <c:pt idx="15">
                  <c:v>0.243901354728682</c:v>
                </c:pt>
                <c:pt idx="16">
                  <c:v>0.243901354728682</c:v>
                </c:pt>
                <c:pt idx="17">
                  <c:v>0.243901354728682</c:v>
                </c:pt>
                <c:pt idx="18">
                  <c:v>0.243901354728682</c:v>
                </c:pt>
                <c:pt idx="19">
                  <c:v>0.243901354728682</c:v>
                </c:pt>
                <c:pt idx="20">
                  <c:v>0.243901354728682</c:v>
                </c:pt>
                <c:pt idx="21">
                  <c:v>0.243901354728682</c:v>
                </c:pt>
                <c:pt idx="22">
                  <c:v>0.243901354728682</c:v>
                </c:pt>
                <c:pt idx="23">
                  <c:v>0.243901354728682</c:v>
                </c:pt>
                <c:pt idx="24">
                  <c:v>0.243901354728682</c:v>
                </c:pt>
                <c:pt idx="25">
                  <c:v>0.243901354728682</c:v>
                </c:pt>
                <c:pt idx="26">
                  <c:v>0.243901354728682</c:v>
                </c:pt>
                <c:pt idx="27">
                  <c:v>0.243901354728682</c:v>
                </c:pt>
                <c:pt idx="28">
                  <c:v>0.243901354728682</c:v>
                </c:pt>
                <c:pt idx="29">
                  <c:v>0.243901354728682</c:v>
                </c:pt>
                <c:pt idx="30">
                  <c:v>0.243901354728682</c:v>
                </c:pt>
                <c:pt idx="31">
                  <c:v>0.243901354728682</c:v>
                </c:pt>
                <c:pt idx="32">
                  <c:v>0.243901354728682</c:v>
                </c:pt>
                <c:pt idx="33">
                  <c:v>0.243901354728682</c:v>
                </c:pt>
                <c:pt idx="34">
                  <c:v>0.243901354728682</c:v>
                </c:pt>
                <c:pt idx="35">
                  <c:v>0.243901354728682</c:v>
                </c:pt>
                <c:pt idx="36">
                  <c:v>0.243901354728682</c:v>
                </c:pt>
                <c:pt idx="37">
                  <c:v>0.243901354728682</c:v>
                </c:pt>
                <c:pt idx="38">
                  <c:v>0.243901354728682</c:v>
                </c:pt>
                <c:pt idx="39">
                  <c:v>0.243901354728682</c:v>
                </c:pt>
                <c:pt idx="40">
                  <c:v>0.243901354728682</c:v>
                </c:pt>
                <c:pt idx="41">
                  <c:v>0.243901354728682</c:v>
                </c:pt>
                <c:pt idx="42">
                  <c:v>0.243901354728682</c:v>
                </c:pt>
                <c:pt idx="43">
                  <c:v>0.243901354728682</c:v>
                </c:pt>
                <c:pt idx="44">
                  <c:v>0.243901354728682</c:v>
                </c:pt>
                <c:pt idx="45">
                  <c:v>0.243901354728682</c:v>
                </c:pt>
                <c:pt idx="46">
                  <c:v>0.243901354728682</c:v>
                </c:pt>
                <c:pt idx="47">
                  <c:v>0.243901354728682</c:v>
                </c:pt>
                <c:pt idx="48">
                  <c:v>0.243901354728682</c:v>
                </c:pt>
                <c:pt idx="49">
                  <c:v>0.243901354728682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StdDev!$G$360:$G$409</c:f>
              <c:numCache>
                <c:formatCode>General</c:formatCode>
                <c:ptCount val="5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2011.0</c:v>
                </c:pt>
                <c:pt idx="49">
                  <c:v>2011.0</c:v>
                </c:pt>
              </c:numCache>
            </c:numRef>
          </c:cat>
          <c:val>
            <c:numRef>
              <c:f>StdDev!$S$360:$S$409</c:f>
              <c:numCache>
                <c:formatCode>0.00</c:formatCode>
                <c:ptCount val="50"/>
                <c:pt idx="0">
                  <c:v>0.0537854970706608</c:v>
                </c:pt>
                <c:pt idx="1">
                  <c:v>0.0537854970706608</c:v>
                </c:pt>
                <c:pt idx="2">
                  <c:v>0.0537854970706608</c:v>
                </c:pt>
                <c:pt idx="3">
                  <c:v>0.0537854970706608</c:v>
                </c:pt>
                <c:pt idx="4">
                  <c:v>0.0537854970706608</c:v>
                </c:pt>
                <c:pt idx="5">
                  <c:v>0.0537854970706608</c:v>
                </c:pt>
                <c:pt idx="6">
                  <c:v>0.0537854970706608</c:v>
                </c:pt>
                <c:pt idx="7">
                  <c:v>0.0537854970706608</c:v>
                </c:pt>
                <c:pt idx="8">
                  <c:v>0.0537854970706608</c:v>
                </c:pt>
                <c:pt idx="9">
                  <c:v>0.0537854970706608</c:v>
                </c:pt>
                <c:pt idx="10">
                  <c:v>0.0537854970706608</c:v>
                </c:pt>
                <c:pt idx="11">
                  <c:v>0.0537854970706608</c:v>
                </c:pt>
                <c:pt idx="12">
                  <c:v>0.0537854970706608</c:v>
                </c:pt>
                <c:pt idx="13">
                  <c:v>0.0537854970706608</c:v>
                </c:pt>
                <c:pt idx="14">
                  <c:v>0.0537854970706608</c:v>
                </c:pt>
                <c:pt idx="15">
                  <c:v>0.0537854970706608</c:v>
                </c:pt>
                <c:pt idx="16">
                  <c:v>0.0537854970706608</c:v>
                </c:pt>
                <c:pt idx="17">
                  <c:v>0.0537854970706608</c:v>
                </c:pt>
                <c:pt idx="18">
                  <c:v>0.0537854970706608</c:v>
                </c:pt>
                <c:pt idx="19">
                  <c:v>0.0537854970706608</c:v>
                </c:pt>
                <c:pt idx="20">
                  <c:v>0.0537854970706608</c:v>
                </c:pt>
                <c:pt idx="21">
                  <c:v>0.0537854970706608</c:v>
                </c:pt>
                <c:pt idx="22">
                  <c:v>0.0537854970706608</c:v>
                </c:pt>
                <c:pt idx="23">
                  <c:v>0.0537854970706608</c:v>
                </c:pt>
                <c:pt idx="24">
                  <c:v>0.0537854970706608</c:v>
                </c:pt>
                <c:pt idx="25">
                  <c:v>0.0537854970706608</c:v>
                </c:pt>
                <c:pt idx="26">
                  <c:v>0.0537854970706608</c:v>
                </c:pt>
                <c:pt idx="27">
                  <c:v>0.0537854970706608</c:v>
                </c:pt>
                <c:pt idx="28">
                  <c:v>0.0537854970706608</c:v>
                </c:pt>
                <c:pt idx="29">
                  <c:v>0.0537854970706608</c:v>
                </c:pt>
                <c:pt idx="30">
                  <c:v>0.0537854970706608</c:v>
                </c:pt>
                <c:pt idx="31">
                  <c:v>0.0537854970706608</c:v>
                </c:pt>
                <c:pt idx="32">
                  <c:v>0.0537854970706608</c:v>
                </c:pt>
                <c:pt idx="33">
                  <c:v>0.0537854970706608</c:v>
                </c:pt>
                <c:pt idx="34">
                  <c:v>0.0537854970706608</c:v>
                </c:pt>
                <c:pt idx="35">
                  <c:v>0.0537854970706608</c:v>
                </c:pt>
                <c:pt idx="36">
                  <c:v>0.0537854970706608</c:v>
                </c:pt>
                <c:pt idx="37">
                  <c:v>0.0537854970706608</c:v>
                </c:pt>
                <c:pt idx="38">
                  <c:v>0.0537854970706608</c:v>
                </c:pt>
                <c:pt idx="39">
                  <c:v>0.0537854970706608</c:v>
                </c:pt>
                <c:pt idx="40">
                  <c:v>0.0537854970706608</c:v>
                </c:pt>
                <c:pt idx="41">
                  <c:v>0.0537854970706608</c:v>
                </c:pt>
                <c:pt idx="42">
                  <c:v>0.0537854970706608</c:v>
                </c:pt>
                <c:pt idx="43">
                  <c:v>0.0537854970706608</c:v>
                </c:pt>
                <c:pt idx="44">
                  <c:v>0.0537854970706608</c:v>
                </c:pt>
                <c:pt idx="45">
                  <c:v>0.0537854970706608</c:v>
                </c:pt>
                <c:pt idx="46">
                  <c:v>0.0537854970706608</c:v>
                </c:pt>
                <c:pt idx="47">
                  <c:v>0.0537854970706608</c:v>
                </c:pt>
                <c:pt idx="48">
                  <c:v>0.0537854970706608</c:v>
                </c:pt>
                <c:pt idx="49">
                  <c:v>0.0537854970706608</c:v>
                </c:pt>
              </c:numCache>
            </c:numRef>
          </c:val>
          <c:smooth val="0"/>
        </c:ser>
        <c:ser>
          <c:idx val="3"/>
          <c:order val="3"/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StdDev!$G$360:$G$409</c:f>
              <c:numCache>
                <c:formatCode>General</c:formatCode>
                <c:ptCount val="5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2011.0</c:v>
                </c:pt>
                <c:pt idx="49">
                  <c:v>2011.0</c:v>
                </c:pt>
              </c:numCache>
            </c:numRef>
          </c:cat>
          <c:val>
            <c:numRef>
              <c:f>StdDev!$T$360:$T$409</c:f>
              <c:numCache>
                <c:formatCode>0.00</c:formatCode>
                <c:ptCount val="50"/>
                <c:pt idx="0">
                  <c:v>1.106020657582361</c:v>
                </c:pt>
                <c:pt idx="1">
                  <c:v>1.106020657582361</c:v>
                </c:pt>
                <c:pt idx="2">
                  <c:v>1.106020657582361</c:v>
                </c:pt>
                <c:pt idx="3">
                  <c:v>1.106020657582361</c:v>
                </c:pt>
                <c:pt idx="4">
                  <c:v>1.106020657582361</c:v>
                </c:pt>
                <c:pt idx="5">
                  <c:v>1.106020657582361</c:v>
                </c:pt>
                <c:pt idx="6">
                  <c:v>1.106020657582361</c:v>
                </c:pt>
                <c:pt idx="7">
                  <c:v>1.106020657582361</c:v>
                </c:pt>
                <c:pt idx="8">
                  <c:v>1.106020657582361</c:v>
                </c:pt>
                <c:pt idx="9">
                  <c:v>1.106020657582361</c:v>
                </c:pt>
                <c:pt idx="10">
                  <c:v>1.106020657582361</c:v>
                </c:pt>
                <c:pt idx="11">
                  <c:v>1.106020657582361</c:v>
                </c:pt>
                <c:pt idx="12">
                  <c:v>1.106020657582361</c:v>
                </c:pt>
                <c:pt idx="13">
                  <c:v>1.106020657582361</c:v>
                </c:pt>
                <c:pt idx="14">
                  <c:v>1.106020657582361</c:v>
                </c:pt>
                <c:pt idx="15">
                  <c:v>1.106020657582361</c:v>
                </c:pt>
                <c:pt idx="16">
                  <c:v>1.106020657582361</c:v>
                </c:pt>
                <c:pt idx="17">
                  <c:v>1.106020657582361</c:v>
                </c:pt>
                <c:pt idx="18">
                  <c:v>1.106020657582361</c:v>
                </c:pt>
                <c:pt idx="19">
                  <c:v>1.106020657582361</c:v>
                </c:pt>
                <c:pt idx="20">
                  <c:v>1.106020657582361</c:v>
                </c:pt>
                <c:pt idx="21">
                  <c:v>1.106020657582361</c:v>
                </c:pt>
                <c:pt idx="22">
                  <c:v>1.106020657582361</c:v>
                </c:pt>
                <c:pt idx="23">
                  <c:v>1.106020657582361</c:v>
                </c:pt>
                <c:pt idx="24">
                  <c:v>1.106020657582361</c:v>
                </c:pt>
                <c:pt idx="25">
                  <c:v>1.106020657582361</c:v>
                </c:pt>
                <c:pt idx="26">
                  <c:v>1.106020657582361</c:v>
                </c:pt>
                <c:pt idx="27">
                  <c:v>1.106020657582361</c:v>
                </c:pt>
                <c:pt idx="28">
                  <c:v>1.106020657582361</c:v>
                </c:pt>
                <c:pt idx="29">
                  <c:v>1.106020657582361</c:v>
                </c:pt>
                <c:pt idx="30">
                  <c:v>1.106020657582361</c:v>
                </c:pt>
                <c:pt idx="31">
                  <c:v>1.106020657582361</c:v>
                </c:pt>
                <c:pt idx="32">
                  <c:v>1.106020657582361</c:v>
                </c:pt>
                <c:pt idx="33">
                  <c:v>1.106020657582361</c:v>
                </c:pt>
                <c:pt idx="34">
                  <c:v>1.106020657582361</c:v>
                </c:pt>
                <c:pt idx="35">
                  <c:v>1.106020657582361</c:v>
                </c:pt>
                <c:pt idx="36">
                  <c:v>1.106020657582361</c:v>
                </c:pt>
                <c:pt idx="37">
                  <c:v>1.106020657582361</c:v>
                </c:pt>
                <c:pt idx="38">
                  <c:v>1.106020657582361</c:v>
                </c:pt>
                <c:pt idx="39">
                  <c:v>1.106020657582361</c:v>
                </c:pt>
                <c:pt idx="40">
                  <c:v>1.106020657582361</c:v>
                </c:pt>
                <c:pt idx="41">
                  <c:v>1.106020657582361</c:v>
                </c:pt>
                <c:pt idx="42">
                  <c:v>1.106020657582361</c:v>
                </c:pt>
                <c:pt idx="43">
                  <c:v>1.106020657582361</c:v>
                </c:pt>
                <c:pt idx="44">
                  <c:v>1.106020657582361</c:v>
                </c:pt>
                <c:pt idx="45">
                  <c:v>1.106020657582361</c:v>
                </c:pt>
                <c:pt idx="46">
                  <c:v>1.106020657582361</c:v>
                </c:pt>
                <c:pt idx="47">
                  <c:v>1.106020657582361</c:v>
                </c:pt>
                <c:pt idx="48">
                  <c:v>1.106020657582361</c:v>
                </c:pt>
                <c:pt idx="49">
                  <c:v>1.106020657582361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836272"/>
        <c:axId val="428796256"/>
      </c:lineChart>
      <c:catAx>
        <c:axId val="4288362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796256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428796256"/>
        <c:scaling>
          <c:orientation val="minMax"/>
          <c:min val="0.0"/>
        </c:scaling>
        <c:delete val="0"/>
        <c:axPos val="l"/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8362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094462540718"/>
          <c:y val="0.0467033593526777"/>
          <c:w val="0.807817589576547"/>
          <c:h val="0.79945162186054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dLbls>
            <c:dLbl>
              <c:idx val="14"/>
              <c:layout>
                <c:manualLayout>
                  <c:x val="0.172095548317047"/>
                  <c:y val="-0.00962136096259797"/>
                </c:manualLayout>
              </c:layout>
              <c:tx>
                <c:rich>
                  <a:bodyPr/>
                  <a:lstStyle/>
                  <a:p>
                    <a:pPr>
                      <a:defRPr sz="110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is-IS"/>
                      <a:t> 78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0.473398479913138"/>
                  <c:y val="-0.00815429627520756"/>
                </c:manualLayout>
              </c:layout>
              <c:tx>
                <c:rich>
                  <a:bodyPr/>
                  <a:lstStyle/>
                  <a:p>
                    <a:pPr>
                      <a:defRPr sz="110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is-IS"/>
                      <a:t> 82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0.667209554831705"/>
                  <c:y val="-0.0100264218770407"/>
                </c:manualLayout>
              </c:layout>
              <c:tx>
                <c:rich>
                  <a:bodyPr/>
                  <a:lstStyle/>
                  <a:p>
                    <a:pPr>
                      <a:defRPr sz="110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cs-CZ"/>
                      <a:t>89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1"/>
              <c:layout>
                <c:manualLayout>
                  <c:x val="0.685124864277958"/>
                  <c:y val="-0.0191729128773703"/>
                </c:manualLayout>
              </c:layout>
              <c:tx>
                <c:rich>
                  <a:bodyPr/>
                  <a:lstStyle/>
                  <a:p>
                    <a:pPr>
                      <a:defRPr sz="110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 95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Summary!$H$48:$H$93</c:f>
              <c:numCache>
                <c:formatCode>_(* #,##0_);_(* \(#,##0\);_(* "-"??_);_(@_)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 formatCode="#,##0">
                  <c:v>0.0</c:v>
                </c:pt>
                <c:pt idx="43" formatCode="#,##0">
                  <c:v>0.0</c:v>
                </c:pt>
                <c:pt idx="44" formatCode="#,##0">
                  <c:v>0.0</c:v>
                </c:pt>
                <c:pt idx="45" formatCode="#,##0">
                  <c:v>0.0</c:v>
                </c:pt>
              </c:numCache>
            </c:numRef>
          </c:xVal>
          <c:yVal>
            <c:numRef>
              <c:f>Summary!$E$48:$E$93</c:f>
              <c:numCache>
                <c:formatCode>_(* #,##0_);_(* \(#,##0\);_(* "-"??_);_(@_)</c:formatCode>
                <c:ptCount val="46"/>
                <c:pt idx="0">
                  <c:v>21534.8</c:v>
                </c:pt>
                <c:pt idx="1">
                  <c:v>15436.5</c:v>
                </c:pt>
                <c:pt idx="2">
                  <c:v>25796.0</c:v>
                </c:pt>
                <c:pt idx="3">
                  <c:v>22271.4</c:v>
                </c:pt>
                <c:pt idx="4">
                  <c:v>26141.1</c:v>
                </c:pt>
                <c:pt idx="5">
                  <c:v>23500.1</c:v>
                </c:pt>
                <c:pt idx="6">
                  <c:v>14578.3</c:v>
                </c:pt>
                <c:pt idx="7">
                  <c:v>11964.4</c:v>
                </c:pt>
                <c:pt idx="8">
                  <c:v>26909.0</c:v>
                </c:pt>
                <c:pt idx="9">
                  <c:v>19909.1</c:v>
                </c:pt>
                <c:pt idx="10">
                  <c:v>17094.1</c:v>
                </c:pt>
                <c:pt idx="11">
                  <c:v>13137.6</c:v>
                </c:pt>
                <c:pt idx="12">
                  <c:v>13755.3</c:v>
                </c:pt>
                <c:pt idx="13">
                  <c:v>25352.3</c:v>
                </c:pt>
                <c:pt idx="14">
                  <c:v>61942.6</c:v>
                </c:pt>
                <c:pt idx="15">
                  <c:v>27184.1</c:v>
                </c:pt>
                <c:pt idx="16">
                  <c:v>30738.1</c:v>
                </c:pt>
                <c:pt idx="17">
                  <c:v>16305.4</c:v>
                </c:pt>
                <c:pt idx="18">
                  <c:v>52162.3</c:v>
                </c:pt>
                <c:pt idx="19">
                  <c:v>13572.8</c:v>
                </c:pt>
                <c:pt idx="20">
                  <c:v>34631.9</c:v>
                </c:pt>
                <c:pt idx="21">
                  <c:v>14545.4</c:v>
                </c:pt>
                <c:pt idx="22">
                  <c:v>7835.33</c:v>
                </c:pt>
                <c:pt idx="23">
                  <c:v>5561.46</c:v>
                </c:pt>
                <c:pt idx="24">
                  <c:v>11102.8</c:v>
                </c:pt>
                <c:pt idx="25">
                  <c:v>48848.1</c:v>
                </c:pt>
                <c:pt idx="26">
                  <c:v>25581.3</c:v>
                </c:pt>
                <c:pt idx="27">
                  <c:v>22780.8</c:v>
                </c:pt>
                <c:pt idx="28">
                  <c:v>46863.2</c:v>
                </c:pt>
                <c:pt idx="29">
                  <c:v>15942.8</c:v>
                </c:pt>
                <c:pt idx="30">
                  <c:v>10904.9</c:v>
                </c:pt>
                <c:pt idx="31">
                  <c:v>22878.1</c:v>
                </c:pt>
                <c:pt idx="32">
                  <c:v>31178.4</c:v>
                </c:pt>
                <c:pt idx="33">
                  <c:v>15483.0</c:v>
                </c:pt>
                <c:pt idx="34">
                  <c:v>16827.1</c:v>
                </c:pt>
                <c:pt idx="35">
                  <c:v>25850.3</c:v>
                </c:pt>
                <c:pt idx="36">
                  <c:v>35963.4</c:v>
                </c:pt>
                <c:pt idx="37">
                  <c:v>23951.8</c:v>
                </c:pt>
                <c:pt idx="38">
                  <c:v>14625.5</c:v>
                </c:pt>
                <c:pt idx="39">
                  <c:v>6640.46</c:v>
                </c:pt>
                <c:pt idx="40">
                  <c:v>4831.7</c:v>
                </c:pt>
                <c:pt idx="41">
                  <c:v>12207.5</c:v>
                </c:pt>
                <c:pt idx="42">
                  <c:v>26390.5</c:v>
                </c:pt>
                <c:pt idx="43">
                  <c:v>14622.4</c:v>
                </c:pt>
                <c:pt idx="44">
                  <c:v>56930.6</c:v>
                </c:pt>
                <c:pt idx="45">
                  <c:v>22500.1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280640"/>
        <c:axId val="435284032"/>
      </c:scatterChart>
      <c:valAx>
        <c:axId val="43528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Spawner biomass</a:t>
                </a:r>
              </a:p>
            </c:rich>
          </c:tx>
          <c:layout>
            <c:manualLayout>
              <c:xMode val="edge"/>
              <c:yMode val="edge"/>
              <c:x val="0.441368078175896"/>
              <c:y val="0.90934181304260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284032"/>
        <c:crosses val="autoZero"/>
        <c:crossBetween val="midCat"/>
      </c:valAx>
      <c:valAx>
        <c:axId val="435284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Age 1 recruitment</a:t>
                </a:r>
              </a:p>
            </c:rich>
          </c:tx>
          <c:layout>
            <c:manualLayout>
              <c:xMode val="edge"/>
              <c:yMode val="edge"/>
              <c:x val="0.011400651465798"/>
              <c:y val="0.2527475411727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280640"/>
        <c:crosses val="autoZero"/>
        <c:crossBetween val="midCat"/>
        <c:majorUnit val="20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778501628664"/>
          <c:y val="0.104395744435398"/>
          <c:w val="0.822475570032575"/>
          <c:h val="0.733517467480291"/>
        </c:manualLayout>
      </c:layout>
      <c:scatterChart>
        <c:scatterStyle val="lineMarker"/>
        <c:varyColors val="0"/>
        <c:ser>
          <c:idx val="1"/>
          <c:order val="0"/>
          <c:spPr>
            <a:ln w="38100">
              <a:solidFill>
                <a:srgbClr val="3333CC"/>
              </a:solidFill>
              <a:prstDash val="solid"/>
            </a:ln>
          </c:spPr>
          <c:marker>
            <c:symbol val="none"/>
          </c:marker>
          <c:xVal>
            <c:numRef>
              <c:f>StdDev!$X$3:$X$56</c:f>
              <c:numCache>
                <c:formatCode>General</c:formatCode>
                <c:ptCount val="54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50">
                  <c:v>2012.0</c:v>
                </c:pt>
              </c:numCache>
            </c:numRef>
          </c:xVal>
          <c:yVal>
            <c:numRef>
              <c:f>StdDev!$Y$3:$Y$56</c:f>
              <c:numCache>
                <c:formatCode>_(* #,##0_);_(* \(#,##0\);_(* "-"??_);_(@_)</c:formatCode>
                <c:ptCount val="54"/>
                <c:pt idx="0">
                  <c:v>1868.9</c:v>
                </c:pt>
                <c:pt idx="1">
                  <c:v>2323.7</c:v>
                </c:pt>
                <c:pt idx="2">
                  <c:v>2562.9</c:v>
                </c:pt>
                <c:pt idx="3">
                  <c:v>3888.1</c:v>
                </c:pt>
                <c:pt idx="4">
                  <c:v>4495.0</c:v>
                </c:pt>
                <c:pt idx="5">
                  <c:v>5690.0</c:v>
                </c:pt>
                <c:pt idx="6">
                  <c:v>6423.9</c:v>
                </c:pt>
                <c:pt idx="7">
                  <c:v>6858.4</c:v>
                </c:pt>
                <c:pt idx="8">
                  <c:v>6430.6</c:v>
                </c:pt>
                <c:pt idx="9">
                  <c:v>5161.2</c:v>
                </c:pt>
                <c:pt idx="10">
                  <c:v>3845.8</c:v>
                </c:pt>
                <c:pt idx="11">
                  <c:v>3868.4</c:v>
                </c:pt>
                <c:pt idx="12">
                  <c:v>3871.5</c:v>
                </c:pt>
                <c:pt idx="13">
                  <c:v>3939.3</c:v>
                </c:pt>
                <c:pt idx="14">
                  <c:v>3888.3</c:v>
                </c:pt>
                <c:pt idx="15">
                  <c:v>3859.2</c:v>
                </c:pt>
                <c:pt idx="16">
                  <c:v>4887.3</c:v>
                </c:pt>
                <c:pt idx="17">
                  <c:v>9054.299999999999</c:v>
                </c:pt>
                <c:pt idx="18">
                  <c:v>10289.0</c:v>
                </c:pt>
                <c:pt idx="19">
                  <c:v>11383.0</c:v>
                </c:pt>
                <c:pt idx="20">
                  <c:v>11040.0</c:v>
                </c:pt>
                <c:pt idx="21">
                  <c:v>12951.0</c:v>
                </c:pt>
                <c:pt idx="22">
                  <c:v>12019.0</c:v>
                </c:pt>
                <c:pt idx="23">
                  <c:v>12334.0</c:v>
                </c:pt>
                <c:pt idx="24">
                  <c:v>11536.0</c:v>
                </c:pt>
                <c:pt idx="25">
                  <c:v>9699.9</c:v>
                </c:pt>
                <c:pt idx="26">
                  <c:v>7700.5</c:v>
                </c:pt>
                <c:pt idx="27">
                  <c:v>6063.2</c:v>
                </c:pt>
                <c:pt idx="28">
                  <c:v>9472.2</c:v>
                </c:pt>
                <c:pt idx="29">
                  <c:v>11712.0</c:v>
                </c:pt>
                <c:pt idx="30">
                  <c:v>11418.0</c:v>
                </c:pt>
                <c:pt idx="31">
                  <c:v>13177.0</c:v>
                </c:pt>
                <c:pt idx="32">
                  <c:v>11358.0</c:v>
                </c:pt>
                <c:pt idx="33">
                  <c:v>9940.0</c:v>
                </c:pt>
                <c:pt idx="34">
                  <c:v>9989.799999999999</c:v>
                </c:pt>
                <c:pt idx="35">
                  <c:v>10853.0</c:v>
                </c:pt>
                <c:pt idx="36">
                  <c:v>10068.0</c:v>
                </c:pt>
                <c:pt idx="37">
                  <c:v>9854.0</c:v>
                </c:pt>
                <c:pt idx="38">
                  <c:v>10276.0</c:v>
                </c:pt>
                <c:pt idx="39">
                  <c:v>12365.0</c:v>
                </c:pt>
                <c:pt idx="40">
                  <c:v>11591.0</c:v>
                </c:pt>
                <c:pt idx="41">
                  <c:v>9705.2</c:v>
                </c:pt>
                <c:pt idx="42">
                  <c:v>7445.9</c:v>
                </c:pt>
                <c:pt idx="43">
                  <c:v>6045.3</c:v>
                </c:pt>
                <c:pt idx="44">
                  <c:v>4848.8</c:v>
                </c:pt>
                <c:pt idx="45">
                  <c:v>6331.1</c:v>
                </c:pt>
                <c:pt idx="46">
                  <c:v>6680.3</c:v>
                </c:pt>
                <c:pt idx="47">
                  <c:v>10053.0</c:v>
                </c:pt>
                <c:pt idx="50">
                  <c:v>10164.0</c:v>
                </c:pt>
              </c:numCache>
            </c:numRef>
          </c:yVal>
          <c:smooth val="0"/>
        </c:ser>
        <c:ser>
          <c:idx val="2"/>
          <c:order val="1"/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StdDev!$X$3:$X$55</c:f>
              <c:numCache>
                <c:formatCode>General</c:formatCode>
                <c:ptCount val="53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50">
                  <c:v>2012.0</c:v>
                </c:pt>
              </c:numCache>
            </c:numRef>
          </c:xVal>
          <c:yVal>
            <c:numRef>
              <c:f>StdDev!$AB$3:$AB$55</c:f>
              <c:numCache>
                <c:formatCode>#,##0</c:formatCode>
                <c:ptCount val="53"/>
                <c:pt idx="0">
                  <c:v>1170.270531768186</c:v>
                </c:pt>
                <c:pt idx="1">
                  <c:v>1503.363481994918</c:v>
                </c:pt>
                <c:pt idx="2">
                  <c:v>1670.137346144558</c:v>
                </c:pt>
                <c:pt idx="3">
                  <c:v>2688.105619202214</c:v>
                </c:pt>
                <c:pt idx="4">
                  <c:v>3115.956552061003</c:v>
                </c:pt>
                <c:pt idx="5">
                  <c:v>4102.665588749152</c:v>
                </c:pt>
                <c:pt idx="6">
                  <c:v>4749.774753267937</c:v>
                </c:pt>
                <c:pt idx="7">
                  <c:v>5231.32975127772</c:v>
                </c:pt>
                <c:pt idx="8">
                  <c:v>4970.510785498501</c:v>
                </c:pt>
                <c:pt idx="9">
                  <c:v>3889.21583929037</c:v>
                </c:pt>
                <c:pt idx="10">
                  <c:v>2768.672613053712</c:v>
                </c:pt>
                <c:pt idx="11">
                  <c:v>2992.367569182536</c:v>
                </c:pt>
                <c:pt idx="12">
                  <c:v>3117.430799301373</c:v>
                </c:pt>
                <c:pt idx="13">
                  <c:v>3243.15182358246</c:v>
                </c:pt>
                <c:pt idx="14">
                  <c:v>3220.847610489009</c:v>
                </c:pt>
                <c:pt idx="15">
                  <c:v>3208.406865235585</c:v>
                </c:pt>
                <c:pt idx="16">
                  <c:v>4180.233288596956</c:v>
                </c:pt>
                <c:pt idx="17">
                  <c:v>8111.603896613015</c:v>
                </c:pt>
                <c:pt idx="18">
                  <c:v>9275.369494122522</c:v>
                </c:pt>
                <c:pt idx="19">
                  <c:v>10337.27187002908</c:v>
                </c:pt>
                <c:pt idx="20">
                  <c:v>10034.55059695481</c:v>
                </c:pt>
                <c:pt idx="21">
                  <c:v>11946.55586791533</c:v>
                </c:pt>
                <c:pt idx="22">
                  <c:v>11084.36026202296</c:v>
                </c:pt>
                <c:pt idx="23">
                  <c:v>11462.83851879267</c:v>
                </c:pt>
                <c:pt idx="24">
                  <c:v>10741.37539096312</c:v>
                </c:pt>
                <c:pt idx="25">
                  <c:v>8994.542366671857</c:v>
                </c:pt>
                <c:pt idx="26">
                  <c:v>7085.231087055511</c:v>
                </c:pt>
                <c:pt idx="27">
                  <c:v>5525.605952303207</c:v>
                </c:pt>
                <c:pt idx="28">
                  <c:v>8856.595270134766</c:v>
                </c:pt>
                <c:pt idx="29">
                  <c:v>10988.61420935737</c:v>
                </c:pt>
                <c:pt idx="30">
                  <c:v>10700.54685883004</c:v>
                </c:pt>
                <c:pt idx="31">
                  <c:v>12379.45664462975</c:v>
                </c:pt>
                <c:pt idx="32">
                  <c:v>10635.65416446489</c:v>
                </c:pt>
                <c:pt idx="33">
                  <c:v>9275.9097183364</c:v>
                </c:pt>
                <c:pt idx="34">
                  <c:v>9337.821028791764</c:v>
                </c:pt>
                <c:pt idx="35">
                  <c:v>10199.63581608352</c:v>
                </c:pt>
                <c:pt idx="36">
                  <c:v>9459.290904138613</c:v>
                </c:pt>
                <c:pt idx="37">
                  <c:v>9244.11122985039</c:v>
                </c:pt>
                <c:pt idx="38">
                  <c:v>9661.886155209979</c:v>
                </c:pt>
                <c:pt idx="39">
                  <c:v>11697.90161660424</c:v>
                </c:pt>
                <c:pt idx="40">
                  <c:v>10964.1517161946</c:v>
                </c:pt>
                <c:pt idx="41">
                  <c:v>9146.964250454997</c:v>
                </c:pt>
                <c:pt idx="42">
                  <c:v>6966.805047643846</c:v>
                </c:pt>
                <c:pt idx="43">
                  <c:v>5591.403590717585</c:v>
                </c:pt>
                <c:pt idx="44">
                  <c:v>4437.34396450571</c:v>
                </c:pt>
                <c:pt idx="45">
                  <c:v>5764.356545190795</c:v>
                </c:pt>
                <c:pt idx="46">
                  <c:v>5987.434964489973</c:v>
                </c:pt>
                <c:pt idx="47">
                  <c:v>8823.005600702931</c:v>
                </c:pt>
                <c:pt idx="50">
                  <c:v>8737.945664863981</c:v>
                </c:pt>
              </c:numCache>
            </c:numRef>
          </c:yVal>
          <c:smooth val="1"/>
        </c:ser>
        <c:ser>
          <c:idx val="3"/>
          <c:order val="2"/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StdDev!$X$3:$X$55</c:f>
              <c:numCache>
                <c:formatCode>General</c:formatCode>
                <c:ptCount val="53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50">
                  <c:v>2012.0</c:v>
                </c:pt>
              </c:numCache>
            </c:numRef>
          </c:xVal>
          <c:yVal>
            <c:numRef>
              <c:f>StdDev!$AC$3:$AC$55</c:f>
              <c:numCache>
                <c:formatCode>#,##0</c:formatCode>
                <c:ptCount val="53"/>
                <c:pt idx="0">
                  <c:v>2984.59810375869</c:v>
                </c:pt>
                <c:pt idx="1">
                  <c:v>3591.667454124213</c:v>
                </c:pt>
                <c:pt idx="2">
                  <c:v>3932.883978172817</c:v>
                </c:pt>
                <c:pt idx="3">
                  <c:v>5623.782600657846</c:v>
                </c:pt>
                <c:pt idx="4">
                  <c:v>6484.373149117143</c:v>
                </c:pt>
                <c:pt idx="5">
                  <c:v>7891.479161447091</c:v>
                </c:pt>
                <c:pt idx="6">
                  <c:v>8688.094352602267</c:v>
                </c:pt>
                <c:pt idx="7">
                  <c:v>8991.52850162262</c:v>
                </c:pt>
                <c:pt idx="8">
                  <c:v>8319.59091219489</c:v>
                </c:pt>
                <c:pt idx="9">
                  <c:v>6849.191852736154</c:v>
                </c:pt>
                <c:pt idx="10">
                  <c:v>5341.974190183198</c:v>
                </c:pt>
                <c:pt idx="11">
                  <c:v>5000.89585053485</c:v>
                </c:pt>
                <c:pt idx="12">
                  <c:v>4807.96951558924</c:v>
                </c:pt>
                <c:pt idx="13">
                  <c:v>4784.877592581641</c:v>
                </c:pt>
                <c:pt idx="14">
                  <c:v>4694.067748118192</c:v>
                </c:pt>
                <c:pt idx="15">
                  <c:v>4641.999991140904</c:v>
                </c:pt>
                <c:pt idx="16">
                  <c:v>5713.9637051254</c:v>
                </c:pt>
                <c:pt idx="17">
                  <c:v>10106.55223490766</c:v>
                </c:pt>
                <c:pt idx="18">
                  <c:v>11413.40202857493</c:v>
                </c:pt>
                <c:pt idx="19">
                  <c:v>12534.51496962858</c:v>
                </c:pt>
                <c:pt idx="20">
                  <c:v>12146.19417405574</c:v>
                </c:pt>
                <c:pt idx="21">
                  <c:v>14039.89592100477</c:v>
                </c:pt>
                <c:pt idx="22">
                  <c:v>13032.44910713826</c:v>
                </c:pt>
                <c:pt idx="23">
                  <c:v>13271.368671084</c:v>
                </c:pt>
                <c:pt idx="24">
                  <c:v>12389.40928477015</c:v>
                </c:pt>
                <c:pt idx="25">
                  <c:v>10460.57221973087</c:v>
                </c:pt>
                <c:pt idx="26">
                  <c:v>8369.19777512056</c:v>
                </c:pt>
                <c:pt idx="27">
                  <c:v>6653.097335809212</c:v>
                </c:pt>
                <c:pt idx="28">
                  <c:v>10130.59421858788</c:v>
                </c:pt>
                <c:pt idx="29">
                  <c:v>12483.00662727716</c:v>
                </c:pt>
                <c:pt idx="30">
                  <c:v>12183.55713216832</c:v>
                </c:pt>
                <c:pt idx="31">
                  <c:v>14025.92488381327</c:v>
                </c:pt>
                <c:pt idx="32">
                  <c:v>12129.40567689948</c:v>
                </c:pt>
                <c:pt idx="33">
                  <c:v>10651.63450272563</c:v>
                </c:pt>
                <c:pt idx="34">
                  <c:v>10687.30100226742</c:v>
                </c:pt>
                <c:pt idx="35">
                  <c:v>11548.21712499421</c:v>
                </c:pt>
                <c:pt idx="36">
                  <c:v>10715.87976596122</c:v>
                </c:pt>
                <c:pt idx="37">
                  <c:v>10504.12674465099</c:v>
                </c:pt>
                <c:pt idx="38">
                  <c:v>10929.14719793706</c:v>
                </c:pt>
                <c:pt idx="39">
                  <c:v>13070.14112539468</c:v>
                </c:pt>
                <c:pt idx="40">
                  <c:v>12253.68678559569</c:v>
                </c:pt>
                <c:pt idx="41">
                  <c:v>10297.50466503842</c:v>
                </c:pt>
                <c:pt idx="42">
                  <c:v>7957.941471141083</c:v>
                </c:pt>
                <c:pt idx="43">
                  <c:v>6536.042604878363</c:v>
                </c:pt>
                <c:pt idx="44">
                  <c:v>5298.408603899822</c:v>
                </c:pt>
                <c:pt idx="45">
                  <c:v>6953.564876801578</c:v>
                </c:pt>
                <c:pt idx="46">
                  <c:v>7453.34326880683</c:v>
                </c:pt>
                <c:pt idx="47">
                  <c:v>11454.46501722138</c:v>
                </c:pt>
                <c:pt idx="50">
                  <c:v>11822.78992823288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00080"/>
        <c:axId val="428186592"/>
      </c:scatterChart>
      <c:valAx>
        <c:axId val="428200080"/>
        <c:scaling>
          <c:orientation val="minMax"/>
          <c:max val="2013.0"/>
          <c:min val="1975.0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96742671009772"/>
              <c:y val="0.90110005480084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186592"/>
        <c:crosses val="autoZero"/>
        <c:crossBetween val="midCat"/>
        <c:majorUnit val="5.0"/>
        <c:minorUnit val="1.0"/>
      </c:valAx>
      <c:valAx>
        <c:axId val="428186592"/>
        <c:scaling>
          <c:orientation val="minMax"/>
          <c:max val="16000.0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8200080"/>
        <c:crosses val="autoZero"/>
        <c:crossBetween val="midCat"/>
        <c:majorUnit val="4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/>
  </c:printSettings>
  <c:userShapes r:id="rId1"/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84039087947883"/>
          <c:y val="0.0439561029201673"/>
          <c:w val="0.92508143322476"/>
          <c:h val="0.804946134725563"/>
        </c:manualLayout>
      </c:layout>
      <c:stockChart>
        <c:ser>
          <c:idx val="2"/>
          <c:order val="0"/>
          <c:tx>
            <c:strRef>
              <c:f>StdDev!$AD$67</c:f>
              <c:strCache>
                <c:ptCount val="1"/>
                <c:pt idx="0">
                  <c:v>Upper CI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StdDev!$AA$68:$AA$70</c:f>
              <c:strCache>
                <c:ptCount val="3"/>
                <c:pt idx="0">
                  <c:v>q Bottom trawl</c:v>
                </c:pt>
                <c:pt idx="1">
                  <c:v>q Hydro acoustic</c:v>
                </c:pt>
                <c:pt idx="2">
                  <c:v>Sum survey q's</c:v>
                </c:pt>
              </c:strCache>
            </c:strRef>
          </c:cat>
          <c:val>
            <c:numRef>
              <c:f>StdDev!$AD$68:$AD$70</c:f>
              <c:numCache>
                <c:formatCode>0.00000</c:formatCode>
                <c:ptCount val="3"/>
                <c:pt idx="0">
                  <c:v>1.738644870954029</c:v>
                </c:pt>
                <c:pt idx="1">
                  <c:v>0.428770271994458</c:v>
                </c:pt>
                <c:pt idx="2" formatCode="General">
                  <c:v>2.344493126290218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StdDev!$AB$67</c:f>
              <c:strCache>
                <c:ptCount val="1"/>
                <c:pt idx="0">
                  <c:v>Est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StdDev!$AA$68:$AA$70</c:f>
              <c:strCache>
                <c:ptCount val="3"/>
                <c:pt idx="0">
                  <c:v>q Bottom trawl</c:v>
                </c:pt>
                <c:pt idx="1">
                  <c:v>q Hydro acoustic</c:v>
                </c:pt>
                <c:pt idx="2">
                  <c:v>Sum survey q's</c:v>
                </c:pt>
              </c:strCache>
            </c:strRef>
          </c:cat>
          <c:val>
            <c:numRef>
              <c:f>StdDev!$AB$68:$AB$70</c:f>
              <c:numCache>
                <c:formatCode>0.00000</c:formatCode>
                <c:ptCount val="3"/>
                <c:pt idx="0">
                  <c:v>1.477955922963805</c:v>
                </c:pt>
                <c:pt idx="1">
                  <c:v>0.356864186341669</c:v>
                </c:pt>
                <c:pt idx="2">
                  <c:v>1.834820109305473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StdDev!$AC$67</c:f>
              <c:strCache>
                <c:ptCount val="1"/>
                <c:pt idx="0">
                  <c:v>Low CI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StdDev!$AA$68:$AA$70</c:f>
              <c:strCache>
                <c:ptCount val="3"/>
                <c:pt idx="0">
                  <c:v>q Bottom trawl</c:v>
                </c:pt>
                <c:pt idx="1">
                  <c:v>q Hydro acoustic</c:v>
                </c:pt>
                <c:pt idx="2">
                  <c:v>Sum survey q's</c:v>
                </c:pt>
              </c:strCache>
            </c:strRef>
          </c:cat>
          <c:val>
            <c:numRef>
              <c:f>StdDev!$AC$68:$AC$70</c:f>
              <c:numCache>
                <c:formatCode>0.00E+00</c:formatCode>
                <c:ptCount val="3"/>
                <c:pt idx="0">
                  <c:v>1.25635415645588</c:v>
                </c:pt>
                <c:pt idx="1">
                  <c:v>0.297016971118155</c:v>
                </c:pt>
                <c:pt idx="2">
                  <c:v>1.435945704323218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38100">
              <a:solidFill>
                <a:srgbClr val="FF0000"/>
              </a:solidFill>
              <a:prstDash val="solid"/>
            </a:ln>
          </c:spPr>
        </c:hiLowLines>
        <c:axId val="448652832"/>
        <c:axId val="448654608"/>
      </c:stockChart>
      <c:catAx>
        <c:axId val="44865283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6546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448654608"/>
        <c:scaling>
          <c:orientation val="minMax"/>
        </c:scaling>
        <c:delete val="0"/>
        <c:axPos val="l"/>
        <c:majorGridlines>
          <c:spPr>
            <a:ln w="3175">
              <a:solidFill>
                <a:srgbClr val="339933"/>
              </a:solidFill>
              <a:prstDash val="sysDash"/>
            </a:ln>
          </c:spPr>
        </c:majorGridlines>
        <c:numFmt formatCode="0.0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652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landscape"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circle"/>
            <c:size val="13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4"/>
              <c:tx>
                <c:rich>
                  <a:bodyPr/>
                  <a:lstStyle/>
                  <a:p>
                    <a:pPr>
                      <a:defRPr sz="12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1978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tx>
                <c:rich>
                  <a:bodyPr/>
                  <a:lstStyle/>
                  <a:p>
                    <a:pPr>
                      <a:defRPr sz="12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1982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tx>
                <c:rich>
                  <a:bodyPr/>
                  <a:lstStyle/>
                  <a:p>
                    <a:pPr>
                      <a:defRPr sz="12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1984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tx>
                <c:rich>
                  <a:bodyPr/>
                  <a:lstStyle/>
                  <a:p>
                    <a:pPr>
                      <a:defRPr sz="12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1989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Summary!$H$48:$H$81</c:f>
              <c:numCache>
                <c:formatCode>_(* #,##0_);_(* \(#,##0\);_(* "-"??_);_(@_)</c:formatCode>
                <c:ptCount val="3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</c:numCache>
            </c:numRef>
          </c:xVal>
          <c:yVal>
            <c:numRef>
              <c:f>Summary!$AD$48:$AD$81</c:f>
              <c:numCache>
                <c:formatCode>#,##0</c:formatCode>
                <c:ptCount val="34"/>
                <c:pt idx="0">
                  <c:v>21534.8</c:v>
                </c:pt>
                <c:pt idx="1">
                  <c:v>15436.5</c:v>
                </c:pt>
                <c:pt idx="2">
                  <c:v>25796.0</c:v>
                </c:pt>
                <c:pt idx="3">
                  <c:v>22271.4</c:v>
                </c:pt>
                <c:pt idx="4">
                  <c:v>26141.1</c:v>
                </c:pt>
                <c:pt idx="5">
                  <c:v>23500.1</c:v>
                </c:pt>
                <c:pt idx="6">
                  <c:v>14578.3</c:v>
                </c:pt>
                <c:pt idx="7">
                  <c:v>11964.4</c:v>
                </c:pt>
                <c:pt idx="8">
                  <c:v>26909.0</c:v>
                </c:pt>
                <c:pt idx="9">
                  <c:v>19909.1</c:v>
                </c:pt>
                <c:pt idx="10">
                  <c:v>17094.1</c:v>
                </c:pt>
                <c:pt idx="11">
                  <c:v>13137.6</c:v>
                </c:pt>
                <c:pt idx="12">
                  <c:v>13755.3</c:v>
                </c:pt>
                <c:pt idx="13">
                  <c:v>25352.3</c:v>
                </c:pt>
                <c:pt idx="14">
                  <c:v>61942.6</c:v>
                </c:pt>
                <c:pt idx="15">
                  <c:v>27184.1</c:v>
                </c:pt>
                <c:pt idx="16">
                  <c:v>30738.1</c:v>
                </c:pt>
                <c:pt idx="17">
                  <c:v>16305.4</c:v>
                </c:pt>
                <c:pt idx="18">
                  <c:v>52162.3</c:v>
                </c:pt>
                <c:pt idx="19">
                  <c:v>13572.8</c:v>
                </c:pt>
                <c:pt idx="20">
                  <c:v>34631.9</c:v>
                </c:pt>
                <c:pt idx="21">
                  <c:v>14545.4</c:v>
                </c:pt>
                <c:pt idx="22">
                  <c:v>7835.33</c:v>
                </c:pt>
                <c:pt idx="23">
                  <c:v>5561.46</c:v>
                </c:pt>
                <c:pt idx="24">
                  <c:v>11102.8</c:v>
                </c:pt>
                <c:pt idx="25">
                  <c:v>48848.1</c:v>
                </c:pt>
                <c:pt idx="26">
                  <c:v>25581.3</c:v>
                </c:pt>
                <c:pt idx="27">
                  <c:v>22780.8</c:v>
                </c:pt>
                <c:pt idx="28">
                  <c:v>46863.2</c:v>
                </c:pt>
                <c:pt idx="29">
                  <c:v>15942.8</c:v>
                </c:pt>
                <c:pt idx="30">
                  <c:v>10904.9</c:v>
                </c:pt>
                <c:pt idx="31">
                  <c:v>22878.1</c:v>
                </c:pt>
                <c:pt idx="32">
                  <c:v>31178.4</c:v>
                </c:pt>
                <c:pt idx="33">
                  <c:v>15483.0</c:v>
                </c:pt>
              </c:numCache>
            </c:numRef>
          </c:yVal>
          <c:smooth val="0"/>
        </c:ser>
        <c:ser>
          <c:idx val="0"/>
          <c:order val="1"/>
          <c:spPr>
            <a:ln w="38100">
              <a:solidFill>
                <a:srgbClr val="339933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StdDev!$F$151:$F$170</c:f>
                <c:numCache>
                  <c:formatCode>General</c:formatCode>
                  <c:ptCount val="20"/>
                  <c:pt idx="0">
                    <c:v>3602.0</c:v>
                  </c:pt>
                  <c:pt idx="1">
                    <c:v>4181.1</c:v>
                  </c:pt>
                  <c:pt idx="2">
                    <c:v>4455.0</c:v>
                  </c:pt>
                  <c:pt idx="3">
                    <c:v>4516.3</c:v>
                  </c:pt>
                  <c:pt idx="4">
                    <c:v>4438.9</c:v>
                  </c:pt>
                  <c:pt idx="5">
                    <c:v>4281.9</c:v>
                  </c:pt>
                  <c:pt idx="6">
                    <c:v>4091.1</c:v>
                  </c:pt>
                  <c:pt idx="7">
                    <c:v>3900.8</c:v>
                  </c:pt>
                  <c:pt idx="8">
                    <c:v>3734.4</c:v>
                  </c:pt>
                  <c:pt idx="9">
                    <c:v>3605.1</c:v>
                  </c:pt>
                  <c:pt idx="10">
                    <c:v>3517.1</c:v>
                  </c:pt>
                  <c:pt idx="11">
                    <c:v>3467.2</c:v>
                  </c:pt>
                  <c:pt idx="12">
                    <c:v>3447.6</c:v>
                  </c:pt>
                  <c:pt idx="13">
                    <c:v>3448.3</c:v>
                  </c:pt>
                  <c:pt idx="14">
                    <c:v>3459.5</c:v>
                  </c:pt>
                  <c:pt idx="15">
                    <c:v>3472.7</c:v>
                  </c:pt>
                  <c:pt idx="16">
                    <c:v>3481.5</c:v>
                  </c:pt>
                  <c:pt idx="17">
                    <c:v>3481.3</c:v>
                  </c:pt>
                  <c:pt idx="18">
                    <c:v>0.021569</c:v>
                  </c:pt>
                  <c:pt idx="19">
                    <c:v>0.022388</c:v>
                  </c:pt>
                </c:numCache>
              </c:numRef>
            </c:plus>
            <c:minus>
              <c:numRef>
                <c:f>StdDev!$F$151:$F$170</c:f>
                <c:numCache>
                  <c:formatCode>General</c:formatCode>
                  <c:ptCount val="20"/>
                  <c:pt idx="0">
                    <c:v>3602.0</c:v>
                  </c:pt>
                  <c:pt idx="1">
                    <c:v>4181.1</c:v>
                  </c:pt>
                  <c:pt idx="2">
                    <c:v>4455.0</c:v>
                  </c:pt>
                  <c:pt idx="3">
                    <c:v>4516.3</c:v>
                  </c:pt>
                  <c:pt idx="4">
                    <c:v>4438.9</c:v>
                  </c:pt>
                  <c:pt idx="5">
                    <c:v>4281.9</c:v>
                  </c:pt>
                  <c:pt idx="6">
                    <c:v>4091.1</c:v>
                  </c:pt>
                  <c:pt idx="7">
                    <c:v>3900.8</c:v>
                  </c:pt>
                  <c:pt idx="8">
                    <c:v>3734.4</c:v>
                  </c:pt>
                  <c:pt idx="9">
                    <c:v>3605.1</c:v>
                  </c:pt>
                  <c:pt idx="10">
                    <c:v>3517.1</c:v>
                  </c:pt>
                  <c:pt idx="11">
                    <c:v>3467.2</c:v>
                  </c:pt>
                  <c:pt idx="12">
                    <c:v>3447.6</c:v>
                  </c:pt>
                  <c:pt idx="13">
                    <c:v>3448.3</c:v>
                  </c:pt>
                  <c:pt idx="14">
                    <c:v>3459.5</c:v>
                  </c:pt>
                  <c:pt idx="15">
                    <c:v>3472.7</c:v>
                  </c:pt>
                  <c:pt idx="16">
                    <c:v>3481.5</c:v>
                  </c:pt>
                  <c:pt idx="17">
                    <c:v>3481.3</c:v>
                  </c:pt>
                  <c:pt idx="18">
                    <c:v>0.021569</c:v>
                  </c:pt>
                  <c:pt idx="19">
                    <c:v>0.022388</c:v>
                  </c:pt>
                </c:numCache>
              </c:numRef>
            </c:minus>
            <c:spPr>
              <a:ln w="127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StdDev!$E$151:$E$170</c:f>
              <c:numCache>
                <c:formatCode>#,##0</c:formatCode>
                <c:ptCount val="20"/>
                <c:pt idx="0">
                  <c:v>17455.0</c:v>
                </c:pt>
                <c:pt idx="1">
                  <c:v>21668.0</c:v>
                </c:pt>
                <c:pt idx="2">
                  <c:v>24702.0</c:v>
                </c:pt>
                <c:pt idx="3">
                  <c:v>26770.0</c:v>
                </c:pt>
                <c:pt idx="4">
                  <c:v>28053.0</c:v>
                </c:pt>
                <c:pt idx="5">
                  <c:v>28701.0</c:v>
                </c:pt>
                <c:pt idx="6">
                  <c:v>28842.0</c:v>
                </c:pt>
                <c:pt idx="7">
                  <c:v>28583.0</c:v>
                </c:pt>
                <c:pt idx="8">
                  <c:v>28012.0</c:v>
                </c:pt>
                <c:pt idx="9">
                  <c:v>27203.0</c:v>
                </c:pt>
                <c:pt idx="10">
                  <c:v>26218.0</c:v>
                </c:pt>
                <c:pt idx="11">
                  <c:v>25107.0</c:v>
                </c:pt>
                <c:pt idx="12">
                  <c:v>23911.0</c:v>
                </c:pt>
                <c:pt idx="13">
                  <c:v>22664.0</c:v>
                </c:pt>
                <c:pt idx="14">
                  <c:v>21393.0</c:v>
                </c:pt>
                <c:pt idx="15">
                  <c:v>20118.0</c:v>
                </c:pt>
                <c:pt idx="16">
                  <c:v>18858.0</c:v>
                </c:pt>
                <c:pt idx="17">
                  <c:v>17625.0</c:v>
                </c:pt>
                <c:pt idx="18">
                  <c:v>0.097247</c:v>
                </c:pt>
                <c:pt idx="19">
                  <c:v>0.10691</c:v>
                </c:pt>
              </c:numCache>
            </c:numRef>
          </c:yVal>
          <c:smooth val="0"/>
        </c:ser>
        <c:ser>
          <c:idx val="2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dash"/>
            <c:size val="18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</c:dPt>
          <c:dPt>
            <c:idx val="1"/>
            <c:marker>
              <c:symbol val="dash"/>
              <c:size val="8"/>
              <c:spPr>
                <a:solidFill>
                  <a:srgbClr val="FF000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Bmsy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2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Summary!$J$61:$J$62</c:f>
              <c:numCache>
                <c:formatCode>_(* #,##0_);_(* \(#,##0\);_(* "-"??_);_(@_)</c:formatCode>
                <c:ptCount val="2"/>
                <c:pt idx="0">
                  <c:v>1948.1</c:v>
                </c:pt>
                <c:pt idx="1">
                  <c:v>1948.1</c:v>
                </c:pt>
              </c:numCache>
            </c:numRef>
          </c:xVal>
          <c:yVal>
            <c:numRef>
              <c:f>Summary!$K$61:$K$62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61942.6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626672"/>
        <c:axId val="448601840"/>
      </c:scatterChart>
      <c:valAx>
        <c:axId val="44862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Stock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601840"/>
        <c:crosses val="autoZero"/>
        <c:crossBetween val="midCat"/>
      </c:valAx>
      <c:valAx>
        <c:axId val="448601840"/>
        <c:scaling>
          <c:orientation val="minMax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2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Recruitment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626672"/>
        <c:crosses val="autoZero"/>
        <c:crossBetween val="midCat"/>
        <c:majorUnit val="20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Female Spawning Biomass
 (thousands of tons)</a:t>
            </a:r>
          </a:p>
        </c:rich>
      </c:tx>
      <c:layout>
        <c:manualLayout>
          <c:xMode val="edge"/>
          <c:yMode val="edge"/>
          <c:x val="0.146579804560261"/>
          <c:y val="0.04670329670329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977198697067"/>
          <c:y val="0.0494506157851882"/>
          <c:w val="0.861563517915309"/>
          <c:h val="0.557693055799622"/>
        </c:manualLayout>
      </c:layout>
      <c:scatterChart>
        <c:scatterStyle val="line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Summary!$C$48:$C$89</c:f>
              <c:numCache>
                <c:formatCode>General</c:formatCode>
                <c:ptCount val="42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</c:numCache>
            </c:numRef>
          </c:xVal>
          <c:yVal>
            <c:numRef>
              <c:f>Summary!$J$48:$J$89</c:f>
              <c:numCache>
                <c:formatCode>_(* #,##0_);_(* \(#,##0\);_(* "-"??_);_(@_)</c:formatCode>
                <c:ptCount val="42"/>
                <c:pt idx="0">
                  <c:v>1948.1</c:v>
                </c:pt>
                <c:pt idx="1">
                  <c:v>1948.1</c:v>
                </c:pt>
                <c:pt idx="2">
                  <c:v>1948.1</c:v>
                </c:pt>
                <c:pt idx="3">
                  <c:v>1948.1</c:v>
                </c:pt>
                <c:pt idx="4">
                  <c:v>1948.1</c:v>
                </c:pt>
                <c:pt idx="5">
                  <c:v>1948.1</c:v>
                </c:pt>
                <c:pt idx="6">
                  <c:v>1948.1</c:v>
                </c:pt>
                <c:pt idx="7">
                  <c:v>1948.1</c:v>
                </c:pt>
                <c:pt idx="8">
                  <c:v>1948.1</c:v>
                </c:pt>
                <c:pt idx="9">
                  <c:v>1948.1</c:v>
                </c:pt>
                <c:pt idx="10">
                  <c:v>1948.1</c:v>
                </c:pt>
                <c:pt idx="11">
                  <c:v>1948.1</c:v>
                </c:pt>
                <c:pt idx="12">
                  <c:v>1948.1</c:v>
                </c:pt>
                <c:pt idx="13">
                  <c:v>1948.1</c:v>
                </c:pt>
                <c:pt idx="14">
                  <c:v>1948.1</c:v>
                </c:pt>
                <c:pt idx="15">
                  <c:v>1948.1</c:v>
                </c:pt>
                <c:pt idx="16">
                  <c:v>1948.1</c:v>
                </c:pt>
                <c:pt idx="17">
                  <c:v>1948.1</c:v>
                </c:pt>
                <c:pt idx="18">
                  <c:v>1948.1</c:v>
                </c:pt>
                <c:pt idx="19">
                  <c:v>1948.1</c:v>
                </c:pt>
                <c:pt idx="20">
                  <c:v>1948.1</c:v>
                </c:pt>
                <c:pt idx="21">
                  <c:v>1948.1</c:v>
                </c:pt>
                <c:pt idx="22">
                  <c:v>1948.1</c:v>
                </c:pt>
                <c:pt idx="23">
                  <c:v>1948.1</c:v>
                </c:pt>
                <c:pt idx="24">
                  <c:v>1948.1</c:v>
                </c:pt>
                <c:pt idx="25">
                  <c:v>1948.1</c:v>
                </c:pt>
                <c:pt idx="26">
                  <c:v>1948.1</c:v>
                </c:pt>
                <c:pt idx="27">
                  <c:v>1948.1</c:v>
                </c:pt>
                <c:pt idx="28">
                  <c:v>1948.1</c:v>
                </c:pt>
                <c:pt idx="29">
                  <c:v>1948.1</c:v>
                </c:pt>
                <c:pt idx="30">
                  <c:v>1948.1</c:v>
                </c:pt>
                <c:pt idx="31">
                  <c:v>1948.1</c:v>
                </c:pt>
                <c:pt idx="32">
                  <c:v>1948.1</c:v>
                </c:pt>
                <c:pt idx="33">
                  <c:v>1948.1</c:v>
                </c:pt>
                <c:pt idx="34">
                  <c:v>1948.1</c:v>
                </c:pt>
                <c:pt idx="35">
                  <c:v>1948.1</c:v>
                </c:pt>
                <c:pt idx="36">
                  <c:v>1948.1</c:v>
                </c:pt>
                <c:pt idx="37">
                  <c:v>1948.1</c:v>
                </c:pt>
                <c:pt idx="38">
                  <c:v>1948.1</c:v>
                </c:pt>
                <c:pt idx="39">
                  <c:v>1948.1</c:v>
                </c:pt>
                <c:pt idx="40">
                  <c:v>1948.1</c:v>
                </c:pt>
                <c:pt idx="41">
                  <c:v>1948.1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Summary!$AA$47</c:f>
              <c:strCache>
                <c:ptCount val="1"/>
                <c:pt idx="0">
                  <c:v>Real Spawners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Summary!$C$48:$C$87</c:f>
              <c:numCache>
                <c:formatCode>General</c:formatCode>
                <c:ptCount val="40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</c:numCache>
            </c:numRef>
          </c:xVal>
          <c:yVal>
            <c:numRef>
              <c:f>Summary!$AA$48:$AA$87</c:f>
              <c:numCache>
                <c:formatCode>#,##0</c:formatCode>
                <c:ptCount val="40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</c:numCache>
            </c:numRef>
          </c:yVal>
          <c:smooth val="0"/>
        </c:ser>
        <c:ser>
          <c:idx val="2"/>
          <c:order val="2"/>
          <c:spPr>
            <a:ln w="381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StdDev!$AM$63:$AM$68</c:f>
              <c:numCache>
                <c:formatCode>General</c:formatCode>
                <c:ptCount val="6"/>
                <c:pt idx="0">
                  <c:v>2013.0</c:v>
                </c:pt>
                <c:pt idx="1">
                  <c:v>2014.0</c:v>
                </c:pt>
                <c:pt idx="2">
                  <c:v>2015.0</c:v>
                </c:pt>
                <c:pt idx="3">
                  <c:v>2016.0</c:v>
                </c:pt>
                <c:pt idx="4">
                  <c:v>2017.0</c:v>
                </c:pt>
                <c:pt idx="5">
                  <c:v>2018.0</c:v>
                </c:pt>
              </c:numCache>
            </c:numRef>
          </c:xVal>
          <c:yVal>
            <c:numRef>
              <c:f>StdDev!$AT$63:$AT$68</c:f>
              <c:numCache>
                <c:formatCode>#,##0</c:formatCode>
                <c:ptCount val="6"/>
                <c:pt idx="0">
                  <c:v>3483.4</c:v>
                </c:pt>
                <c:pt idx="1">
                  <c:v>3645.7</c:v>
                </c:pt>
                <c:pt idx="2">
                  <c:v>3832.3</c:v>
                </c:pt>
                <c:pt idx="3">
                  <c:v>3914.7</c:v>
                </c:pt>
                <c:pt idx="4">
                  <c:v>4011.3</c:v>
                </c:pt>
                <c:pt idx="5">
                  <c:v>4102.5</c:v>
                </c:pt>
              </c:numCache>
            </c:numRef>
          </c:yVal>
          <c:smooth val="0"/>
        </c:ser>
        <c:ser>
          <c:idx val="4"/>
          <c:order val="3"/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Summary!$AN$48:$AN$96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xVal>
          <c:yVal>
            <c:numRef>
              <c:f>Summary!$AO$48:$AO$96</c:f>
              <c:numCache>
                <c:formatCode>#,##0</c:formatCode>
                <c:ptCount val="49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  <c:pt idx="40">
                  <c:v>3520.4</c:v>
                </c:pt>
                <c:pt idx="41">
                  <c:v>3223.0</c:v>
                </c:pt>
                <c:pt idx="42">
                  <c:v>2651.0</c:v>
                </c:pt>
                <c:pt idx="43">
                  <c:v>2215.2</c:v>
                </c:pt>
                <c:pt idx="44">
                  <c:v>1629.7</c:v>
                </c:pt>
                <c:pt idx="45">
                  <c:v>1775.3</c:v>
                </c:pt>
                <c:pt idx="46">
                  <c:v>2017.6</c:v>
                </c:pt>
                <c:pt idx="47">
                  <c:v>2538.1</c:v>
                </c:pt>
                <c:pt idx="48">
                  <c:v>3053.0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22608"/>
        <c:axId val="448526240"/>
      </c:scatterChart>
      <c:valAx>
        <c:axId val="448522608"/>
        <c:scaling>
          <c:orientation val="minMax"/>
          <c:max val="2012.0"/>
          <c:min val="1964.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8371335504886"/>
              <c:y val="0.7060448213204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526240"/>
        <c:crosses val="autoZero"/>
        <c:crossBetween val="midCat"/>
        <c:majorUnit val="4.0"/>
      </c:valAx>
      <c:valAx>
        <c:axId val="448526240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FF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522608"/>
        <c:crosses val="autoZero"/>
        <c:crossBetween val="midCat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Female Spawning Biomass
 (thousands of tons)</a:t>
            </a:r>
          </a:p>
        </c:rich>
      </c:tx>
      <c:layout>
        <c:manualLayout>
          <c:xMode val="edge"/>
          <c:yMode val="edge"/>
          <c:x val="0.146579804560261"/>
          <c:y val="0.04670329670329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93485342019543"/>
          <c:y val="0.0494506157851882"/>
          <c:w val="0.859934853420203"/>
          <c:h val="0.535715004339543"/>
        </c:manualLayout>
      </c:layout>
      <c:scatterChart>
        <c:scatterStyle val="line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Summary!$C$48:$C$93</c:f>
              <c:numCache>
                <c:formatCode>General</c:formatCode>
                <c:ptCount val="46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</c:numCache>
            </c:numRef>
          </c:xVal>
          <c:yVal>
            <c:numRef>
              <c:f>Summary!$J$48:$J$93</c:f>
              <c:numCache>
                <c:formatCode>_(* #,##0_);_(* \(#,##0\);_(* "-"??_);_(@_)</c:formatCode>
                <c:ptCount val="46"/>
                <c:pt idx="0">
                  <c:v>1948.1</c:v>
                </c:pt>
                <c:pt idx="1">
                  <c:v>1948.1</c:v>
                </c:pt>
                <c:pt idx="2">
                  <c:v>1948.1</c:v>
                </c:pt>
                <c:pt idx="3">
                  <c:v>1948.1</c:v>
                </c:pt>
                <c:pt idx="4">
                  <c:v>1948.1</c:v>
                </c:pt>
                <c:pt idx="5">
                  <c:v>1948.1</c:v>
                </c:pt>
                <c:pt idx="6">
                  <c:v>1948.1</c:v>
                </c:pt>
                <c:pt idx="7">
                  <c:v>1948.1</c:v>
                </c:pt>
                <c:pt idx="8">
                  <c:v>1948.1</c:v>
                </c:pt>
                <c:pt idx="9">
                  <c:v>1948.1</c:v>
                </c:pt>
                <c:pt idx="10">
                  <c:v>1948.1</c:v>
                </c:pt>
                <c:pt idx="11">
                  <c:v>1948.1</c:v>
                </c:pt>
                <c:pt idx="12">
                  <c:v>1948.1</c:v>
                </c:pt>
                <c:pt idx="13">
                  <c:v>1948.1</c:v>
                </c:pt>
                <c:pt idx="14">
                  <c:v>1948.1</c:v>
                </c:pt>
                <c:pt idx="15">
                  <c:v>1948.1</c:v>
                </c:pt>
                <c:pt idx="16">
                  <c:v>1948.1</c:v>
                </c:pt>
                <c:pt idx="17">
                  <c:v>1948.1</c:v>
                </c:pt>
                <c:pt idx="18">
                  <c:v>1948.1</c:v>
                </c:pt>
                <c:pt idx="19">
                  <c:v>1948.1</c:v>
                </c:pt>
                <c:pt idx="20">
                  <c:v>1948.1</c:v>
                </c:pt>
                <c:pt idx="21">
                  <c:v>1948.1</c:v>
                </c:pt>
                <c:pt idx="22">
                  <c:v>1948.1</c:v>
                </c:pt>
                <c:pt idx="23">
                  <c:v>1948.1</c:v>
                </c:pt>
                <c:pt idx="24">
                  <c:v>1948.1</c:v>
                </c:pt>
                <c:pt idx="25">
                  <c:v>1948.1</c:v>
                </c:pt>
                <c:pt idx="26">
                  <c:v>1948.1</c:v>
                </c:pt>
                <c:pt idx="27">
                  <c:v>1948.1</c:v>
                </c:pt>
                <c:pt idx="28">
                  <c:v>1948.1</c:v>
                </c:pt>
                <c:pt idx="29">
                  <c:v>1948.1</c:v>
                </c:pt>
                <c:pt idx="30">
                  <c:v>1948.1</c:v>
                </c:pt>
                <c:pt idx="31">
                  <c:v>1948.1</c:v>
                </c:pt>
                <c:pt idx="32">
                  <c:v>1948.1</c:v>
                </c:pt>
                <c:pt idx="33">
                  <c:v>1948.1</c:v>
                </c:pt>
                <c:pt idx="34">
                  <c:v>1948.1</c:v>
                </c:pt>
                <c:pt idx="35">
                  <c:v>1948.1</c:v>
                </c:pt>
                <c:pt idx="36">
                  <c:v>1948.1</c:v>
                </c:pt>
                <c:pt idx="37">
                  <c:v>1948.1</c:v>
                </c:pt>
                <c:pt idx="38">
                  <c:v>1948.1</c:v>
                </c:pt>
                <c:pt idx="39">
                  <c:v>1948.1</c:v>
                </c:pt>
                <c:pt idx="40">
                  <c:v>1948.1</c:v>
                </c:pt>
                <c:pt idx="41">
                  <c:v>1948.1</c:v>
                </c:pt>
                <c:pt idx="42">
                  <c:v>1948.1</c:v>
                </c:pt>
                <c:pt idx="43">
                  <c:v>1948.1</c:v>
                </c:pt>
                <c:pt idx="44">
                  <c:v>1948.1</c:v>
                </c:pt>
                <c:pt idx="45">
                  <c:v>1948.1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Summary!$AA$47</c:f>
              <c:strCache>
                <c:ptCount val="1"/>
                <c:pt idx="0">
                  <c:v>Real Spawners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Summary!$C$48:$C$94</c:f>
              <c:numCache>
                <c:formatCode>General</c:formatCode>
                <c:ptCount val="47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</c:numCache>
            </c:numRef>
          </c:xVal>
          <c:yVal>
            <c:numRef>
              <c:f>Summary!$AA$48:$AA$94</c:f>
              <c:numCache>
                <c:formatCode>#,##0</c:formatCode>
                <c:ptCount val="47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  <c:pt idx="40">
                  <c:v>3520.4</c:v>
                </c:pt>
                <c:pt idx="41">
                  <c:v>3223.0</c:v>
                </c:pt>
                <c:pt idx="42">
                  <c:v>2651.0</c:v>
                </c:pt>
                <c:pt idx="43">
                  <c:v>2215.2</c:v>
                </c:pt>
                <c:pt idx="44">
                  <c:v>1629.7</c:v>
                </c:pt>
                <c:pt idx="45">
                  <c:v>1775.3</c:v>
                </c:pt>
                <c:pt idx="46">
                  <c:v>2017.6</c:v>
                </c:pt>
              </c:numCache>
            </c:numRef>
          </c:yVal>
          <c:smooth val="0"/>
        </c:ser>
        <c:ser>
          <c:idx val="2"/>
          <c:order val="2"/>
          <c:spPr>
            <a:ln w="25400">
              <a:solidFill>
                <a:srgbClr val="3366FF"/>
              </a:solidFill>
              <a:prstDash val="sysDash"/>
            </a:ln>
          </c:spPr>
          <c:marker>
            <c:symbol val="none"/>
          </c:marker>
          <c:xVal>
            <c:numRef>
              <c:f>Summary!$I$45:$I$46</c:f>
              <c:numCache>
                <c:formatCode>General</c:formatCode>
                <c:ptCount val="2"/>
                <c:pt idx="0">
                  <c:v>1964.0</c:v>
                </c:pt>
                <c:pt idx="1">
                  <c:v>2006.0</c:v>
                </c:pt>
              </c:numCache>
            </c:numRef>
          </c:xVal>
          <c:yVal>
            <c:numRef>
              <c:f>Summary!$J$45:$J$46</c:f>
              <c:numCache>
                <c:formatCode>_(* #,##0_);_(* \(#,##0\);_(* "-"??_);_(@_)</c:formatCode>
                <c:ptCount val="2"/>
                <c:pt idx="0">
                  <c:v>-0.17519</c:v>
                </c:pt>
                <c:pt idx="1">
                  <c:v>-0.17519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44800"/>
        <c:axId val="448447344"/>
      </c:scatterChart>
      <c:valAx>
        <c:axId val="448444800"/>
        <c:scaling>
          <c:orientation val="minMax"/>
          <c:max val="2010.0"/>
          <c:min val="1964.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82084690553746"/>
              <c:y val="0.7609901646909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447344"/>
        <c:crosses val="autoZero"/>
        <c:crossBetween val="midCat"/>
        <c:majorUnit val="4.0"/>
      </c:valAx>
      <c:valAx>
        <c:axId val="448447344"/>
        <c:scaling>
          <c:orientation val="minMax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444800"/>
        <c:crosses val="autoZero"/>
        <c:crossBetween val="midCat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 horizontalDpi="300"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Japanese Fishery CPUE data</a:t>
            </a:r>
          </a:p>
        </c:rich>
      </c:tx>
      <c:layout>
        <c:manualLayout>
          <c:xMode val="edge"/>
          <c:yMode val="edge"/>
          <c:x val="0.289902280130293"/>
          <c:y val="0.0329670329670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904839716787"/>
          <c:y val="0.0494506157851882"/>
          <c:w val="0.794834583145769"/>
          <c:h val="0.77193504167297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Summary!$C$6</c:f>
              <c:strCache>
                <c:ptCount val="1"/>
                <c:pt idx="0">
                  <c:v>Predicted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Summary!$D$1:$P$1</c:f>
              <c:numCache>
                <c:formatCode>General</c:formatCode>
                <c:ptCount val="13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</c:numCache>
            </c:numRef>
          </c:xVal>
          <c:yVal>
            <c:numRef>
              <c:f>Summary!$D$6:$P$6</c:f>
              <c:numCache>
                <c:formatCode>General</c:formatCode>
                <c:ptCount val="13"/>
                <c:pt idx="1">
                  <c:v>2474.55</c:v>
                </c:pt>
                <c:pt idx="2">
                  <c:v>3011.46</c:v>
                </c:pt>
                <c:pt idx="3">
                  <c:v>3810.76</c:v>
                </c:pt>
                <c:pt idx="4">
                  <c:v>4936.08</c:v>
                </c:pt>
                <c:pt idx="5">
                  <c:v>5806.02</c:v>
                </c:pt>
                <c:pt idx="6">
                  <c:v>6008.62</c:v>
                </c:pt>
                <c:pt idx="7">
                  <c:v>6102.19</c:v>
                </c:pt>
                <c:pt idx="8">
                  <c:v>6025.43</c:v>
                </c:pt>
                <c:pt idx="9">
                  <c:v>5165.8</c:v>
                </c:pt>
                <c:pt idx="10">
                  <c:v>4478.78</c:v>
                </c:pt>
                <c:pt idx="11">
                  <c:v>4513.84</c:v>
                </c:pt>
                <c:pt idx="12">
                  <c:v>4311.69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Summary!$C$7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Summary!$D$1:$P$1</c:f>
              <c:numCache>
                <c:formatCode>General</c:formatCode>
                <c:ptCount val="13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</c:numCache>
            </c:numRef>
          </c:xVal>
          <c:yVal>
            <c:numRef>
              <c:f>Summary!$D$7:$P$7</c:f>
              <c:numCache>
                <c:formatCode>General</c:formatCode>
                <c:ptCount val="13"/>
                <c:pt idx="1">
                  <c:v>2816.44</c:v>
                </c:pt>
                <c:pt idx="2">
                  <c:v>3473.58</c:v>
                </c:pt>
                <c:pt idx="3">
                  <c:v>3802.17</c:v>
                </c:pt>
                <c:pt idx="4">
                  <c:v>5257.3</c:v>
                </c:pt>
                <c:pt idx="5">
                  <c:v>6712.47</c:v>
                </c:pt>
                <c:pt idx="6">
                  <c:v>5679.81</c:v>
                </c:pt>
                <c:pt idx="7">
                  <c:v>5257.33</c:v>
                </c:pt>
                <c:pt idx="8">
                  <c:v>5726.74</c:v>
                </c:pt>
                <c:pt idx="9">
                  <c:v>4787.92</c:v>
                </c:pt>
                <c:pt idx="10">
                  <c:v>4740.99</c:v>
                </c:pt>
                <c:pt idx="11">
                  <c:v>4271.57</c:v>
                </c:pt>
                <c:pt idx="12">
                  <c:v>4318.52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26176"/>
        <c:axId val="448429296"/>
      </c:scatterChart>
      <c:valAx>
        <c:axId val="44842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200" baseline="0"/>
                </a:pPr>
                <a:r>
                  <a:rPr lang="en-US" sz="2200" baseline="0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429296"/>
        <c:crosses val="autoZero"/>
        <c:crossBetween val="midCat"/>
      </c:valAx>
      <c:valAx>
        <c:axId val="448429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200" baseline="0"/>
                </a:pPr>
                <a:r>
                  <a:rPr lang="en-US" sz="2200" baseline="0"/>
                  <a:t>Index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426176"/>
        <c:crosses val="autoZero"/>
        <c:crossBetween val="midCat"/>
        <c:majorUnit val="2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2468316208383"/>
          <c:y val="0.593407458683049"/>
          <c:w val="0.21981192593548"/>
          <c:h val="0.1208794093046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778501628664"/>
          <c:y val="0.104395744435398"/>
          <c:w val="0.82410423452769"/>
          <c:h val="0.736264723912801"/>
        </c:manualLayout>
      </c:layout>
      <c:scatterChart>
        <c:scatterStyle val="lineMarker"/>
        <c:varyColors val="0"/>
        <c:ser>
          <c:idx val="1"/>
          <c:order val="0"/>
          <c:spPr>
            <a:ln w="38100">
              <a:solidFill>
                <a:srgbClr val="3333CC"/>
              </a:solidFill>
              <a:prstDash val="solid"/>
            </a:ln>
          </c:spPr>
          <c:marker>
            <c:symbol val="none"/>
          </c:marker>
          <c:xVal>
            <c:numRef>
              <c:f>StdDev!$X$3:$X$53</c:f>
              <c:numCache>
                <c:formatCode>General</c:formatCode>
                <c:ptCount val="51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50">
                  <c:v>2012.0</c:v>
                </c:pt>
              </c:numCache>
            </c:numRef>
          </c:xVal>
          <c:yVal>
            <c:numRef>
              <c:f>StdDev!$Y$3:$Y$53</c:f>
              <c:numCache>
                <c:formatCode>_(* #,##0_);_(* \(#,##0\);_(* "-"??_);_(@_)</c:formatCode>
                <c:ptCount val="51"/>
                <c:pt idx="0">
                  <c:v>1868.9</c:v>
                </c:pt>
                <c:pt idx="1">
                  <c:v>2323.7</c:v>
                </c:pt>
                <c:pt idx="2">
                  <c:v>2562.9</c:v>
                </c:pt>
                <c:pt idx="3">
                  <c:v>3888.1</c:v>
                </c:pt>
                <c:pt idx="4">
                  <c:v>4495.0</c:v>
                </c:pt>
                <c:pt idx="5">
                  <c:v>5690.0</c:v>
                </c:pt>
                <c:pt idx="6">
                  <c:v>6423.9</c:v>
                </c:pt>
                <c:pt idx="7">
                  <c:v>6858.4</c:v>
                </c:pt>
                <c:pt idx="8">
                  <c:v>6430.6</c:v>
                </c:pt>
                <c:pt idx="9">
                  <c:v>5161.2</c:v>
                </c:pt>
                <c:pt idx="10">
                  <c:v>3845.8</c:v>
                </c:pt>
                <c:pt idx="11">
                  <c:v>3868.4</c:v>
                </c:pt>
                <c:pt idx="12">
                  <c:v>3871.5</c:v>
                </c:pt>
                <c:pt idx="13">
                  <c:v>3939.3</c:v>
                </c:pt>
                <c:pt idx="14">
                  <c:v>3888.3</c:v>
                </c:pt>
                <c:pt idx="15">
                  <c:v>3859.2</c:v>
                </c:pt>
                <c:pt idx="16">
                  <c:v>4887.3</c:v>
                </c:pt>
                <c:pt idx="17">
                  <c:v>9054.299999999999</c:v>
                </c:pt>
                <c:pt idx="18">
                  <c:v>10289.0</c:v>
                </c:pt>
                <c:pt idx="19">
                  <c:v>11383.0</c:v>
                </c:pt>
                <c:pt idx="20">
                  <c:v>11040.0</c:v>
                </c:pt>
                <c:pt idx="21">
                  <c:v>12951.0</c:v>
                </c:pt>
                <c:pt idx="22">
                  <c:v>12019.0</c:v>
                </c:pt>
                <c:pt idx="23">
                  <c:v>12334.0</c:v>
                </c:pt>
                <c:pt idx="24">
                  <c:v>11536.0</c:v>
                </c:pt>
                <c:pt idx="25">
                  <c:v>9699.9</c:v>
                </c:pt>
                <c:pt idx="26">
                  <c:v>7700.5</c:v>
                </c:pt>
                <c:pt idx="27">
                  <c:v>6063.2</c:v>
                </c:pt>
                <c:pt idx="28">
                  <c:v>9472.2</c:v>
                </c:pt>
                <c:pt idx="29">
                  <c:v>11712.0</c:v>
                </c:pt>
                <c:pt idx="30">
                  <c:v>11418.0</c:v>
                </c:pt>
                <c:pt idx="31">
                  <c:v>13177.0</c:v>
                </c:pt>
                <c:pt idx="32">
                  <c:v>11358.0</c:v>
                </c:pt>
                <c:pt idx="33">
                  <c:v>9940.0</c:v>
                </c:pt>
                <c:pt idx="34">
                  <c:v>9989.799999999999</c:v>
                </c:pt>
                <c:pt idx="35">
                  <c:v>10853.0</c:v>
                </c:pt>
                <c:pt idx="36">
                  <c:v>10068.0</c:v>
                </c:pt>
                <c:pt idx="37">
                  <c:v>9854.0</c:v>
                </c:pt>
                <c:pt idx="38">
                  <c:v>10276.0</c:v>
                </c:pt>
                <c:pt idx="39">
                  <c:v>12365.0</c:v>
                </c:pt>
                <c:pt idx="40">
                  <c:v>11591.0</c:v>
                </c:pt>
                <c:pt idx="41">
                  <c:v>9705.2</c:v>
                </c:pt>
                <c:pt idx="42">
                  <c:v>7445.9</c:v>
                </c:pt>
                <c:pt idx="43">
                  <c:v>6045.3</c:v>
                </c:pt>
                <c:pt idx="44">
                  <c:v>4848.8</c:v>
                </c:pt>
                <c:pt idx="45">
                  <c:v>6331.1</c:v>
                </c:pt>
                <c:pt idx="46">
                  <c:v>6680.3</c:v>
                </c:pt>
                <c:pt idx="47">
                  <c:v>10053.0</c:v>
                </c:pt>
                <c:pt idx="50">
                  <c:v>10164.0</c:v>
                </c:pt>
              </c:numCache>
            </c:numRef>
          </c:yVal>
          <c:smooth val="0"/>
        </c:ser>
        <c:ser>
          <c:idx val="2"/>
          <c:order val="1"/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StdDev!$X$3:$X$53</c:f>
              <c:numCache>
                <c:formatCode>General</c:formatCode>
                <c:ptCount val="51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50">
                  <c:v>2012.0</c:v>
                </c:pt>
              </c:numCache>
            </c:numRef>
          </c:xVal>
          <c:yVal>
            <c:numRef>
              <c:f>StdDev!$AB$3:$AB$53</c:f>
              <c:numCache>
                <c:formatCode>#,##0</c:formatCode>
                <c:ptCount val="51"/>
                <c:pt idx="0">
                  <c:v>1170.270531768186</c:v>
                </c:pt>
                <c:pt idx="1">
                  <c:v>1503.363481994918</c:v>
                </c:pt>
                <c:pt idx="2">
                  <c:v>1670.137346144558</c:v>
                </c:pt>
                <c:pt idx="3">
                  <c:v>2688.105619202214</c:v>
                </c:pt>
                <c:pt idx="4">
                  <c:v>3115.956552061003</c:v>
                </c:pt>
                <c:pt idx="5">
                  <c:v>4102.665588749152</c:v>
                </c:pt>
                <c:pt idx="6">
                  <c:v>4749.774753267937</c:v>
                </c:pt>
                <c:pt idx="7">
                  <c:v>5231.32975127772</c:v>
                </c:pt>
                <c:pt idx="8">
                  <c:v>4970.510785498501</c:v>
                </c:pt>
                <c:pt idx="9">
                  <c:v>3889.21583929037</c:v>
                </c:pt>
                <c:pt idx="10">
                  <c:v>2768.672613053712</c:v>
                </c:pt>
                <c:pt idx="11">
                  <c:v>2992.367569182536</c:v>
                </c:pt>
                <c:pt idx="12">
                  <c:v>3117.430799301373</c:v>
                </c:pt>
                <c:pt idx="13">
                  <c:v>3243.15182358246</c:v>
                </c:pt>
                <c:pt idx="14">
                  <c:v>3220.847610489009</c:v>
                </c:pt>
                <c:pt idx="15">
                  <c:v>3208.406865235585</c:v>
                </c:pt>
                <c:pt idx="16">
                  <c:v>4180.233288596956</c:v>
                </c:pt>
                <c:pt idx="17">
                  <c:v>8111.603896613015</c:v>
                </c:pt>
                <c:pt idx="18">
                  <c:v>9275.369494122522</c:v>
                </c:pt>
                <c:pt idx="19">
                  <c:v>10337.27187002908</c:v>
                </c:pt>
                <c:pt idx="20">
                  <c:v>10034.55059695481</c:v>
                </c:pt>
                <c:pt idx="21">
                  <c:v>11946.55586791533</c:v>
                </c:pt>
                <c:pt idx="22">
                  <c:v>11084.36026202296</c:v>
                </c:pt>
                <c:pt idx="23">
                  <c:v>11462.83851879267</c:v>
                </c:pt>
                <c:pt idx="24">
                  <c:v>10741.37539096312</c:v>
                </c:pt>
                <c:pt idx="25">
                  <c:v>8994.542366671857</c:v>
                </c:pt>
                <c:pt idx="26">
                  <c:v>7085.231087055511</c:v>
                </c:pt>
                <c:pt idx="27">
                  <c:v>5525.605952303207</c:v>
                </c:pt>
                <c:pt idx="28">
                  <c:v>8856.595270134766</c:v>
                </c:pt>
                <c:pt idx="29">
                  <c:v>10988.61420935737</c:v>
                </c:pt>
                <c:pt idx="30">
                  <c:v>10700.54685883004</c:v>
                </c:pt>
                <c:pt idx="31">
                  <c:v>12379.45664462975</c:v>
                </c:pt>
                <c:pt idx="32">
                  <c:v>10635.65416446489</c:v>
                </c:pt>
                <c:pt idx="33">
                  <c:v>9275.9097183364</c:v>
                </c:pt>
                <c:pt idx="34">
                  <c:v>9337.821028791764</c:v>
                </c:pt>
                <c:pt idx="35">
                  <c:v>10199.63581608352</c:v>
                </c:pt>
                <c:pt idx="36">
                  <c:v>9459.290904138613</c:v>
                </c:pt>
                <c:pt idx="37">
                  <c:v>9244.11122985039</c:v>
                </c:pt>
                <c:pt idx="38">
                  <c:v>9661.886155209979</c:v>
                </c:pt>
                <c:pt idx="39">
                  <c:v>11697.90161660424</c:v>
                </c:pt>
                <c:pt idx="40">
                  <c:v>10964.1517161946</c:v>
                </c:pt>
                <c:pt idx="41">
                  <c:v>9146.964250454997</c:v>
                </c:pt>
                <c:pt idx="42">
                  <c:v>6966.805047643846</c:v>
                </c:pt>
                <c:pt idx="43">
                  <c:v>5591.403590717585</c:v>
                </c:pt>
                <c:pt idx="44">
                  <c:v>4437.34396450571</c:v>
                </c:pt>
                <c:pt idx="45">
                  <c:v>5764.356545190795</c:v>
                </c:pt>
                <c:pt idx="46">
                  <c:v>5987.434964489973</c:v>
                </c:pt>
                <c:pt idx="47">
                  <c:v>8823.005600702931</c:v>
                </c:pt>
                <c:pt idx="50">
                  <c:v>8737.945664863981</c:v>
                </c:pt>
              </c:numCache>
            </c:numRef>
          </c:yVal>
          <c:smooth val="1"/>
        </c:ser>
        <c:ser>
          <c:idx val="3"/>
          <c:order val="2"/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StdDev!$X$3:$X$53</c:f>
              <c:numCache>
                <c:formatCode>General</c:formatCode>
                <c:ptCount val="51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50">
                  <c:v>2012.0</c:v>
                </c:pt>
              </c:numCache>
            </c:numRef>
          </c:xVal>
          <c:yVal>
            <c:numRef>
              <c:f>StdDev!$AC$3:$AC$53</c:f>
              <c:numCache>
                <c:formatCode>#,##0</c:formatCode>
                <c:ptCount val="51"/>
                <c:pt idx="0">
                  <c:v>2984.59810375869</c:v>
                </c:pt>
                <c:pt idx="1">
                  <c:v>3591.667454124213</c:v>
                </c:pt>
                <c:pt idx="2">
                  <c:v>3932.883978172817</c:v>
                </c:pt>
                <c:pt idx="3">
                  <c:v>5623.782600657846</c:v>
                </c:pt>
                <c:pt idx="4">
                  <c:v>6484.373149117143</c:v>
                </c:pt>
                <c:pt idx="5">
                  <c:v>7891.479161447091</c:v>
                </c:pt>
                <c:pt idx="6">
                  <c:v>8688.094352602267</c:v>
                </c:pt>
                <c:pt idx="7">
                  <c:v>8991.52850162262</c:v>
                </c:pt>
                <c:pt idx="8">
                  <c:v>8319.59091219489</c:v>
                </c:pt>
                <c:pt idx="9">
                  <c:v>6849.191852736154</c:v>
                </c:pt>
                <c:pt idx="10">
                  <c:v>5341.974190183198</c:v>
                </c:pt>
                <c:pt idx="11">
                  <c:v>5000.89585053485</c:v>
                </c:pt>
                <c:pt idx="12">
                  <c:v>4807.96951558924</c:v>
                </c:pt>
                <c:pt idx="13">
                  <c:v>4784.877592581641</c:v>
                </c:pt>
                <c:pt idx="14">
                  <c:v>4694.067748118192</c:v>
                </c:pt>
                <c:pt idx="15">
                  <c:v>4641.999991140904</c:v>
                </c:pt>
                <c:pt idx="16">
                  <c:v>5713.9637051254</c:v>
                </c:pt>
                <c:pt idx="17">
                  <c:v>10106.55223490766</c:v>
                </c:pt>
                <c:pt idx="18">
                  <c:v>11413.40202857493</c:v>
                </c:pt>
                <c:pt idx="19">
                  <c:v>12534.51496962858</c:v>
                </c:pt>
                <c:pt idx="20">
                  <c:v>12146.19417405574</c:v>
                </c:pt>
                <c:pt idx="21">
                  <c:v>14039.89592100477</c:v>
                </c:pt>
                <c:pt idx="22">
                  <c:v>13032.44910713826</c:v>
                </c:pt>
                <c:pt idx="23">
                  <c:v>13271.368671084</c:v>
                </c:pt>
                <c:pt idx="24">
                  <c:v>12389.40928477015</c:v>
                </c:pt>
                <c:pt idx="25">
                  <c:v>10460.57221973087</c:v>
                </c:pt>
                <c:pt idx="26">
                  <c:v>8369.19777512056</c:v>
                </c:pt>
                <c:pt idx="27">
                  <c:v>6653.097335809212</c:v>
                </c:pt>
                <c:pt idx="28">
                  <c:v>10130.59421858788</c:v>
                </c:pt>
                <c:pt idx="29">
                  <c:v>12483.00662727716</c:v>
                </c:pt>
                <c:pt idx="30">
                  <c:v>12183.55713216832</c:v>
                </c:pt>
                <c:pt idx="31">
                  <c:v>14025.92488381327</c:v>
                </c:pt>
                <c:pt idx="32">
                  <c:v>12129.40567689948</c:v>
                </c:pt>
                <c:pt idx="33">
                  <c:v>10651.63450272563</c:v>
                </c:pt>
                <c:pt idx="34">
                  <c:v>10687.30100226742</c:v>
                </c:pt>
                <c:pt idx="35">
                  <c:v>11548.21712499421</c:v>
                </c:pt>
                <c:pt idx="36">
                  <c:v>10715.87976596122</c:v>
                </c:pt>
                <c:pt idx="37">
                  <c:v>10504.12674465099</c:v>
                </c:pt>
                <c:pt idx="38">
                  <c:v>10929.14719793706</c:v>
                </c:pt>
                <c:pt idx="39">
                  <c:v>13070.14112539468</c:v>
                </c:pt>
                <c:pt idx="40">
                  <c:v>12253.68678559569</c:v>
                </c:pt>
                <c:pt idx="41">
                  <c:v>10297.50466503842</c:v>
                </c:pt>
                <c:pt idx="42">
                  <c:v>7957.941471141083</c:v>
                </c:pt>
                <c:pt idx="43">
                  <c:v>6536.042604878363</c:v>
                </c:pt>
                <c:pt idx="44">
                  <c:v>5298.408603899822</c:v>
                </c:pt>
                <c:pt idx="45">
                  <c:v>6953.564876801578</c:v>
                </c:pt>
                <c:pt idx="46">
                  <c:v>7453.34326880683</c:v>
                </c:pt>
                <c:pt idx="47">
                  <c:v>11454.46501722138</c:v>
                </c:pt>
                <c:pt idx="50">
                  <c:v>11822.78992823288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163744"/>
        <c:axId val="240167136"/>
      </c:scatterChart>
      <c:valAx>
        <c:axId val="240163744"/>
        <c:scaling>
          <c:orientation val="minMax"/>
          <c:max val="2012.0"/>
          <c:min val="1965.0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96742671009772"/>
              <c:y val="0.90110005480084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167136"/>
        <c:crosses val="autoZero"/>
        <c:crossBetween val="midCat"/>
        <c:majorUnit val="5.0"/>
        <c:minorUnit val="1.0"/>
      </c:valAx>
      <c:valAx>
        <c:axId val="240167136"/>
        <c:scaling>
          <c:orientation val="minMax"/>
          <c:max val="15000.0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163744"/>
        <c:crosses val="autoZero"/>
        <c:crossBetween val="midCat"/>
        <c:majorUnit val="4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  <c:userShapes r:id="rId1"/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86319218241044"/>
          <c:y val="0.06043964151523"/>
          <c:w val="0.912052117263844"/>
          <c:h val="0.82142967332063"/>
        </c:manualLayout>
      </c:layout>
      <c:scatterChart>
        <c:scatterStyle val="lineMarker"/>
        <c:varyColors val="0"/>
        <c:ser>
          <c:idx val="0"/>
          <c:order val="0"/>
          <c:tx>
            <c:strRef>
              <c:f>pm.rep!$B$814</c:f>
              <c:strCache>
                <c:ptCount val="1"/>
                <c:pt idx="0">
                  <c:v>0.80157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pm.rep!$A$815:$A$837</c:f>
              <c:numCache>
                <c:formatCode>General</c:formatCode>
                <c:ptCount val="23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  <c:pt idx="22">
                  <c:v>2005.0</c:v>
                </c:pt>
              </c:numCache>
            </c:numRef>
          </c:xVal>
          <c:yVal>
            <c:numRef>
              <c:f>pm.rep!$B$814:$B$841</c:f>
              <c:numCache>
                <c:formatCode>General</c:formatCode>
                <c:ptCount val="28"/>
                <c:pt idx="0">
                  <c:v>0.80157</c:v>
                </c:pt>
                <c:pt idx="1">
                  <c:v>1.30878</c:v>
                </c:pt>
                <c:pt idx="2">
                  <c:v>0.887434</c:v>
                </c:pt>
                <c:pt idx="3">
                  <c:v>0.962802</c:v>
                </c:pt>
                <c:pt idx="4">
                  <c:v>0.660695</c:v>
                </c:pt>
                <c:pt idx="5">
                  <c:v>1.36387</c:v>
                </c:pt>
                <c:pt idx="6">
                  <c:v>0.937347</c:v>
                </c:pt>
                <c:pt idx="7">
                  <c:v>1.26377</c:v>
                </c:pt>
                <c:pt idx="8">
                  <c:v>1.03611</c:v>
                </c:pt>
                <c:pt idx="9">
                  <c:v>1.21835</c:v>
                </c:pt>
                <c:pt idx="10">
                  <c:v>0.770515</c:v>
                </c:pt>
                <c:pt idx="11">
                  <c:v>1.31696</c:v>
                </c:pt>
                <c:pt idx="12">
                  <c:v>0.565789</c:v>
                </c:pt>
                <c:pt idx="13">
                  <c:v>0.646255</c:v>
                </c:pt>
                <c:pt idx="14">
                  <c:v>1.44758</c:v>
                </c:pt>
                <c:pt idx="15">
                  <c:v>1.09525</c:v>
                </c:pt>
                <c:pt idx="16">
                  <c:v>1.476</c:v>
                </c:pt>
                <c:pt idx="17">
                  <c:v>0.149056</c:v>
                </c:pt>
                <c:pt idx="18">
                  <c:v>0.870974</c:v>
                </c:pt>
                <c:pt idx="19">
                  <c:v>1.0492</c:v>
                </c:pt>
                <c:pt idx="20">
                  <c:v>1.4319</c:v>
                </c:pt>
                <c:pt idx="21">
                  <c:v>1.62911</c:v>
                </c:pt>
                <c:pt idx="22">
                  <c:v>1.4676</c:v>
                </c:pt>
                <c:pt idx="23">
                  <c:v>1.49988</c:v>
                </c:pt>
                <c:pt idx="24">
                  <c:v>0.651584</c:v>
                </c:pt>
                <c:pt idx="25">
                  <c:v>0.644704</c:v>
                </c:pt>
                <c:pt idx="26">
                  <c:v>0.407247</c:v>
                </c:pt>
                <c:pt idx="27">
                  <c:v>0.439672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pm.rep!$C$814</c:f>
              <c:strCache>
                <c:ptCount val="1"/>
                <c:pt idx="0">
                  <c:v>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pm.rep!$A$815:$A$837</c:f>
              <c:numCache>
                <c:formatCode>General</c:formatCode>
                <c:ptCount val="23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  <c:pt idx="22">
                  <c:v>2005.0</c:v>
                </c:pt>
              </c:numCache>
            </c:numRef>
          </c:xVal>
          <c:yVal>
            <c:numRef>
              <c:f>pm.rep!$C$815:$C$837</c:f>
              <c:numCache>
                <c:formatCode>General</c:formatCode>
                <c:ptCount val="2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pm.rep!$D$814</c:f>
              <c:strCache>
                <c:ptCount val="1"/>
                <c:pt idx="0">
                  <c:v>1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pm.rep!$A$814:$A$841</c:f>
              <c:numCache>
                <c:formatCode>General</c:formatCode>
                <c:ptCount val="28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</c:numCache>
            </c:numRef>
          </c:xVal>
          <c:yVal>
            <c:numRef>
              <c:f>pm.rep!$D$814:$D$841</c:f>
              <c:numCache>
                <c:formatCode>General</c:formatCode>
                <c:ptCount val="2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01808"/>
        <c:axId val="240204128"/>
      </c:scatterChart>
      <c:valAx>
        <c:axId val="240201808"/>
        <c:scaling>
          <c:orientation val="minMax"/>
          <c:max val="2005.0"/>
          <c:min val="1980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204128"/>
        <c:crossesAt val="-2.0"/>
        <c:crossBetween val="midCat"/>
      </c:valAx>
      <c:valAx>
        <c:axId val="240204128"/>
        <c:scaling>
          <c:orientation val="minMax"/>
          <c:max val="2.0"/>
          <c:min val="-2.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201808"/>
        <c:crosses val="autoZero"/>
        <c:crossBetween val="midCat"/>
        <c:maj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3583061889251"/>
          <c:y val="0.695055810331401"/>
          <c:w val="0.154723127035831"/>
          <c:h val="0.1593409477661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95765472312713"/>
          <c:y val="0.0989012315703763"/>
          <c:w val="0.881107491856678"/>
          <c:h val="0.744506493210333"/>
        </c:manualLayout>
      </c:layout>
      <c:scatterChart>
        <c:scatterStyle val="lineMarker"/>
        <c:varyColors val="0"/>
        <c:ser>
          <c:idx val="1"/>
          <c:order val="0"/>
          <c:tx>
            <c:strRef>
              <c:f>pm.rep!$C$814</c:f>
              <c:strCache>
                <c:ptCount val="1"/>
                <c:pt idx="0">
                  <c:v>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pm.rep!$A$815:$A$836</c:f>
              <c:numCache>
                <c:formatCode>General</c:formatCode>
                <c:ptCount val="22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</c:numCache>
            </c:numRef>
          </c:xVal>
          <c:yVal>
            <c:numRef>
              <c:f>pm.rep!$C$815:$C$836</c:f>
              <c:numCache>
                <c:formatCode>General</c:formatCode>
                <c:ptCount val="2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pm.rep!$D$814</c:f>
              <c:strCache>
                <c:ptCount val="1"/>
                <c:pt idx="0">
                  <c:v>1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pm.rep!$A$815:$A$836</c:f>
              <c:numCache>
                <c:formatCode>General</c:formatCode>
                <c:ptCount val="22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</c:numCache>
            </c:numRef>
          </c:xVal>
          <c:yVal>
            <c:numRef>
              <c:f>pm.rep!$D$815:$D$836</c:f>
              <c:numCache>
                <c:formatCode>General</c:formatCode>
                <c:ptCount val="2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25808"/>
        <c:axId val="240228128"/>
      </c:scatterChart>
      <c:valAx>
        <c:axId val="24022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228128"/>
        <c:crossesAt val="-2.0"/>
        <c:crossBetween val="midCat"/>
      </c:valAx>
      <c:valAx>
        <c:axId val="24022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2258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3387622149837"/>
          <c:y val="0.596154711430302"/>
          <c:w val="0.125407166123778"/>
          <c:h val="0.1098903983155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80008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class </a:t>
            </a:r>
          </a:p>
        </c:rich>
      </c:tx>
      <c:layout>
        <c:manualLayout>
          <c:xMode val="edge"/>
          <c:yMode val="edge"/>
          <c:x val="0.46742448724854"/>
          <c:y val="0.9111580283233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123778501629"/>
          <c:y val="0.087912205840334"/>
          <c:w val="0.79967426710098"/>
          <c:h val="0.73077021104778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C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StdDev!$H$2:$H$50</c:f>
              <c:numCache>
                <c:formatCode>General</c:formatCode>
                <c:ptCount val="49"/>
                <c:pt idx="0">
                  <c:v>1963.0</c:v>
                </c:pt>
                <c:pt idx="1">
                  <c:v>1964.0</c:v>
                </c:pt>
                <c:pt idx="2">
                  <c:v>1965.0</c:v>
                </c:pt>
                <c:pt idx="3">
                  <c:v>1966.0</c:v>
                </c:pt>
                <c:pt idx="4">
                  <c:v>1967.0</c:v>
                </c:pt>
                <c:pt idx="5">
                  <c:v>1968.0</c:v>
                </c:pt>
                <c:pt idx="6">
                  <c:v>1969.0</c:v>
                </c:pt>
                <c:pt idx="7">
                  <c:v>1970.0</c:v>
                </c:pt>
                <c:pt idx="8">
                  <c:v>1971.0</c:v>
                </c:pt>
                <c:pt idx="9">
                  <c:v>1972.0</c:v>
                </c:pt>
                <c:pt idx="10">
                  <c:v>1973.0</c:v>
                </c:pt>
                <c:pt idx="11">
                  <c:v>1974.0</c:v>
                </c:pt>
                <c:pt idx="12">
                  <c:v>1975.0</c:v>
                </c:pt>
                <c:pt idx="13">
                  <c:v>1976.0</c:v>
                </c:pt>
                <c:pt idx="14">
                  <c:v>1977.0</c:v>
                </c:pt>
                <c:pt idx="15">
                  <c:v>1978.0</c:v>
                </c:pt>
                <c:pt idx="16">
                  <c:v>1979.0</c:v>
                </c:pt>
                <c:pt idx="17">
                  <c:v>1980.0</c:v>
                </c:pt>
                <c:pt idx="18">
                  <c:v>1981.0</c:v>
                </c:pt>
                <c:pt idx="19">
                  <c:v>1982.0</c:v>
                </c:pt>
                <c:pt idx="20">
                  <c:v>1983.0</c:v>
                </c:pt>
                <c:pt idx="21">
                  <c:v>1984.0</c:v>
                </c:pt>
                <c:pt idx="22">
                  <c:v>1985.0</c:v>
                </c:pt>
                <c:pt idx="23">
                  <c:v>1986.0</c:v>
                </c:pt>
                <c:pt idx="24">
                  <c:v>1987.0</c:v>
                </c:pt>
                <c:pt idx="25">
                  <c:v>1988.0</c:v>
                </c:pt>
                <c:pt idx="26">
                  <c:v>1989.0</c:v>
                </c:pt>
                <c:pt idx="27">
                  <c:v>1990.0</c:v>
                </c:pt>
                <c:pt idx="28">
                  <c:v>1991.0</c:v>
                </c:pt>
                <c:pt idx="29">
                  <c:v>1992.0</c:v>
                </c:pt>
                <c:pt idx="30">
                  <c:v>1993.0</c:v>
                </c:pt>
                <c:pt idx="31">
                  <c:v>1994.0</c:v>
                </c:pt>
                <c:pt idx="32">
                  <c:v>1995.0</c:v>
                </c:pt>
                <c:pt idx="33">
                  <c:v>1996.0</c:v>
                </c:pt>
                <c:pt idx="34">
                  <c:v>1997.0</c:v>
                </c:pt>
                <c:pt idx="35">
                  <c:v>1998.0</c:v>
                </c:pt>
                <c:pt idx="36">
                  <c:v>1999.0</c:v>
                </c:pt>
                <c:pt idx="37">
                  <c:v>2000.0</c:v>
                </c:pt>
                <c:pt idx="38">
                  <c:v>2001.0</c:v>
                </c:pt>
                <c:pt idx="39">
                  <c:v>2002.0</c:v>
                </c:pt>
                <c:pt idx="40">
                  <c:v>2003.0</c:v>
                </c:pt>
                <c:pt idx="41">
                  <c:v>2004.0</c:v>
                </c:pt>
                <c:pt idx="42">
                  <c:v>2005.0</c:v>
                </c:pt>
                <c:pt idx="43">
                  <c:v>2006.0</c:v>
                </c:pt>
                <c:pt idx="44">
                  <c:v>2007.0</c:v>
                </c:pt>
                <c:pt idx="45">
                  <c:v>2008.0</c:v>
                </c:pt>
                <c:pt idx="46">
                  <c:v>2009.0</c:v>
                </c:pt>
                <c:pt idx="47">
                  <c:v>2010.0</c:v>
                </c:pt>
                <c:pt idx="48">
                  <c:v>2011.0</c:v>
                </c:pt>
              </c:numCache>
            </c:numRef>
          </c:cat>
          <c:val>
            <c:numRef>
              <c:f>StdDev!$E$174:$E$223</c:f>
              <c:numCache>
                <c:formatCode>#,##0</c:formatCode>
                <c:ptCount val="50"/>
                <c:pt idx="0">
                  <c:v>7409.5</c:v>
                </c:pt>
                <c:pt idx="1">
                  <c:v>22290.0</c:v>
                </c:pt>
                <c:pt idx="2">
                  <c:v>16499.0</c:v>
                </c:pt>
                <c:pt idx="3">
                  <c:v>27209.0</c:v>
                </c:pt>
                <c:pt idx="4">
                  <c:v>23734.0</c:v>
                </c:pt>
                <c:pt idx="5">
                  <c:v>26781.0</c:v>
                </c:pt>
                <c:pt idx="6">
                  <c:v>23061.0</c:v>
                </c:pt>
                <c:pt idx="7">
                  <c:v>14389.0</c:v>
                </c:pt>
                <c:pt idx="8">
                  <c:v>11932.0</c:v>
                </c:pt>
                <c:pt idx="9">
                  <c:v>26782.0</c:v>
                </c:pt>
                <c:pt idx="10">
                  <c:v>21349.0</c:v>
                </c:pt>
                <c:pt idx="11">
                  <c:v>19146.0</c:v>
                </c:pt>
                <c:pt idx="12">
                  <c:v>14795.0</c:v>
                </c:pt>
                <c:pt idx="13">
                  <c:v>15612.0</c:v>
                </c:pt>
                <c:pt idx="14">
                  <c:v>28474.0</c:v>
                </c:pt>
                <c:pt idx="15">
                  <c:v>67784.0</c:v>
                </c:pt>
                <c:pt idx="16">
                  <c:v>27425.0</c:v>
                </c:pt>
                <c:pt idx="17">
                  <c:v>30874.0</c:v>
                </c:pt>
                <c:pt idx="18">
                  <c:v>16332.0</c:v>
                </c:pt>
                <c:pt idx="19">
                  <c:v>50333.0</c:v>
                </c:pt>
                <c:pt idx="20">
                  <c:v>12734.0</c:v>
                </c:pt>
                <c:pt idx="21">
                  <c:v>32660.0</c:v>
                </c:pt>
                <c:pt idx="22">
                  <c:v>13941.0</c:v>
                </c:pt>
                <c:pt idx="23">
                  <c:v>7729.4</c:v>
                </c:pt>
                <c:pt idx="24">
                  <c:v>5433.1</c:v>
                </c:pt>
                <c:pt idx="25">
                  <c:v>11458.0</c:v>
                </c:pt>
                <c:pt idx="26">
                  <c:v>49809.0</c:v>
                </c:pt>
                <c:pt idx="27">
                  <c:v>26087.0</c:v>
                </c:pt>
                <c:pt idx="28">
                  <c:v>23039.0</c:v>
                </c:pt>
                <c:pt idx="29">
                  <c:v>47645.0</c:v>
                </c:pt>
                <c:pt idx="30">
                  <c:v>15411.0</c:v>
                </c:pt>
                <c:pt idx="31">
                  <c:v>10725.0</c:v>
                </c:pt>
                <c:pt idx="32">
                  <c:v>22872.0</c:v>
                </c:pt>
                <c:pt idx="33">
                  <c:v>31391.0</c:v>
                </c:pt>
                <c:pt idx="34">
                  <c:v>15821.0</c:v>
                </c:pt>
                <c:pt idx="35">
                  <c:v>17291.0</c:v>
                </c:pt>
                <c:pt idx="36">
                  <c:v>26883.0</c:v>
                </c:pt>
                <c:pt idx="37">
                  <c:v>36321.0</c:v>
                </c:pt>
                <c:pt idx="38">
                  <c:v>23454.0</c:v>
                </c:pt>
                <c:pt idx="39">
                  <c:v>14150.0</c:v>
                </c:pt>
                <c:pt idx="40">
                  <c:v>6358.9</c:v>
                </c:pt>
                <c:pt idx="41">
                  <c:v>4422.2</c:v>
                </c:pt>
                <c:pt idx="42">
                  <c:v>11401.0</c:v>
                </c:pt>
                <c:pt idx="43">
                  <c:v>27094.0</c:v>
                </c:pt>
                <c:pt idx="44">
                  <c:v>15205.0</c:v>
                </c:pt>
                <c:pt idx="45">
                  <c:v>62011.0</c:v>
                </c:pt>
                <c:pt idx="46">
                  <c:v>23818.0</c:v>
                </c:pt>
                <c:pt idx="47">
                  <c:v>16973.0</c:v>
                </c:pt>
                <c:pt idx="48">
                  <c:v>10626.0</c:v>
                </c:pt>
                <c:pt idx="49">
                  <c:v>36897.0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40264800"/>
        <c:axId val="240267120"/>
      </c:barChart>
      <c:lineChart>
        <c:grouping val="standard"/>
        <c:varyColors val="0"/>
        <c:ser>
          <c:idx val="2"/>
          <c:order val="1"/>
          <c:spPr>
            <a:ln w="28575">
              <a:noFill/>
            </a:ln>
          </c:spPr>
          <c:marker>
            <c:symbol val="dash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StdDev!$H$2:$H$49</c:f>
              <c:numCache>
                <c:formatCode>General</c:formatCode>
                <c:ptCount val="48"/>
                <c:pt idx="0">
                  <c:v>1963.0</c:v>
                </c:pt>
                <c:pt idx="1">
                  <c:v>1964.0</c:v>
                </c:pt>
                <c:pt idx="2">
                  <c:v>1965.0</c:v>
                </c:pt>
                <c:pt idx="3">
                  <c:v>1966.0</c:v>
                </c:pt>
                <c:pt idx="4">
                  <c:v>1967.0</c:v>
                </c:pt>
                <c:pt idx="5">
                  <c:v>1968.0</c:v>
                </c:pt>
                <c:pt idx="6">
                  <c:v>1969.0</c:v>
                </c:pt>
                <c:pt idx="7">
                  <c:v>1970.0</c:v>
                </c:pt>
                <c:pt idx="8">
                  <c:v>1971.0</c:v>
                </c:pt>
                <c:pt idx="9">
                  <c:v>1972.0</c:v>
                </c:pt>
                <c:pt idx="10">
                  <c:v>1973.0</c:v>
                </c:pt>
                <c:pt idx="11">
                  <c:v>1974.0</c:v>
                </c:pt>
                <c:pt idx="12">
                  <c:v>1975.0</c:v>
                </c:pt>
                <c:pt idx="13">
                  <c:v>1976.0</c:v>
                </c:pt>
                <c:pt idx="14">
                  <c:v>1977.0</c:v>
                </c:pt>
                <c:pt idx="15">
                  <c:v>1978.0</c:v>
                </c:pt>
                <c:pt idx="16">
                  <c:v>1979.0</c:v>
                </c:pt>
                <c:pt idx="17">
                  <c:v>1980.0</c:v>
                </c:pt>
                <c:pt idx="18">
                  <c:v>1981.0</c:v>
                </c:pt>
                <c:pt idx="19">
                  <c:v>1982.0</c:v>
                </c:pt>
                <c:pt idx="20">
                  <c:v>1983.0</c:v>
                </c:pt>
                <c:pt idx="21">
                  <c:v>1984.0</c:v>
                </c:pt>
                <c:pt idx="22">
                  <c:v>1985.0</c:v>
                </c:pt>
                <c:pt idx="23">
                  <c:v>1986.0</c:v>
                </c:pt>
                <c:pt idx="24">
                  <c:v>1987.0</c:v>
                </c:pt>
                <c:pt idx="25">
                  <c:v>1988.0</c:v>
                </c:pt>
                <c:pt idx="26">
                  <c:v>1989.0</c:v>
                </c:pt>
                <c:pt idx="27">
                  <c:v>1990.0</c:v>
                </c:pt>
                <c:pt idx="28">
                  <c:v>1991.0</c:v>
                </c:pt>
                <c:pt idx="29">
                  <c:v>1992.0</c:v>
                </c:pt>
                <c:pt idx="30">
                  <c:v>1993.0</c:v>
                </c:pt>
                <c:pt idx="31">
                  <c:v>1994.0</c:v>
                </c:pt>
                <c:pt idx="32">
                  <c:v>1995.0</c:v>
                </c:pt>
                <c:pt idx="33">
                  <c:v>1996.0</c:v>
                </c:pt>
                <c:pt idx="34">
                  <c:v>1997.0</c:v>
                </c:pt>
                <c:pt idx="35">
                  <c:v>1998.0</c:v>
                </c:pt>
                <c:pt idx="36">
                  <c:v>1999.0</c:v>
                </c:pt>
                <c:pt idx="37">
                  <c:v>2000.0</c:v>
                </c:pt>
                <c:pt idx="38">
                  <c:v>2001.0</c:v>
                </c:pt>
                <c:pt idx="39">
                  <c:v>2002.0</c:v>
                </c:pt>
                <c:pt idx="40">
                  <c:v>2003.0</c:v>
                </c:pt>
                <c:pt idx="41">
                  <c:v>2004.0</c:v>
                </c:pt>
                <c:pt idx="42">
                  <c:v>2005.0</c:v>
                </c:pt>
                <c:pt idx="43">
                  <c:v>2006.0</c:v>
                </c:pt>
                <c:pt idx="44">
                  <c:v>2007.0</c:v>
                </c:pt>
                <c:pt idx="45">
                  <c:v>2008.0</c:v>
                </c:pt>
                <c:pt idx="46">
                  <c:v>2009.0</c:v>
                </c:pt>
                <c:pt idx="47">
                  <c:v>2010.0</c:v>
                </c:pt>
              </c:numCache>
            </c:numRef>
          </c:cat>
          <c:val>
            <c:numRef>
              <c:f>StdDev!$F$174:$F$223</c:f>
              <c:numCache>
                <c:formatCode>#,##0</c:formatCode>
                <c:ptCount val="50"/>
                <c:pt idx="0">
                  <c:v>3490.973443011981</c:v>
                </c:pt>
                <c:pt idx="1">
                  <c:v>13239.25043652925</c:v>
                </c:pt>
                <c:pt idx="2">
                  <c:v>8776.76918725141</c:v>
                </c:pt>
                <c:pt idx="3">
                  <c:v>16169.41305351412</c:v>
                </c:pt>
                <c:pt idx="4">
                  <c:v>13645.79190631639</c:v>
                </c:pt>
                <c:pt idx="5">
                  <c:v>16040.62818903779</c:v>
                </c:pt>
                <c:pt idx="6">
                  <c:v>13547.86976599139</c:v>
                </c:pt>
                <c:pt idx="7">
                  <c:v>7705.667638282656</c:v>
                </c:pt>
                <c:pt idx="8">
                  <c:v>6328.0280025942</c:v>
                </c:pt>
                <c:pt idx="9">
                  <c:v>18208.96742397954</c:v>
                </c:pt>
                <c:pt idx="10">
                  <c:v>14703.74036960879</c:v>
                </c:pt>
                <c:pt idx="11">
                  <c:v>13672.6032931375</c:v>
                </c:pt>
                <c:pt idx="12">
                  <c:v>10730.8902187587</c:v>
                </c:pt>
                <c:pt idx="13">
                  <c:v>11826.19115648109</c:v>
                </c:pt>
                <c:pt idx="14">
                  <c:v>23510.96061548061</c:v>
                </c:pt>
                <c:pt idx="15">
                  <c:v>59993.90725672092</c:v>
                </c:pt>
                <c:pt idx="16">
                  <c:v>23111.41352190333</c:v>
                </c:pt>
                <c:pt idx="17">
                  <c:v>26320.92429546876</c:v>
                </c:pt>
                <c:pt idx="18">
                  <c:v>13272.59101661582</c:v>
                </c:pt>
                <c:pt idx="19">
                  <c:v>44642.60473833264</c:v>
                </c:pt>
                <c:pt idx="20">
                  <c:v>10286.77516946005</c:v>
                </c:pt>
                <c:pt idx="21">
                  <c:v>28597.3906099998</c:v>
                </c:pt>
                <c:pt idx="22">
                  <c:v>11587.26028016937</c:v>
                </c:pt>
                <c:pt idx="23">
                  <c:v>6133.544781664345</c:v>
                </c:pt>
                <c:pt idx="24">
                  <c:v>4219.496032992352</c:v>
                </c:pt>
                <c:pt idx="25">
                  <c:v>9598.983912420053</c:v>
                </c:pt>
                <c:pt idx="26">
                  <c:v>45916.58654005188</c:v>
                </c:pt>
                <c:pt idx="27">
                  <c:v>23235.19158525785</c:v>
                </c:pt>
                <c:pt idx="28">
                  <c:v>20314.33462845931</c:v>
                </c:pt>
                <c:pt idx="29">
                  <c:v>43499.21556962746</c:v>
                </c:pt>
                <c:pt idx="30">
                  <c:v>13383.81620915532</c:v>
                </c:pt>
                <c:pt idx="31">
                  <c:v>9177.63375005883</c:v>
                </c:pt>
                <c:pt idx="32">
                  <c:v>20595.8308447267</c:v>
                </c:pt>
                <c:pt idx="33">
                  <c:v>28689.96291441654</c:v>
                </c:pt>
                <c:pt idx="34">
                  <c:v>13989.58667355764</c:v>
                </c:pt>
                <c:pt idx="35">
                  <c:v>15364.94987742624</c:v>
                </c:pt>
                <c:pt idx="36">
                  <c:v>24429.36309991315</c:v>
                </c:pt>
                <c:pt idx="37">
                  <c:v>33611.26517280715</c:v>
                </c:pt>
                <c:pt idx="38">
                  <c:v>21361.49307704062</c:v>
                </c:pt>
                <c:pt idx="39">
                  <c:v>12650.76486071329</c:v>
                </c:pt>
                <c:pt idx="40">
                  <c:v>5414.538273541076</c:v>
                </c:pt>
                <c:pt idx="41">
                  <c:v>3652.954076358019</c:v>
                </c:pt>
                <c:pt idx="42">
                  <c:v>9923.372840423915</c:v>
                </c:pt>
                <c:pt idx="43">
                  <c:v>23804.02662957144</c:v>
                </c:pt>
                <c:pt idx="44">
                  <c:v>12406.96087985851</c:v>
                </c:pt>
                <c:pt idx="45">
                  <c:v>51619.94162146639</c:v>
                </c:pt>
                <c:pt idx="46">
                  <c:v>18232.30367515828</c:v>
                </c:pt>
                <c:pt idx="47">
                  <c:v>11928.57389694372</c:v>
                </c:pt>
                <c:pt idx="48">
                  <c:v>6427.9508305424</c:v>
                </c:pt>
                <c:pt idx="49">
                  <c:v>25525.46853661054</c:v>
                </c:pt>
              </c:numCache>
            </c:numRef>
          </c:val>
          <c:smooth val="0"/>
        </c:ser>
        <c:ser>
          <c:idx val="3"/>
          <c:order val="2"/>
          <c:spPr>
            <a:ln w="28575">
              <a:noFill/>
            </a:ln>
          </c:spPr>
          <c:marker>
            <c:symbol val="dash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StdDev!$H$2:$H$49</c:f>
              <c:numCache>
                <c:formatCode>General</c:formatCode>
                <c:ptCount val="48"/>
                <c:pt idx="0">
                  <c:v>1963.0</c:v>
                </c:pt>
                <c:pt idx="1">
                  <c:v>1964.0</c:v>
                </c:pt>
                <c:pt idx="2">
                  <c:v>1965.0</c:v>
                </c:pt>
                <c:pt idx="3">
                  <c:v>1966.0</c:v>
                </c:pt>
                <c:pt idx="4">
                  <c:v>1967.0</c:v>
                </c:pt>
                <c:pt idx="5">
                  <c:v>1968.0</c:v>
                </c:pt>
                <c:pt idx="6">
                  <c:v>1969.0</c:v>
                </c:pt>
                <c:pt idx="7">
                  <c:v>1970.0</c:v>
                </c:pt>
                <c:pt idx="8">
                  <c:v>1971.0</c:v>
                </c:pt>
                <c:pt idx="9">
                  <c:v>1972.0</c:v>
                </c:pt>
                <c:pt idx="10">
                  <c:v>1973.0</c:v>
                </c:pt>
                <c:pt idx="11">
                  <c:v>1974.0</c:v>
                </c:pt>
                <c:pt idx="12">
                  <c:v>1975.0</c:v>
                </c:pt>
                <c:pt idx="13">
                  <c:v>1976.0</c:v>
                </c:pt>
                <c:pt idx="14">
                  <c:v>1977.0</c:v>
                </c:pt>
                <c:pt idx="15">
                  <c:v>1978.0</c:v>
                </c:pt>
                <c:pt idx="16">
                  <c:v>1979.0</c:v>
                </c:pt>
                <c:pt idx="17">
                  <c:v>1980.0</c:v>
                </c:pt>
                <c:pt idx="18">
                  <c:v>1981.0</c:v>
                </c:pt>
                <c:pt idx="19">
                  <c:v>1982.0</c:v>
                </c:pt>
                <c:pt idx="20">
                  <c:v>1983.0</c:v>
                </c:pt>
                <c:pt idx="21">
                  <c:v>1984.0</c:v>
                </c:pt>
                <c:pt idx="22">
                  <c:v>1985.0</c:v>
                </c:pt>
                <c:pt idx="23">
                  <c:v>1986.0</c:v>
                </c:pt>
                <c:pt idx="24">
                  <c:v>1987.0</c:v>
                </c:pt>
                <c:pt idx="25">
                  <c:v>1988.0</c:v>
                </c:pt>
                <c:pt idx="26">
                  <c:v>1989.0</c:v>
                </c:pt>
                <c:pt idx="27">
                  <c:v>1990.0</c:v>
                </c:pt>
                <c:pt idx="28">
                  <c:v>1991.0</c:v>
                </c:pt>
                <c:pt idx="29">
                  <c:v>1992.0</c:v>
                </c:pt>
                <c:pt idx="30">
                  <c:v>1993.0</c:v>
                </c:pt>
                <c:pt idx="31">
                  <c:v>1994.0</c:v>
                </c:pt>
                <c:pt idx="32">
                  <c:v>1995.0</c:v>
                </c:pt>
                <c:pt idx="33">
                  <c:v>1996.0</c:v>
                </c:pt>
                <c:pt idx="34">
                  <c:v>1997.0</c:v>
                </c:pt>
                <c:pt idx="35">
                  <c:v>1998.0</c:v>
                </c:pt>
                <c:pt idx="36">
                  <c:v>1999.0</c:v>
                </c:pt>
                <c:pt idx="37">
                  <c:v>2000.0</c:v>
                </c:pt>
                <c:pt idx="38">
                  <c:v>2001.0</c:v>
                </c:pt>
                <c:pt idx="39">
                  <c:v>2002.0</c:v>
                </c:pt>
                <c:pt idx="40">
                  <c:v>2003.0</c:v>
                </c:pt>
                <c:pt idx="41">
                  <c:v>2004.0</c:v>
                </c:pt>
                <c:pt idx="42">
                  <c:v>2005.0</c:v>
                </c:pt>
                <c:pt idx="43">
                  <c:v>2006.0</c:v>
                </c:pt>
                <c:pt idx="44">
                  <c:v>2007.0</c:v>
                </c:pt>
                <c:pt idx="45">
                  <c:v>2008.0</c:v>
                </c:pt>
                <c:pt idx="46">
                  <c:v>2009.0</c:v>
                </c:pt>
                <c:pt idx="47">
                  <c:v>2010.0</c:v>
                </c:pt>
              </c:numCache>
            </c:numRef>
          </c:cat>
          <c:val>
            <c:numRef>
              <c:f>StdDev!$G$174:$G$223</c:f>
              <c:numCache>
                <c:formatCode>#,##0</c:formatCode>
                <c:ptCount val="50"/>
                <c:pt idx="0">
                  <c:v>15726.47032302605</c:v>
                </c:pt>
                <c:pt idx="1">
                  <c:v>37528.11402593655</c:v>
                </c:pt>
                <c:pt idx="2">
                  <c:v>31015.62718493333</c:v>
                </c:pt>
                <c:pt idx="3">
                  <c:v>45785.81044035505</c:v>
                </c:pt>
                <c:pt idx="4">
                  <c:v>41280.32728824314</c:v>
                </c:pt>
                <c:pt idx="5">
                  <c:v>44712.83496803146</c:v>
                </c:pt>
                <c:pt idx="6">
                  <c:v>39254.1211412423</c:v>
                </c:pt>
                <c:pt idx="7">
                  <c:v>26868.96589873466</c:v>
                </c:pt>
                <c:pt idx="8">
                  <c:v>22498.7348257046</c:v>
                </c:pt>
                <c:pt idx="9">
                  <c:v>39391.33435185424</c:v>
                </c:pt>
                <c:pt idx="10">
                  <c:v>30997.54141075918</c:v>
                </c:pt>
                <c:pt idx="11">
                  <c:v>26810.49893285406</c:v>
                </c:pt>
                <c:pt idx="12">
                  <c:v>20398.3099759379</c:v>
                </c:pt>
                <c:pt idx="13">
                  <c:v>20609.72470129797</c:v>
                </c:pt>
                <c:pt idx="14">
                  <c:v>34484.71073811232</c:v>
                </c:pt>
                <c:pt idx="15">
                  <c:v>76585.62120881488</c:v>
                </c:pt>
                <c:pt idx="16">
                  <c:v>32543.68774489647</c:v>
                </c:pt>
                <c:pt idx="17">
                  <c:v>36214.68096255638</c:v>
                </c:pt>
                <c:pt idx="18">
                  <c:v>20096.62044630759</c:v>
                </c:pt>
                <c:pt idx="19">
                  <c:v>56748.72476302153</c:v>
                </c:pt>
                <c:pt idx="20">
                  <c:v>15763.41985984238</c:v>
                </c:pt>
                <c:pt idx="21">
                  <c:v>37299.75278328401</c:v>
                </c:pt>
                <c:pt idx="22">
                  <c:v>16772.85883813418</c:v>
                </c:pt>
                <c:pt idx="23">
                  <c:v>9740.47251413211</c:v>
                </c:pt>
                <c:pt idx="24">
                  <c:v>6995.758588038353</c:v>
                </c:pt>
                <c:pt idx="25">
                  <c:v>13677.04802902423</c:v>
                </c:pt>
                <c:pt idx="26">
                  <c:v>54031.3788098325</c:v>
                </c:pt>
                <c:pt idx="27">
                  <c:v>29288.82968332313</c:v>
                </c:pt>
                <c:pt idx="28">
                  <c:v>26129.11181724769</c:v>
                </c:pt>
                <c:pt idx="29">
                  <c:v>52185.90715426644</c:v>
                </c:pt>
                <c:pt idx="30">
                  <c:v>17745.23179999564</c:v>
                </c:pt>
                <c:pt idx="31">
                  <c:v>12533.25509957974</c:v>
                </c:pt>
                <c:pt idx="32">
                  <c:v>25399.72230029945</c:v>
                </c:pt>
                <c:pt idx="33">
                  <c:v>34346.32815453535</c:v>
                </c:pt>
                <c:pt idx="34">
                  <c:v>17892.1684279001</c:v>
                </c:pt>
                <c:pt idx="35">
                  <c:v>19458.48723133495</c:v>
                </c:pt>
                <c:pt idx="36">
                  <c:v>29583.07533619529</c:v>
                </c:pt>
                <c:pt idx="37">
                  <c:v>39249.19321594884</c:v>
                </c:pt>
                <c:pt idx="38">
                  <c:v>25751.48253991843</c:v>
                </c:pt>
                <c:pt idx="39">
                  <c:v>15826.90866556118</c:v>
                </c:pt>
                <c:pt idx="40">
                  <c:v>7467.96996663491</c:v>
                </c:pt>
                <c:pt idx="41">
                  <c:v>5353.435173621757</c:v>
                </c:pt>
                <c:pt idx="42">
                  <c:v>13098.65134468204</c:v>
                </c:pt>
                <c:pt idx="43">
                  <c:v>30838.68319522277</c:v>
                </c:pt>
                <c:pt idx="44">
                  <c:v>18634.05770669574</c:v>
                </c:pt>
                <c:pt idx="45">
                  <c:v>74493.771209553</c:v>
                </c:pt>
                <c:pt idx="46">
                  <c:v>31114.9448861445</c:v>
                </c:pt>
                <c:pt idx="47">
                  <c:v>24150.64294264138</c:v>
                </c:pt>
                <c:pt idx="48">
                  <c:v>17565.76535456671</c:v>
                </c:pt>
                <c:pt idx="49">
                  <c:v>53334.51987560558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3175">
              <a:solidFill>
                <a:srgbClr val="000000"/>
              </a:solidFill>
              <a:prstDash val="solid"/>
            </a:ln>
          </c:spPr>
        </c:hiLowLines>
        <c:marker val="1"/>
        <c:smooth val="0"/>
        <c:axId val="240264800"/>
        <c:axId val="240267120"/>
      </c:lineChart>
      <c:lineChart>
        <c:grouping val="standard"/>
        <c:varyColors val="0"/>
        <c:ser>
          <c:idx val="0"/>
          <c:order val="3"/>
          <c:tx>
            <c:v>Mean value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Summary!$C$48:$C$94</c:f>
              <c:numCache>
                <c:formatCode>General</c:formatCode>
                <c:ptCount val="47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</c:numCache>
            </c:numRef>
          </c:cat>
          <c:val>
            <c:numRef>
              <c:f>StdDev!$H$174:$H$221</c:f>
              <c:numCache>
                <c:formatCode>_(* #,##0_);_(* \(#,##0\);_(* "-"??_);_(@_)</c:formatCode>
                <c:ptCount val="48"/>
                <c:pt idx="0">
                  <c:v>23095.37450980392</c:v>
                </c:pt>
                <c:pt idx="1">
                  <c:v>23095.37450980392</c:v>
                </c:pt>
                <c:pt idx="2">
                  <c:v>23095.37450980392</c:v>
                </c:pt>
                <c:pt idx="3">
                  <c:v>23095.37450980392</c:v>
                </c:pt>
                <c:pt idx="4">
                  <c:v>23095.37450980392</c:v>
                </c:pt>
                <c:pt idx="5">
                  <c:v>23095.37450980392</c:v>
                </c:pt>
                <c:pt idx="6">
                  <c:v>23095.37450980392</c:v>
                </c:pt>
                <c:pt idx="7">
                  <c:v>23095.37450980392</c:v>
                </c:pt>
                <c:pt idx="8">
                  <c:v>23095.37450980392</c:v>
                </c:pt>
                <c:pt idx="9">
                  <c:v>23095.37450980392</c:v>
                </c:pt>
                <c:pt idx="10">
                  <c:v>23095.37450980392</c:v>
                </c:pt>
                <c:pt idx="11">
                  <c:v>23095.37450980392</c:v>
                </c:pt>
                <c:pt idx="12">
                  <c:v>23095.37450980392</c:v>
                </c:pt>
                <c:pt idx="13">
                  <c:v>23095.37450980392</c:v>
                </c:pt>
                <c:pt idx="14">
                  <c:v>23095.37450980392</c:v>
                </c:pt>
                <c:pt idx="15">
                  <c:v>23095.37450980392</c:v>
                </c:pt>
                <c:pt idx="16">
                  <c:v>23095.37450980392</c:v>
                </c:pt>
                <c:pt idx="17">
                  <c:v>23095.37450980392</c:v>
                </c:pt>
                <c:pt idx="18">
                  <c:v>23095.37450980392</c:v>
                </c:pt>
                <c:pt idx="19">
                  <c:v>23095.37450980392</c:v>
                </c:pt>
                <c:pt idx="20">
                  <c:v>23095.37450980392</c:v>
                </c:pt>
                <c:pt idx="21">
                  <c:v>23095.37450980392</c:v>
                </c:pt>
                <c:pt idx="22">
                  <c:v>23095.37450980392</c:v>
                </c:pt>
                <c:pt idx="23">
                  <c:v>23095.37450980392</c:v>
                </c:pt>
                <c:pt idx="24">
                  <c:v>23095.37450980392</c:v>
                </c:pt>
                <c:pt idx="25">
                  <c:v>23095.37450980392</c:v>
                </c:pt>
                <c:pt idx="26">
                  <c:v>23095.37450980392</c:v>
                </c:pt>
                <c:pt idx="27">
                  <c:v>23095.37450980392</c:v>
                </c:pt>
                <c:pt idx="28">
                  <c:v>23095.37450980392</c:v>
                </c:pt>
                <c:pt idx="29">
                  <c:v>23095.37450980392</c:v>
                </c:pt>
                <c:pt idx="30">
                  <c:v>23095.37450980392</c:v>
                </c:pt>
                <c:pt idx="31">
                  <c:v>23095.37450980392</c:v>
                </c:pt>
                <c:pt idx="32">
                  <c:v>23095.37450980392</c:v>
                </c:pt>
                <c:pt idx="33">
                  <c:v>23095.37450980392</c:v>
                </c:pt>
                <c:pt idx="34">
                  <c:v>23095.37450980392</c:v>
                </c:pt>
                <c:pt idx="35">
                  <c:v>23095.37450980392</c:v>
                </c:pt>
                <c:pt idx="36">
                  <c:v>23095.37450980392</c:v>
                </c:pt>
                <c:pt idx="37">
                  <c:v>23095.37450980392</c:v>
                </c:pt>
                <c:pt idx="38">
                  <c:v>23095.37450980392</c:v>
                </c:pt>
                <c:pt idx="39">
                  <c:v>23095.37450980392</c:v>
                </c:pt>
                <c:pt idx="40">
                  <c:v>23095.37450980392</c:v>
                </c:pt>
                <c:pt idx="41">
                  <c:v>23095.37450980392</c:v>
                </c:pt>
                <c:pt idx="42">
                  <c:v>23095.37450980392</c:v>
                </c:pt>
                <c:pt idx="43">
                  <c:v>23095.37450980392</c:v>
                </c:pt>
                <c:pt idx="44">
                  <c:v>23095.37450980392</c:v>
                </c:pt>
                <c:pt idx="45">
                  <c:v>23095.37450980392</c:v>
                </c:pt>
                <c:pt idx="46">
                  <c:v>23095.37450980392</c:v>
                </c:pt>
                <c:pt idx="47">
                  <c:v>23095.37450980392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270512"/>
        <c:axId val="240272832"/>
      </c:lineChart>
      <c:catAx>
        <c:axId val="24026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267120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0267120"/>
        <c:scaling>
          <c:orientation val="minMax"/>
          <c:max val="83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80008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Numbers at age 1</a:t>
                </a:r>
              </a:p>
            </c:rich>
          </c:tx>
          <c:layout>
            <c:manualLayout>
              <c:xMode val="edge"/>
              <c:yMode val="edge"/>
              <c:x val="0.00814332247557003"/>
              <c:y val="0.12912116754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264800"/>
        <c:crosses val="autoZero"/>
        <c:crossBetween val="between"/>
        <c:majorUnit val="25000.0"/>
      </c:valAx>
      <c:catAx>
        <c:axId val="240270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0272832"/>
        <c:crosses val="autoZero"/>
        <c:auto val="0"/>
        <c:lblAlgn val="ctr"/>
        <c:lblOffset val="100"/>
        <c:noMultiLvlLbl val="0"/>
      </c:catAx>
      <c:valAx>
        <c:axId val="240272832"/>
        <c:scaling>
          <c:orientation val="minMax"/>
          <c:max val="100000.0"/>
          <c:min val="0.0"/>
        </c:scaling>
        <c:delete val="1"/>
        <c:axPos val="r"/>
        <c:numFmt formatCode="_(* #,##0_);_(* \(#,##0\);_(* &quot;-&quot;??_);_(@_)" sourceLinked="1"/>
        <c:majorTickMark val="out"/>
        <c:minorTickMark val="none"/>
        <c:tickLblPos val="nextTo"/>
        <c:crossAx val="240270512"/>
        <c:crosses val="max"/>
        <c:crossBetween val="between"/>
        <c:majorUnit val="25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  <c:userShapes r:id="rId1"/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467969598263"/>
          <c:y val="0.0731536901428571"/>
          <c:w val="0.757328990228019"/>
          <c:h val="0.750684931506854"/>
        </c:manualLayout>
      </c:layout>
      <c:scatterChart>
        <c:scatterStyle val="lineMarker"/>
        <c:varyColors val="0"/>
        <c:ser>
          <c:idx val="0"/>
          <c:order val="0"/>
          <c:tx>
            <c:v>Observed</c:v>
          </c:tx>
          <c:spPr>
            <a:ln w="28575">
              <a:noFill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pm.rep!$B$871:$R$871</c:f>
              <c:numCache>
                <c:formatCode>General</c:formatCode>
                <c:ptCount val="17"/>
                <c:pt idx="0">
                  <c:v>69110.0</c:v>
                </c:pt>
                <c:pt idx="1">
                  <c:v>108.0</c:v>
                </c:pt>
                <c:pt idx="2">
                  <c:v>2076.0</c:v>
                </c:pt>
                <c:pt idx="3">
                  <c:v>10.8547</c:v>
                </c:pt>
                <c:pt idx="4">
                  <c:v>639.268</c:v>
                </c:pt>
                <c:pt idx="5">
                  <c:v>452.855</c:v>
                </c:pt>
                <c:pt idx="6">
                  <c:v>972.336</c:v>
                </c:pt>
                <c:pt idx="7">
                  <c:v>12383.8</c:v>
                </c:pt>
                <c:pt idx="8">
                  <c:v>111.866</c:v>
                </c:pt>
                <c:pt idx="9">
                  <c:v>257.922</c:v>
                </c:pt>
                <c:pt idx="10">
                  <c:v>561.314</c:v>
                </c:pt>
                <c:pt idx="11">
                  <c:v>15.7537</c:v>
                </c:pt>
                <c:pt idx="12">
                  <c:v>455.565</c:v>
                </c:pt>
                <c:pt idx="13">
                  <c:v>5588.54</c:v>
                </c:pt>
                <c:pt idx="14">
                  <c:v>36.4815</c:v>
                </c:pt>
                <c:pt idx="15">
                  <c:v>5127.67</c:v>
                </c:pt>
                <c:pt idx="16">
                  <c:v>2525.54</c:v>
                </c:pt>
              </c:numCache>
            </c:numRef>
          </c:xVal>
          <c:yVal>
            <c:numRef>
              <c:f>pm.rep!$B$872:$R$872</c:f>
              <c:numCache>
                <c:formatCode>General</c:formatCode>
                <c:ptCount val="17"/>
                <c:pt idx="0">
                  <c:v>1636.08</c:v>
                </c:pt>
                <c:pt idx="1">
                  <c:v>431.016</c:v>
                </c:pt>
                <c:pt idx="2">
                  <c:v>915.566</c:v>
                </c:pt>
                <c:pt idx="3">
                  <c:v>147.037</c:v>
                </c:pt>
                <c:pt idx="4">
                  <c:v>676.332</c:v>
                </c:pt>
                <c:pt idx="5">
                  <c:v>421.519</c:v>
                </c:pt>
                <c:pt idx="6">
                  <c:v>604.8869999999999</c:v>
                </c:pt>
                <c:pt idx="7">
                  <c:v>824.3440000000001</c:v>
                </c:pt>
                <c:pt idx="8">
                  <c:v>444.91</c:v>
                </c:pt>
                <c:pt idx="9">
                  <c:v>683.4829999999999</c:v>
                </c:pt>
                <c:pt idx="10">
                  <c:v>633.285</c:v>
                </c:pt>
                <c:pt idx="11">
                  <c:v>175.574</c:v>
                </c:pt>
                <c:pt idx="12">
                  <c:v>322.767</c:v>
                </c:pt>
                <c:pt idx="13">
                  <c:v>697.765</c:v>
                </c:pt>
                <c:pt idx="14">
                  <c:v>386.617</c:v>
                </c:pt>
                <c:pt idx="15">
                  <c:v>1505.25</c:v>
                </c:pt>
                <c:pt idx="16">
                  <c:v>594.905</c:v>
                </c:pt>
              </c:numCache>
            </c:numRef>
          </c:yVal>
          <c:smooth val="0"/>
        </c:ser>
        <c:ser>
          <c:idx val="1"/>
          <c:order val="1"/>
          <c:tx>
            <c:v>Predicted</c:v>
          </c:tx>
          <c:spPr>
            <a:ln w="28575">
              <a:noFill/>
            </a:ln>
          </c:spPr>
          <c:marker>
            <c:symbol val="dash"/>
            <c:size val="11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pm.rep!$B$871:$R$871</c:f>
              <c:numCache>
                <c:formatCode>General</c:formatCode>
                <c:ptCount val="17"/>
                <c:pt idx="0">
                  <c:v>69110.0</c:v>
                </c:pt>
                <c:pt idx="1">
                  <c:v>108.0</c:v>
                </c:pt>
                <c:pt idx="2">
                  <c:v>2076.0</c:v>
                </c:pt>
                <c:pt idx="3">
                  <c:v>10.8547</c:v>
                </c:pt>
                <c:pt idx="4">
                  <c:v>639.268</c:v>
                </c:pt>
                <c:pt idx="5">
                  <c:v>452.855</c:v>
                </c:pt>
                <c:pt idx="6">
                  <c:v>972.336</c:v>
                </c:pt>
                <c:pt idx="7">
                  <c:v>12383.8</c:v>
                </c:pt>
                <c:pt idx="8">
                  <c:v>111.866</c:v>
                </c:pt>
                <c:pt idx="9">
                  <c:v>257.922</c:v>
                </c:pt>
                <c:pt idx="10">
                  <c:v>561.314</c:v>
                </c:pt>
                <c:pt idx="11">
                  <c:v>15.7537</c:v>
                </c:pt>
                <c:pt idx="12">
                  <c:v>455.565</c:v>
                </c:pt>
                <c:pt idx="13">
                  <c:v>5588.54</c:v>
                </c:pt>
                <c:pt idx="14">
                  <c:v>36.4815</c:v>
                </c:pt>
                <c:pt idx="15">
                  <c:v>5127.67</c:v>
                </c:pt>
                <c:pt idx="16">
                  <c:v>2525.54</c:v>
                </c:pt>
              </c:numCache>
            </c:numRef>
          </c:xVal>
          <c:yVal>
            <c:numRef>
              <c:f>pm.rep!$B$873:$R$873</c:f>
              <c:numCache>
                <c:formatCode>General</c:formatCode>
                <c:ptCount val="17"/>
                <c:pt idx="0">
                  <c:v>39455.0</c:v>
                </c:pt>
                <c:pt idx="1">
                  <c:v>10394.2</c:v>
                </c:pt>
                <c:pt idx="2">
                  <c:v>22079.4</c:v>
                </c:pt>
                <c:pt idx="3">
                  <c:v>3545.87</c:v>
                </c:pt>
                <c:pt idx="4">
                  <c:v>16310.1</c:v>
                </c:pt>
                <c:pt idx="5">
                  <c:v>10165.2</c:v>
                </c:pt>
                <c:pt idx="6">
                  <c:v>14587.2</c:v>
                </c:pt>
                <c:pt idx="7">
                  <c:v>19879.5</c:v>
                </c:pt>
                <c:pt idx="8">
                  <c:v>10729.3</c:v>
                </c:pt>
                <c:pt idx="9">
                  <c:v>16482.6</c:v>
                </c:pt>
                <c:pt idx="10">
                  <c:v>15272.0</c:v>
                </c:pt>
                <c:pt idx="11">
                  <c:v>4234.07</c:v>
                </c:pt>
                <c:pt idx="12">
                  <c:v>7783.71</c:v>
                </c:pt>
                <c:pt idx="13">
                  <c:v>16827.0</c:v>
                </c:pt>
                <c:pt idx="14">
                  <c:v>9323.49</c:v>
                </c:pt>
                <c:pt idx="15">
                  <c:v>36299.9</c:v>
                </c:pt>
                <c:pt idx="16">
                  <c:v>14346.5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46832"/>
        <c:axId val="448348880"/>
      </c:scatterChart>
      <c:valAx>
        <c:axId val="448346832"/>
        <c:scaling>
          <c:orientation val="minMax"/>
          <c:max val="2010.0"/>
          <c:min val="1980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348880"/>
        <c:crosses val="autoZero"/>
        <c:crossBetween val="midCat"/>
      </c:valAx>
      <c:valAx>
        <c:axId val="448348880"/>
        <c:scaling>
          <c:logBase val="10.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346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09164674891114"/>
          <c:y val="0.622863926648161"/>
          <c:w val="0.175895765472313"/>
          <c:h val="0.15342465753424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Sheet5!$E$25</c:f>
              <c:strCache>
                <c:ptCount val="1"/>
                <c:pt idx="0">
                  <c:v>WHp</c:v>
                </c:pt>
              </c:strCache>
            </c:strRef>
          </c:tx>
          <c:xVal>
            <c:numRef>
              <c:f>Sheet5!$B$26:$B$35</c:f>
              <c:numCache>
                <c:formatCode>General</c:formatCode>
                <c:ptCount val="10"/>
                <c:pt idx="0">
                  <c:v>2013.0</c:v>
                </c:pt>
                <c:pt idx="1">
                  <c:v>2012.0</c:v>
                </c:pt>
                <c:pt idx="2">
                  <c:v>2011.0</c:v>
                </c:pt>
                <c:pt idx="3">
                  <c:v>2010.0</c:v>
                </c:pt>
                <c:pt idx="4">
                  <c:v>2009.0</c:v>
                </c:pt>
                <c:pt idx="5">
                  <c:v>2008.0</c:v>
                </c:pt>
                <c:pt idx="6">
                  <c:v>2007.0</c:v>
                </c:pt>
                <c:pt idx="7">
                  <c:v>2006.0</c:v>
                </c:pt>
                <c:pt idx="8">
                  <c:v>2005.0</c:v>
                </c:pt>
                <c:pt idx="9">
                  <c:v>2004.0</c:v>
                </c:pt>
              </c:numCache>
            </c:numRef>
          </c:xVal>
          <c:yVal>
            <c:numRef>
              <c:f>Sheet5!$E$26:$E$35</c:f>
              <c:numCache>
                <c:formatCode>#,##0</c:formatCode>
                <c:ptCount val="10"/>
                <c:pt idx="0">
                  <c:v>3042.97</c:v>
                </c:pt>
                <c:pt idx="1">
                  <c:v>2240.68</c:v>
                </c:pt>
                <c:pt idx="2">
                  <c:v>2081.38</c:v>
                </c:pt>
                <c:pt idx="3">
                  <c:v>1816.97</c:v>
                </c:pt>
                <c:pt idx="4">
                  <c:v>1521.68</c:v>
                </c:pt>
                <c:pt idx="5">
                  <c:v>1304.42</c:v>
                </c:pt>
                <c:pt idx="6">
                  <c:v>1822.36</c:v>
                </c:pt>
                <c:pt idx="7">
                  <c:v>2140.56</c:v>
                </c:pt>
                <c:pt idx="8">
                  <c:v>2968.11</c:v>
                </c:pt>
                <c:pt idx="9">
                  <c:v>3654.97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Sheet5!$F$25</c:f>
              <c:strCache>
                <c:ptCount val="1"/>
                <c:pt idx="0">
                  <c:v>Peel</c:v>
                </c:pt>
              </c:strCache>
            </c:strRef>
          </c:tx>
          <c:xVal>
            <c:numRef>
              <c:f>Sheet5!$B$26:$B$35</c:f>
              <c:numCache>
                <c:formatCode>General</c:formatCode>
                <c:ptCount val="10"/>
                <c:pt idx="0">
                  <c:v>2013.0</c:v>
                </c:pt>
                <c:pt idx="1">
                  <c:v>2012.0</c:v>
                </c:pt>
                <c:pt idx="2">
                  <c:v>2011.0</c:v>
                </c:pt>
                <c:pt idx="3">
                  <c:v>2010.0</c:v>
                </c:pt>
                <c:pt idx="4">
                  <c:v>2009.0</c:v>
                </c:pt>
                <c:pt idx="5">
                  <c:v>2008.0</c:v>
                </c:pt>
                <c:pt idx="6">
                  <c:v>2007.0</c:v>
                </c:pt>
                <c:pt idx="7">
                  <c:v>2006.0</c:v>
                </c:pt>
                <c:pt idx="8">
                  <c:v>2005.0</c:v>
                </c:pt>
                <c:pt idx="9">
                  <c:v>2004.0</c:v>
                </c:pt>
              </c:numCache>
            </c:numRef>
          </c:xVal>
          <c:yVal>
            <c:numRef>
              <c:f>Sheet5!$F$26:$F$35</c:f>
              <c:numCache>
                <c:formatCode>#,##0</c:formatCode>
                <c:ptCount val="10"/>
                <c:pt idx="0">
                  <c:v>2516.86</c:v>
                </c:pt>
                <c:pt idx="1">
                  <c:v>2321.01</c:v>
                </c:pt>
                <c:pt idx="2">
                  <c:v>2038.07</c:v>
                </c:pt>
                <c:pt idx="3">
                  <c:v>1791.38</c:v>
                </c:pt>
                <c:pt idx="4">
                  <c:v>1390.98</c:v>
                </c:pt>
                <c:pt idx="5">
                  <c:v>1309.29</c:v>
                </c:pt>
                <c:pt idx="6">
                  <c:v>1677.58</c:v>
                </c:pt>
                <c:pt idx="7">
                  <c:v>2363.34</c:v>
                </c:pt>
                <c:pt idx="8">
                  <c:v>3212.52</c:v>
                </c:pt>
                <c:pt idx="9">
                  <c:v>3510.55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Sheet5!$G$25</c:f>
              <c:strCache>
                <c:ptCount val="1"/>
                <c:pt idx="0">
                  <c:v>TermYr</c:v>
                </c:pt>
              </c:strCache>
            </c:strRef>
          </c:tx>
          <c:xVal>
            <c:numRef>
              <c:f>Sheet5!$B$26:$B$35</c:f>
              <c:numCache>
                <c:formatCode>General</c:formatCode>
                <c:ptCount val="10"/>
                <c:pt idx="0">
                  <c:v>2013.0</c:v>
                </c:pt>
                <c:pt idx="1">
                  <c:v>2012.0</c:v>
                </c:pt>
                <c:pt idx="2">
                  <c:v>2011.0</c:v>
                </c:pt>
                <c:pt idx="3">
                  <c:v>2010.0</c:v>
                </c:pt>
                <c:pt idx="4">
                  <c:v>2009.0</c:v>
                </c:pt>
                <c:pt idx="5">
                  <c:v>2008.0</c:v>
                </c:pt>
                <c:pt idx="6">
                  <c:v>2007.0</c:v>
                </c:pt>
                <c:pt idx="7">
                  <c:v>2006.0</c:v>
                </c:pt>
                <c:pt idx="8">
                  <c:v>2005.0</c:v>
                </c:pt>
                <c:pt idx="9">
                  <c:v>2004.0</c:v>
                </c:pt>
              </c:numCache>
            </c:numRef>
          </c:xVal>
          <c:yVal>
            <c:numRef>
              <c:f>Sheet5!$G$26:$G$35</c:f>
              <c:numCache>
                <c:formatCode>#,##0</c:formatCode>
                <c:ptCount val="10"/>
                <c:pt idx="0">
                  <c:v>3042.97</c:v>
                </c:pt>
                <c:pt idx="1">
                  <c:v>2623.08</c:v>
                </c:pt>
                <c:pt idx="2">
                  <c:v>2238.85</c:v>
                </c:pt>
                <c:pt idx="3">
                  <c:v>1862.21</c:v>
                </c:pt>
                <c:pt idx="4">
                  <c:v>1707.77</c:v>
                </c:pt>
                <c:pt idx="5">
                  <c:v>1588.71</c:v>
                </c:pt>
                <c:pt idx="6">
                  <c:v>2173.18</c:v>
                </c:pt>
                <c:pt idx="7">
                  <c:v>2611.67</c:v>
                </c:pt>
                <c:pt idx="8">
                  <c:v>3186.51</c:v>
                </c:pt>
                <c:pt idx="9">
                  <c:v>3490.15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84896"/>
        <c:axId val="240287216"/>
      </c:scatterChart>
      <c:valAx>
        <c:axId val="24028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0287216"/>
        <c:crosses val="autoZero"/>
        <c:crossBetween val="midCat"/>
      </c:valAx>
      <c:valAx>
        <c:axId val="24028721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40284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Sheet5!$B$26:$B$35</c:f>
              <c:numCache>
                <c:formatCode>General</c:formatCode>
                <c:ptCount val="10"/>
                <c:pt idx="0">
                  <c:v>2013.0</c:v>
                </c:pt>
                <c:pt idx="1">
                  <c:v>2012.0</c:v>
                </c:pt>
                <c:pt idx="2">
                  <c:v>2011.0</c:v>
                </c:pt>
                <c:pt idx="3">
                  <c:v>2010.0</c:v>
                </c:pt>
                <c:pt idx="4">
                  <c:v>2009.0</c:v>
                </c:pt>
                <c:pt idx="5">
                  <c:v>2008.0</c:v>
                </c:pt>
                <c:pt idx="6">
                  <c:v>2007.0</c:v>
                </c:pt>
                <c:pt idx="7">
                  <c:v>2006.0</c:v>
                </c:pt>
                <c:pt idx="8">
                  <c:v>2005.0</c:v>
                </c:pt>
                <c:pt idx="9">
                  <c:v>2004.0</c:v>
                </c:pt>
              </c:numCache>
            </c:numRef>
          </c:xVal>
          <c:yVal>
            <c:numRef>
              <c:f>Sheet5!$H$26:$H$35</c:f>
              <c:numCache>
                <c:formatCode>General</c:formatCode>
                <c:ptCount val="10"/>
                <c:pt idx="0">
                  <c:v>0.827106412485171</c:v>
                </c:pt>
                <c:pt idx="1">
                  <c:v>0.88484148405691</c:v>
                </c:pt>
                <c:pt idx="2">
                  <c:v>0.910320030372736</c:v>
                </c:pt>
                <c:pt idx="3">
                  <c:v>0.961964547500013</c:v>
                </c:pt>
                <c:pt idx="4">
                  <c:v>0.814500781721192</c:v>
                </c:pt>
                <c:pt idx="5">
                  <c:v>0.824121457031176</c:v>
                </c:pt>
                <c:pt idx="6">
                  <c:v>0.77194710056231</c:v>
                </c:pt>
                <c:pt idx="7">
                  <c:v>0.90491524580058</c:v>
                </c:pt>
                <c:pt idx="8">
                  <c:v>1.008162535187399</c:v>
                </c:pt>
                <c:pt idx="9">
                  <c:v>1.005845020987637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12496"/>
        <c:axId val="240314816"/>
      </c:scatterChart>
      <c:valAx>
        <c:axId val="24031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0314816"/>
        <c:crosses val="autoZero"/>
        <c:crossBetween val="midCat"/>
      </c:valAx>
      <c:valAx>
        <c:axId val="240314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312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145138140947"/>
          <c:y val="0.0204961578783376"/>
          <c:w val="0.819046871561962"/>
          <c:h val="0.858559142095542"/>
        </c:manualLayout>
      </c:layout>
      <c:scatterChart>
        <c:scatterStyle val="lineMarker"/>
        <c:varyColors val="0"/>
        <c:ser>
          <c:idx val="1"/>
          <c:order val="0"/>
          <c:tx>
            <c:strRef>
              <c:f>'SSB Table'!$K$47</c:f>
              <c:strCache>
                <c:ptCount val="1"/>
                <c:pt idx="0">
                  <c:v>0.6</c:v>
                </c:pt>
              </c:strCache>
            </c:strRef>
          </c:tx>
          <c:xVal>
            <c:numRef>
              <c:f>'SSB Table'!$J$48:$J$53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2019.0</c:v>
                </c:pt>
                <c:pt idx="4">
                  <c:v>2020.0</c:v>
                </c:pt>
                <c:pt idx="5">
                  <c:v>2021.0</c:v>
                </c:pt>
              </c:numCache>
            </c:numRef>
          </c:xVal>
          <c:yVal>
            <c:numRef>
              <c:f>'SSB Table'!$K$48:$K$53</c:f>
              <c:numCache>
                <c:formatCode>#,##0</c:formatCode>
                <c:ptCount val="6"/>
                <c:pt idx="0">
                  <c:v>3483.4</c:v>
                </c:pt>
                <c:pt idx="1">
                  <c:v>3679.3</c:v>
                </c:pt>
                <c:pt idx="2">
                  <c:v>3982.5</c:v>
                </c:pt>
                <c:pt idx="3">
                  <c:v>4169.9</c:v>
                </c:pt>
                <c:pt idx="4">
                  <c:v>4347.6</c:v>
                </c:pt>
                <c:pt idx="5">
                  <c:v>4492.9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'SSB Table'!$L$47</c:f>
              <c:strCache>
                <c:ptCount val="1"/>
                <c:pt idx="0">
                  <c:v>1.2</c:v>
                </c:pt>
              </c:strCache>
            </c:strRef>
          </c:tx>
          <c:xVal>
            <c:numRef>
              <c:f>'SSB Table'!$J$48:$J$53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2019.0</c:v>
                </c:pt>
                <c:pt idx="4">
                  <c:v>2020.0</c:v>
                </c:pt>
                <c:pt idx="5">
                  <c:v>2021.0</c:v>
                </c:pt>
              </c:numCache>
            </c:numRef>
          </c:xVal>
          <c:yVal>
            <c:numRef>
              <c:f>'SSB Table'!$L$48:$L$53</c:f>
              <c:numCache>
                <c:formatCode>#,##0</c:formatCode>
                <c:ptCount val="6"/>
                <c:pt idx="0">
                  <c:v>3483.4</c:v>
                </c:pt>
                <c:pt idx="1">
                  <c:v>3628.5</c:v>
                </c:pt>
                <c:pt idx="2">
                  <c:v>3758.0</c:v>
                </c:pt>
                <c:pt idx="3">
                  <c:v>3792.0</c:v>
                </c:pt>
                <c:pt idx="4">
                  <c:v>3853.8</c:v>
                </c:pt>
                <c:pt idx="5">
                  <c:v>3923.5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'SSB Table'!$M$47</c:f>
              <c:strCache>
                <c:ptCount val="1"/>
                <c:pt idx="0">
                  <c:v>1.6</c:v>
                </c:pt>
              </c:strCache>
            </c:strRef>
          </c:tx>
          <c:xVal>
            <c:numRef>
              <c:f>'SSB Table'!$J$48:$J$53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2019.0</c:v>
                </c:pt>
                <c:pt idx="4">
                  <c:v>2020.0</c:v>
                </c:pt>
                <c:pt idx="5">
                  <c:v>2021.0</c:v>
                </c:pt>
              </c:numCache>
            </c:numRef>
          </c:xVal>
          <c:yVal>
            <c:numRef>
              <c:f>'SSB Table'!$M$48:$M$53</c:f>
              <c:numCache>
                <c:formatCode>#,##0</c:formatCode>
                <c:ptCount val="6"/>
                <c:pt idx="0">
                  <c:v>3483.4</c:v>
                </c:pt>
                <c:pt idx="1">
                  <c:v>3575.6</c:v>
                </c:pt>
                <c:pt idx="2">
                  <c:v>3538.3</c:v>
                </c:pt>
                <c:pt idx="3">
                  <c:v>3443.1</c:v>
                </c:pt>
                <c:pt idx="4">
                  <c:v>3421.0</c:v>
                </c:pt>
                <c:pt idx="5">
                  <c:v>3444.8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'SSB Table'!$N$47</c:f>
              <c:strCache>
                <c:ptCount val="1"/>
                <c:pt idx="0">
                  <c:v>2.0</c:v>
                </c:pt>
              </c:strCache>
            </c:strRef>
          </c:tx>
          <c:xVal>
            <c:numRef>
              <c:f>'SSB Table'!$J$48:$J$53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2019.0</c:v>
                </c:pt>
                <c:pt idx="4">
                  <c:v>2020.0</c:v>
                </c:pt>
                <c:pt idx="5">
                  <c:v>2021.0</c:v>
                </c:pt>
              </c:numCache>
            </c:numRef>
          </c:xVal>
          <c:yVal>
            <c:numRef>
              <c:f>'SSB Table'!$N$48:$N$53</c:f>
              <c:numCache>
                <c:formatCode>#,##0</c:formatCode>
                <c:ptCount val="6"/>
                <c:pt idx="0">
                  <c:v>3483.4</c:v>
                </c:pt>
                <c:pt idx="1">
                  <c:v>3422.9</c:v>
                </c:pt>
                <c:pt idx="2">
                  <c:v>2977.8</c:v>
                </c:pt>
                <c:pt idx="3">
                  <c:v>2646.3</c:v>
                </c:pt>
                <c:pt idx="4">
                  <c:v>2521.4</c:v>
                </c:pt>
                <c:pt idx="5">
                  <c:v>2513.6</c:v>
                </c:pt>
              </c:numCache>
            </c:numRef>
          </c:yVal>
          <c:smooth val="0"/>
        </c:ser>
        <c:ser>
          <c:idx val="11"/>
          <c:order val="4"/>
          <c:spPr>
            <a:ln w="1905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'SSB Table'!$D$65:$D$70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2018.0</c:v>
                </c:pt>
                <c:pt idx="4">
                  <c:v>2019.0</c:v>
                </c:pt>
                <c:pt idx="5">
                  <c:v>2020.0</c:v>
                </c:pt>
              </c:numCache>
            </c:numRef>
          </c:xVal>
          <c:yVal>
            <c:numRef>
              <c:f>'SSB Table'!$H$77:$H$82</c:f>
              <c:numCache>
                <c:formatCode>#,##0</c:formatCode>
                <c:ptCount val="6"/>
                <c:pt idx="0">
                  <c:v>4373.578887820885</c:v>
                </c:pt>
                <c:pt idx="1">
                  <c:v>4621.54686178482</c:v>
                </c:pt>
                <c:pt idx="2">
                  <c:v>4852.695775567473</c:v>
                </c:pt>
                <c:pt idx="3">
                  <c:v>4981.50481527701</c:v>
                </c:pt>
                <c:pt idx="4">
                  <c:v>5479.563514461365</c:v>
                </c:pt>
                <c:pt idx="5">
                  <c:v>6033.131649774334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'SSB Table'!$O$47</c:f>
              <c:strCache>
                <c:ptCount val="1"/>
                <c:pt idx="0">
                  <c:v>1.3</c:v>
                </c:pt>
              </c:strCache>
            </c:strRef>
          </c:tx>
          <c:xVal>
            <c:numRef>
              <c:f>'SSB Table'!$J$48:$J$53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2019.0</c:v>
                </c:pt>
                <c:pt idx="4">
                  <c:v>2020.0</c:v>
                </c:pt>
                <c:pt idx="5">
                  <c:v>2021.0</c:v>
                </c:pt>
              </c:numCache>
            </c:numRef>
          </c:xVal>
          <c:yVal>
            <c:numRef>
              <c:f>'SSB Table'!$O$48:$O$53</c:f>
              <c:numCache>
                <c:formatCode>#,##0</c:formatCode>
                <c:ptCount val="6"/>
                <c:pt idx="0">
                  <c:v>3483.4</c:v>
                </c:pt>
                <c:pt idx="1">
                  <c:v>3611.1</c:v>
                </c:pt>
                <c:pt idx="2">
                  <c:v>3684.2</c:v>
                </c:pt>
                <c:pt idx="3">
                  <c:v>3672.6</c:v>
                </c:pt>
                <c:pt idx="4">
                  <c:v>3703.0</c:v>
                </c:pt>
                <c:pt idx="5">
                  <c:v>3754.6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'SSB Table'!$P$47</c:f>
              <c:strCache>
                <c:ptCount val="1"/>
                <c:pt idx="0">
                  <c:v>1.5</c:v>
                </c:pt>
              </c:strCache>
            </c:strRef>
          </c:tx>
          <c:xVal>
            <c:numRef>
              <c:f>'SSB Table'!$J$48:$J$53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2019.0</c:v>
                </c:pt>
                <c:pt idx="4">
                  <c:v>2020.0</c:v>
                </c:pt>
                <c:pt idx="5">
                  <c:v>2021.0</c:v>
                </c:pt>
              </c:numCache>
            </c:numRef>
          </c:xVal>
          <c:yVal>
            <c:numRef>
              <c:f>'SSB Table'!$P$48:$P$53</c:f>
              <c:numCache>
                <c:formatCode>#,##0</c:formatCode>
                <c:ptCount val="6"/>
                <c:pt idx="0">
                  <c:v>3483.4</c:v>
                </c:pt>
                <c:pt idx="1">
                  <c:v>3593.5</c:v>
                </c:pt>
                <c:pt idx="2">
                  <c:v>3610.9</c:v>
                </c:pt>
                <c:pt idx="3">
                  <c:v>3556.3</c:v>
                </c:pt>
                <c:pt idx="4">
                  <c:v>3558.9</c:v>
                </c:pt>
                <c:pt idx="5">
                  <c:v>3595.2</c:v>
                </c:pt>
              </c:numCache>
            </c:numRef>
          </c:yVal>
          <c:smooth val="0"/>
        </c:ser>
        <c:ser>
          <c:idx val="0"/>
          <c:order val="7"/>
          <c:xVal>
            <c:numRef>
              <c:f>'SSB Table'!$D$2:$D$53</c:f>
              <c:numCache>
                <c:formatCode>General</c:formatCode>
                <c:ptCount val="52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  <c:pt idx="51">
                  <c:v>2015.0</c:v>
                </c:pt>
              </c:numCache>
            </c:numRef>
          </c:xVal>
          <c:yVal>
            <c:numRef>
              <c:f>'SSB Table'!$E$2:$E$53</c:f>
              <c:numCache>
                <c:formatCode>#,##0</c:formatCode>
                <c:ptCount val="52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  <c:pt idx="40">
                  <c:v>3520.4</c:v>
                </c:pt>
                <c:pt idx="41">
                  <c:v>3223.0</c:v>
                </c:pt>
                <c:pt idx="42">
                  <c:v>2651.0</c:v>
                </c:pt>
                <c:pt idx="43">
                  <c:v>2215.2</c:v>
                </c:pt>
                <c:pt idx="44">
                  <c:v>1629.7</c:v>
                </c:pt>
                <c:pt idx="45">
                  <c:v>1775.3</c:v>
                </c:pt>
                <c:pt idx="46">
                  <c:v>2017.6</c:v>
                </c:pt>
                <c:pt idx="47">
                  <c:v>2538.1</c:v>
                </c:pt>
                <c:pt idx="48">
                  <c:v>3053.0</c:v>
                </c:pt>
                <c:pt idx="49">
                  <c:v>3490.3</c:v>
                </c:pt>
                <c:pt idx="50">
                  <c:v>3467.5</c:v>
                </c:pt>
                <c:pt idx="51">
                  <c:v>3483.4</c:v>
                </c:pt>
              </c:numCache>
            </c:numRef>
          </c:yVal>
          <c:smooth val="0"/>
        </c:ser>
        <c:ser>
          <c:idx val="7"/>
          <c:order val="8"/>
          <c:spPr>
            <a:ln w="38100">
              <a:solidFill>
                <a:schemeClr val="accent3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'SSB Table'!$L$2:$L$3</c:f>
              <c:numCache>
                <c:formatCode>General</c:formatCode>
                <c:ptCount val="2"/>
                <c:pt idx="0">
                  <c:v>1960.0</c:v>
                </c:pt>
                <c:pt idx="1">
                  <c:v>2020.0</c:v>
                </c:pt>
              </c:numCache>
            </c:numRef>
          </c:xVal>
          <c:yVal>
            <c:numRef>
              <c:f>'SSB Table'!$M$2:$M$3</c:f>
              <c:numCache>
                <c:formatCode>#,##0</c:formatCode>
                <c:ptCount val="2"/>
                <c:pt idx="0">
                  <c:v>1948.1</c:v>
                </c:pt>
                <c:pt idx="1">
                  <c:v>1948.1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'SSB Table'!$G$1</c:f>
              <c:strCache>
                <c:ptCount val="1"/>
                <c:pt idx="0">
                  <c:v>LCI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'SSB Table'!$D$2:$D$53</c:f>
              <c:numCache>
                <c:formatCode>General</c:formatCode>
                <c:ptCount val="52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  <c:pt idx="51">
                  <c:v>2015.0</c:v>
                </c:pt>
              </c:numCache>
            </c:numRef>
          </c:xVal>
          <c:yVal>
            <c:numRef>
              <c:f>'SSB Table'!$G$2:$G$53</c:f>
              <c:numCache>
                <c:formatCode>_(* #,##0_);_(* \(#,##0\);_(* "-"??_);_(@_)</c:formatCode>
                <c:ptCount val="52"/>
                <c:pt idx="0">
                  <c:v>307.9442705425962</c:v>
                </c:pt>
                <c:pt idx="1">
                  <c:v>407.6678932162833</c:v>
                </c:pt>
                <c:pt idx="2">
                  <c:v>497.8987471283302</c:v>
                </c:pt>
                <c:pt idx="3">
                  <c:v>666.0459163672839</c:v>
                </c:pt>
                <c:pt idx="4">
                  <c:v>841.8863187959487</c:v>
                </c:pt>
                <c:pt idx="5">
                  <c:v>1061.011358786905</c:v>
                </c:pt>
                <c:pt idx="6">
                  <c:v>1278.240700446156</c:v>
                </c:pt>
                <c:pt idx="7">
                  <c:v>1372.093456801156</c:v>
                </c:pt>
                <c:pt idx="8">
                  <c:v>1300.111415811032</c:v>
                </c:pt>
                <c:pt idx="9">
                  <c:v>1059.811348715818</c:v>
                </c:pt>
                <c:pt idx="10">
                  <c:v>758.0624485465641</c:v>
                </c:pt>
                <c:pt idx="11">
                  <c:v>662.4164259880605</c:v>
                </c:pt>
                <c:pt idx="12">
                  <c:v>710.33454566842</c:v>
                </c:pt>
                <c:pt idx="13">
                  <c:v>795.572076839995</c:v>
                </c:pt>
                <c:pt idx="14">
                  <c:v>857.4188687227204</c:v>
                </c:pt>
                <c:pt idx="15">
                  <c:v>866.932940389844</c:v>
                </c:pt>
                <c:pt idx="16">
                  <c:v>1016.378397541492</c:v>
                </c:pt>
                <c:pt idx="17">
                  <c:v>1717.261423681324</c:v>
                </c:pt>
                <c:pt idx="18">
                  <c:v>2612.21173171273</c:v>
                </c:pt>
                <c:pt idx="19">
                  <c:v>3217.298711140693</c:v>
                </c:pt>
                <c:pt idx="20">
                  <c:v>3427.52931450661</c:v>
                </c:pt>
                <c:pt idx="21">
                  <c:v>3655.15052691315</c:v>
                </c:pt>
                <c:pt idx="22">
                  <c:v>3821.686091434546</c:v>
                </c:pt>
                <c:pt idx="23">
                  <c:v>3873.492807385102</c:v>
                </c:pt>
                <c:pt idx="24">
                  <c:v>3813.466265818023</c:v>
                </c:pt>
                <c:pt idx="25">
                  <c:v>3380.24148024715</c:v>
                </c:pt>
                <c:pt idx="26">
                  <c:v>2674.552970778974</c:v>
                </c:pt>
                <c:pt idx="27">
                  <c:v>1961.911015831896</c:v>
                </c:pt>
                <c:pt idx="28">
                  <c:v>2100.15704023335</c:v>
                </c:pt>
                <c:pt idx="29">
                  <c:v>2972.678538758737</c:v>
                </c:pt>
                <c:pt idx="30">
                  <c:v>3282.299690635034</c:v>
                </c:pt>
                <c:pt idx="31">
                  <c:v>3499.661858020694</c:v>
                </c:pt>
                <c:pt idx="32">
                  <c:v>3506.351087853201</c:v>
                </c:pt>
                <c:pt idx="33">
                  <c:v>3308.968769711617</c:v>
                </c:pt>
                <c:pt idx="34">
                  <c:v>3076.040102848666</c:v>
                </c:pt>
                <c:pt idx="35">
                  <c:v>3088.895274422861</c:v>
                </c:pt>
                <c:pt idx="36">
                  <c:v>3122.657216546104</c:v>
                </c:pt>
                <c:pt idx="37">
                  <c:v>3149.607986483292</c:v>
                </c:pt>
                <c:pt idx="38">
                  <c:v>2995.544931648773</c:v>
                </c:pt>
                <c:pt idx="39">
                  <c:v>3203.5728040012</c:v>
                </c:pt>
                <c:pt idx="40">
                  <c:v>3307.991074174018</c:v>
                </c:pt>
                <c:pt idx="41">
                  <c:v>3020.421564013302</c:v>
                </c:pt>
                <c:pt idx="42">
                  <c:v>2466.12900272526</c:v>
                </c:pt>
                <c:pt idx="43">
                  <c:v>2034.018055668869</c:v>
                </c:pt>
                <c:pt idx="44">
                  <c:v>1473.898349379946</c:v>
                </c:pt>
                <c:pt idx="45">
                  <c:v>1594.796814897214</c:v>
                </c:pt>
                <c:pt idx="46">
                  <c:v>1803.01085744933</c:v>
                </c:pt>
                <c:pt idx="47">
                  <c:v>2234.076860884774</c:v>
                </c:pt>
                <c:pt idx="48">
                  <c:v>2617.40490381883</c:v>
                </c:pt>
                <c:pt idx="49">
                  <c:v>2916.579556645144</c:v>
                </c:pt>
                <c:pt idx="50">
                  <c:v>2816.371916391145</c:v>
                </c:pt>
                <c:pt idx="51">
                  <c:v>2774.40418275975</c:v>
                </c:pt>
              </c:numCache>
            </c:numRef>
          </c:yVal>
          <c:smooth val="0"/>
        </c:ser>
        <c:ser>
          <c:idx val="9"/>
          <c:order val="10"/>
          <c:tx>
            <c:strRef>
              <c:f>'SSB Table'!$H$1</c:f>
              <c:strCache>
                <c:ptCount val="1"/>
                <c:pt idx="0">
                  <c:v>UCI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'SSB Table'!$D$2:$D$53</c:f>
              <c:numCache>
                <c:formatCode>General</c:formatCode>
                <c:ptCount val="52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  <c:pt idx="51">
                  <c:v>2015.0</c:v>
                </c:pt>
              </c:numCache>
            </c:numRef>
          </c:xVal>
          <c:yVal>
            <c:numRef>
              <c:f>'SSB Table'!$H$2:$H$53</c:f>
              <c:numCache>
                <c:formatCode>_(* #,##0_);_(* \(#,##0\);_(* "-"??_);_(@_)</c:formatCode>
                <c:ptCount val="52"/>
                <c:pt idx="0">
                  <c:v>964.8245959455256</c:v>
                </c:pt>
                <c:pt idx="1">
                  <c:v>1081.768404474354</c:v>
                </c:pt>
                <c:pt idx="2">
                  <c:v>1267.054469485135</c:v>
                </c:pt>
                <c:pt idx="3">
                  <c:v>1546.168236593642</c:v>
                </c:pt>
                <c:pt idx="4">
                  <c:v>1908.281693302332</c:v>
                </c:pt>
                <c:pt idx="5">
                  <c:v>2291.8966322663</c:v>
                </c:pt>
                <c:pt idx="6">
                  <c:v>2624.512393345837</c:v>
                </c:pt>
                <c:pt idx="7">
                  <c:v>2750.035889535495</c:v>
                </c:pt>
                <c:pt idx="8">
                  <c:v>2593.057155718418</c:v>
                </c:pt>
                <c:pt idx="9">
                  <c:v>2233.399607267928</c:v>
                </c:pt>
                <c:pt idx="10">
                  <c:v>1770.769627982101</c:v>
                </c:pt>
                <c:pt idx="11">
                  <c:v>1452.389013700788</c:v>
                </c:pt>
                <c:pt idx="12">
                  <c:v>1343.471295207805</c:v>
                </c:pt>
                <c:pt idx="13">
                  <c:v>1357.43406718031</c:v>
                </c:pt>
                <c:pt idx="14">
                  <c:v>1399.178550604026</c:v>
                </c:pt>
                <c:pt idx="15">
                  <c:v>1397.501967632228</c:v>
                </c:pt>
                <c:pt idx="16">
                  <c:v>1541.0129276543</c:v>
                </c:pt>
                <c:pt idx="17">
                  <c:v>2296.331580981106</c:v>
                </c:pt>
                <c:pt idx="18">
                  <c:v>3322.439714452075</c:v>
                </c:pt>
                <c:pt idx="19">
                  <c:v>4015.478091998356</c:v>
                </c:pt>
                <c:pt idx="20">
                  <c:v>4240.487075773475</c:v>
                </c:pt>
                <c:pt idx="21">
                  <c:v>4442.4097011712</c:v>
                </c:pt>
                <c:pt idx="22">
                  <c:v>4579.130381540842</c:v>
                </c:pt>
                <c:pt idx="23">
                  <c:v>4589.228204092203</c:v>
                </c:pt>
                <c:pt idx="24">
                  <c:v>4471.941003611277</c:v>
                </c:pt>
                <c:pt idx="25">
                  <c:v>3981.34048370296</c:v>
                </c:pt>
                <c:pt idx="26">
                  <c:v>3205.245326475324</c:v>
                </c:pt>
                <c:pt idx="27">
                  <c:v>2420.998873889283</c:v>
                </c:pt>
                <c:pt idx="28">
                  <c:v>2525.653800351347</c:v>
                </c:pt>
                <c:pt idx="29">
                  <c:v>3449.873784294955</c:v>
                </c:pt>
                <c:pt idx="30">
                  <c:v>3780.278286410646</c:v>
                </c:pt>
                <c:pt idx="31">
                  <c:v>4016.31682723471</c:v>
                </c:pt>
                <c:pt idx="32">
                  <c:v>4042.513614538943</c:v>
                </c:pt>
                <c:pt idx="33">
                  <c:v>3840.195231309918</c:v>
                </c:pt>
                <c:pt idx="34">
                  <c:v>3577.698076760551</c:v>
                </c:pt>
                <c:pt idx="35">
                  <c:v>3563.667868946036</c:v>
                </c:pt>
                <c:pt idx="36">
                  <c:v>3584.245555578338</c:v>
                </c:pt>
                <c:pt idx="37">
                  <c:v>3632.183223783773</c:v>
                </c:pt>
                <c:pt idx="38">
                  <c:v>3452.464591912387</c:v>
                </c:pt>
                <c:pt idx="39">
                  <c:v>3646.566232366988</c:v>
                </c:pt>
                <c:pt idx="40">
                  <c:v>3746.44788396066</c:v>
                </c:pt>
                <c:pt idx="41">
                  <c:v>3439.165288635269</c:v>
                </c:pt>
                <c:pt idx="42">
                  <c:v>2849.729674414334</c:v>
                </c:pt>
                <c:pt idx="43">
                  <c:v>2412.520885113941</c:v>
                </c:pt>
                <c:pt idx="44">
                  <c:v>1801.971005067832</c:v>
                </c:pt>
                <c:pt idx="45">
                  <c:v>1976.23299755783</c:v>
                </c:pt>
                <c:pt idx="46">
                  <c:v>2257.728922253258</c:v>
                </c:pt>
                <c:pt idx="47">
                  <c:v>2883.49596327172</c:v>
                </c:pt>
                <c:pt idx="48">
                  <c:v>3561.087925830966</c:v>
                </c:pt>
                <c:pt idx="49">
                  <c:v>4176.877007261485</c:v>
                </c:pt>
                <c:pt idx="50">
                  <c:v>4269.164942322957</c:v>
                </c:pt>
                <c:pt idx="51">
                  <c:v>4373.578887820885</c:v>
                </c:pt>
              </c:numCache>
            </c:numRef>
          </c:yVal>
          <c:smooth val="0"/>
        </c:ser>
        <c:ser>
          <c:idx val="10"/>
          <c:order val="11"/>
          <c:spPr>
            <a:ln w="1905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'SSB Table'!$D$65:$D$70</c:f>
              <c:numCache>
                <c:formatCode>General</c:formatCode>
                <c:ptCount val="6"/>
                <c:pt idx="0">
                  <c:v>2015.0</c:v>
                </c:pt>
                <c:pt idx="1">
                  <c:v>2016.0</c:v>
                </c:pt>
                <c:pt idx="2">
                  <c:v>2017.0</c:v>
                </c:pt>
                <c:pt idx="3">
                  <c:v>2018.0</c:v>
                </c:pt>
                <c:pt idx="4">
                  <c:v>2019.0</c:v>
                </c:pt>
                <c:pt idx="5">
                  <c:v>2020.0</c:v>
                </c:pt>
              </c:numCache>
            </c:numRef>
          </c:xVal>
          <c:yVal>
            <c:numRef>
              <c:f>'SSB Table'!$G$77:$G$82</c:f>
              <c:numCache>
                <c:formatCode>#,##0</c:formatCode>
                <c:ptCount val="6"/>
                <c:pt idx="0">
                  <c:v>2774.40418275975</c:v>
                </c:pt>
                <c:pt idx="1">
                  <c:v>2821.575459469428</c:v>
                </c:pt>
                <c:pt idx="2">
                  <c:v>2797.069972599453</c:v>
                </c:pt>
                <c:pt idx="3">
                  <c:v>2707.613715164092</c:v>
                </c:pt>
                <c:pt idx="4">
                  <c:v>2502.427239653576</c:v>
                </c:pt>
                <c:pt idx="5">
                  <c:v>2336.600952596035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080032"/>
        <c:axId val="428083008"/>
      </c:scatterChart>
      <c:valAx>
        <c:axId val="428080032"/>
        <c:scaling>
          <c:orientation val="minMax"/>
          <c:max val="2020.0"/>
          <c:min val="2000.0"/>
        </c:scaling>
        <c:delete val="0"/>
        <c:axPos val="b"/>
        <c:title>
          <c:tx>
            <c:rich>
              <a:bodyPr/>
              <a:lstStyle/>
              <a:p>
                <a:pPr>
                  <a:defRPr sz="2200" baseline="0"/>
                </a:pPr>
                <a:r>
                  <a:rPr lang="en-US" sz="2200" baseline="0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0" baseline="0"/>
            </a:pPr>
            <a:endParaRPr lang="en-US"/>
          </a:p>
        </c:txPr>
        <c:crossAx val="428083008"/>
        <c:crosses val="autoZero"/>
        <c:crossBetween val="midCat"/>
        <c:majorUnit val="2.0"/>
      </c:valAx>
      <c:valAx>
        <c:axId val="428083008"/>
        <c:scaling>
          <c:orientation val="minMax"/>
          <c:max val="55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 baseline="0"/>
                </a:pPr>
                <a:r>
                  <a:rPr lang="en-US" sz="1800" baseline="0"/>
                  <a:t>Female spawning biomass (kt)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28080032"/>
        <c:crosses val="autoZero"/>
        <c:crossBetween val="midCat"/>
        <c:majorUnit val="1000.0"/>
      </c:valAx>
      <c:spPr>
        <a:noFill/>
      </c:spPr>
    </c:plotArea>
    <c:legend>
      <c:legendPos val="r"/>
      <c:legendEntry>
        <c:idx val="4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50258238821561"/>
          <c:y val="0.0168845132297531"/>
          <c:w val="0.279113037552998"/>
          <c:h val="0.253882193671693"/>
        </c:manualLayout>
      </c:layout>
      <c:overlay val="0"/>
      <c:txPr>
        <a:bodyPr/>
        <a:lstStyle/>
        <a:p>
          <a:pPr>
            <a:defRPr sz="2200" b="1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chemeClr val="tx2">
                    <a:lumMod val="75000"/>
                  </a:schemeClr>
                </a:solidFill>
                <a:latin typeface="Arial"/>
                <a:ea typeface="Arial"/>
                <a:cs typeface="Arial"/>
              </a:defRPr>
            </a:pPr>
            <a:r>
              <a:rPr lang="en-US" sz="1600" baseline="0">
                <a:solidFill>
                  <a:schemeClr val="tx2">
                    <a:lumMod val="75000"/>
                  </a:schemeClr>
                </a:solidFill>
              </a:rPr>
              <a:t>Spawning Exploitation Rate</a:t>
            </a:r>
          </a:p>
        </c:rich>
      </c:tx>
      <c:layout>
        <c:manualLayout>
          <c:xMode val="edge"/>
          <c:yMode val="edge"/>
          <c:x val="0.473209458376765"/>
          <c:y val="0.654301619626193"/>
        </c:manualLayout>
      </c:layout>
      <c:overlay val="0"/>
      <c:spPr>
        <a:solidFill>
          <a:srgbClr val="FFFFFF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3865066708512"/>
          <c:y val="0.0226259827072516"/>
          <c:w val="0.854759103465147"/>
          <c:h val="0.774827975893108"/>
        </c:manualLayout>
      </c:layout>
      <c:scatterChart>
        <c:scatterStyle val="lineMarker"/>
        <c:varyColors val="0"/>
        <c:ser>
          <c:idx val="1"/>
          <c:order val="0"/>
          <c:tx>
            <c:strRef>
              <c:f>Fs!$W$58</c:f>
              <c:strCache>
                <c:ptCount val="1"/>
                <c:pt idx="0">
                  <c:v>3-8</c:v>
                </c:pt>
              </c:strCache>
            </c:strRef>
          </c:tx>
          <c:dLbls>
            <c:dLbl>
              <c:idx val="44"/>
              <c:layout>
                <c:manualLayout>
                  <c:x val="-0.133477341430573"/>
                  <c:y val="-0.0909485396011647"/>
                </c:manualLayout>
              </c:layout>
              <c:tx>
                <c:rich>
                  <a:bodyPr/>
                  <a:lstStyle/>
                  <a:p>
                    <a:pPr>
                      <a:defRPr sz="1400" b="1" baseline="0">
                        <a:solidFill>
                          <a:schemeClr val="accent2"/>
                        </a:solidFill>
                      </a:defRPr>
                    </a:pPr>
                    <a:r>
                      <a:rPr lang="en-US" sz="1400" b="1" baseline="0">
                        <a:solidFill>
                          <a:schemeClr val="accent2"/>
                        </a:solidFill>
                      </a:rPr>
                      <a:t>Average F age 3-8</a:t>
                    </a:r>
                  </a:p>
                </c:rich>
              </c:tx>
              <c:spPr>
                <a:solidFill>
                  <a:srgbClr val="FFFFFF"/>
                </a:solidFill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Fs!$U$59:$U$110</c:f>
              <c:numCache>
                <c:formatCode>General</c:formatCode>
                <c:ptCount val="52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  <c:pt idx="51">
                  <c:v>2015.0</c:v>
                </c:pt>
              </c:numCache>
            </c:numRef>
          </c:xVal>
          <c:yVal>
            <c:numRef>
              <c:f>Fs!$W$59:$W$110</c:f>
              <c:numCache>
                <c:formatCode>0.000</c:formatCode>
                <c:ptCount val="52"/>
                <c:pt idx="0">
                  <c:v>0.139183134350995</c:v>
                </c:pt>
                <c:pt idx="1">
                  <c:v>0.138486277799303</c:v>
                </c:pt>
                <c:pt idx="2">
                  <c:v>0.127973995810378</c:v>
                </c:pt>
                <c:pt idx="3">
                  <c:v>0.212460556476784</c:v>
                </c:pt>
                <c:pt idx="4">
                  <c:v>0.208549782041351</c:v>
                </c:pt>
                <c:pt idx="5">
                  <c:v>0.209576084692855</c:v>
                </c:pt>
                <c:pt idx="6">
                  <c:v>0.274520786660683</c:v>
                </c:pt>
                <c:pt idx="7">
                  <c:v>0.373078635070272</c:v>
                </c:pt>
                <c:pt idx="8">
                  <c:v>0.428001944979817</c:v>
                </c:pt>
                <c:pt idx="9">
                  <c:v>0.50569747653258</c:v>
                </c:pt>
                <c:pt idx="10">
                  <c:v>0.555096420534654</c:v>
                </c:pt>
                <c:pt idx="11">
                  <c:v>0.470448808448327</c:v>
                </c:pt>
                <c:pt idx="12">
                  <c:v>0.423812624104885</c:v>
                </c:pt>
                <c:pt idx="13">
                  <c:v>0.366852501655207</c:v>
                </c:pt>
                <c:pt idx="14">
                  <c:v>0.392453525811908</c:v>
                </c:pt>
                <c:pt idx="15">
                  <c:v>0.403034948543112</c:v>
                </c:pt>
                <c:pt idx="16">
                  <c:v>0.374148374360539</c:v>
                </c:pt>
                <c:pt idx="17">
                  <c:v>0.270770836879237</c:v>
                </c:pt>
                <c:pt idx="18">
                  <c:v>0.175256833205081</c:v>
                </c:pt>
                <c:pt idx="19">
                  <c:v>0.142462832283718</c:v>
                </c:pt>
                <c:pt idx="20">
                  <c:v>0.139358035473529</c:v>
                </c:pt>
                <c:pt idx="21">
                  <c:v>0.137394224299608</c:v>
                </c:pt>
                <c:pt idx="22">
                  <c:v>0.126081735383786</c:v>
                </c:pt>
                <c:pt idx="23">
                  <c:v>0.09027310438434</c:v>
                </c:pt>
                <c:pt idx="24">
                  <c:v>0.130824496743101</c:v>
                </c:pt>
                <c:pt idx="25">
                  <c:v>0.139438084564996</c:v>
                </c:pt>
                <c:pt idx="26">
                  <c:v>0.204661724119978</c:v>
                </c:pt>
                <c:pt idx="27">
                  <c:v>0.205558857730446</c:v>
                </c:pt>
                <c:pt idx="28">
                  <c:v>0.264202744797204</c:v>
                </c:pt>
                <c:pt idx="29">
                  <c:v>0.191396540750681</c:v>
                </c:pt>
                <c:pt idx="30">
                  <c:v>0.183479817585795</c:v>
                </c:pt>
                <c:pt idx="31">
                  <c:v>0.176837648634505</c:v>
                </c:pt>
                <c:pt idx="32">
                  <c:v>0.191929404530211</c:v>
                </c:pt>
                <c:pt idx="33">
                  <c:v>0.162032547446789</c:v>
                </c:pt>
                <c:pt idx="34">
                  <c:v>0.140053121715796</c:v>
                </c:pt>
                <c:pt idx="35">
                  <c:v>0.126291490195804</c:v>
                </c:pt>
                <c:pt idx="36">
                  <c:v>0.153350659434021</c:v>
                </c:pt>
                <c:pt idx="37">
                  <c:v>0.188182280047027</c:v>
                </c:pt>
                <c:pt idx="38">
                  <c:v>0.224664243789151</c:v>
                </c:pt>
                <c:pt idx="39">
                  <c:v>0.240892534613365</c:v>
                </c:pt>
                <c:pt idx="40">
                  <c:v>0.214484840466587</c:v>
                </c:pt>
                <c:pt idx="41">
                  <c:v>0.211953805734661</c:v>
                </c:pt>
                <c:pt idx="42">
                  <c:v>0.249259820290802</c:v>
                </c:pt>
                <c:pt idx="43">
                  <c:v>0.258088633712983</c:v>
                </c:pt>
                <c:pt idx="44">
                  <c:v>0.263832680743161</c:v>
                </c:pt>
                <c:pt idx="45">
                  <c:v>0.215141221280783</c:v>
                </c:pt>
                <c:pt idx="46">
                  <c:v>0.184011647370516</c:v>
                </c:pt>
                <c:pt idx="47">
                  <c:v>0.269031804360615</c:v>
                </c:pt>
                <c:pt idx="48">
                  <c:v>0.235952235121697</c:v>
                </c:pt>
                <c:pt idx="49">
                  <c:v>0.189277545779629</c:v>
                </c:pt>
                <c:pt idx="50">
                  <c:v>0.184313998608831</c:v>
                </c:pt>
                <c:pt idx="51">
                  <c:v>0.170600927874874</c:v>
                </c:pt>
              </c:numCache>
            </c:numRef>
          </c:yVal>
          <c:smooth val="0"/>
        </c:ser>
        <c:ser>
          <c:idx val="0"/>
          <c:order val="1"/>
          <c:tx>
            <c:v>SER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StdDev!$H$469:$H$520</c:f>
                <c:numCache>
                  <c:formatCode>General</c:formatCode>
                  <c:ptCount val="52"/>
                  <c:pt idx="0">
                    <c:v>0.0534892301670911</c:v>
                  </c:pt>
                  <c:pt idx="1">
                    <c:v>0.0548835772313346</c:v>
                  </c:pt>
                  <c:pt idx="2">
                    <c:v>0.042461755827579</c:v>
                  </c:pt>
                  <c:pt idx="3">
                    <c:v>0.0589290150101836</c:v>
                  </c:pt>
                  <c:pt idx="4">
                    <c:v>0.0573626681862738</c:v>
                  </c:pt>
                  <c:pt idx="5">
                    <c:v>0.0534975348626387</c:v>
                  </c:pt>
                  <c:pt idx="6">
                    <c:v>0.0596528963454369</c:v>
                  </c:pt>
                  <c:pt idx="7">
                    <c:v>0.0713633445428793</c:v>
                  </c:pt>
                  <c:pt idx="8">
                    <c:v>0.0826900405634727</c:v>
                  </c:pt>
                  <c:pt idx="9">
                    <c:v>0.102680364505218</c:v>
                  </c:pt>
                  <c:pt idx="10">
                    <c:v>0.0950513293793862</c:v>
                  </c:pt>
                  <c:pt idx="11">
                    <c:v>0.0731578024654835</c:v>
                  </c:pt>
                  <c:pt idx="12">
                    <c:v>0.0605949921468309</c:v>
                  </c:pt>
                  <c:pt idx="13">
                    <c:v>0.0510281271250869</c:v>
                  </c:pt>
                  <c:pt idx="14">
                    <c:v>0.0497167695549773</c:v>
                  </c:pt>
                  <c:pt idx="15">
                    <c:v>0.040889839743098</c:v>
                  </c:pt>
                  <c:pt idx="16">
                    <c:v>0.0244865619766299</c:v>
                  </c:pt>
                  <c:pt idx="17">
                    <c:v>0.0169603717050909</c:v>
                  </c:pt>
                  <c:pt idx="18">
                    <c:v>0.0141452687112091</c:v>
                  </c:pt>
                  <c:pt idx="19">
                    <c:v>0.0134413774922483</c:v>
                  </c:pt>
                  <c:pt idx="20">
                    <c:v>0.0134270927272991</c:v>
                  </c:pt>
                  <c:pt idx="21">
                    <c:v>0.0129003496375238</c:v>
                  </c:pt>
                  <c:pt idx="22">
                    <c:v>0.0126309129787921</c:v>
                  </c:pt>
                  <c:pt idx="23">
                    <c:v>0.00976102415514662</c:v>
                  </c:pt>
                  <c:pt idx="24">
                    <c:v>0.0143337455722353</c:v>
                  </c:pt>
                  <c:pt idx="25">
                    <c:v>0.017264700569935</c:v>
                  </c:pt>
                  <c:pt idx="26">
                    <c:v>0.0247497759227507</c:v>
                  </c:pt>
                  <c:pt idx="27">
                    <c:v>0.0214633373523295</c:v>
                  </c:pt>
                  <c:pt idx="28">
                    <c:v>0.0183557934209153</c:v>
                  </c:pt>
                  <c:pt idx="29">
                    <c:v>0.013783168390279</c:v>
                  </c:pt>
                  <c:pt idx="30">
                    <c:v>0.0126738319458966</c:v>
                  </c:pt>
                  <c:pt idx="31">
                    <c:v>0.012257985506364</c:v>
                  </c:pt>
                  <c:pt idx="32">
                    <c:v>0.0126732714083606</c:v>
                  </c:pt>
                  <c:pt idx="33">
                    <c:v>0.0138917741674646</c:v>
                  </c:pt>
                  <c:pt idx="34">
                    <c:v>0.0133230050730906</c:v>
                  </c:pt>
                  <c:pt idx="35">
                    <c:v>0.0118772603159823</c:v>
                  </c:pt>
                  <c:pt idx="36">
                    <c:v>0.0137193574245194</c:v>
                  </c:pt>
                  <c:pt idx="37">
                    <c:v>0.0161875424555921</c:v>
                  </c:pt>
                  <c:pt idx="38">
                    <c:v>0.0160054243607155</c:v>
                  </c:pt>
                  <c:pt idx="39">
                    <c:v>0.0145531145770905</c:v>
                  </c:pt>
                  <c:pt idx="40">
                    <c:v>0.0153058002737929</c:v>
                  </c:pt>
                  <c:pt idx="41">
                    <c:v>0.0185885964780358</c:v>
                  </c:pt>
                  <c:pt idx="42">
                    <c:v>0.0234447749804428</c:v>
                  </c:pt>
                  <c:pt idx="43">
                    <c:v>0.0262306695916586</c:v>
                  </c:pt>
                  <c:pt idx="44">
                    <c:v>0.0233261732943138</c:v>
                  </c:pt>
                  <c:pt idx="45">
                    <c:v>0.0181134758489374</c:v>
                  </c:pt>
                  <c:pt idx="46">
                    <c:v>0.0162360789082044</c:v>
                  </c:pt>
                  <c:pt idx="47">
                    <c:v>0.0212429213970818</c:v>
                  </c:pt>
                  <c:pt idx="48">
                    <c:v>0.0244181140163085</c:v>
                  </c:pt>
                  <c:pt idx="49">
                    <c:v>0.0288545361269754</c:v>
                  </c:pt>
                  <c:pt idx="50">
                    <c:v>0.0309882311441777</c:v>
                  </c:pt>
                  <c:pt idx="51">
                    <c:v>0.0329549890470742</c:v>
                  </c:pt>
                </c:numCache>
              </c:numRef>
            </c:plus>
            <c:minus>
              <c:numRef>
                <c:f>StdDev!$G$469:$G$520</c:f>
                <c:numCache>
                  <c:formatCode>General</c:formatCode>
                  <c:ptCount val="52"/>
                  <c:pt idx="0">
                    <c:v>0.0345084069058451</c:v>
                  </c:pt>
                  <c:pt idx="1">
                    <c:v>0.0362659837442892</c:v>
                  </c:pt>
                  <c:pt idx="2">
                    <c:v>0.0291622260284411</c:v>
                  </c:pt>
                  <c:pt idx="3">
                    <c:v>0.0417581006349549</c:v>
                  </c:pt>
                  <c:pt idx="4">
                    <c:v>0.0414783654145146</c:v>
                  </c:pt>
                  <c:pt idx="5">
                    <c:v>0.0395988339176784</c:v>
                  </c:pt>
                  <c:pt idx="6">
                    <c:v>0.0455282302378387</c:v>
                  </c:pt>
                  <c:pt idx="7">
                    <c:v>0.0559052317973192</c:v>
                  </c:pt>
                  <c:pt idx="8">
                    <c:v>0.0650536152526806</c:v>
                  </c:pt>
                  <c:pt idx="9">
                    <c:v>0.0795794687240451</c:v>
                  </c:pt>
                  <c:pt idx="10">
                    <c:v>0.0748628944967008</c:v>
                  </c:pt>
                  <c:pt idx="11">
                    <c:v>0.0597177602864486</c:v>
                  </c:pt>
                  <c:pt idx="12">
                    <c:v>0.0501557195467716</c:v>
                  </c:pt>
                  <c:pt idx="13">
                    <c:v>0.0422820363746235</c:v>
                  </c:pt>
                  <c:pt idx="14">
                    <c:v>0.0414407997218897</c:v>
                  </c:pt>
                  <c:pt idx="15">
                    <c:v>0.0344442729460171</c:v>
                  </c:pt>
                  <c:pt idx="16">
                    <c:v>0.0211548779635009</c:v>
                  </c:pt>
                  <c:pt idx="17">
                    <c:v>0.0148050187362675</c:v>
                  </c:pt>
                  <c:pt idx="18">
                    <c:v>0.0123952520350975</c:v>
                  </c:pt>
                  <c:pt idx="19">
                    <c:v>0.011806754170965</c:v>
                  </c:pt>
                  <c:pt idx="20">
                    <c:v>0.0118624709457346</c:v>
                  </c:pt>
                  <c:pt idx="21">
                    <c:v>0.0114424564177587</c:v>
                  </c:pt>
                  <c:pt idx="22">
                    <c:v>0.0112381701491706</c:v>
                  </c:pt>
                  <c:pt idx="23">
                    <c:v>0.00868818731830774</c:v>
                  </c:pt>
                  <c:pt idx="24">
                    <c:v>0.0128152638682688</c:v>
                  </c:pt>
                  <c:pt idx="25">
                    <c:v>0.0154222005701241</c:v>
                  </c:pt>
                  <c:pt idx="26">
                    <c:v>0.0221388386512021</c:v>
                  </c:pt>
                  <c:pt idx="27">
                    <c:v>0.0192240442501039</c:v>
                  </c:pt>
                  <c:pt idx="28">
                    <c:v>0.0165606804566321</c:v>
                  </c:pt>
                  <c:pt idx="29">
                    <c:v>0.0123989411598601</c:v>
                  </c:pt>
                  <c:pt idx="30">
                    <c:v>0.0113948995835014</c:v>
                  </c:pt>
                  <c:pt idx="31">
                    <c:v>0.0110118359041524</c:v>
                  </c:pt>
                  <c:pt idx="32">
                    <c:v>0.0113663503186268</c:v>
                  </c:pt>
                  <c:pt idx="33">
                    <c:v>0.0124552784034644</c:v>
                  </c:pt>
                  <c:pt idx="34">
                    <c:v>0.0119734125506345</c:v>
                  </c:pt>
                  <c:pt idx="35">
                    <c:v>0.0106716145104772</c:v>
                  </c:pt>
                  <c:pt idx="36">
                    <c:v>0.0123540473602768</c:v>
                  </c:pt>
                  <c:pt idx="37">
                    <c:v>0.0146086052956754</c:v>
                  </c:pt>
                  <c:pt idx="38">
                    <c:v>0.0144799951075263</c:v>
                  </c:pt>
                  <c:pt idx="39">
                    <c:v>0.0131700489712035</c:v>
                  </c:pt>
                  <c:pt idx="40">
                    <c:v>0.0138458784610358</c:v>
                  </c:pt>
                  <c:pt idx="41">
                    <c:v>0.0168305787398534</c:v>
                  </c:pt>
                  <c:pt idx="42">
                    <c:v>0.0212559054727589</c:v>
                  </c:pt>
                  <c:pt idx="43">
                    <c:v>0.0236720205493147</c:v>
                  </c:pt>
                  <c:pt idx="44">
                    <c:v>0.0208745208553272</c:v>
                  </c:pt>
                  <c:pt idx="45">
                    <c:v>0.0160003065698389</c:v>
                  </c:pt>
                  <c:pt idx="46">
                    <c:v>0.0141428720956786</c:v>
                  </c:pt>
                  <c:pt idx="47">
                    <c:v>0.0182035677881115</c:v>
                  </c:pt>
                  <c:pt idx="48">
                    <c:v>0.0205450929278509</c:v>
                  </c:pt>
                  <c:pt idx="49">
                    <c:v>0.0238664489631974</c:v>
                  </c:pt>
                  <c:pt idx="50">
                    <c:v>0.025237358932483</c:v>
                  </c:pt>
                  <c:pt idx="51">
                    <c:v>0.0263338558319328</c:v>
                  </c:pt>
                </c:numCache>
              </c:numRef>
            </c:minus>
            <c:spPr>
              <a:ln w="3175">
                <a:solidFill>
                  <a:srgbClr val="000000"/>
                </a:solidFill>
                <a:prstDash val="solid"/>
              </a:ln>
            </c:spPr>
          </c:errBars>
          <c:xVal>
            <c:numRef>
              <c:f>StdDev!$B$469:$B$522</c:f>
              <c:numCache>
                <c:formatCode>General</c:formatCode>
                <c:ptCount val="54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  <c:pt idx="49">
                  <c:v>2013.0</c:v>
                </c:pt>
                <c:pt idx="50">
                  <c:v>2014.0</c:v>
                </c:pt>
                <c:pt idx="51">
                  <c:v>2015.0</c:v>
                </c:pt>
              </c:numCache>
            </c:numRef>
          </c:xVal>
          <c:yVal>
            <c:numRef>
              <c:f>StdDev!$E$469:$E$522</c:f>
              <c:numCache>
                <c:formatCode>General</c:formatCode>
                <c:ptCount val="54"/>
                <c:pt idx="0">
                  <c:v>0.097247</c:v>
                </c:pt>
                <c:pt idx="1">
                  <c:v>0.10691</c:v>
                </c:pt>
                <c:pt idx="2">
                  <c:v>0.093107</c:v>
                </c:pt>
                <c:pt idx="3">
                  <c:v>0.14331</c:v>
                </c:pt>
                <c:pt idx="4">
                  <c:v>0.14979</c:v>
                </c:pt>
                <c:pt idx="5">
                  <c:v>0.15242</c:v>
                </c:pt>
                <c:pt idx="6">
                  <c:v>0.19228</c:v>
                </c:pt>
                <c:pt idx="7">
                  <c:v>0.25809</c:v>
                </c:pt>
                <c:pt idx="8">
                  <c:v>0.30501</c:v>
                </c:pt>
                <c:pt idx="9">
                  <c:v>0.35372</c:v>
                </c:pt>
                <c:pt idx="10">
                  <c:v>0.35247</c:v>
                </c:pt>
                <c:pt idx="11">
                  <c:v>0.32506</c:v>
                </c:pt>
                <c:pt idx="12">
                  <c:v>0.29113</c:v>
                </c:pt>
                <c:pt idx="13">
                  <c:v>0.24669</c:v>
                </c:pt>
                <c:pt idx="14">
                  <c:v>0.24895</c:v>
                </c:pt>
                <c:pt idx="15">
                  <c:v>0.21851</c:v>
                </c:pt>
                <c:pt idx="16">
                  <c:v>0.15548</c:v>
                </c:pt>
                <c:pt idx="17">
                  <c:v>0.1165</c:v>
                </c:pt>
                <c:pt idx="18">
                  <c:v>0.10019</c:v>
                </c:pt>
                <c:pt idx="19">
                  <c:v>0.097086</c:v>
                </c:pt>
                <c:pt idx="20">
                  <c:v>0.1018</c:v>
                </c:pt>
                <c:pt idx="21">
                  <c:v>0.10125</c:v>
                </c:pt>
                <c:pt idx="22">
                  <c:v>0.10192</c:v>
                </c:pt>
                <c:pt idx="23">
                  <c:v>0.079048</c:v>
                </c:pt>
                <c:pt idx="24">
                  <c:v>0.12097</c:v>
                </c:pt>
                <c:pt idx="25">
                  <c:v>0.14451</c:v>
                </c:pt>
                <c:pt idx="26">
                  <c:v>0.20986</c:v>
                </c:pt>
                <c:pt idx="27">
                  <c:v>0.18426</c:v>
                </c:pt>
                <c:pt idx="28">
                  <c:v>0.16934</c:v>
                </c:pt>
                <c:pt idx="29">
                  <c:v>0.12346</c:v>
                </c:pt>
                <c:pt idx="30">
                  <c:v>0.11292</c:v>
                </c:pt>
                <c:pt idx="31">
                  <c:v>0.10832</c:v>
                </c:pt>
                <c:pt idx="32">
                  <c:v>0.11022</c:v>
                </c:pt>
                <c:pt idx="33">
                  <c:v>0.12045</c:v>
                </c:pt>
                <c:pt idx="34">
                  <c:v>0.1182</c:v>
                </c:pt>
                <c:pt idx="35">
                  <c:v>0.10513</c:v>
                </c:pt>
                <c:pt idx="36">
                  <c:v>0.12414</c:v>
                </c:pt>
                <c:pt idx="37">
                  <c:v>0.14977</c:v>
                </c:pt>
                <c:pt idx="38">
                  <c:v>0.15193</c:v>
                </c:pt>
                <c:pt idx="39">
                  <c:v>0.13858</c:v>
                </c:pt>
                <c:pt idx="40">
                  <c:v>0.14516</c:v>
                </c:pt>
                <c:pt idx="41">
                  <c:v>0.17796</c:v>
                </c:pt>
                <c:pt idx="42">
                  <c:v>0.22767</c:v>
                </c:pt>
                <c:pt idx="43">
                  <c:v>0.24268</c:v>
                </c:pt>
                <c:pt idx="44">
                  <c:v>0.19861</c:v>
                </c:pt>
                <c:pt idx="45">
                  <c:v>0.13715</c:v>
                </c:pt>
                <c:pt idx="46">
                  <c:v>0.1097</c:v>
                </c:pt>
                <c:pt idx="47">
                  <c:v>0.12723</c:v>
                </c:pt>
                <c:pt idx="48">
                  <c:v>0.12953</c:v>
                </c:pt>
                <c:pt idx="49">
                  <c:v>0.13806</c:v>
                </c:pt>
                <c:pt idx="50">
                  <c:v>0.13599</c:v>
                </c:pt>
                <c:pt idx="51">
                  <c:v>0.13107</c:v>
                </c:pt>
                <c:pt idx="52">
                  <c:v>0.0</c:v>
                </c:pt>
                <c:pt idx="5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036416"/>
        <c:axId val="428039808"/>
      </c:scatterChart>
      <c:valAx>
        <c:axId val="428036416"/>
        <c:scaling>
          <c:orientation val="minMax"/>
          <c:max val="2015.0"/>
          <c:min val="1977.0"/>
        </c:scaling>
        <c:delete val="0"/>
        <c:axPos val="b"/>
        <c:title>
          <c:tx>
            <c:rich>
              <a:bodyPr/>
              <a:lstStyle/>
              <a:p>
                <a:pPr>
                  <a:defRPr sz="2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2900" baseline="0"/>
                  <a:t>Year</a:t>
                </a:r>
              </a:p>
            </c:rich>
          </c:tx>
          <c:layout>
            <c:manualLayout>
              <c:xMode val="edge"/>
              <c:yMode val="edge"/>
              <c:x val="0.481552250409646"/>
              <c:y val="0.910736554280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366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Verdana" pitchFamily="34" charset="0"/>
                <a:ea typeface="Arial"/>
                <a:cs typeface="Arial"/>
              </a:defRPr>
            </a:pPr>
            <a:endParaRPr lang="en-US"/>
          </a:p>
        </c:txPr>
        <c:crossAx val="428039808"/>
        <c:crosses val="autoZero"/>
        <c:crossBetween val="midCat"/>
        <c:majorUnit val="2.0"/>
        <c:minorUnit val="1.0"/>
      </c:valAx>
      <c:valAx>
        <c:axId val="428039808"/>
        <c:scaling>
          <c:orientation val="minMax"/>
          <c:max val="0.4"/>
          <c:min val="0.0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2000" b="1" baseline="0"/>
                </a:pPr>
                <a:r>
                  <a:rPr lang="en-US" sz="2000" b="1" baseline="0"/>
                  <a:t>F or spawning exploitation rate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Verdana" pitchFamily="34" charset="0"/>
                <a:ea typeface="Arial"/>
                <a:cs typeface="Arial"/>
              </a:defRPr>
            </a:pPr>
            <a:endParaRPr lang="en-US"/>
          </a:p>
        </c:txPr>
        <c:crossAx val="428036416"/>
        <c:crosses val="autoZero"/>
        <c:crossBetween val="midCat"/>
        <c:majorUnit val="0.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62185506096685"/>
          <c:y val="0.012437841160023"/>
          <c:w val="0.866947964466207"/>
          <c:h val="0.796021834241482"/>
        </c:manualLayout>
      </c:layout>
      <c:scatterChart>
        <c:scatterStyle val="lineMarker"/>
        <c:varyColors val="0"/>
        <c:ser>
          <c:idx val="3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StdDev!$AK$19:$CI$19</c:f>
              <c:numCache>
                <c:formatCode>General</c:formatCode>
                <c:ptCount val="51"/>
                <c:pt idx="0">
                  <c:v>0.306667691083223</c:v>
                </c:pt>
                <c:pt idx="1">
                  <c:v>0.312550944904474</c:v>
                </c:pt>
                <c:pt idx="2">
                  <c:v>0.318547065768885</c:v>
                </c:pt>
                <c:pt idx="3">
                  <c:v>0.324658218969646</c:v>
                </c:pt>
                <c:pt idx="4">
                  <c:v>0.330886611339924</c:v>
                </c:pt>
                <c:pt idx="5">
                  <c:v>0.337234492049791</c:v>
                </c:pt>
                <c:pt idx="6">
                  <c:v>0.343704153418426</c:v>
                </c:pt>
                <c:pt idx="7">
                  <c:v>0.350297931741914</c:v>
                </c:pt>
                <c:pt idx="8">
                  <c:v>0.357018208136918</c:v>
                </c:pt>
                <c:pt idx="9">
                  <c:v>0.363867409400535</c:v>
                </c:pt>
                <c:pt idx="10">
                  <c:v>0.370848008886653</c:v>
                </c:pt>
                <c:pt idx="11">
                  <c:v>0.377962527399116</c:v>
                </c:pt>
                <c:pt idx="12">
                  <c:v>0.385213534102026</c:v>
                </c:pt>
                <c:pt idx="13">
                  <c:v>0.392603647447512</c:v>
                </c:pt>
                <c:pt idx="14">
                  <c:v>0.400135536121288</c:v>
                </c:pt>
                <c:pt idx="15">
                  <c:v>0.407811920006361</c:v>
                </c:pt>
                <c:pt idx="16">
                  <c:v>0.415635571165225</c:v>
                </c:pt>
                <c:pt idx="17">
                  <c:v>0.42360931484089</c:v>
                </c:pt>
                <c:pt idx="18">
                  <c:v>0.431736030477128</c:v>
                </c:pt>
                <c:pt idx="19">
                  <c:v>0.440018652758284</c:v>
                </c:pt>
                <c:pt idx="20">
                  <c:v>0.448460172669031</c:v>
                </c:pt>
                <c:pt idx="21">
                  <c:v>0.457063638574469</c:v>
                </c:pt>
                <c:pt idx="22">
                  <c:v>0.465832157320934</c:v>
                </c:pt>
                <c:pt idx="23">
                  <c:v>0.474768895357926</c:v>
                </c:pt>
                <c:pt idx="24">
                  <c:v>0.483877079881569</c:v>
                </c:pt>
                <c:pt idx="25">
                  <c:v>0.49316</c:v>
                </c:pt>
                <c:pt idx="26">
                  <c:v>0.502621007921114</c:v>
                </c:pt>
                <c:pt idx="27">
                  <c:v>0.512263520163105</c:v>
                </c:pt>
                <c:pt idx="28">
                  <c:v>0.522091018788219</c:v>
                </c:pt>
                <c:pt idx="29">
                  <c:v>0.532107052660183</c:v>
                </c:pt>
                <c:pt idx="30">
                  <c:v>0.542315238725757</c:v>
                </c:pt>
                <c:pt idx="31">
                  <c:v>0.552719263320869</c:v>
                </c:pt>
                <c:pt idx="32">
                  <c:v>0.563322883501807</c:v>
                </c:pt>
                <c:pt idx="33">
                  <c:v>0.574129928401952</c:v>
                </c:pt>
                <c:pt idx="34">
                  <c:v>0.585144300614539</c:v>
                </c:pt>
                <c:pt idx="35">
                  <c:v>0.596369977601945</c:v>
                </c:pt>
                <c:pt idx="36">
                  <c:v>0.60781101313201</c:v>
                </c:pt>
                <c:pt idx="37">
                  <c:v>0.619471538741918</c:v>
                </c:pt>
                <c:pt idx="38">
                  <c:v>0.631355765230162</c:v>
                </c:pt>
                <c:pt idx="39">
                  <c:v>0.643467984177124</c:v>
                </c:pt>
                <c:pt idx="40">
                  <c:v>0.655812569494836</c:v>
                </c:pt>
                <c:pt idx="41">
                  <c:v>0.668393979006469</c:v>
                </c:pt>
                <c:pt idx="42">
                  <c:v>0.681216756056119</c:v>
                </c:pt>
                <c:pt idx="43">
                  <c:v>0.694285531149482</c:v>
                </c:pt>
                <c:pt idx="44">
                  <c:v>0.707605023626001</c:v>
                </c:pt>
                <c:pt idx="45">
                  <c:v>0.721180043363097</c:v>
                </c:pt>
                <c:pt idx="46">
                  <c:v>0.735015492513084</c:v>
                </c:pt>
                <c:pt idx="47">
                  <c:v>0.749116367273421</c:v>
                </c:pt>
                <c:pt idx="48">
                  <c:v>0.763487759690913</c:v>
                </c:pt>
                <c:pt idx="49">
                  <c:v>0.778134859500528</c:v>
                </c:pt>
                <c:pt idx="50">
                  <c:v>0.793062955999493</c:v>
                </c:pt>
              </c:numCache>
            </c:numRef>
          </c:xVal>
          <c:yVal>
            <c:numRef>
              <c:f>StdDev!$AK$14:$CI$14</c:f>
              <c:numCache>
                <c:formatCode>0.00000</c:formatCode>
                <c:ptCount val="51"/>
                <c:pt idx="0">
                  <c:v>0.000638477823264232</c:v>
                </c:pt>
                <c:pt idx="1">
                  <c:v>0.000901692221331821</c:v>
                </c:pt>
                <c:pt idx="2">
                  <c:v>0.00125523328480989</c:v>
                </c:pt>
                <c:pt idx="3">
                  <c:v>0.00172244035429652</c:v>
                </c:pt>
                <c:pt idx="4">
                  <c:v>0.00232979420926357</c:v>
                </c:pt>
                <c:pt idx="5">
                  <c:v>0.00310630831395666</c:v>
                </c:pt>
                <c:pt idx="6">
                  <c:v>0.00408249054537266</c:v>
                </c:pt>
                <c:pt idx="7">
                  <c:v>0.00528882808214459</c:v>
                </c:pt>
                <c:pt idx="8">
                  <c:v>0.00675378683776677</c:v>
                </c:pt>
                <c:pt idx="9">
                  <c:v>0.00850136940908898</c:v>
                </c:pt>
                <c:pt idx="10">
                  <c:v>0.0105483387507943</c:v>
                </c:pt>
                <c:pt idx="11">
                  <c:v>0.012901282731073</c:v>
                </c:pt>
                <c:pt idx="12">
                  <c:v>0.015553758939534</c:v>
                </c:pt>
                <c:pt idx="13">
                  <c:v>0.0184838094591447</c:v>
                </c:pt>
                <c:pt idx="14">
                  <c:v>0.0216521612282365</c:v>
                </c:pt>
                <c:pt idx="15">
                  <c:v>0.0250014198670608</c:v>
                </c:pt>
                <c:pt idx="16">
                  <c:v>0.0284565173780687</c:v>
                </c:pt>
                <c:pt idx="17">
                  <c:v>0.0319265857936118</c:v>
                </c:pt>
                <c:pt idx="18">
                  <c:v>0.0353083045188015</c:v>
                </c:pt>
                <c:pt idx="19">
                  <c:v>0.0384906199708224</c:v>
                </c:pt>
                <c:pt idx="20">
                  <c:v>0.041360578766149</c:v>
                </c:pt>
                <c:pt idx="21">
                  <c:v>0.0438098702657862</c:v>
                </c:pt>
                <c:pt idx="22">
                  <c:v>0.0457415615201954</c:v>
                </c:pt>
                <c:pt idx="23">
                  <c:v>0.047076445677212</c:v>
                </c:pt>
                <c:pt idx="24">
                  <c:v>0.0477584260205839</c:v>
                </c:pt>
                <c:pt idx="25">
                  <c:v>0.0477584260205839</c:v>
                </c:pt>
                <c:pt idx="26">
                  <c:v>0.0470764456772119</c:v>
                </c:pt>
                <c:pt idx="27">
                  <c:v>0.0457415615201955</c:v>
                </c:pt>
                <c:pt idx="28">
                  <c:v>0.0438098702657861</c:v>
                </c:pt>
                <c:pt idx="29">
                  <c:v>0.0413605787661491</c:v>
                </c:pt>
                <c:pt idx="30">
                  <c:v>0.0384906199708224</c:v>
                </c:pt>
                <c:pt idx="31">
                  <c:v>0.0353083045188015</c:v>
                </c:pt>
                <c:pt idx="32">
                  <c:v>0.0319265857936118</c:v>
                </c:pt>
                <c:pt idx="33">
                  <c:v>0.0284565173780688</c:v>
                </c:pt>
                <c:pt idx="34">
                  <c:v>0.0250014198670608</c:v>
                </c:pt>
                <c:pt idx="35">
                  <c:v>0.0216521612282364</c:v>
                </c:pt>
                <c:pt idx="36">
                  <c:v>0.0184838094591447</c:v>
                </c:pt>
                <c:pt idx="37">
                  <c:v>0.015553758939534</c:v>
                </c:pt>
                <c:pt idx="38">
                  <c:v>0.0129012827310729</c:v>
                </c:pt>
                <c:pt idx="39">
                  <c:v>0.0105483387507943</c:v>
                </c:pt>
                <c:pt idx="40">
                  <c:v>0.00850136940908896</c:v>
                </c:pt>
                <c:pt idx="41">
                  <c:v>0.00675378683776673</c:v>
                </c:pt>
                <c:pt idx="42">
                  <c:v>0.00528882808214459</c:v>
                </c:pt>
                <c:pt idx="43">
                  <c:v>0.00408249054537268</c:v>
                </c:pt>
                <c:pt idx="44">
                  <c:v>0.00310630831395664</c:v>
                </c:pt>
                <c:pt idx="45">
                  <c:v>0.0023297942092636</c:v>
                </c:pt>
                <c:pt idx="46">
                  <c:v>0.00172244035429647</c:v>
                </c:pt>
                <c:pt idx="47">
                  <c:v>0.00125523328480992</c:v>
                </c:pt>
                <c:pt idx="48">
                  <c:v>0.000901692221331851</c:v>
                </c:pt>
                <c:pt idx="49">
                  <c:v>0.000638477823264205</c:v>
                </c:pt>
                <c:pt idx="50">
                  <c:v>0.000445642831807813</c:v>
                </c:pt>
              </c:numCache>
            </c:numRef>
          </c:yVal>
          <c:smooth val="0"/>
        </c:ser>
        <c:ser>
          <c:idx val="2"/>
          <c:order val="1"/>
          <c:spPr>
            <a:ln w="381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StdDev!$AK$18:$CI$18</c:f>
              <c:numCache>
                <c:formatCode>_(* #,##0_);_(* \(#,##0\);_(* "-"??_);_(@_)</c:formatCode>
                <c:ptCount val="51"/>
              </c:numCache>
            </c:numRef>
          </c:xVal>
          <c:yVal>
            <c:numRef>
              <c:f>StdDev!$AK$14:$CI$14</c:f>
              <c:numCache>
                <c:formatCode>0.00000</c:formatCode>
                <c:ptCount val="51"/>
                <c:pt idx="0">
                  <c:v>0.000638477823264232</c:v>
                </c:pt>
                <c:pt idx="1">
                  <c:v>0.000901692221331821</c:v>
                </c:pt>
                <c:pt idx="2">
                  <c:v>0.00125523328480989</c:v>
                </c:pt>
                <c:pt idx="3">
                  <c:v>0.00172244035429652</c:v>
                </c:pt>
                <c:pt idx="4">
                  <c:v>0.00232979420926357</c:v>
                </c:pt>
                <c:pt idx="5">
                  <c:v>0.00310630831395666</c:v>
                </c:pt>
                <c:pt idx="6">
                  <c:v>0.00408249054537266</c:v>
                </c:pt>
                <c:pt idx="7">
                  <c:v>0.00528882808214459</c:v>
                </c:pt>
                <c:pt idx="8">
                  <c:v>0.00675378683776677</c:v>
                </c:pt>
                <c:pt idx="9">
                  <c:v>0.00850136940908898</c:v>
                </c:pt>
                <c:pt idx="10">
                  <c:v>0.0105483387507943</c:v>
                </c:pt>
                <c:pt idx="11">
                  <c:v>0.012901282731073</c:v>
                </c:pt>
                <c:pt idx="12">
                  <c:v>0.015553758939534</c:v>
                </c:pt>
                <c:pt idx="13">
                  <c:v>0.0184838094591447</c:v>
                </c:pt>
                <c:pt idx="14">
                  <c:v>0.0216521612282365</c:v>
                </c:pt>
                <c:pt idx="15">
                  <c:v>0.0250014198670608</c:v>
                </c:pt>
                <c:pt idx="16">
                  <c:v>0.0284565173780687</c:v>
                </c:pt>
                <c:pt idx="17">
                  <c:v>0.0319265857936118</c:v>
                </c:pt>
                <c:pt idx="18">
                  <c:v>0.0353083045188015</c:v>
                </c:pt>
                <c:pt idx="19">
                  <c:v>0.0384906199708224</c:v>
                </c:pt>
                <c:pt idx="20">
                  <c:v>0.041360578766149</c:v>
                </c:pt>
                <c:pt idx="21">
                  <c:v>0.0438098702657862</c:v>
                </c:pt>
                <c:pt idx="22">
                  <c:v>0.0457415615201954</c:v>
                </c:pt>
                <c:pt idx="23">
                  <c:v>0.047076445677212</c:v>
                </c:pt>
                <c:pt idx="24">
                  <c:v>0.0477584260205839</c:v>
                </c:pt>
                <c:pt idx="25">
                  <c:v>0.0477584260205839</c:v>
                </c:pt>
                <c:pt idx="26">
                  <c:v>0.0470764456772119</c:v>
                </c:pt>
                <c:pt idx="27">
                  <c:v>0.0457415615201955</c:v>
                </c:pt>
                <c:pt idx="28">
                  <c:v>0.0438098702657861</c:v>
                </c:pt>
                <c:pt idx="29">
                  <c:v>0.0413605787661491</c:v>
                </c:pt>
                <c:pt idx="30">
                  <c:v>0.0384906199708224</c:v>
                </c:pt>
                <c:pt idx="31">
                  <c:v>0.0353083045188015</c:v>
                </c:pt>
                <c:pt idx="32">
                  <c:v>0.0319265857936118</c:v>
                </c:pt>
                <c:pt idx="33">
                  <c:v>0.0284565173780688</c:v>
                </c:pt>
                <c:pt idx="34">
                  <c:v>0.0250014198670608</c:v>
                </c:pt>
                <c:pt idx="35">
                  <c:v>0.0216521612282364</c:v>
                </c:pt>
                <c:pt idx="36">
                  <c:v>0.0184838094591447</c:v>
                </c:pt>
                <c:pt idx="37">
                  <c:v>0.015553758939534</c:v>
                </c:pt>
                <c:pt idx="38">
                  <c:v>0.0129012827310729</c:v>
                </c:pt>
                <c:pt idx="39">
                  <c:v>0.0105483387507943</c:v>
                </c:pt>
                <c:pt idx="40">
                  <c:v>0.00850136940908896</c:v>
                </c:pt>
                <c:pt idx="41">
                  <c:v>0.00675378683776673</c:v>
                </c:pt>
                <c:pt idx="42">
                  <c:v>0.00528882808214459</c:v>
                </c:pt>
                <c:pt idx="43">
                  <c:v>0.00408249054537268</c:v>
                </c:pt>
                <c:pt idx="44">
                  <c:v>0.00310630831395664</c:v>
                </c:pt>
                <c:pt idx="45">
                  <c:v>0.0023297942092636</c:v>
                </c:pt>
                <c:pt idx="46">
                  <c:v>0.00172244035429647</c:v>
                </c:pt>
                <c:pt idx="47">
                  <c:v>0.00125523328480992</c:v>
                </c:pt>
                <c:pt idx="48">
                  <c:v>0.000901692221331851</c:v>
                </c:pt>
                <c:pt idx="49">
                  <c:v>0.000638477823264205</c:v>
                </c:pt>
                <c:pt idx="50">
                  <c:v>0.000445642831807813</c:v>
                </c:pt>
              </c:numCache>
            </c:numRef>
          </c:yVal>
          <c:smooth val="0"/>
        </c:ser>
        <c:ser>
          <c:idx val="1"/>
          <c:order val="2"/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StdDev!$AK$17:$CI$17</c:f>
              <c:numCache>
                <c:formatCode>General</c:formatCode>
                <c:ptCount val="51"/>
                <c:pt idx="0">
                  <c:v>-1239.958670481618</c:v>
                </c:pt>
                <c:pt idx="1">
                  <c:v>-818.0109181149398</c:v>
                </c:pt>
                <c:pt idx="2">
                  <c:v>-539.6485206199191</c:v>
                </c:pt>
                <c:pt idx="3">
                  <c:v>-356.0105609328157</c:v>
                </c:pt>
                <c:pt idx="4">
                  <c:v>-234.8630907949158</c:v>
                </c:pt>
                <c:pt idx="5">
                  <c:v>-154.9411098176677</c:v>
                </c:pt>
                <c:pt idx="6">
                  <c:v>-102.2159226052825</c:v>
                </c:pt>
                <c:pt idx="7">
                  <c:v>-67.43268359407181</c:v>
                </c:pt>
                <c:pt idx="8">
                  <c:v>-44.48589515996991</c:v>
                </c:pt>
                <c:pt idx="9">
                  <c:v>-29.34771037879637</c:v>
                </c:pt>
                <c:pt idx="10">
                  <c:v>-19.36092555585423</c:v>
                </c:pt>
                <c:pt idx="11">
                  <c:v>-12.77256159138581</c:v>
                </c:pt>
                <c:pt idx="12">
                  <c:v>-8.42616377688696</c:v>
                </c:pt>
                <c:pt idx="13">
                  <c:v>-5.558809443738097</c:v>
                </c:pt>
                <c:pt idx="14">
                  <c:v>-3.6671922419253</c:v>
                </c:pt>
                <c:pt idx="15">
                  <c:v>-2.419276838925715</c:v>
                </c:pt>
                <c:pt idx="16">
                  <c:v>-1.596016799023765</c:v>
                </c:pt>
                <c:pt idx="17">
                  <c:v>-1.052905389652381</c:v>
                </c:pt>
                <c:pt idx="18">
                  <c:v>-0.694610332571146</c:v>
                </c:pt>
                <c:pt idx="19">
                  <c:v>-0.458240140905625</c:v>
                </c:pt>
                <c:pt idx="20">
                  <c:v>-0.302304784266506</c:v>
                </c:pt>
                <c:pt idx="21">
                  <c:v>-0.19943294886783</c:v>
                </c:pt>
                <c:pt idx="22">
                  <c:v>-0.131567554217254</c:v>
                </c:pt>
                <c:pt idx="23">
                  <c:v>-0.0867961960196545</c:v>
                </c:pt>
                <c:pt idx="24">
                  <c:v>-0.0572601633305604</c:v>
                </c:pt>
                <c:pt idx="25">
                  <c:v>-0.037775</c:v>
                </c:pt>
                <c:pt idx="26">
                  <c:v>-0.0249204777283341</c:v>
                </c:pt>
                <c:pt idx="27">
                  <c:v>-0.0164402438175617</c:v>
                </c:pt>
                <c:pt idx="28">
                  <c:v>-0.0108457638624468</c:v>
                </c:pt>
                <c:pt idx="29">
                  <c:v>-0.00715503949122107</c:v>
                </c:pt>
                <c:pt idx="30">
                  <c:v>-0.00472023831333753</c:v>
                </c:pt>
                <c:pt idx="31">
                  <c:v>-0.00311397998040919</c:v>
                </c:pt>
                <c:pt idx="32">
                  <c:v>-0.00205431816673105</c:v>
                </c:pt>
                <c:pt idx="33">
                  <c:v>-0.00135525056574277</c:v>
                </c:pt>
                <c:pt idx="34">
                  <c:v>-0.00089406992825691</c:v>
                </c:pt>
                <c:pt idx="35">
                  <c:v>-0.000589825274247506</c:v>
                </c:pt>
                <c:pt idx="36">
                  <c:v>-0.000389112577379047</c:v>
                </c:pt>
                <c:pt idx="37">
                  <c:v>-0.000256700762895809</c:v>
                </c:pt>
                <c:pt idx="38">
                  <c:v>-0.000169347601445172</c:v>
                </c:pt>
                <c:pt idx="39">
                  <c:v>-0.000111720003445697</c:v>
                </c:pt>
                <c:pt idx="40">
                  <c:v>-7.37026037770456E-5</c:v>
                </c:pt>
                <c:pt idx="41">
                  <c:v>-4.86222129965875E-5</c:v>
                </c:pt>
                <c:pt idx="42">
                  <c:v>-3.20764732252488E-5</c:v>
                </c:pt>
                <c:pt idx="43">
                  <c:v>-2.11611128157066E-5</c:v>
                </c:pt>
                <c:pt idx="44">
                  <c:v>-1.39601599108029E-5</c:v>
                </c:pt>
                <c:pt idx="45">
                  <c:v>-9.20963214139368E-6</c:v>
                </c:pt>
                <c:pt idx="46">
                  <c:v>-6.0756699580609E-6</c:v>
                </c:pt>
                <c:pt idx="47">
                  <c:v>-4.00816936795672E-6</c:v>
                </c:pt>
                <c:pt idx="48">
                  <c:v>-2.64422224925364E-6</c:v>
                </c:pt>
                <c:pt idx="49">
                  <c:v>-1.7444151335881E-6</c:v>
                </c:pt>
                <c:pt idx="50">
                  <c:v>-1.1508049896903E-6</c:v>
                </c:pt>
              </c:numCache>
            </c:numRef>
          </c:xVal>
          <c:yVal>
            <c:numRef>
              <c:f>StdDev!$AK$14:$CI$14</c:f>
              <c:numCache>
                <c:formatCode>0.00000</c:formatCode>
                <c:ptCount val="51"/>
                <c:pt idx="0">
                  <c:v>0.000638477823264232</c:v>
                </c:pt>
                <c:pt idx="1">
                  <c:v>0.000901692221331821</c:v>
                </c:pt>
                <c:pt idx="2">
                  <c:v>0.00125523328480989</c:v>
                </c:pt>
                <c:pt idx="3">
                  <c:v>0.00172244035429652</c:v>
                </c:pt>
                <c:pt idx="4">
                  <c:v>0.00232979420926357</c:v>
                </c:pt>
                <c:pt idx="5">
                  <c:v>0.00310630831395666</c:v>
                </c:pt>
                <c:pt idx="6">
                  <c:v>0.00408249054537266</c:v>
                </c:pt>
                <c:pt idx="7">
                  <c:v>0.00528882808214459</c:v>
                </c:pt>
                <c:pt idx="8">
                  <c:v>0.00675378683776677</c:v>
                </c:pt>
                <c:pt idx="9">
                  <c:v>0.00850136940908898</c:v>
                </c:pt>
                <c:pt idx="10">
                  <c:v>0.0105483387507943</c:v>
                </c:pt>
                <c:pt idx="11">
                  <c:v>0.012901282731073</c:v>
                </c:pt>
                <c:pt idx="12">
                  <c:v>0.015553758939534</c:v>
                </c:pt>
                <c:pt idx="13">
                  <c:v>0.0184838094591447</c:v>
                </c:pt>
                <c:pt idx="14">
                  <c:v>0.0216521612282365</c:v>
                </c:pt>
                <c:pt idx="15">
                  <c:v>0.0250014198670608</c:v>
                </c:pt>
                <c:pt idx="16">
                  <c:v>0.0284565173780687</c:v>
                </c:pt>
                <c:pt idx="17">
                  <c:v>0.0319265857936118</c:v>
                </c:pt>
                <c:pt idx="18">
                  <c:v>0.0353083045188015</c:v>
                </c:pt>
                <c:pt idx="19">
                  <c:v>0.0384906199708224</c:v>
                </c:pt>
                <c:pt idx="20">
                  <c:v>0.041360578766149</c:v>
                </c:pt>
                <c:pt idx="21">
                  <c:v>0.0438098702657862</c:v>
                </c:pt>
                <c:pt idx="22">
                  <c:v>0.0457415615201954</c:v>
                </c:pt>
                <c:pt idx="23">
                  <c:v>0.047076445677212</c:v>
                </c:pt>
                <c:pt idx="24">
                  <c:v>0.0477584260205839</c:v>
                </c:pt>
                <c:pt idx="25">
                  <c:v>0.0477584260205839</c:v>
                </c:pt>
                <c:pt idx="26">
                  <c:v>0.0470764456772119</c:v>
                </c:pt>
                <c:pt idx="27">
                  <c:v>0.0457415615201955</c:v>
                </c:pt>
                <c:pt idx="28">
                  <c:v>0.0438098702657861</c:v>
                </c:pt>
                <c:pt idx="29">
                  <c:v>0.0413605787661491</c:v>
                </c:pt>
                <c:pt idx="30">
                  <c:v>0.0384906199708224</c:v>
                </c:pt>
                <c:pt idx="31">
                  <c:v>0.0353083045188015</c:v>
                </c:pt>
                <c:pt idx="32">
                  <c:v>0.0319265857936118</c:v>
                </c:pt>
                <c:pt idx="33">
                  <c:v>0.0284565173780688</c:v>
                </c:pt>
                <c:pt idx="34">
                  <c:v>0.0250014198670608</c:v>
                </c:pt>
                <c:pt idx="35">
                  <c:v>0.0216521612282364</c:v>
                </c:pt>
                <c:pt idx="36">
                  <c:v>0.0184838094591447</c:v>
                </c:pt>
                <c:pt idx="37">
                  <c:v>0.015553758939534</c:v>
                </c:pt>
                <c:pt idx="38">
                  <c:v>0.0129012827310729</c:v>
                </c:pt>
                <c:pt idx="39">
                  <c:v>0.0105483387507943</c:v>
                </c:pt>
                <c:pt idx="40">
                  <c:v>0.00850136940908896</c:v>
                </c:pt>
                <c:pt idx="41">
                  <c:v>0.00675378683776673</c:v>
                </c:pt>
                <c:pt idx="42">
                  <c:v>0.00528882808214459</c:v>
                </c:pt>
                <c:pt idx="43">
                  <c:v>0.00408249054537268</c:v>
                </c:pt>
                <c:pt idx="44">
                  <c:v>0.00310630831395664</c:v>
                </c:pt>
                <c:pt idx="45">
                  <c:v>0.0023297942092636</c:v>
                </c:pt>
                <c:pt idx="46">
                  <c:v>0.00172244035429647</c:v>
                </c:pt>
                <c:pt idx="47">
                  <c:v>0.00125523328480992</c:v>
                </c:pt>
                <c:pt idx="48">
                  <c:v>0.000901692221331851</c:v>
                </c:pt>
                <c:pt idx="49">
                  <c:v>0.000638477823264205</c:v>
                </c:pt>
                <c:pt idx="50">
                  <c:v>0.000445642831807813</c:v>
                </c:pt>
              </c:numCache>
            </c:numRef>
          </c:yVal>
          <c:smooth val="0"/>
        </c:ser>
        <c:ser>
          <c:idx val="0"/>
          <c:order val="3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StdDev!$AK$16:$CI$16</c:f>
              <c:numCache>
                <c:formatCode>General</c:formatCode>
                <c:ptCount val="51"/>
                <c:pt idx="0">
                  <c:v>-1.137465775634085</c:v>
                </c:pt>
                <c:pt idx="1">
                  <c:v>-1.06650400162764</c:v>
                </c:pt>
                <c:pt idx="2">
                  <c:v>-0.999969238506276</c:v>
                </c:pt>
                <c:pt idx="3">
                  <c:v>-0.937585303414495</c:v>
                </c:pt>
                <c:pt idx="4">
                  <c:v>-0.879093243400139</c:v>
                </c:pt>
                <c:pt idx="5">
                  <c:v>-0.824250260512167</c:v>
                </c:pt>
                <c:pt idx="6">
                  <c:v>-0.772828703957102</c:v>
                </c:pt>
                <c:pt idx="7">
                  <c:v>-0.724615125130674</c:v>
                </c:pt>
                <c:pt idx="8">
                  <c:v>-0.679409391602111</c:v>
                </c:pt>
                <c:pt idx="9">
                  <c:v>-0.637023856373282</c:v>
                </c:pt>
                <c:pt idx="10">
                  <c:v>-0.597282578964319</c:v>
                </c:pt>
                <c:pt idx="11">
                  <c:v>-0.560020595092474</c:v>
                </c:pt>
                <c:pt idx="12">
                  <c:v>-0.525083231912685</c:v>
                </c:pt>
                <c:pt idx="13">
                  <c:v>-0.49232546597745</c:v>
                </c:pt>
                <c:pt idx="14">
                  <c:v>-0.461611321250911</c:v>
                </c:pt>
                <c:pt idx="15">
                  <c:v>-0.432813304678357</c:v>
                </c:pt>
                <c:pt idx="16">
                  <c:v>-0.405811876968194</c:v>
                </c:pt>
                <c:pt idx="17">
                  <c:v>-0.380494956389642</c:v>
                </c:pt>
                <c:pt idx="18">
                  <c:v>-0.356757453526435</c:v>
                </c:pt>
                <c:pt idx="19">
                  <c:v>-0.334500835055303</c:v>
                </c:pt>
                <c:pt idx="20">
                  <c:v>-0.313632714738514</c:v>
                </c:pt>
                <c:pt idx="21">
                  <c:v>-0.29406646993269</c:v>
                </c:pt>
                <c:pt idx="22">
                  <c:v>-0.275720882022053</c:v>
                </c:pt>
                <c:pt idx="23">
                  <c:v>-0.258519799283541</c:v>
                </c:pt>
                <c:pt idx="24">
                  <c:v>-0.242391820784387</c:v>
                </c:pt>
                <c:pt idx="25">
                  <c:v>-0.22727</c:v>
                </c:pt>
                <c:pt idx="26">
                  <c:v>-0.213091566921911</c:v>
                </c:pt>
                <c:pt idx="27">
                  <c:v>-0.199797667502244</c:v>
                </c:pt>
                <c:pt idx="28">
                  <c:v>-0.187333119353175</c:v>
                </c:pt>
                <c:pt idx="29">
                  <c:v>-0.175646182687277</c:v>
                </c:pt>
                <c:pt idx="30">
                  <c:v>-0.164688345547956</c:v>
                </c:pt>
                <c:pt idx="31">
                  <c:v>-0.15441412243847</c:v>
                </c:pt>
                <c:pt idx="32">
                  <c:v>-0.144780865513641</c:v>
                </c:pt>
                <c:pt idx="33">
                  <c:v>-0.135748587550545</c:v>
                </c:pt>
                <c:pt idx="34">
                  <c:v>-0.127279795963311</c:v>
                </c:pt>
                <c:pt idx="35">
                  <c:v>-0.119339337173067</c:v>
                </c:pt>
                <c:pt idx="36">
                  <c:v>-0.111894250686985</c:v>
                </c:pt>
                <c:pt idx="37">
                  <c:v>-0.104913632280736</c:v>
                </c:pt>
                <c:pt idx="38">
                  <c:v>-0.0983685057164213</c:v>
                </c:pt>
                <c:pt idx="39">
                  <c:v>-0.0922317024634978</c:v>
                </c:pt>
                <c:pt idx="40">
                  <c:v>-0.0864777489234047</c:v>
                </c:pt>
                <c:pt idx="41">
                  <c:v>-0.0810827606897869</c:v>
                </c:pt>
                <c:pt idx="42">
                  <c:v>-0.0760243434053812</c:v>
                </c:pt>
                <c:pt idx="43">
                  <c:v>-0.0712814998040309</c:v>
                </c:pt>
                <c:pt idx="44">
                  <c:v>-0.0668345425519638</c:v>
                </c:pt>
                <c:pt idx="45">
                  <c:v>-0.0626650125265414</c:v>
                </c:pt>
                <c:pt idx="46">
                  <c:v>-0.0587556021932585</c:v>
                </c:pt>
                <c:pt idx="47">
                  <c:v>-0.0550900837629336</c:v>
                </c:pt>
                <c:pt idx="48">
                  <c:v>-0.0516532418308744</c:v>
                </c:pt>
                <c:pt idx="49">
                  <c:v>-0.0484308102184072</c:v>
                </c:pt>
                <c:pt idx="50">
                  <c:v>-0.0454094127546005</c:v>
                </c:pt>
              </c:numCache>
            </c:numRef>
          </c:xVal>
          <c:yVal>
            <c:numRef>
              <c:f>StdDev!$AK$14:$CI$14</c:f>
              <c:numCache>
                <c:formatCode>0.00000</c:formatCode>
                <c:ptCount val="51"/>
                <c:pt idx="0">
                  <c:v>0.000638477823264232</c:v>
                </c:pt>
                <c:pt idx="1">
                  <c:v>0.000901692221331821</c:v>
                </c:pt>
                <c:pt idx="2">
                  <c:v>0.00125523328480989</c:v>
                </c:pt>
                <c:pt idx="3">
                  <c:v>0.00172244035429652</c:v>
                </c:pt>
                <c:pt idx="4">
                  <c:v>0.00232979420926357</c:v>
                </c:pt>
                <c:pt idx="5">
                  <c:v>0.00310630831395666</c:v>
                </c:pt>
                <c:pt idx="6">
                  <c:v>0.00408249054537266</c:v>
                </c:pt>
                <c:pt idx="7">
                  <c:v>0.00528882808214459</c:v>
                </c:pt>
                <c:pt idx="8">
                  <c:v>0.00675378683776677</c:v>
                </c:pt>
                <c:pt idx="9">
                  <c:v>0.00850136940908898</c:v>
                </c:pt>
                <c:pt idx="10">
                  <c:v>0.0105483387507943</c:v>
                </c:pt>
                <c:pt idx="11">
                  <c:v>0.012901282731073</c:v>
                </c:pt>
                <c:pt idx="12">
                  <c:v>0.015553758939534</c:v>
                </c:pt>
                <c:pt idx="13">
                  <c:v>0.0184838094591447</c:v>
                </c:pt>
                <c:pt idx="14">
                  <c:v>0.0216521612282365</c:v>
                </c:pt>
                <c:pt idx="15">
                  <c:v>0.0250014198670608</c:v>
                </c:pt>
                <c:pt idx="16">
                  <c:v>0.0284565173780687</c:v>
                </c:pt>
                <c:pt idx="17">
                  <c:v>0.0319265857936118</c:v>
                </c:pt>
                <c:pt idx="18">
                  <c:v>0.0353083045188015</c:v>
                </c:pt>
                <c:pt idx="19">
                  <c:v>0.0384906199708224</c:v>
                </c:pt>
                <c:pt idx="20">
                  <c:v>0.041360578766149</c:v>
                </c:pt>
                <c:pt idx="21">
                  <c:v>0.0438098702657862</c:v>
                </c:pt>
                <c:pt idx="22">
                  <c:v>0.0457415615201954</c:v>
                </c:pt>
                <c:pt idx="23">
                  <c:v>0.047076445677212</c:v>
                </c:pt>
                <c:pt idx="24">
                  <c:v>0.0477584260205839</c:v>
                </c:pt>
                <c:pt idx="25">
                  <c:v>0.0477584260205839</c:v>
                </c:pt>
                <c:pt idx="26">
                  <c:v>0.0470764456772119</c:v>
                </c:pt>
                <c:pt idx="27">
                  <c:v>0.0457415615201955</c:v>
                </c:pt>
                <c:pt idx="28">
                  <c:v>0.0438098702657861</c:v>
                </c:pt>
                <c:pt idx="29">
                  <c:v>0.0413605787661491</c:v>
                </c:pt>
                <c:pt idx="30">
                  <c:v>0.0384906199708224</c:v>
                </c:pt>
                <c:pt idx="31">
                  <c:v>0.0353083045188015</c:v>
                </c:pt>
                <c:pt idx="32">
                  <c:v>0.0319265857936118</c:v>
                </c:pt>
                <c:pt idx="33">
                  <c:v>0.0284565173780688</c:v>
                </c:pt>
                <c:pt idx="34">
                  <c:v>0.0250014198670608</c:v>
                </c:pt>
                <c:pt idx="35">
                  <c:v>0.0216521612282364</c:v>
                </c:pt>
                <c:pt idx="36">
                  <c:v>0.0184838094591447</c:v>
                </c:pt>
                <c:pt idx="37">
                  <c:v>0.015553758939534</c:v>
                </c:pt>
                <c:pt idx="38">
                  <c:v>0.0129012827310729</c:v>
                </c:pt>
                <c:pt idx="39">
                  <c:v>0.0105483387507943</c:v>
                </c:pt>
                <c:pt idx="40">
                  <c:v>0.00850136940908896</c:v>
                </c:pt>
                <c:pt idx="41">
                  <c:v>0.00675378683776673</c:v>
                </c:pt>
                <c:pt idx="42">
                  <c:v>0.00528882808214459</c:v>
                </c:pt>
                <c:pt idx="43">
                  <c:v>0.00408249054537268</c:v>
                </c:pt>
                <c:pt idx="44">
                  <c:v>0.00310630831395664</c:v>
                </c:pt>
                <c:pt idx="45">
                  <c:v>0.0023297942092636</c:v>
                </c:pt>
                <c:pt idx="46">
                  <c:v>0.00172244035429647</c:v>
                </c:pt>
                <c:pt idx="47">
                  <c:v>0.00125523328480992</c:v>
                </c:pt>
                <c:pt idx="48">
                  <c:v>0.000901692221331851</c:v>
                </c:pt>
                <c:pt idx="49">
                  <c:v>0.000638477823264205</c:v>
                </c:pt>
                <c:pt idx="50">
                  <c:v>0.000445642831807813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77712"/>
        <c:axId val="427980544"/>
      </c:scatterChart>
      <c:valAx>
        <c:axId val="427977712"/>
        <c:scaling>
          <c:orientation val="minMax"/>
          <c:max val="5000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980544"/>
        <c:crosses val="autoZero"/>
        <c:crossBetween val="midCat"/>
      </c:valAx>
      <c:valAx>
        <c:axId val="427980544"/>
        <c:scaling>
          <c:orientation val="minMax"/>
        </c:scaling>
        <c:delete val="1"/>
        <c:axPos val="l"/>
        <c:numFmt formatCode="0.00000" sourceLinked="1"/>
        <c:majorTickMark val="out"/>
        <c:minorTickMark val="none"/>
        <c:tickLblPos val="nextTo"/>
        <c:crossAx val="4279777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11951085813258"/>
          <c:y val="0.109090909090909"/>
          <c:w val="0.556604628237748"/>
          <c:h val="0.683636363636363"/>
        </c:manualLayout>
      </c:layout>
      <c:scatterChart>
        <c:scatterStyle val="lineMarker"/>
        <c:varyColors val="0"/>
        <c:ser>
          <c:idx val="0"/>
          <c:order val="0"/>
          <c:tx>
            <c:strRef>
              <c:f>StdDev!$A$625</c:f>
              <c:strCache>
                <c:ptCount val="1"/>
                <c:pt idx="0">
                  <c:v>Wt used in 2007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StdDev!$B$623:$P$623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StdDev!$B$625:$P$625</c:f>
              <c:numCache>
                <c:formatCode>General</c:formatCode>
                <c:ptCount val="15"/>
                <c:pt idx="0">
                  <c:v>0.0066</c:v>
                </c:pt>
                <c:pt idx="1">
                  <c:v>0.17</c:v>
                </c:pt>
                <c:pt idx="2">
                  <c:v>0.353272</c:v>
                </c:pt>
                <c:pt idx="3">
                  <c:v>0.51214</c:v>
                </c:pt>
                <c:pt idx="4">
                  <c:v>0.627418</c:v>
                </c:pt>
                <c:pt idx="5">
                  <c:v>0.754486</c:v>
                </c:pt>
                <c:pt idx="6">
                  <c:v>0.874581</c:v>
                </c:pt>
                <c:pt idx="7">
                  <c:v>0.94473</c:v>
                </c:pt>
                <c:pt idx="8">
                  <c:v>1.04831</c:v>
                </c:pt>
                <c:pt idx="9">
                  <c:v>1.14672</c:v>
                </c:pt>
                <c:pt idx="10">
                  <c:v>1.21955</c:v>
                </c:pt>
                <c:pt idx="11">
                  <c:v>1.27195</c:v>
                </c:pt>
                <c:pt idx="12">
                  <c:v>1.33448</c:v>
                </c:pt>
                <c:pt idx="13">
                  <c:v>1.28228</c:v>
                </c:pt>
                <c:pt idx="14">
                  <c:v>1.37867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StdDev!$A$627</c:f>
              <c:strCache>
                <c:ptCount val="1"/>
                <c:pt idx="0">
                  <c:v>Current wts-at-age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StdDev!$B$623:$P$623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StdDev!$B$627:$P$627</c:f>
              <c:numCache>
                <c:formatCode>General</c:formatCode>
                <c:ptCount val="15"/>
                <c:pt idx="0">
                  <c:v>4371.19</c:v>
                </c:pt>
                <c:pt idx="1">
                  <c:v>11248.7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772.0</c:v>
                </c:pt>
                <c:pt idx="9">
                  <c:v>0.0</c:v>
                </c:pt>
                <c:pt idx="10">
                  <c:v>13.001</c:v>
                </c:pt>
                <c:pt idx="11">
                  <c:v>5.1712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59184"/>
        <c:axId val="427942720"/>
      </c:scatterChart>
      <c:valAx>
        <c:axId val="42795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25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27942720"/>
        <c:crosses val="autoZero"/>
        <c:crossBetween val="midCat"/>
      </c:valAx>
      <c:valAx>
        <c:axId val="42794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25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279591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3963254593176"/>
          <c:y val="0.352727272727273"/>
          <c:w val="0.301887287673946"/>
          <c:h val="0.1927272727272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15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325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2" r="0.750000000000002" t="1.0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AgeData!$Q$2</c:f>
              <c:strCache>
                <c:ptCount val="1"/>
                <c:pt idx="0">
                  <c:v>1+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AgeData!$A$35:$A$54</c:f>
              <c:numCache>
                <c:formatCode>General</c:formatCode>
                <c:ptCount val="20"/>
                <c:pt idx="0">
                  <c:v>1996.0</c:v>
                </c:pt>
                <c:pt idx="1">
                  <c:v>1997.0</c:v>
                </c:pt>
                <c:pt idx="2">
                  <c:v>1998.0</c:v>
                </c:pt>
                <c:pt idx="3">
                  <c:v>1999.0</c:v>
                </c:pt>
                <c:pt idx="4">
                  <c:v>2000.0</c:v>
                </c:pt>
                <c:pt idx="5">
                  <c:v>2001.0</c:v>
                </c:pt>
                <c:pt idx="6">
                  <c:v>2002.0</c:v>
                </c:pt>
                <c:pt idx="7">
                  <c:v>2003.0</c:v>
                </c:pt>
                <c:pt idx="8">
                  <c:v>2004.0</c:v>
                </c:pt>
                <c:pt idx="9">
                  <c:v>2005.0</c:v>
                </c:pt>
                <c:pt idx="10">
                  <c:v>2006.0</c:v>
                </c:pt>
                <c:pt idx="11">
                  <c:v>2007.0</c:v>
                </c:pt>
                <c:pt idx="12">
                  <c:v>2008.0</c:v>
                </c:pt>
                <c:pt idx="13">
                  <c:v>2009.0</c:v>
                </c:pt>
                <c:pt idx="14">
                  <c:v>2010.0</c:v>
                </c:pt>
                <c:pt idx="15">
                  <c:v>2011.0</c:v>
                </c:pt>
                <c:pt idx="16">
                  <c:v>2012.0</c:v>
                </c:pt>
                <c:pt idx="17">
                  <c:v>2013.0</c:v>
                </c:pt>
                <c:pt idx="18">
                  <c:v>2014.0</c:v>
                </c:pt>
                <c:pt idx="19">
                  <c:v>2015.0</c:v>
                </c:pt>
              </c:numCache>
            </c:numRef>
          </c:xVal>
          <c:yVal>
            <c:numRef>
              <c:f>AgeData!$Q$35:$Q$54</c:f>
              <c:numCache>
                <c:formatCode>#,##0</c:formatCode>
                <c:ptCount val="20"/>
                <c:pt idx="0">
                  <c:v>47800.09880000001</c:v>
                </c:pt>
                <c:pt idx="1">
                  <c:v>57190.1228</c:v>
                </c:pt>
                <c:pt idx="2">
                  <c:v>45161.7257</c:v>
                </c:pt>
                <c:pt idx="3">
                  <c:v>42473.35908</c:v>
                </c:pt>
                <c:pt idx="4">
                  <c:v>49782.55091000002</c:v>
                </c:pt>
                <c:pt idx="5">
                  <c:v>62093.59612</c:v>
                </c:pt>
                <c:pt idx="6">
                  <c:v>55321.88245</c:v>
                </c:pt>
                <c:pt idx="7">
                  <c:v>44477.65899999998</c:v>
                </c:pt>
                <c:pt idx="8">
                  <c:v>31931.77500000001</c:v>
                </c:pt>
                <c:pt idx="9">
                  <c:v>23815.0724</c:v>
                </c:pt>
                <c:pt idx="10">
                  <c:v>26092.9256</c:v>
                </c:pt>
                <c:pt idx="11">
                  <c:v>39638.3514</c:v>
                </c:pt>
                <c:pt idx="12">
                  <c:v>33261.28399999998</c:v>
                </c:pt>
                <c:pt idx="13">
                  <c:v>74562.20169999997</c:v>
                </c:pt>
                <c:pt idx="14">
                  <c:v>57310.19720000001</c:v>
                </c:pt>
                <c:pt idx="15">
                  <c:v>45060.56992999998</c:v>
                </c:pt>
                <c:pt idx="16">
                  <c:v>37684.87558</c:v>
                </c:pt>
                <c:pt idx="17">
                  <c:v>85455.82789999999</c:v>
                </c:pt>
                <c:pt idx="18">
                  <c:v>71879.06149999998</c:v>
                </c:pt>
                <c:pt idx="19">
                  <c:v>56598.09494000001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AgeData!$R$2</c:f>
              <c:strCache>
                <c:ptCount val="1"/>
                <c:pt idx="0">
                  <c:v>2+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AgeData!$A$35:$A$54</c:f>
              <c:numCache>
                <c:formatCode>General</c:formatCode>
                <c:ptCount val="20"/>
                <c:pt idx="0">
                  <c:v>1996.0</c:v>
                </c:pt>
                <c:pt idx="1">
                  <c:v>1997.0</c:v>
                </c:pt>
                <c:pt idx="2">
                  <c:v>1998.0</c:v>
                </c:pt>
                <c:pt idx="3">
                  <c:v>1999.0</c:v>
                </c:pt>
                <c:pt idx="4">
                  <c:v>2000.0</c:v>
                </c:pt>
                <c:pt idx="5">
                  <c:v>2001.0</c:v>
                </c:pt>
                <c:pt idx="6">
                  <c:v>2002.0</c:v>
                </c:pt>
                <c:pt idx="7">
                  <c:v>2003.0</c:v>
                </c:pt>
                <c:pt idx="8">
                  <c:v>2004.0</c:v>
                </c:pt>
                <c:pt idx="9">
                  <c:v>2005.0</c:v>
                </c:pt>
                <c:pt idx="10">
                  <c:v>2006.0</c:v>
                </c:pt>
                <c:pt idx="11">
                  <c:v>2007.0</c:v>
                </c:pt>
                <c:pt idx="12">
                  <c:v>2008.0</c:v>
                </c:pt>
                <c:pt idx="13">
                  <c:v>2009.0</c:v>
                </c:pt>
                <c:pt idx="14">
                  <c:v>2010.0</c:v>
                </c:pt>
                <c:pt idx="15">
                  <c:v>2011.0</c:v>
                </c:pt>
                <c:pt idx="16">
                  <c:v>2012.0</c:v>
                </c:pt>
                <c:pt idx="17">
                  <c:v>2013.0</c:v>
                </c:pt>
                <c:pt idx="18">
                  <c:v>2014.0</c:v>
                </c:pt>
                <c:pt idx="19">
                  <c:v>2015.0</c:v>
                </c:pt>
              </c:numCache>
            </c:numRef>
          </c:xVal>
          <c:yVal>
            <c:numRef>
              <c:f>AgeData!$R$35:$R$54</c:f>
              <c:numCache>
                <c:formatCode>#,##0</c:formatCode>
                <c:ptCount val="20"/>
                <c:pt idx="0">
                  <c:v>24921.9988</c:v>
                </c:pt>
                <c:pt idx="1">
                  <c:v>26011.7228</c:v>
                </c:pt>
                <c:pt idx="2">
                  <c:v>29678.7257</c:v>
                </c:pt>
                <c:pt idx="3">
                  <c:v>25646.25908</c:v>
                </c:pt>
                <c:pt idx="4">
                  <c:v>23932.25090999999</c:v>
                </c:pt>
                <c:pt idx="5">
                  <c:v>26130.19612000001</c:v>
                </c:pt>
                <c:pt idx="6">
                  <c:v>31370.08244999999</c:v>
                </c:pt>
                <c:pt idx="7">
                  <c:v>29852.159</c:v>
                </c:pt>
                <c:pt idx="8">
                  <c:v>25291.31500000001</c:v>
                </c:pt>
                <c:pt idx="9">
                  <c:v>18983.3724</c:v>
                </c:pt>
                <c:pt idx="10">
                  <c:v>13885.4256</c:v>
                </c:pt>
                <c:pt idx="11">
                  <c:v>13247.8514</c:v>
                </c:pt>
                <c:pt idx="12">
                  <c:v>18638.884</c:v>
                </c:pt>
                <c:pt idx="13">
                  <c:v>17631.6017</c:v>
                </c:pt>
                <c:pt idx="14">
                  <c:v>34810.09720000001</c:v>
                </c:pt>
                <c:pt idx="15">
                  <c:v>31581.36993000001</c:v>
                </c:pt>
                <c:pt idx="16">
                  <c:v>26484.07558</c:v>
                </c:pt>
                <c:pt idx="17">
                  <c:v>21934.1279</c:v>
                </c:pt>
                <c:pt idx="18">
                  <c:v>39995.8615</c:v>
                </c:pt>
                <c:pt idx="19">
                  <c:v>38418.59494000001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AgeData!$S$2</c:f>
              <c:strCache>
                <c:ptCount val="1"/>
                <c:pt idx="0">
                  <c:v>3+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AgeData!$A$35:$A$54</c:f>
              <c:numCache>
                <c:formatCode>General</c:formatCode>
                <c:ptCount val="20"/>
                <c:pt idx="0">
                  <c:v>1996.0</c:v>
                </c:pt>
                <c:pt idx="1">
                  <c:v>1997.0</c:v>
                </c:pt>
                <c:pt idx="2">
                  <c:v>1998.0</c:v>
                </c:pt>
                <c:pt idx="3">
                  <c:v>1999.0</c:v>
                </c:pt>
                <c:pt idx="4">
                  <c:v>2000.0</c:v>
                </c:pt>
                <c:pt idx="5">
                  <c:v>2001.0</c:v>
                </c:pt>
                <c:pt idx="6">
                  <c:v>2002.0</c:v>
                </c:pt>
                <c:pt idx="7">
                  <c:v>2003.0</c:v>
                </c:pt>
                <c:pt idx="8">
                  <c:v>2004.0</c:v>
                </c:pt>
                <c:pt idx="9">
                  <c:v>2005.0</c:v>
                </c:pt>
                <c:pt idx="10">
                  <c:v>2006.0</c:v>
                </c:pt>
                <c:pt idx="11">
                  <c:v>2007.0</c:v>
                </c:pt>
                <c:pt idx="12">
                  <c:v>2008.0</c:v>
                </c:pt>
                <c:pt idx="13">
                  <c:v>2009.0</c:v>
                </c:pt>
                <c:pt idx="14">
                  <c:v>2010.0</c:v>
                </c:pt>
                <c:pt idx="15">
                  <c:v>2011.0</c:v>
                </c:pt>
                <c:pt idx="16">
                  <c:v>2012.0</c:v>
                </c:pt>
                <c:pt idx="17">
                  <c:v>2013.0</c:v>
                </c:pt>
                <c:pt idx="18">
                  <c:v>2014.0</c:v>
                </c:pt>
                <c:pt idx="19">
                  <c:v>2015.0</c:v>
                </c:pt>
              </c:numCache>
            </c:numRef>
          </c:xVal>
          <c:yVal>
            <c:numRef>
              <c:f>AgeData!$S$35:$S$54</c:f>
              <c:numCache>
                <c:formatCode>#,##0</c:formatCode>
                <c:ptCount val="20"/>
                <c:pt idx="0">
                  <c:v>20488.7188</c:v>
                </c:pt>
                <c:pt idx="1">
                  <c:v>16710.8628</c:v>
                </c:pt>
                <c:pt idx="2">
                  <c:v>17003.4257</c:v>
                </c:pt>
                <c:pt idx="3">
                  <c:v>19351.65908</c:v>
                </c:pt>
                <c:pt idx="4">
                  <c:v>17091.10091</c:v>
                </c:pt>
                <c:pt idx="5">
                  <c:v>15620.59612</c:v>
                </c:pt>
                <c:pt idx="6">
                  <c:v>16748.98245</c:v>
                </c:pt>
                <c:pt idx="7">
                  <c:v>20114.499</c:v>
                </c:pt>
                <c:pt idx="8">
                  <c:v>19345.295</c:v>
                </c:pt>
                <c:pt idx="9">
                  <c:v>16283.6624</c:v>
                </c:pt>
                <c:pt idx="10">
                  <c:v>11921.0656</c:v>
                </c:pt>
                <c:pt idx="11">
                  <c:v>8284.8314</c:v>
                </c:pt>
                <c:pt idx="12">
                  <c:v>7909.683999999998</c:v>
                </c:pt>
                <c:pt idx="13">
                  <c:v>11686.7917</c:v>
                </c:pt>
                <c:pt idx="14">
                  <c:v>11664.5972</c:v>
                </c:pt>
                <c:pt idx="15">
                  <c:v>22433.77993000001</c:v>
                </c:pt>
                <c:pt idx="16">
                  <c:v>21004.04558</c:v>
                </c:pt>
                <c:pt idx="17">
                  <c:v>17380.3979</c:v>
                </c:pt>
                <c:pt idx="18">
                  <c:v>14170.6615</c:v>
                </c:pt>
                <c:pt idx="19">
                  <c:v>25456.19494000001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AgeData!$T$2</c:f>
              <c:strCache>
                <c:ptCount val="1"/>
                <c:pt idx="0">
                  <c:v>4+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AgeData!$A$35:$A$54</c:f>
              <c:numCache>
                <c:formatCode>General</c:formatCode>
                <c:ptCount val="20"/>
                <c:pt idx="0">
                  <c:v>1996.0</c:v>
                </c:pt>
                <c:pt idx="1">
                  <c:v>1997.0</c:v>
                </c:pt>
                <c:pt idx="2">
                  <c:v>1998.0</c:v>
                </c:pt>
                <c:pt idx="3">
                  <c:v>1999.0</c:v>
                </c:pt>
                <c:pt idx="4">
                  <c:v>2000.0</c:v>
                </c:pt>
                <c:pt idx="5">
                  <c:v>2001.0</c:v>
                </c:pt>
                <c:pt idx="6">
                  <c:v>2002.0</c:v>
                </c:pt>
                <c:pt idx="7">
                  <c:v>2003.0</c:v>
                </c:pt>
                <c:pt idx="8">
                  <c:v>2004.0</c:v>
                </c:pt>
                <c:pt idx="9">
                  <c:v>2005.0</c:v>
                </c:pt>
                <c:pt idx="10">
                  <c:v>2006.0</c:v>
                </c:pt>
                <c:pt idx="11">
                  <c:v>2007.0</c:v>
                </c:pt>
                <c:pt idx="12">
                  <c:v>2008.0</c:v>
                </c:pt>
                <c:pt idx="13">
                  <c:v>2009.0</c:v>
                </c:pt>
                <c:pt idx="14">
                  <c:v>2010.0</c:v>
                </c:pt>
                <c:pt idx="15">
                  <c:v>2011.0</c:v>
                </c:pt>
                <c:pt idx="16">
                  <c:v>2012.0</c:v>
                </c:pt>
                <c:pt idx="17">
                  <c:v>2013.0</c:v>
                </c:pt>
                <c:pt idx="18">
                  <c:v>2014.0</c:v>
                </c:pt>
                <c:pt idx="19">
                  <c:v>2015.0</c:v>
                </c:pt>
              </c:numCache>
            </c:numRef>
          </c:xVal>
          <c:yVal>
            <c:numRef>
              <c:f>AgeData!$T$35:$T$54</c:f>
              <c:numCache>
                <c:formatCode>#,##0</c:formatCode>
                <c:ptCount val="20"/>
                <c:pt idx="0">
                  <c:v>16369.8288</c:v>
                </c:pt>
                <c:pt idx="1">
                  <c:v>13898.4828</c:v>
                </c:pt>
                <c:pt idx="2">
                  <c:v>11114.2657</c:v>
                </c:pt>
                <c:pt idx="3">
                  <c:v>11306.42908</c:v>
                </c:pt>
                <c:pt idx="4">
                  <c:v>13087.60091</c:v>
                </c:pt>
                <c:pt idx="5">
                  <c:v>11269.14612</c:v>
                </c:pt>
                <c:pt idx="6">
                  <c:v>10062.01245</c:v>
                </c:pt>
                <c:pt idx="7">
                  <c:v>10825.149</c:v>
                </c:pt>
                <c:pt idx="8">
                  <c:v>13151.885</c:v>
                </c:pt>
                <c:pt idx="9">
                  <c:v>12499.0424</c:v>
                </c:pt>
                <c:pt idx="10">
                  <c:v>10202.8556</c:v>
                </c:pt>
                <c:pt idx="11">
                  <c:v>7035.941400000001</c:v>
                </c:pt>
                <c:pt idx="12">
                  <c:v>4755.494</c:v>
                </c:pt>
                <c:pt idx="13">
                  <c:v>4864.8017</c:v>
                </c:pt>
                <c:pt idx="14">
                  <c:v>7881.0372</c:v>
                </c:pt>
                <c:pt idx="15">
                  <c:v>7699.679930000001</c:v>
                </c:pt>
                <c:pt idx="16">
                  <c:v>15184.77558</c:v>
                </c:pt>
                <c:pt idx="17">
                  <c:v>13896.8379</c:v>
                </c:pt>
                <c:pt idx="18">
                  <c:v>11272.9715</c:v>
                </c:pt>
                <c:pt idx="19">
                  <c:v>9020.294939999998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43952"/>
        <c:axId val="240346240"/>
      </c:scatterChart>
      <c:valAx>
        <c:axId val="24034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46240"/>
        <c:crosses val="autoZero"/>
        <c:crossBetween val="midCat"/>
      </c:valAx>
      <c:valAx>
        <c:axId val="240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43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68310691563302"/>
          <c:y val="0.101961174790038"/>
          <c:w val="0.658451270263051"/>
          <c:h val="0.72157139082180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'Age Comps'!$H$128</c:f>
              <c:strCache>
                <c:ptCount val="1"/>
                <c:pt idx="0">
                  <c:v>Predicted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'Age Comps'!$C$129:$C$155</c:f>
              <c:numCache>
                <c:formatCode>General</c:formatCode>
                <c:ptCount val="27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</c:numCache>
            </c:numRef>
          </c:xVal>
          <c:yVal>
            <c:numRef>
              <c:f>'Age Comps'!$H$129:$H$155</c:f>
              <c:numCache>
                <c:formatCode>General</c:formatCode>
                <c:ptCount val="27"/>
                <c:pt idx="0">
                  <c:v>577.973852261</c:v>
                </c:pt>
                <c:pt idx="1">
                  <c:v>1674.00018681</c:v>
                </c:pt>
                <c:pt idx="2">
                  <c:v>342.066396892</c:v>
                </c:pt>
                <c:pt idx="3">
                  <c:v>1754.98006075</c:v>
                </c:pt>
                <c:pt idx="4">
                  <c:v>960.40842065</c:v>
                </c:pt>
                <c:pt idx="5">
                  <c:v>407.645612208</c:v>
                </c:pt>
                <c:pt idx="6">
                  <c:v>397.84442432</c:v>
                </c:pt>
                <c:pt idx="7">
                  <c:v>477.045448047</c:v>
                </c:pt>
                <c:pt idx="8">
                  <c:v>967.75085354</c:v>
                </c:pt>
                <c:pt idx="9">
                  <c:v>1011.74008884</c:v>
                </c:pt>
                <c:pt idx="10">
                  <c:v>681.4603889900001</c:v>
                </c:pt>
                <c:pt idx="11">
                  <c:v>1082.77042137</c:v>
                </c:pt>
                <c:pt idx="12">
                  <c:v>622.06229</c:v>
                </c:pt>
                <c:pt idx="13">
                  <c:v>458.9786594</c:v>
                </c:pt>
                <c:pt idx="14">
                  <c:v>627.39247095</c:v>
                </c:pt>
                <c:pt idx="15">
                  <c:v>810.5598333</c:v>
                </c:pt>
                <c:pt idx="16">
                  <c:v>344.75746202</c:v>
                </c:pt>
                <c:pt idx="17">
                  <c:v>455.80716078</c:v>
                </c:pt>
                <c:pt idx="18">
                  <c:v>470.4336096</c:v>
                </c:pt>
                <c:pt idx="19">
                  <c:v>681.59480324</c:v>
                </c:pt>
                <c:pt idx="20">
                  <c:v>310.605076935</c:v>
                </c:pt>
                <c:pt idx="21">
                  <c:v>132.276292512</c:v>
                </c:pt>
                <c:pt idx="22">
                  <c:v>158.31350417</c:v>
                </c:pt>
                <c:pt idx="23">
                  <c:v>157.08862076</c:v>
                </c:pt>
                <c:pt idx="24">
                  <c:v>386.52778212</c:v>
                </c:pt>
                <c:pt idx="25">
                  <c:v>751.72451235</c:v>
                </c:pt>
                <c:pt idx="26">
                  <c:v>252.043452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'Age Comps'!$K$128</c:f>
              <c:strCache>
                <c:ptCount val="1"/>
                <c:pt idx="0">
                  <c:v>3 year olds</c:v>
                </c:pt>
              </c:strCache>
            </c:strRef>
          </c:tx>
          <c:spPr>
            <a:ln w="38100">
              <a:solidFill>
                <a:srgbClr val="FFFF00"/>
              </a:solidFill>
              <a:prstDash val="solid"/>
            </a:ln>
          </c:spPr>
          <c:marker>
            <c:symbol val="triangle"/>
            <c:size val="9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'Age Comps'!$C$129:$C$155</c:f>
              <c:numCache>
                <c:formatCode>General</c:formatCode>
                <c:ptCount val="27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</c:numCache>
            </c:numRef>
          </c:xVal>
          <c:yVal>
            <c:numRef>
              <c:f>'Age Comps'!$K$129:$K$155</c:f>
              <c:numCache>
                <c:formatCode>General</c:formatCode>
                <c:ptCount val="27"/>
                <c:pt idx="0">
                  <c:v>696.8042914248635</c:v>
                </c:pt>
                <c:pt idx="1">
                  <c:v>793.4003278726912</c:v>
                </c:pt>
                <c:pt idx="2">
                  <c:v>421.383539873944</c:v>
                </c:pt>
                <c:pt idx="3">
                  <c:v>1350.252264419122</c:v>
                </c:pt>
                <c:pt idx="4">
                  <c:v>351.2782300659547</c:v>
                </c:pt>
                <c:pt idx="5">
                  <c:v>896.914241570572</c:v>
                </c:pt>
                <c:pt idx="6">
                  <c:v>377.4011555620512</c:v>
                </c:pt>
                <c:pt idx="7">
                  <c:v>203.0915512207967</c:v>
                </c:pt>
                <c:pt idx="8">
                  <c:v>144.1730237410453</c:v>
                </c:pt>
                <c:pt idx="9">
                  <c:v>287.2727916855978</c:v>
                </c:pt>
                <c:pt idx="10">
                  <c:v>1263.336633484043</c:v>
                </c:pt>
                <c:pt idx="11">
                  <c:v>660.7175726495288</c:v>
                </c:pt>
                <c:pt idx="12">
                  <c:v>591.1730088475723</c:v>
                </c:pt>
                <c:pt idx="13">
                  <c:v>1216.798734667954</c:v>
                </c:pt>
                <c:pt idx="14">
                  <c:v>413.9159707505937</c:v>
                </c:pt>
                <c:pt idx="15">
                  <c:v>282.6220165674623</c:v>
                </c:pt>
                <c:pt idx="16">
                  <c:v>591.8141485462263</c:v>
                </c:pt>
                <c:pt idx="17">
                  <c:v>808.4821846084257</c:v>
                </c:pt>
                <c:pt idx="18">
                  <c:v>402.3201855111454</c:v>
                </c:pt>
                <c:pt idx="19">
                  <c:v>437.2864171955723</c:v>
                </c:pt>
                <c:pt idx="20">
                  <c:v>671.9877634338613</c:v>
                </c:pt>
                <c:pt idx="21">
                  <c:v>933.5064356882623</c:v>
                </c:pt>
                <c:pt idx="22">
                  <c:v>622.388874771221</c:v>
                </c:pt>
                <c:pt idx="23">
                  <c:v>380.324471209989</c:v>
                </c:pt>
                <c:pt idx="24">
                  <c:v>172.666558248309</c:v>
                </c:pt>
                <c:pt idx="25">
                  <c:v>125.5035984720905</c:v>
                </c:pt>
                <c:pt idx="26">
                  <c:v>316.9712266610215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'Age Comps'!$G$128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'Age Comps'!$C$129:$C$155</c:f>
              <c:numCache>
                <c:formatCode>General</c:formatCode>
                <c:ptCount val="27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</c:numCache>
            </c:numRef>
          </c:xVal>
          <c:yVal>
            <c:numRef>
              <c:f>'Age Comps'!$G$129:$G$155</c:f>
              <c:numCache>
                <c:formatCode>0</c:formatCode>
                <c:ptCount val="27"/>
                <c:pt idx="0">
                  <c:v>1169.70509313</c:v>
                </c:pt>
                <c:pt idx="1">
                  <c:v>3939.9541612</c:v>
                </c:pt>
                <c:pt idx="2">
                  <c:v>474.6571038</c:v>
                </c:pt>
                <c:pt idx="3">
                  <c:v>4373.6590884</c:v>
                </c:pt>
                <c:pt idx="4">
                  <c:v>2199.3748324</c:v>
                </c:pt>
                <c:pt idx="5">
                  <c:v>425.00207568</c:v>
                </c:pt>
                <c:pt idx="6">
                  <c:v>1521.9811902</c:v>
                </c:pt>
                <c:pt idx="7">
                  <c:v>984.8688031199999</c:v>
                </c:pt>
                <c:pt idx="8">
                  <c:v>2065.0618134</c:v>
                </c:pt>
                <c:pt idx="9">
                  <c:v>2314.7830464</c:v>
                </c:pt>
                <c:pt idx="10">
                  <c:v>1367.92730445</c:v>
                </c:pt>
                <c:pt idx="11">
                  <c:v>2266.1643328</c:v>
                </c:pt>
                <c:pt idx="12">
                  <c:v>1446.2234568</c:v>
                </c:pt>
                <c:pt idx="13">
                  <c:v>1916.5885068</c:v>
                </c:pt>
                <c:pt idx="14">
                  <c:v>1383.08578168</c:v>
                </c:pt>
                <c:pt idx="15">
                  <c:v>2078.3091662</c:v>
                </c:pt>
                <c:pt idx="16">
                  <c:v>676.3549912</c:v>
                </c:pt>
                <c:pt idx="17">
                  <c:v>1010.83136985</c:v>
                </c:pt>
                <c:pt idx="18">
                  <c:v>1074.55251764</c:v>
                </c:pt>
                <c:pt idx="19">
                  <c:v>1495.3373089</c:v>
                </c:pt>
                <c:pt idx="20">
                  <c:v>768.425604822</c:v>
                </c:pt>
                <c:pt idx="21">
                  <c:v>538.9869210000001</c:v>
                </c:pt>
                <c:pt idx="22">
                  <c:v>382.947922161</c:v>
                </c:pt>
                <c:pt idx="23">
                  <c:v>429.85761088</c:v>
                </c:pt>
                <c:pt idx="24">
                  <c:v>747.8418986099999</c:v>
                </c:pt>
                <c:pt idx="25">
                  <c:v>1785.99208172</c:v>
                </c:pt>
                <c:pt idx="26">
                  <c:v>474.3093135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16784"/>
        <c:axId val="427918416"/>
      </c:scatterChart>
      <c:valAx>
        <c:axId val="42791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918416"/>
        <c:crosses val="autoZero"/>
        <c:crossBetween val="midCat"/>
      </c:valAx>
      <c:valAx>
        <c:axId val="42791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916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4578204132934"/>
          <c:y val="0.341177705727961"/>
          <c:w val="0.183098776385346"/>
          <c:h val="0.2509812155833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2400" b="1" baseline="0"/>
              <a:t>Fishery </a:t>
            </a:r>
            <a:br>
              <a:rPr lang="en-US" sz="2400" b="1" baseline="0"/>
            </a:br>
            <a:endParaRPr lang="en-US" sz="2400" b="1" baseline="0"/>
          </a:p>
          <a:p>
            <a:pPr>
              <a:defRPr sz="2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2400" b="1" baseline="0"/>
              <a:t>Selectivity</a:t>
            </a:r>
          </a:p>
        </c:rich>
      </c:tx>
      <c:layout>
        <c:manualLayout>
          <c:xMode val="edge"/>
          <c:yMode val="edge"/>
          <c:x val="0.679778095919828"/>
          <c:y val="0.0344955925107106"/>
        </c:manualLayout>
      </c:layout>
      <c:overlay val="0"/>
      <c:spPr>
        <a:noFill/>
        <a:ln w="25400">
          <a:noFill/>
        </a:ln>
      </c:spPr>
    </c:title>
    <c:autoTitleDeleted val="0"/>
    <c:view3D>
      <c:rotX val="10"/>
      <c:hPercent val="20"/>
      <c:rotY val="359"/>
      <c:depthPercent val="1000"/>
      <c:rAngAx val="0"/>
      <c:perspective val="14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0469226505811126"/>
          <c:y val="0.0"/>
          <c:w val="0.940430512084409"/>
          <c:h val="0.893452255747578"/>
        </c:manualLayout>
      </c:layout>
      <c:area3DChart>
        <c:grouping val="standard"/>
        <c:varyColors val="0"/>
        <c:ser>
          <c:idx val="0"/>
          <c:order val="0"/>
          <c:tx>
            <c:strRef>
              <c:f>Summary!$D$122</c:f>
              <c:strCache>
                <c:ptCount val="1"/>
                <c:pt idx="0">
                  <c:v>1978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Summary!$E$122:$S$122</c:f>
              <c:numCache>
                <c:formatCode>General</c:formatCode>
                <c:ptCount val="15"/>
                <c:pt idx="0">
                  <c:v>0.00684397</c:v>
                </c:pt>
                <c:pt idx="1">
                  <c:v>0.211937</c:v>
                </c:pt>
                <c:pt idx="2">
                  <c:v>0.807181</c:v>
                </c:pt>
                <c:pt idx="3">
                  <c:v>1.00385</c:v>
                </c:pt>
                <c:pt idx="4">
                  <c:v>1.1263</c:v>
                </c:pt>
                <c:pt idx="5">
                  <c:v>1.11155</c:v>
                </c:pt>
                <c:pt idx="6">
                  <c:v>1.11064</c:v>
                </c:pt>
                <c:pt idx="7">
                  <c:v>1.10921</c:v>
                </c:pt>
                <c:pt idx="8">
                  <c:v>1.19056</c:v>
                </c:pt>
                <c:pt idx="9">
                  <c:v>1.22032</c:v>
                </c:pt>
                <c:pt idx="10">
                  <c:v>1.22032</c:v>
                </c:pt>
                <c:pt idx="11">
                  <c:v>1.22032</c:v>
                </c:pt>
                <c:pt idx="12">
                  <c:v>1.22032</c:v>
                </c:pt>
                <c:pt idx="13">
                  <c:v>1.22032</c:v>
                </c:pt>
                <c:pt idx="14">
                  <c:v>1.22032</c:v>
                </c:pt>
              </c:numCache>
            </c:numRef>
          </c:val>
        </c:ser>
        <c:ser>
          <c:idx val="1"/>
          <c:order val="1"/>
          <c:tx>
            <c:strRef>
              <c:f>Summary!$D$123</c:f>
              <c:strCache>
                <c:ptCount val="1"/>
                <c:pt idx="0">
                  <c:v>1979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Summary!$E$123:$S$123</c:f>
              <c:numCache>
                <c:formatCode>General</c:formatCode>
                <c:ptCount val="15"/>
                <c:pt idx="0">
                  <c:v>0.00538519</c:v>
                </c:pt>
                <c:pt idx="1">
                  <c:v>0.136969</c:v>
                </c:pt>
                <c:pt idx="2">
                  <c:v>0.64665</c:v>
                </c:pt>
                <c:pt idx="3">
                  <c:v>0.907866</c:v>
                </c:pt>
                <c:pt idx="4">
                  <c:v>1.15181</c:v>
                </c:pt>
                <c:pt idx="5">
                  <c:v>1.18248</c:v>
                </c:pt>
                <c:pt idx="6">
                  <c:v>1.16547</c:v>
                </c:pt>
                <c:pt idx="7">
                  <c:v>1.16454</c:v>
                </c:pt>
                <c:pt idx="8">
                  <c:v>1.23159</c:v>
                </c:pt>
                <c:pt idx="9">
                  <c:v>1.23454</c:v>
                </c:pt>
                <c:pt idx="10">
                  <c:v>1.23454</c:v>
                </c:pt>
                <c:pt idx="11">
                  <c:v>1.23454</c:v>
                </c:pt>
                <c:pt idx="12">
                  <c:v>1.23454</c:v>
                </c:pt>
                <c:pt idx="13">
                  <c:v>1.23454</c:v>
                </c:pt>
                <c:pt idx="14">
                  <c:v>1.23454</c:v>
                </c:pt>
              </c:numCache>
            </c:numRef>
          </c:val>
        </c:ser>
        <c:ser>
          <c:idx val="2"/>
          <c:order val="2"/>
          <c:tx>
            <c:strRef>
              <c:f>Summary!$D$124</c:f>
              <c:strCache>
                <c:ptCount val="1"/>
                <c:pt idx="0">
                  <c:v>1980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Summary!$E$124:$S$124</c:f>
              <c:numCache>
                <c:formatCode>General</c:formatCode>
                <c:ptCount val="15"/>
                <c:pt idx="0">
                  <c:v>0.00412371</c:v>
                </c:pt>
                <c:pt idx="1">
                  <c:v>0.0771825</c:v>
                </c:pt>
                <c:pt idx="2">
                  <c:v>0.455708</c:v>
                </c:pt>
                <c:pt idx="3">
                  <c:v>0.902141</c:v>
                </c:pt>
                <c:pt idx="4">
                  <c:v>1.1817</c:v>
                </c:pt>
                <c:pt idx="5">
                  <c:v>1.2494</c:v>
                </c:pt>
                <c:pt idx="6">
                  <c:v>1.22983</c:v>
                </c:pt>
                <c:pt idx="7">
                  <c:v>1.21863</c:v>
                </c:pt>
                <c:pt idx="8">
                  <c:v>1.24068</c:v>
                </c:pt>
                <c:pt idx="9">
                  <c:v>1.2401</c:v>
                </c:pt>
                <c:pt idx="10">
                  <c:v>1.2401</c:v>
                </c:pt>
                <c:pt idx="11">
                  <c:v>1.2401</c:v>
                </c:pt>
                <c:pt idx="12">
                  <c:v>1.2401</c:v>
                </c:pt>
                <c:pt idx="13">
                  <c:v>1.2401</c:v>
                </c:pt>
                <c:pt idx="14">
                  <c:v>1.2401</c:v>
                </c:pt>
              </c:numCache>
            </c:numRef>
          </c:val>
        </c:ser>
        <c:ser>
          <c:idx val="3"/>
          <c:order val="3"/>
          <c:tx>
            <c:strRef>
              <c:f>Summary!$D$125</c:f>
              <c:strCache>
                <c:ptCount val="1"/>
                <c:pt idx="0">
                  <c:v>1981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Summary!$E$125:$S$125</c:f>
              <c:numCache>
                <c:formatCode>General</c:formatCode>
                <c:ptCount val="15"/>
                <c:pt idx="0">
                  <c:v>0.0032926</c:v>
                </c:pt>
                <c:pt idx="1">
                  <c:v>0.0554128</c:v>
                </c:pt>
                <c:pt idx="2">
                  <c:v>0.314942</c:v>
                </c:pt>
                <c:pt idx="3">
                  <c:v>0.819365</c:v>
                </c:pt>
                <c:pt idx="4">
                  <c:v>1.23103</c:v>
                </c:pt>
                <c:pt idx="5">
                  <c:v>1.25443</c:v>
                </c:pt>
                <c:pt idx="6">
                  <c:v>1.24757</c:v>
                </c:pt>
                <c:pt idx="7">
                  <c:v>1.24699</c:v>
                </c:pt>
                <c:pt idx="8">
                  <c:v>1.26299</c:v>
                </c:pt>
                <c:pt idx="9">
                  <c:v>1.26066</c:v>
                </c:pt>
                <c:pt idx="10">
                  <c:v>1.26066</c:v>
                </c:pt>
                <c:pt idx="11">
                  <c:v>1.26066</c:v>
                </c:pt>
                <c:pt idx="12">
                  <c:v>1.26066</c:v>
                </c:pt>
                <c:pt idx="13">
                  <c:v>1.26066</c:v>
                </c:pt>
                <c:pt idx="14">
                  <c:v>1.26066</c:v>
                </c:pt>
              </c:numCache>
            </c:numRef>
          </c:val>
        </c:ser>
        <c:ser>
          <c:idx val="4"/>
          <c:order val="4"/>
          <c:tx>
            <c:strRef>
              <c:f>Summary!$D$126</c:f>
              <c:strCache>
                <c:ptCount val="1"/>
                <c:pt idx="0">
                  <c:v>1982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Summary!$E$126:$S$126</c:f>
              <c:numCache>
                <c:formatCode>General</c:formatCode>
                <c:ptCount val="15"/>
                <c:pt idx="0">
                  <c:v>0.00274456</c:v>
                </c:pt>
                <c:pt idx="1">
                  <c:v>0.0468231</c:v>
                </c:pt>
                <c:pt idx="2">
                  <c:v>0.220585</c:v>
                </c:pt>
                <c:pt idx="3">
                  <c:v>0.722422</c:v>
                </c:pt>
                <c:pt idx="4">
                  <c:v>1.16669</c:v>
                </c:pt>
                <c:pt idx="5">
                  <c:v>1.2569</c:v>
                </c:pt>
                <c:pt idx="6">
                  <c:v>1.24574</c:v>
                </c:pt>
                <c:pt idx="7">
                  <c:v>1.26369</c:v>
                </c:pt>
                <c:pt idx="8">
                  <c:v>1.29767</c:v>
                </c:pt>
                <c:pt idx="9">
                  <c:v>1.29612</c:v>
                </c:pt>
                <c:pt idx="10">
                  <c:v>1.29612</c:v>
                </c:pt>
                <c:pt idx="11">
                  <c:v>1.29612</c:v>
                </c:pt>
                <c:pt idx="12">
                  <c:v>1.29612</c:v>
                </c:pt>
                <c:pt idx="13">
                  <c:v>1.29612</c:v>
                </c:pt>
                <c:pt idx="14">
                  <c:v>1.29612</c:v>
                </c:pt>
              </c:numCache>
            </c:numRef>
          </c:val>
        </c:ser>
        <c:ser>
          <c:idx val="5"/>
          <c:order val="5"/>
          <c:tx>
            <c:strRef>
              <c:f>Summary!$D$127</c:f>
              <c:strCache>
                <c:ptCount val="1"/>
                <c:pt idx="0">
                  <c:v>1983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Summary!$E$127:$S$127</c:f>
              <c:numCache>
                <c:formatCode>General</c:formatCode>
                <c:ptCount val="15"/>
                <c:pt idx="0">
                  <c:v>0.0023009</c:v>
                </c:pt>
                <c:pt idx="1">
                  <c:v>0.0488429</c:v>
                </c:pt>
                <c:pt idx="2">
                  <c:v>0.192562</c:v>
                </c:pt>
                <c:pt idx="3">
                  <c:v>0.589682</c:v>
                </c:pt>
                <c:pt idx="4">
                  <c:v>1.00249</c:v>
                </c:pt>
                <c:pt idx="5">
                  <c:v>1.25282</c:v>
                </c:pt>
                <c:pt idx="6">
                  <c:v>1.24511</c:v>
                </c:pt>
                <c:pt idx="7">
                  <c:v>1.25545</c:v>
                </c:pt>
                <c:pt idx="8">
                  <c:v>1.32197</c:v>
                </c:pt>
                <c:pt idx="9">
                  <c:v>1.34813</c:v>
                </c:pt>
                <c:pt idx="10">
                  <c:v>1.34813</c:v>
                </c:pt>
                <c:pt idx="11">
                  <c:v>1.34813</c:v>
                </c:pt>
                <c:pt idx="12">
                  <c:v>1.34813</c:v>
                </c:pt>
                <c:pt idx="13">
                  <c:v>1.34813</c:v>
                </c:pt>
                <c:pt idx="14">
                  <c:v>1.34813</c:v>
                </c:pt>
              </c:numCache>
            </c:numRef>
          </c:val>
        </c:ser>
        <c:ser>
          <c:idx val="6"/>
          <c:order val="6"/>
          <c:tx>
            <c:strRef>
              <c:f>Summary!$D$128</c:f>
              <c:strCache>
                <c:ptCount val="1"/>
                <c:pt idx="0">
                  <c:v>1984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Summary!$E$128:$S$128</c:f>
              <c:numCache>
                <c:formatCode>General</c:formatCode>
                <c:ptCount val="15"/>
                <c:pt idx="0">
                  <c:v>0.00196567</c:v>
                </c:pt>
                <c:pt idx="1">
                  <c:v>0.039357</c:v>
                </c:pt>
                <c:pt idx="2">
                  <c:v>0.189604</c:v>
                </c:pt>
                <c:pt idx="3">
                  <c:v>0.524929</c:v>
                </c:pt>
                <c:pt idx="4">
                  <c:v>1.02909</c:v>
                </c:pt>
                <c:pt idx="5">
                  <c:v>1.19924</c:v>
                </c:pt>
                <c:pt idx="6">
                  <c:v>1.2559</c:v>
                </c:pt>
                <c:pt idx="7">
                  <c:v>1.24996</c:v>
                </c:pt>
                <c:pt idx="8">
                  <c:v>1.3179</c:v>
                </c:pt>
                <c:pt idx="9">
                  <c:v>1.36534</c:v>
                </c:pt>
                <c:pt idx="10">
                  <c:v>1.36534</c:v>
                </c:pt>
                <c:pt idx="11">
                  <c:v>1.36534</c:v>
                </c:pt>
                <c:pt idx="12">
                  <c:v>1.36534</c:v>
                </c:pt>
                <c:pt idx="13">
                  <c:v>1.36534</c:v>
                </c:pt>
                <c:pt idx="14">
                  <c:v>1.36534</c:v>
                </c:pt>
              </c:numCache>
            </c:numRef>
          </c:val>
        </c:ser>
        <c:ser>
          <c:idx val="7"/>
          <c:order val="7"/>
          <c:tx>
            <c:strRef>
              <c:f>Summary!$D$129</c:f>
              <c:strCache>
                <c:ptCount val="1"/>
                <c:pt idx="0">
                  <c:v>1985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Summary!$E$129:$S$129</c:f>
              <c:numCache>
                <c:formatCode>General</c:formatCode>
                <c:ptCount val="15"/>
                <c:pt idx="0">
                  <c:v>0.00168496</c:v>
                </c:pt>
                <c:pt idx="1">
                  <c:v>0.0403308</c:v>
                </c:pt>
                <c:pt idx="2">
                  <c:v>0.203675</c:v>
                </c:pt>
                <c:pt idx="3">
                  <c:v>0.466092</c:v>
                </c:pt>
                <c:pt idx="4">
                  <c:v>0.815813</c:v>
                </c:pt>
                <c:pt idx="5">
                  <c:v>1.28558</c:v>
                </c:pt>
                <c:pt idx="6">
                  <c:v>1.26817</c:v>
                </c:pt>
                <c:pt idx="7">
                  <c:v>1.26816</c:v>
                </c:pt>
                <c:pt idx="8">
                  <c:v>1.32227</c:v>
                </c:pt>
                <c:pt idx="9">
                  <c:v>1.38804</c:v>
                </c:pt>
                <c:pt idx="10">
                  <c:v>1.38804</c:v>
                </c:pt>
                <c:pt idx="11">
                  <c:v>1.38804</c:v>
                </c:pt>
                <c:pt idx="12">
                  <c:v>1.38804</c:v>
                </c:pt>
                <c:pt idx="13">
                  <c:v>1.38804</c:v>
                </c:pt>
                <c:pt idx="14">
                  <c:v>1.38804</c:v>
                </c:pt>
              </c:numCache>
            </c:numRef>
          </c:val>
        </c:ser>
        <c:ser>
          <c:idx val="8"/>
          <c:order val="8"/>
          <c:tx>
            <c:strRef>
              <c:f>Summary!$D$130</c:f>
              <c:strCache>
                <c:ptCount val="1"/>
                <c:pt idx="0">
                  <c:v>1986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Summary!$E$130:$S$130</c:f>
              <c:numCache>
                <c:formatCode>General</c:formatCode>
                <c:ptCount val="15"/>
                <c:pt idx="0">
                  <c:v>0.00146151</c:v>
                </c:pt>
                <c:pt idx="1">
                  <c:v>0.0390742</c:v>
                </c:pt>
                <c:pt idx="2">
                  <c:v>0.219128</c:v>
                </c:pt>
                <c:pt idx="3">
                  <c:v>0.53888</c:v>
                </c:pt>
                <c:pt idx="4">
                  <c:v>0.788132</c:v>
                </c:pt>
                <c:pt idx="5">
                  <c:v>1.22777</c:v>
                </c:pt>
                <c:pt idx="6">
                  <c:v>1.27841</c:v>
                </c:pt>
                <c:pt idx="7">
                  <c:v>1.19558</c:v>
                </c:pt>
                <c:pt idx="8">
                  <c:v>1.35701</c:v>
                </c:pt>
                <c:pt idx="9">
                  <c:v>1.39243</c:v>
                </c:pt>
                <c:pt idx="10">
                  <c:v>1.39243</c:v>
                </c:pt>
                <c:pt idx="11">
                  <c:v>1.39243</c:v>
                </c:pt>
                <c:pt idx="12">
                  <c:v>1.39243</c:v>
                </c:pt>
                <c:pt idx="13">
                  <c:v>1.39243</c:v>
                </c:pt>
                <c:pt idx="14">
                  <c:v>1.39243</c:v>
                </c:pt>
              </c:numCache>
            </c:numRef>
          </c:val>
        </c:ser>
        <c:ser>
          <c:idx val="9"/>
          <c:order val="9"/>
          <c:tx>
            <c:strRef>
              <c:f>Summary!$D$131</c:f>
              <c:strCache>
                <c:ptCount val="1"/>
                <c:pt idx="0">
                  <c:v>1987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Summary!$E$131:$S$131</c:f>
              <c:numCache>
                <c:formatCode>General</c:formatCode>
                <c:ptCount val="15"/>
                <c:pt idx="0">
                  <c:v>0.00124993</c:v>
                </c:pt>
                <c:pt idx="1">
                  <c:v>0.0364368</c:v>
                </c:pt>
                <c:pt idx="2">
                  <c:v>0.241639</c:v>
                </c:pt>
                <c:pt idx="3">
                  <c:v>0.489715</c:v>
                </c:pt>
                <c:pt idx="4">
                  <c:v>0.782151</c:v>
                </c:pt>
                <c:pt idx="5">
                  <c:v>1.12095</c:v>
                </c:pt>
                <c:pt idx="6">
                  <c:v>1.16887</c:v>
                </c:pt>
                <c:pt idx="7">
                  <c:v>1.34064</c:v>
                </c:pt>
                <c:pt idx="8">
                  <c:v>1.42852</c:v>
                </c:pt>
                <c:pt idx="9">
                  <c:v>1.3983</c:v>
                </c:pt>
                <c:pt idx="10">
                  <c:v>1.3983</c:v>
                </c:pt>
                <c:pt idx="11">
                  <c:v>1.3983</c:v>
                </c:pt>
                <c:pt idx="12">
                  <c:v>1.3983</c:v>
                </c:pt>
                <c:pt idx="13">
                  <c:v>1.3983</c:v>
                </c:pt>
                <c:pt idx="14">
                  <c:v>1.3983</c:v>
                </c:pt>
              </c:numCache>
            </c:numRef>
          </c:val>
        </c:ser>
        <c:ser>
          <c:idx val="10"/>
          <c:order val="10"/>
          <c:tx>
            <c:strRef>
              <c:f>Summary!$D$132</c:f>
              <c:strCache>
                <c:ptCount val="1"/>
                <c:pt idx="0">
                  <c:v>1988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Summary!$E$132:$S$132</c:f>
              <c:numCache>
                <c:formatCode>General</c:formatCode>
                <c:ptCount val="15"/>
                <c:pt idx="0">
                  <c:v>0.0010923</c:v>
                </c:pt>
                <c:pt idx="1">
                  <c:v>0.0351686</c:v>
                </c:pt>
                <c:pt idx="2">
                  <c:v>0.406484</c:v>
                </c:pt>
                <c:pt idx="3">
                  <c:v>0.532048</c:v>
                </c:pt>
                <c:pt idx="4">
                  <c:v>0.925459</c:v>
                </c:pt>
                <c:pt idx="5">
                  <c:v>1.08874</c:v>
                </c:pt>
                <c:pt idx="6">
                  <c:v>1.35139</c:v>
                </c:pt>
                <c:pt idx="7">
                  <c:v>1.29186</c:v>
                </c:pt>
                <c:pt idx="8">
                  <c:v>1.36684</c:v>
                </c:pt>
                <c:pt idx="9">
                  <c:v>1.33349</c:v>
                </c:pt>
                <c:pt idx="10">
                  <c:v>1.33349</c:v>
                </c:pt>
                <c:pt idx="11">
                  <c:v>1.33349</c:v>
                </c:pt>
                <c:pt idx="12">
                  <c:v>1.33349</c:v>
                </c:pt>
                <c:pt idx="13">
                  <c:v>1.33349</c:v>
                </c:pt>
                <c:pt idx="14">
                  <c:v>1.33349</c:v>
                </c:pt>
              </c:numCache>
            </c:numRef>
          </c:val>
        </c:ser>
        <c:ser>
          <c:idx val="11"/>
          <c:order val="11"/>
          <c:tx>
            <c:strRef>
              <c:f>Summary!$D$133</c:f>
              <c:strCache>
                <c:ptCount val="1"/>
                <c:pt idx="0">
                  <c:v>1989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Summary!$E$133:$S$133</c:f>
              <c:numCache>
                <c:formatCode>General</c:formatCode>
                <c:ptCount val="15"/>
                <c:pt idx="0">
                  <c:v>0.000924608</c:v>
                </c:pt>
                <c:pt idx="1">
                  <c:v>0.0334538</c:v>
                </c:pt>
                <c:pt idx="2">
                  <c:v>0.291936</c:v>
                </c:pt>
                <c:pt idx="3">
                  <c:v>0.625947</c:v>
                </c:pt>
                <c:pt idx="4">
                  <c:v>0.936182</c:v>
                </c:pt>
                <c:pt idx="5">
                  <c:v>1.15724</c:v>
                </c:pt>
                <c:pt idx="6">
                  <c:v>1.46947</c:v>
                </c:pt>
                <c:pt idx="7">
                  <c:v>1.38075</c:v>
                </c:pt>
                <c:pt idx="8">
                  <c:v>1.31171</c:v>
                </c:pt>
                <c:pt idx="9">
                  <c:v>1.29873</c:v>
                </c:pt>
                <c:pt idx="10">
                  <c:v>1.29873</c:v>
                </c:pt>
                <c:pt idx="11">
                  <c:v>1.29873</c:v>
                </c:pt>
                <c:pt idx="12">
                  <c:v>1.29873</c:v>
                </c:pt>
                <c:pt idx="13">
                  <c:v>1.29873</c:v>
                </c:pt>
                <c:pt idx="14">
                  <c:v>1.29873</c:v>
                </c:pt>
              </c:numCache>
            </c:numRef>
          </c:val>
        </c:ser>
        <c:ser>
          <c:idx val="12"/>
          <c:order val="12"/>
          <c:tx>
            <c:strRef>
              <c:f>Summary!$D$134</c:f>
              <c:strCache>
                <c:ptCount val="1"/>
                <c:pt idx="0">
                  <c:v>1990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Summary!$E$134:$S$134</c:f>
              <c:numCache>
                <c:formatCode>General</c:formatCode>
                <c:ptCount val="15"/>
                <c:pt idx="0">
                  <c:v>0.000777728</c:v>
                </c:pt>
                <c:pt idx="1">
                  <c:v>0.0325466</c:v>
                </c:pt>
                <c:pt idx="2">
                  <c:v>0.222295</c:v>
                </c:pt>
                <c:pt idx="3">
                  <c:v>0.674288</c:v>
                </c:pt>
                <c:pt idx="4">
                  <c:v>1.1066</c:v>
                </c:pt>
                <c:pt idx="5">
                  <c:v>1.2117</c:v>
                </c:pt>
                <c:pt idx="6">
                  <c:v>1.35948</c:v>
                </c:pt>
                <c:pt idx="7">
                  <c:v>1.38467</c:v>
                </c:pt>
                <c:pt idx="8">
                  <c:v>1.33182</c:v>
                </c:pt>
                <c:pt idx="9">
                  <c:v>1.2793</c:v>
                </c:pt>
                <c:pt idx="10">
                  <c:v>1.2793</c:v>
                </c:pt>
                <c:pt idx="11">
                  <c:v>1.2793</c:v>
                </c:pt>
                <c:pt idx="12">
                  <c:v>1.2793</c:v>
                </c:pt>
                <c:pt idx="13">
                  <c:v>1.2793</c:v>
                </c:pt>
                <c:pt idx="14">
                  <c:v>1.2793</c:v>
                </c:pt>
              </c:numCache>
            </c:numRef>
          </c:val>
        </c:ser>
        <c:ser>
          <c:idx val="13"/>
          <c:order val="13"/>
          <c:tx>
            <c:strRef>
              <c:f>Summary!$D$135</c:f>
              <c:strCache>
                <c:ptCount val="1"/>
                <c:pt idx="0">
                  <c:v>1991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Summary!$E$135:$S$135</c:f>
              <c:numCache>
                <c:formatCode>General</c:formatCode>
                <c:ptCount val="15"/>
                <c:pt idx="0">
                  <c:v>0.000633463</c:v>
                </c:pt>
                <c:pt idx="1">
                  <c:v>0.0300101</c:v>
                </c:pt>
                <c:pt idx="2">
                  <c:v>0.153959</c:v>
                </c:pt>
                <c:pt idx="3">
                  <c:v>0.490315</c:v>
                </c:pt>
                <c:pt idx="4">
                  <c:v>0.865887</c:v>
                </c:pt>
                <c:pt idx="5">
                  <c:v>1.06628</c:v>
                </c:pt>
                <c:pt idx="6">
                  <c:v>1.38559</c:v>
                </c:pt>
                <c:pt idx="7">
                  <c:v>1.23681</c:v>
                </c:pt>
                <c:pt idx="8">
                  <c:v>1.40099</c:v>
                </c:pt>
                <c:pt idx="9">
                  <c:v>1.39492</c:v>
                </c:pt>
                <c:pt idx="10">
                  <c:v>1.39492</c:v>
                </c:pt>
                <c:pt idx="11">
                  <c:v>1.39492</c:v>
                </c:pt>
                <c:pt idx="12">
                  <c:v>1.39492</c:v>
                </c:pt>
                <c:pt idx="13">
                  <c:v>1.39492</c:v>
                </c:pt>
                <c:pt idx="14">
                  <c:v>1.39492</c:v>
                </c:pt>
              </c:numCache>
            </c:numRef>
          </c:val>
        </c:ser>
        <c:ser>
          <c:idx val="14"/>
          <c:order val="14"/>
          <c:tx>
            <c:strRef>
              <c:f>Summary!$D$136</c:f>
              <c:strCache>
                <c:ptCount val="1"/>
                <c:pt idx="0">
                  <c:v>1992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Summary!$E$136:$S$136</c:f>
              <c:numCache>
                <c:formatCode>General</c:formatCode>
                <c:ptCount val="15"/>
                <c:pt idx="0">
                  <c:v>0.000538993</c:v>
                </c:pt>
                <c:pt idx="1">
                  <c:v>0.0267186</c:v>
                </c:pt>
                <c:pt idx="2">
                  <c:v>0.206815</c:v>
                </c:pt>
                <c:pt idx="3">
                  <c:v>0.378618</c:v>
                </c:pt>
                <c:pt idx="4">
                  <c:v>0.630095</c:v>
                </c:pt>
                <c:pt idx="5">
                  <c:v>1.01674</c:v>
                </c:pt>
                <c:pt idx="6">
                  <c:v>1.34077</c:v>
                </c:pt>
                <c:pt idx="7">
                  <c:v>1.43102</c:v>
                </c:pt>
                <c:pt idx="8">
                  <c:v>1.44345</c:v>
                </c:pt>
                <c:pt idx="9">
                  <c:v>1.42087</c:v>
                </c:pt>
                <c:pt idx="10">
                  <c:v>1.42087</c:v>
                </c:pt>
                <c:pt idx="11">
                  <c:v>1.42087</c:v>
                </c:pt>
                <c:pt idx="12">
                  <c:v>1.42087</c:v>
                </c:pt>
                <c:pt idx="13">
                  <c:v>1.42087</c:v>
                </c:pt>
                <c:pt idx="14">
                  <c:v>1.42087</c:v>
                </c:pt>
              </c:numCache>
            </c:numRef>
          </c:val>
        </c:ser>
        <c:ser>
          <c:idx val="15"/>
          <c:order val="15"/>
          <c:tx>
            <c:strRef>
              <c:f>Summary!$D$137</c:f>
              <c:strCache>
                <c:ptCount val="1"/>
                <c:pt idx="0">
                  <c:v>1993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Summary!$E$137:$S$137</c:f>
              <c:numCache>
                <c:formatCode>General</c:formatCode>
                <c:ptCount val="15"/>
                <c:pt idx="0">
                  <c:v>0.000475234</c:v>
                </c:pt>
                <c:pt idx="1">
                  <c:v>0.0174679</c:v>
                </c:pt>
                <c:pt idx="2">
                  <c:v>0.193139</c:v>
                </c:pt>
                <c:pt idx="3">
                  <c:v>0.714362</c:v>
                </c:pt>
                <c:pt idx="4">
                  <c:v>0.631378</c:v>
                </c:pt>
                <c:pt idx="5">
                  <c:v>1.0156</c:v>
                </c:pt>
                <c:pt idx="6">
                  <c:v>1.42116</c:v>
                </c:pt>
                <c:pt idx="7">
                  <c:v>1.41902</c:v>
                </c:pt>
                <c:pt idx="8">
                  <c:v>1.41624</c:v>
                </c:pt>
                <c:pt idx="9">
                  <c:v>1.36186</c:v>
                </c:pt>
                <c:pt idx="10">
                  <c:v>1.36186</c:v>
                </c:pt>
                <c:pt idx="11">
                  <c:v>1.36186</c:v>
                </c:pt>
                <c:pt idx="12">
                  <c:v>1.36186</c:v>
                </c:pt>
                <c:pt idx="13">
                  <c:v>1.36186</c:v>
                </c:pt>
                <c:pt idx="14">
                  <c:v>1.36186</c:v>
                </c:pt>
              </c:numCache>
            </c:numRef>
          </c:val>
        </c:ser>
        <c:ser>
          <c:idx val="16"/>
          <c:order val="16"/>
          <c:tx>
            <c:strRef>
              <c:f>Summary!$D$138</c:f>
              <c:strCache>
                <c:ptCount val="1"/>
                <c:pt idx="0">
                  <c:v>1994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Summary!$E$138:$S$138</c:f>
              <c:numCache>
                <c:formatCode>General</c:formatCode>
                <c:ptCount val="15"/>
                <c:pt idx="0">
                  <c:v>0.00042784</c:v>
                </c:pt>
                <c:pt idx="1">
                  <c:v>0.0162733</c:v>
                </c:pt>
                <c:pt idx="2">
                  <c:v>0.0947856</c:v>
                </c:pt>
                <c:pt idx="3">
                  <c:v>0.427804</c:v>
                </c:pt>
                <c:pt idx="4">
                  <c:v>1.13342</c:v>
                </c:pt>
                <c:pt idx="5">
                  <c:v>1.09557</c:v>
                </c:pt>
                <c:pt idx="6">
                  <c:v>1.39956</c:v>
                </c:pt>
                <c:pt idx="7">
                  <c:v>1.3927</c:v>
                </c:pt>
                <c:pt idx="8">
                  <c:v>1.37602</c:v>
                </c:pt>
                <c:pt idx="9">
                  <c:v>1.34391</c:v>
                </c:pt>
                <c:pt idx="10">
                  <c:v>1.34391</c:v>
                </c:pt>
                <c:pt idx="11">
                  <c:v>1.34391</c:v>
                </c:pt>
                <c:pt idx="12">
                  <c:v>1.34391</c:v>
                </c:pt>
                <c:pt idx="13">
                  <c:v>1.34391</c:v>
                </c:pt>
                <c:pt idx="14">
                  <c:v>1.34391</c:v>
                </c:pt>
              </c:numCache>
            </c:numRef>
          </c:val>
        </c:ser>
        <c:ser>
          <c:idx val="17"/>
          <c:order val="17"/>
          <c:tx>
            <c:strRef>
              <c:f>Summary!$D$139</c:f>
              <c:strCache>
                <c:ptCount val="1"/>
                <c:pt idx="0">
                  <c:v>1995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Summary!$E$139:$S$139</c:f>
              <c:numCache>
                <c:formatCode>General</c:formatCode>
                <c:ptCount val="15"/>
                <c:pt idx="0">
                  <c:v>0.000377478</c:v>
                </c:pt>
                <c:pt idx="1">
                  <c:v>0.0172774</c:v>
                </c:pt>
                <c:pt idx="2">
                  <c:v>0.0633841</c:v>
                </c:pt>
                <c:pt idx="3">
                  <c:v>0.207731</c:v>
                </c:pt>
                <c:pt idx="4">
                  <c:v>0.761374</c:v>
                </c:pt>
                <c:pt idx="5">
                  <c:v>1.57376</c:v>
                </c:pt>
                <c:pt idx="6">
                  <c:v>1.44427</c:v>
                </c:pt>
                <c:pt idx="7">
                  <c:v>1.43592</c:v>
                </c:pt>
                <c:pt idx="8">
                  <c:v>1.39336</c:v>
                </c:pt>
                <c:pt idx="9">
                  <c:v>1.35042</c:v>
                </c:pt>
                <c:pt idx="10">
                  <c:v>1.35042</c:v>
                </c:pt>
                <c:pt idx="11">
                  <c:v>1.35042</c:v>
                </c:pt>
                <c:pt idx="12">
                  <c:v>1.35042</c:v>
                </c:pt>
                <c:pt idx="13">
                  <c:v>1.35042</c:v>
                </c:pt>
                <c:pt idx="14">
                  <c:v>1.35042</c:v>
                </c:pt>
              </c:numCache>
            </c:numRef>
          </c:val>
        </c:ser>
        <c:ser>
          <c:idx val="18"/>
          <c:order val="18"/>
          <c:tx>
            <c:strRef>
              <c:f>Summary!$D$140</c:f>
              <c:strCache>
                <c:ptCount val="1"/>
                <c:pt idx="0">
                  <c:v>1996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Summary!$E$140:$S$140</c:f>
              <c:numCache>
                <c:formatCode>General</c:formatCode>
                <c:ptCount val="15"/>
                <c:pt idx="0">
                  <c:v>0.000331111</c:v>
                </c:pt>
                <c:pt idx="1">
                  <c:v>0.022822</c:v>
                </c:pt>
                <c:pt idx="2">
                  <c:v>0.0714695</c:v>
                </c:pt>
                <c:pt idx="3">
                  <c:v>0.101302</c:v>
                </c:pt>
                <c:pt idx="4">
                  <c:v>0.372089</c:v>
                </c:pt>
                <c:pt idx="5">
                  <c:v>1.11454</c:v>
                </c:pt>
                <c:pt idx="6">
                  <c:v>1.76073</c:v>
                </c:pt>
                <c:pt idx="7">
                  <c:v>1.72528</c:v>
                </c:pt>
                <c:pt idx="8">
                  <c:v>1.52978</c:v>
                </c:pt>
                <c:pt idx="9">
                  <c:v>1.38361</c:v>
                </c:pt>
                <c:pt idx="10">
                  <c:v>1.38361</c:v>
                </c:pt>
                <c:pt idx="11">
                  <c:v>1.38361</c:v>
                </c:pt>
                <c:pt idx="12">
                  <c:v>1.38361</c:v>
                </c:pt>
                <c:pt idx="13">
                  <c:v>1.38361</c:v>
                </c:pt>
                <c:pt idx="14">
                  <c:v>1.38361</c:v>
                </c:pt>
              </c:numCache>
            </c:numRef>
          </c:val>
        </c:ser>
        <c:ser>
          <c:idx val="19"/>
          <c:order val="19"/>
          <c:tx>
            <c:strRef>
              <c:f>Summary!$D$141</c:f>
              <c:strCache>
                <c:ptCount val="1"/>
                <c:pt idx="0">
                  <c:v>1997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Summary!$E$141:$S$141</c:f>
              <c:numCache>
                <c:formatCode>General</c:formatCode>
                <c:ptCount val="15"/>
                <c:pt idx="0">
                  <c:v>0.000301936</c:v>
                </c:pt>
                <c:pt idx="1">
                  <c:v>0.0308335</c:v>
                </c:pt>
                <c:pt idx="2">
                  <c:v>0.0838755</c:v>
                </c:pt>
                <c:pt idx="3">
                  <c:v>0.171758</c:v>
                </c:pt>
                <c:pt idx="4">
                  <c:v>0.381953</c:v>
                </c:pt>
                <c:pt idx="5">
                  <c:v>0.790223</c:v>
                </c:pt>
                <c:pt idx="6">
                  <c:v>1.33006</c:v>
                </c:pt>
                <c:pt idx="7">
                  <c:v>1.52825</c:v>
                </c:pt>
                <c:pt idx="8">
                  <c:v>1.61092</c:v>
                </c:pt>
                <c:pt idx="9">
                  <c:v>1.51197</c:v>
                </c:pt>
                <c:pt idx="10">
                  <c:v>1.51197</c:v>
                </c:pt>
                <c:pt idx="11">
                  <c:v>1.51197</c:v>
                </c:pt>
                <c:pt idx="12">
                  <c:v>1.51197</c:v>
                </c:pt>
                <c:pt idx="13">
                  <c:v>1.51197</c:v>
                </c:pt>
                <c:pt idx="14">
                  <c:v>1.51197</c:v>
                </c:pt>
              </c:numCache>
            </c:numRef>
          </c:val>
        </c:ser>
        <c:ser>
          <c:idx val="20"/>
          <c:order val="20"/>
          <c:tx>
            <c:strRef>
              <c:f>Summary!$D$142</c:f>
              <c:strCache>
                <c:ptCount val="1"/>
                <c:pt idx="0">
                  <c:v>1998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Summary!$E$142:$S$142</c:f>
              <c:numCache>
                <c:formatCode>General</c:formatCode>
                <c:ptCount val="15"/>
                <c:pt idx="0">
                  <c:v>0.000272127</c:v>
                </c:pt>
                <c:pt idx="1">
                  <c:v>0.0236819</c:v>
                </c:pt>
                <c:pt idx="2">
                  <c:v>0.118054</c:v>
                </c:pt>
                <c:pt idx="3">
                  <c:v>0.244157</c:v>
                </c:pt>
                <c:pt idx="4">
                  <c:v>0.462078</c:v>
                </c:pt>
                <c:pt idx="5">
                  <c:v>0.99818</c:v>
                </c:pt>
                <c:pt idx="6">
                  <c:v>1.06783</c:v>
                </c:pt>
                <c:pt idx="7">
                  <c:v>1.45788</c:v>
                </c:pt>
                <c:pt idx="8">
                  <c:v>1.60801</c:v>
                </c:pt>
                <c:pt idx="9">
                  <c:v>1.50331</c:v>
                </c:pt>
                <c:pt idx="10">
                  <c:v>1.50331</c:v>
                </c:pt>
                <c:pt idx="11">
                  <c:v>1.50331</c:v>
                </c:pt>
                <c:pt idx="12">
                  <c:v>1.50331</c:v>
                </c:pt>
                <c:pt idx="13">
                  <c:v>1.50331</c:v>
                </c:pt>
                <c:pt idx="14">
                  <c:v>1.50331</c:v>
                </c:pt>
              </c:numCache>
            </c:numRef>
          </c:val>
        </c:ser>
        <c:ser>
          <c:idx val="21"/>
          <c:order val="21"/>
          <c:tx>
            <c:strRef>
              <c:f>Summary!$D$143</c:f>
              <c:strCache>
                <c:ptCount val="1"/>
                <c:pt idx="0">
                  <c:v>1999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Summary!$E$143:$S$143</c:f>
              <c:numCache>
                <c:formatCode>General</c:formatCode>
                <c:ptCount val="15"/>
                <c:pt idx="0">
                  <c:v>0.000251495</c:v>
                </c:pt>
                <c:pt idx="1">
                  <c:v>0.017746</c:v>
                </c:pt>
                <c:pt idx="2">
                  <c:v>0.283797</c:v>
                </c:pt>
                <c:pt idx="3">
                  <c:v>0.438411</c:v>
                </c:pt>
                <c:pt idx="4">
                  <c:v>0.619791</c:v>
                </c:pt>
                <c:pt idx="5">
                  <c:v>0.92038</c:v>
                </c:pt>
                <c:pt idx="6">
                  <c:v>1.5681</c:v>
                </c:pt>
                <c:pt idx="7">
                  <c:v>1.49921</c:v>
                </c:pt>
                <c:pt idx="8">
                  <c:v>1.44897</c:v>
                </c:pt>
                <c:pt idx="9">
                  <c:v>1.36722</c:v>
                </c:pt>
                <c:pt idx="10">
                  <c:v>1.36722</c:v>
                </c:pt>
                <c:pt idx="11">
                  <c:v>1.36722</c:v>
                </c:pt>
                <c:pt idx="12">
                  <c:v>1.36722</c:v>
                </c:pt>
                <c:pt idx="13">
                  <c:v>1.36722</c:v>
                </c:pt>
                <c:pt idx="14">
                  <c:v>1.36722</c:v>
                </c:pt>
              </c:numCache>
            </c:numRef>
          </c:val>
        </c:ser>
        <c:ser>
          <c:idx val="22"/>
          <c:order val="22"/>
          <c:tx>
            <c:strRef>
              <c:f>Summary!$D$144</c:f>
              <c:strCache>
                <c:ptCount val="1"/>
                <c:pt idx="0">
                  <c:v>2000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Summary!$E$144:$S$144</c:f>
              <c:numCache>
                <c:formatCode>General</c:formatCode>
                <c:ptCount val="15"/>
                <c:pt idx="0">
                  <c:v>0.00022259</c:v>
                </c:pt>
                <c:pt idx="1">
                  <c:v>0.0153278</c:v>
                </c:pt>
                <c:pt idx="2">
                  <c:v>0.150949</c:v>
                </c:pt>
                <c:pt idx="3">
                  <c:v>0.557639</c:v>
                </c:pt>
                <c:pt idx="4">
                  <c:v>0.899451</c:v>
                </c:pt>
                <c:pt idx="5">
                  <c:v>0.892403</c:v>
                </c:pt>
                <c:pt idx="6">
                  <c:v>1.43436</c:v>
                </c:pt>
                <c:pt idx="7">
                  <c:v>1.82857</c:v>
                </c:pt>
                <c:pt idx="8">
                  <c:v>1.46108</c:v>
                </c:pt>
                <c:pt idx="9">
                  <c:v>1.29333</c:v>
                </c:pt>
                <c:pt idx="10">
                  <c:v>1.29333</c:v>
                </c:pt>
                <c:pt idx="11">
                  <c:v>1.29333</c:v>
                </c:pt>
                <c:pt idx="12">
                  <c:v>1.29333</c:v>
                </c:pt>
                <c:pt idx="13">
                  <c:v>1.29333</c:v>
                </c:pt>
                <c:pt idx="14">
                  <c:v>1.29333</c:v>
                </c:pt>
              </c:numCache>
            </c:numRef>
          </c:val>
        </c:ser>
        <c:ser>
          <c:idx val="23"/>
          <c:order val="23"/>
          <c:tx>
            <c:strRef>
              <c:f>Summary!$D$145</c:f>
              <c:strCache>
                <c:ptCount val="1"/>
                <c:pt idx="0">
                  <c:v>2001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Summary!$E$145:$S$145</c:f>
              <c:numCache>
                <c:formatCode>General</c:formatCode>
                <c:ptCount val="15"/>
                <c:pt idx="0">
                  <c:v>0.000199411</c:v>
                </c:pt>
                <c:pt idx="1">
                  <c:v>0.0112844</c:v>
                </c:pt>
                <c:pt idx="2">
                  <c:v>0.0959812</c:v>
                </c:pt>
                <c:pt idx="3">
                  <c:v>0.379652</c:v>
                </c:pt>
                <c:pt idx="4">
                  <c:v>1.03672</c:v>
                </c:pt>
                <c:pt idx="5">
                  <c:v>1.51503</c:v>
                </c:pt>
                <c:pt idx="6">
                  <c:v>1.48688</c:v>
                </c:pt>
                <c:pt idx="7">
                  <c:v>1.48102</c:v>
                </c:pt>
                <c:pt idx="8">
                  <c:v>1.36162</c:v>
                </c:pt>
                <c:pt idx="9">
                  <c:v>1.27194</c:v>
                </c:pt>
                <c:pt idx="10">
                  <c:v>1.27194</c:v>
                </c:pt>
                <c:pt idx="11">
                  <c:v>1.27194</c:v>
                </c:pt>
                <c:pt idx="12">
                  <c:v>1.27194</c:v>
                </c:pt>
                <c:pt idx="13">
                  <c:v>1.27194</c:v>
                </c:pt>
                <c:pt idx="14">
                  <c:v>1.27194</c:v>
                </c:pt>
              </c:numCache>
            </c:numRef>
          </c:val>
        </c:ser>
        <c:ser>
          <c:idx val="24"/>
          <c:order val="24"/>
          <c:tx>
            <c:strRef>
              <c:f>Summary!$D$146</c:f>
              <c:strCache>
                <c:ptCount val="1"/>
                <c:pt idx="0">
                  <c:v>2002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12700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Summary!$E$146:$S$146</c:f>
              <c:numCache>
                <c:formatCode>General</c:formatCode>
                <c:ptCount val="15"/>
                <c:pt idx="0">
                  <c:v>0.000191261</c:v>
                </c:pt>
                <c:pt idx="1">
                  <c:v>0.0164338</c:v>
                </c:pt>
                <c:pt idx="2">
                  <c:v>0.0991429</c:v>
                </c:pt>
                <c:pt idx="3">
                  <c:v>0.376335</c:v>
                </c:pt>
                <c:pt idx="4">
                  <c:v>0.842086</c:v>
                </c:pt>
                <c:pt idx="5">
                  <c:v>1.63813</c:v>
                </c:pt>
                <c:pt idx="6">
                  <c:v>1.61524</c:v>
                </c:pt>
                <c:pt idx="7">
                  <c:v>1.59188</c:v>
                </c:pt>
                <c:pt idx="8">
                  <c:v>1.45411</c:v>
                </c:pt>
                <c:pt idx="9">
                  <c:v>1.22774</c:v>
                </c:pt>
                <c:pt idx="10">
                  <c:v>1.22774</c:v>
                </c:pt>
                <c:pt idx="11">
                  <c:v>1.22774</c:v>
                </c:pt>
                <c:pt idx="12">
                  <c:v>1.22774</c:v>
                </c:pt>
                <c:pt idx="13">
                  <c:v>1.22774</c:v>
                </c:pt>
                <c:pt idx="14">
                  <c:v>1.22774</c:v>
                </c:pt>
              </c:numCache>
            </c:numRef>
          </c:val>
        </c:ser>
        <c:ser>
          <c:idx val="25"/>
          <c:order val="25"/>
          <c:tx>
            <c:strRef>
              <c:f>Summary!$D$147</c:f>
              <c:strCache>
                <c:ptCount val="1"/>
                <c:pt idx="0">
                  <c:v>2003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Summary!$E$147:$S$147</c:f>
              <c:numCache>
                <c:formatCode>General</c:formatCode>
                <c:ptCount val="15"/>
                <c:pt idx="0">
                  <c:v>0.000185182</c:v>
                </c:pt>
                <c:pt idx="1">
                  <c:v>0.0111526</c:v>
                </c:pt>
                <c:pt idx="2">
                  <c:v>0.212354</c:v>
                </c:pt>
                <c:pt idx="3">
                  <c:v>0.373238</c:v>
                </c:pt>
                <c:pt idx="4">
                  <c:v>0.966704</c:v>
                </c:pt>
                <c:pt idx="5">
                  <c:v>1.47833</c:v>
                </c:pt>
                <c:pt idx="6">
                  <c:v>1.70836</c:v>
                </c:pt>
                <c:pt idx="7">
                  <c:v>1.66916</c:v>
                </c:pt>
                <c:pt idx="8">
                  <c:v>1.45744</c:v>
                </c:pt>
                <c:pt idx="9">
                  <c:v>1.18718</c:v>
                </c:pt>
                <c:pt idx="10">
                  <c:v>1.18718</c:v>
                </c:pt>
                <c:pt idx="11">
                  <c:v>1.18718</c:v>
                </c:pt>
                <c:pt idx="12">
                  <c:v>1.18718</c:v>
                </c:pt>
                <c:pt idx="13">
                  <c:v>1.18718</c:v>
                </c:pt>
                <c:pt idx="14">
                  <c:v>1.18718</c:v>
                </c:pt>
              </c:numCache>
            </c:numRef>
          </c:val>
        </c:ser>
        <c:ser>
          <c:idx val="26"/>
          <c:order val="26"/>
          <c:tx>
            <c:strRef>
              <c:f>Summary!$D$148</c:f>
              <c:strCache>
                <c:ptCount val="1"/>
                <c:pt idx="0">
                  <c:v>2004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Summary!$E$148:$S$148</c:f>
              <c:numCache>
                <c:formatCode>General</c:formatCode>
                <c:ptCount val="15"/>
                <c:pt idx="0">
                  <c:v>0.000176103</c:v>
                </c:pt>
                <c:pt idx="1">
                  <c:v>0.00887656</c:v>
                </c:pt>
                <c:pt idx="2">
                  <c:v>0.10266</c:v>
                </c:pt>
                <c:pt idx="3">
                  <c:v>0.790823</c:v>
                </c:pt>
                <c:pt idx="4">
                  <c:v>0.956206</c:v>
                </c:pt>
                <c:pt idx="5">
                  <c:v>1.28205</c:v>
                </c:pt>
                <c:pt idx="6">
                  <c:v>1.67453</c:v>
                </c:pt>
                <c:pt idx="7">
                  <c:v>1.62977</c:v>
                </c:pt>
                <c:pt idx="8">
                  <c:v>1.41605</c:v>
                </c:pt>
                <c:pt idx="9">
                  <c:v>1.18981</c:v>
                </c:pt>
                <c:pt idx="10">
                  <c:v>1.18981</c:v>
                </c:pt>
                <c:pt idx="11">
                  <c:v>1.18981</c:v>
                </c:pt>
                <c:pt idx="12">
                  <c:v>1.18981</c:v>
                </c:pt>
                <c:pt idx="13">
                  <c:v>1.18981</c:v>
                </c:pt>
                <c:pt idx="14">
                  <c:v>1.18981</c:v>
                </c:pt>
              </c:numCache>
            </c:numRef>
          </c:val>
        </c:ser>
        <c:ser>
          <c:idx val="27"/>
          <c:order val="27"/>
          <c:tx>
            <c:strRef>
              <c:f>Summary!$D$149</c:f>
              <c:strCache>
                <c:ptCount val="1"/>
                <c:pt idx="0">
                  <c:v>2005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Summary!$E$149:$S$149</c:f>
              <c:numCache>
                <c:formatCode>General</c:formatCode>
                <c:ptCount val="15"/>
                <c:pt idx="0">
                  <c:v>0.000170743</c:v>
                </c:pt>
                <c:pt idx="1">
                  <c:v>0.00999222</c:v>
                </c:pt>
                <c:pt idx="2">
                  <c:v>0.106833</c:v>
                </c:pt>
                <c:pt idx="3">
                  <c:v>0.57586</c:v>
                </c:pt>
                <c:pt idx="4">
                  <c:v>1.50272</c:v>
                </c:pt>
                <c:pt idx="5">
                  <c:v>1.70075</c:v>
                </c:pt>
                <c:pt idx="6">
                  <c:v>1.53126</c:v>
                </c:pt>
                <c:pt idx="7">
                  <c:v>1.40112</c:v>
                </c:pt>
                <c:pt idx="8">
                  <c:v>1.31949</c:v>
                </c:pt>
                <c:pt idx="9">
                  <c:v>1.14197</c:v>
                </c:pt>
                <c:pt idx="10">
                  <c:v>1.14197</c:v>
                </c:pt>
                <c:pt idx="11">
                  <c:v>1.14197</c:v>
                </c:pt>
                <c:pt idx="12">
                  <c:v>1.14197</c:v>
                </c:pt>
                <c:pt idx="13">
                  <c:v>1.14197</c:v>
                </c:pt>
                <c:pt idx="14">
                  <c:v>1.14197</c:v>
                </c:pt>
              </c:numCache>
            </c:numRef>
          </c:val>
        </c:ser>
        <c:ser>
          <c:idx val="28"/>
          <c:order val="28"/>
          <c:tx>
            <c:strRef>
              <c:f>Summary!$D$150</c:f>
              <c:strCache>
                <c:ptCount val="1"/>
                <c:pt idx="0">
                  <c:v>2006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Summary!$E$150:$S$150</c:f>
              <c:numCache>
                <c:formatCode>General</c:formatCode>
                <c:ptCount val="15"/>
                <c:pt idx="0">
                  <c:v>0.000166858</c:v>
                </c:pt>
                <c:pt idx="1">
                  <c:v>0.0127527</c:v>
                </c:pt>
                <c:pt idx="2">
                  <c:v>0.200103</c:v>
                </c:pt>
                <c:pt idx="3">
                  <c:v>0.558202</c:v>
                </c:pt>
                <c:pt idx="4">
                  <c:v>1.18082</c:v>
                </c:pt>
                <c:pt idx="5">
                  <c:v>1.61222</c:v>
                </c:pt>
                <c:pt idx="6">
                  <c:v>1.53563</c:v>
                </c:pt>
                <c:pt idx="7">
                  <c:v>1.46127</c:v>
                </c:pt>
                <c:pt idx="8">
                  <c:v>1.31689</c:v>
                </c:pt>
                <c:pt idx="9">
                  <c:v>1.18699</c:v>
                </c:pt>
                <c:pt idx="10">
                  <c:v>1.18699</c:v>
                </c:pt>
                <c:pt idx="11">
                  <c:v>1.18699</c:v>
                </c:pt>
                <c:pt idx="12">
                  <c:v>1.18699</c:v>
                </c:pt>
                <c:pt idx="13">
                  <c:v>1.18699</c:v>
                </c:pt>
                <c:pt idx="14">
                  <c:v>1.18699</c:v>
                </c:pt>
              </c:numCache>
            </c:numRef>
          </c:val>
        </c:ser>
        <c:ser>
          <c:idx val="29"/>
          <c:order val="29"/>
          <c:tx>
            <c:strRef>
              <c:f>Summary!$D$151</c:f>
              <c:strCache>
                <c:ptCount val="1"/>
                <c:pt idx="0">
                  <c:v>2007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Summary!$E$151:$S$151</c:f>
              <c:numCache>
                <c:formatCode>General</c:formatCode>
                <c:ptCount val="15"/>
                <c:pt idx="0">
                  <c:v>0.000159304</c:v>
                </c:pt>
                <c:pt idx="1">
                  <c:v>0.0136601</c:v>
                </c:pt>
                <c:pt idx="2">
                  <c:v>0.187314</c:v>
                </c:pt>
                <c:pt idx="3">
                  <c:v>0.520575</c:v>
                </c:pt>
                <c:pt idx="4">
                  <c:v>1.12134</c:v>
                </c:pt>
                <c:pt idx="5">
                  <c:v>1.71102</c:v>
                </c:pt>
                <c:pt idx="6">
                  <c:v>1.52626</c:v>
                </c:pt>
                <c:pt idx="7">
                  <c:v>1.3801</c:v>
                </c:pt>
                <c:pt idx="8">
                  <c:v>1.29112</c:v>
                </c:pt>
                <c:pt idx="9">
                  <c:v>1.20808</c:v>
                </c:pt>
                <c:pt idx="10">
                  <c:v>1.20808</c:v>
                </c:pt>
                <c:pt idx="11">
                  <c:v>1.20808</c:v>
                </c:pt>
                <c:pt idx="12">
                  <c:v>1.20808</c:v>
                </c:pt>
                <c:pt idx="13">
                  <c:v>1.20808</c:v>
                </c:pt>
                <c:pt idx="14">
                  <c:v>1.20808</c:v>
                </c:pt>
              </c:numCache>
            </c:numRef>
          </c:val>
        </c:ser>
        <c:ser>
          <c:idx val="31"/>
          <c:order val="30"/>
          <c:tx>
            <c:strRef>
              <c:f>Summary!$D$152</c:f>
              <c:strCache>
                <c:ptCount val="1"/>
                <c:pt idx="0">
                  <c:v>2008</c:v>
                </c:pt>
              </c:strCache>
            </c:strRef>
          </c:tx>
          <c:spPr>
            <a:gradFill rotWithShape="0"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 w="3175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Summary!$E$152:$S$152</c:f>
              <c:numCache>
                <c:formatCode>General</c:formatCode>
                <c:ptCount val="15"/>
                <c:pt idx="0">
                  <c:v>0.000146811</c:v>
                </c:pt>
                <c:pt idx="1">
                  <c:v>0.0109119</c:v>
                </c:pt>
                <c:pt idx="2">
                  <c:v>0.0983134</c:v>
                </c:pt>
                <c:pt idx="3">
                  <c:v>0.443676</c:v>
                </c:pt>
                <c:pt idx="4">
                  <c:v>0.968409</c:v>
                </c:pt>
                <c:pt idx="5">
                  <c:v>1.66657</c:v>
                </c:pt>
                <c:pt idx="6">
                  <c:v>1.56526</c:v>
                </c:pt>
                <c:pt idx="7">
                  <c:v>1.39317</c:v>
                </c:pt>
                <c:pt idx="8">
                  <c:v>1.37054</c:v>
                </c:pt>
                <c:pt idx="9">
                  <c:v>1.24717</c:v>
                </c:pt>
                <c:pt idx="10">
                  <c:v>1.24717</c:v>
                </c:pt>
                <c:pt idx="11">
                  <c:v>1.24717</c:v>
                </c:pt>
                <c:pt idx="12">
                  <c:v>1.24717</c:v>
                </c:pt>
                <c:pt idx="13">
                  <c:v>1.24717</c:v>
                </c:pt>
                <c:pt idx="14">
                  <c:v>1.24717</c:v>
                </c:pt>
              </c:numCache>
            </c:numRef>
          </c:val>
        </c:ser>
        <c:ser>
          <c:idx val="32"/>
          <c:order val="31"/>
          <c:tx>
            <c:strRef>
              <c:f>Summary!$D$153</c:f>
              <c:strCache>
                <c:ptCount val="1"/>
                <c:pt idx="0">
                  <c:v>2009</c:v>
                </c:pt>
              </c:strCache>
            </c:strRef>
          </c:tx>
          <c:spPr>
            <a:gradFill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>
              <a:solidFill>
                <a:srgbClr val="000000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Summary!$E$153:$S$153</c:f>
              <c:numCache>
                <c:formatCode>General</c:formatCode>
                <c:ptCount val="15"/>
                <c:pt idx="0">
                  <c:v>0.000137712</c:v>
                </c:pt>
                <c:pt idx="1">
                  <c:v>0.00756414</c:v>
                </c:pt>
                <c:pt idx="2">
                  <c:v>0.0995248</c:v>
                </c:pt>
                <c:pt idx="3">
                  <c:v>0.419186</c:v>
                </c:pt>
                <c:pt idx="4">
                  <c:v>0.711214</c:v>
                </c:pt>
                <c:pt idx="5">
                  <c:v>1.24982</c:v>
                </c:pt>
                <c:pt idx="6">
                  <c:v>1.41224</c:v>
                </c:pt>
                <c:pt idx="7">
                  <c:v>1.37737</c:v>
                </c:pt>
                <c:pt idx="8">
                  <c:v>1.41302</c:v>
                </c:pt>
                <c:pt idx="9">
                  <c:v>1.38499</c:v>
                </c:pt>
                <c:pt idx="10">
                  <c:v>1.38499</c:v>
                </c:pt>
                <c:pt idx="11">
                  <c:v>1.38499</c:v>
                </c:pt>
                <c:pt idx="12">
                  <c:v>1.38499</c:v>
                </c:pt>
                <c:pt idx="13">
                  <c:v>1.38499</c:v>
                </c:pt>
                <c:pt idx="14">
                  <c:v>1.38499</c:v>
                </c:pt>
              </c:numCache>
            </c:numRef>
          </c:val>
        </c:ser>
        <c:ser>
          <c:idx val="33"/>
          <c:order val="32"/>
          <c:tx>
            <c:strRef>
              <c:f>Summary!$D$154</c:f>
              <c:strCache>
                <c:ptCount val="1"/>
                <c:pt idx="0">
                  <c:v>2010</c:v>
                </c:pt>
              </c:strCache>
            </c:strRef>
          </c:tx>
          <c:spPr>
            <a:gradFill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>
              <a:solidFill>
                <a:srgbClr val="000000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Summary!$E$154:$S$154</c:f>
              <c:numCache>
                <c:formatCode>General</c:formatCode>
                <c:ptCount val="15"/>
                <c:pt idx="0">
                  <c:v>0.000140715</c:v>
                </c:pt>
                <c:pt idx="1">
                  <c:v>0.0081065</c:v>
                </c:pt>
                <c:pt idx="2">
                  <c:v>0.061708</c:v>
                </c:pt>
                <c:pt idx="3">
                  <c:v>0.687411</c:v>
                </c:pt>
                <c:pt idx="4">
                  <c:v>0.924445</c:v>
                </c:pt>
                <c:pt idx="5">
                  <c:v>1.08526</c:v>
                </c:pt>
                <c:pt idx="6">
                  <c:v>1.29915</c:v>
                </c:pt>
                <c:pt idx="7">
                  <c:v>1.41622</c:v>
                </c:pt>
                <c:pt idx="8">
                  <c:v>1.38509</c:v>
                </c:pt>
                <c:pt idx="9">
                  <c:v>1.35541</c:v>
                </c:pt>
                <c:pt idx="10">
                  <c:v>1.35541</c:v>
                </c:pt>
                <c:pt idx="11">
                  <c:v>1.35541</c:v>
                </c:pt>
                <c:pt idx="12">
                  <c:v>1.35541</c:v>
                </c:pt>
                <c:pt idx="13">
                  <c:v>1.35541</c:v>
                </c:pt>
                <c:pt idx="14">
                  <c:v>1.35541</c:v>
                </c:pt>
              </c:numCache>
            </c:numRef>
          </c:val>
        </c:ser>
        <c:ser>
          <c:idx val="34"/>
          <c:order val="33"/>
          <c:tx>
            <c:strRef>
              <c:f>Summary!$D$155</c:f>
              <c:strCache>
                <c:ptCount val="1"/>
                <c:pt idx="0">
                  <c:v>2011</c:v>
                </c:pt>
              </c:strCache>
            </c:strRef>
          </c:tx>
          <c:spPr>
            <a:gradFill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>
              <a:solidFill>
                <a:schemeClr val="tx1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Summary!$E$155:$S$155</c:f>
              <c:numCache>
                <c:formatCode>General</c:formatCode>
                <c:ptCount val="15"/>
                <c:pt idx="0">
                  <c:v>0.000137579</c:v>
                </c:pt>
                <c:pt idx="1">
                  <c:v>0.00853596</c:v>
                </c:pt>
                <c:pt idx="2">
                  <c:v>0.0595363</c:v>
                </c:pt>
                <c:pt idx="3">
                  <c:v>0.227572</c:v>
                </c:pt>
                <c:pt idx="4">
                  <c:v>1.33966</c:v>
                </c:pt>
                <c:pt idx="5">
                  <c:v>1.5191</c:v>
                </c:pt>
                <c:pt idx="6">
                  <c:v>1.4253</c:v>
                </c:pt>
                <c:pt idx="7">
                  <c:v>1.37915</c:v>
                </c:pt>
                <c:pt idx="8">
                  <c:v>1.33492</c:v>
                </c:pt>
                <c:pt idx="9">
                  <c:v>1.28435</c:v>
                </c:pt>
                <c:pt idx="10">
                  <c:v>1.28435</c:v>
                </c:pt>
                <c:pt idx="11">
                  <c:v>1.28435</c:v>
                </c:pt>
                <c:pt idx="12">
                  <c:v>1.28435</c:v>
                </c:pt>
                <c:pt idx="13">
                  <c:v>1.28435</c:v>
                </c:pt>
                <c:pt idx="14">
                  <c:v>1.28435</c:v>
                </c:pt>
              </c:numCache>
            </c:numRef>
          </c:val>
        </c:ser>
        <c:ser>
          <c:idx val="35"/>
          <c:order val="34"/>
          <c:tx>
            <c:strRef>
              <c:f>Summary!$D$156</c:f>
              <c:strCache>
                <c:ptCount val="1"/>
                <c:pt idx="0">
                  <c:v>2012</c:v>
                </c:pt>
              </c:strCache>
            </c:strRef>
          </c:tx>
          <c:spPr>
            <a:gradFill>
              <a:gsLst>
                <a:gs pos="0">
                  <a:srgbClr val="5E9EFF"/>
                </a:gs>
                <a:gs pos="39999">
                  <a:srgbClr val="85C2FF"/>
                </a:gs>
                <a:gs pos="70000">
                  <a:srgbClr val="C4D6EB"/>
                </a:gs>
                <a:gs pos="100000">
                  <a:srgbClr val="FFEBFA"/>
                </a:gs>
              </a:gsLst>
              <a:lin ang="5400000" scaled="0"/>
            </a:gradFill>
            <a:ln>
              <a:solidFill>
                <a:srgbClr val="000000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Summary!$E$156:$S$156</c:f>
              <c:numCache>
                <c:formatCode>General</c:formatCode>
                <c:ptCount val="15"/>
                <c:pt idx="0">
                  <c:v>0.000138291</c:v>
                </c:pt>
                <c:pt idx="1">
                  <c:v>0.0117016</c:v>
                </c:pt>
                <c:pt idx="2">
                  <c:v>0.0888627</c:v>
                </c:pt>
                <c:pt idx="3">
                  <c:v>0.409275</c:v>
                </c:pt>
                <c:pt idx="4">
                  <c:v>0.46755</c:v>
                </c:pt>
                <c:pt idx="5">
                  <c:v>1.47767</c:v>
                </c:pt>
                <c:pt idx="6">
                  <c:v>1.49601</c:v>
                </c:pt>
                <c:pt idx="7">
                  <c:v>1.48103</c:v>
                </c:pt>
                <c:pt idx="8">
                  <c:v>1.39975</c:v>
                </c:pt>
                <c:pt idx="9">
                  <c:v>1.36134</c:v>
                </c:pt>
                <c:pt idx="10">
                  <c:v>1.36134</c:v>
                </c:pt>
                <c:pt idx="11">
                  <c:v>1.36134</c:v>
                </c:pt>
                <c:pt idx="12">
                  <c:v>1.36134</c:v>
                </c:pt>
                <c:pt idx="13">
                  <c:v>1.36134</c:v>
                </c:pt>
                <c:pt idx="14">
                  <c:v>1.36134</c:v>
                </c:pt>
              </c:numCache>
            </c:numRef>
          </c:val>
        </c:ser>
        <c:ser>
          <c:idx val="36"/>
          <c:order val="35"/>
          <c:tx>
            <c:strRef>
              <c:f>Summary!$D$157</c:f>
              <c:strCache>
                <c:ptCount val="1"/>
                <c:pt idx="0">
                  <c:v>2013</c:v>
                </c:pt>
              </c:strCache>
            </c:strRef>
          </c:tx>
          <c:spPr>
            <a:gradFill flip="none" rotWithShape="1">
              <a:gsLst>
                <a:gs pos="0">
                  <a:schemeClr val="bg1"/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15960000" scaled="0"/>
              <a:tileRect/>
            </a:gradFill>
            <a:ln>
              <a:solidFill>
                <a:srgbClr val="000000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Summary!$E$157:$S$157</c:f>
              <c:numCache>
                <c:formatCode>General</c:formatCode>
                <c:ptCount val="15"/>
                <c:pt idx="0">
                  <c:v>0.000133953</c:v>
                </c:pt>
                <c:pt idx="1">
                  <c:v>0.00831988</c:v>
                </c:pt>
                <c:pt idx="2">
                  <c:v>0.0939279</c:v>
                </c:pt>
                <c:pt idx="3">
                  <c:v>0.414583</c:v>
                </c:pt>
                <c:pt idx="4">
                  <c:v>0.697561</c:v>
                </c:pt>
                <c:pt idx="5">
                  <c:v>0.77611</c:v>
                </c:pt>
                <c:pt idx="6">
                  <c:v>1.17335</c:v>
                </c:pt>
                <c:pt idx="7">
                  <c:v>1.49602</c:v>
                </c:pt>
                <c:pt idx="8">
                  <c:v>1.48102</c:v>
                </c:pt>
                <c:pt idx="9">
                  <c:v>1.47649</c:v>
                </c:pt>
                <c:pt idx="10">
                  <c:v>1.47649</c:v>
                </c:pt>
                <c:pt idx="11">
                  <c:v>1.47649</c:v>
                </c:pt>
                <c:pt idx="12">
                  <c:v>1.47649</c:v>
                </c:pt>
                <c:pt idx="13">
                  <c:v>1.47649</c:v>
                </c:pt>
                <c:pt idx="14">
                  <c:v>1.47649</c:v>
                </c:pt>
              </c:numCache>
            </c:numRef>
          </c:val>
        </c:ser>
        <c:ser>
          <c:idx val="37"/>
          <c:order val="36"/>
          <c:tx>
            <c:strRef>
              <c:f>Summary!$D$158</c:f>
              <c:strCache>
                <c:ptCount val="1"/>
                <c:pt idx="0">
                  <c:v>2014</c:v>
                </c:pt>
              </c:strCache>
            </c:strRef>
          </c:tx>
          <c:spPr>
            <a:gradFill flip="none" rotWithShape="1">
              <a:gsLst>
                <a:gs pos="0">
                  <a:schemeClr val="bg1"/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16200000" scaled="0"/>
              <a:tileRect/>
            </a:gradFill>
            <a:ln>
              <a:solidFill>
                <a:schemeClr val="tx1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Summary!$E$158:$S$158</c:f>
              <c:numCache>
                <c:formatCode>General</c:formatCode>
                <c:ptCount val="15"/>
                <c:pt idx="0">
                  <c:v>0.000131105</c:v>
                </c:pt>
                <c:pt idx="1">
                  <c:v>0.00855424</c:v>
                </c:pt>
                <c:pt idx="2">
                  <c:v>0.0849462</c:v>
                </c:pt>
                <c:pt idx="3">
                  <c:v>0.390052</c:v>
                </c:pt>
                <c:pt idx="4">
                  <c:v>0.816247</c:v>
                </c:pt>
                <c:pt idx="5">
                  <c:v>1.00526</c:v>
                </c:pt>
                <c:pt idx="6">
                  <c:v>1.42286</c:v>
                </c:pt>
                <c:pt idx="7">
                  <c:v>1.30475</c:v>
                </c:pt>
                <c:pt idx="8">
                  <c:v>1.30833</c:v>
                </c:pt>
                <c:pt idx="9">
                  <c:v>1.44315</c:v>
                </c:pt>
                <c:pt idx="10">
                  <c:v>1.44315</c:v>
                </c:pt>
                <c:pt idx="11">
                  <c:v>1.44315</c:v>
                </c:pt>
                <c:pt idx="12">
                  <c:v>1.44315</c:v>
                </c:pt>
                <c:pt idx="13">
                  <c:v>1.44315</c:v>
                </c:pt>
                <c:pt idx="14">
                  <c:v>1.44315</c:v>
                </c:pt>
              </c:numCache>
            </c:numRef>
          </c:val>
        </c:ser>
        <c:ser>
          <c:idx val="38"/>
          <c:order val="37"/>
          <c:tx>
            <c:strRef>
              <c:f>Summary!$D$159</c:f>
              <c:strCache>
                <c:ptCount val="1"/>
                <c:pt idx="0">
                  <c:v>2015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100000">
                  <a:srgbClr val="0070C0"/>
                </a:gs>
              </a:gsLst>
              <a:lin ang="16200000" scaled="1"/>
              <a:tileRect/>
            </a:gradFill>
            <a:ln>
              <a:solidFill>
                <a:schemeClr val="tx1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Summary!$E$159:$S$159</c:f>
              <c:numCache>
                <c:formatCode>General</c:formatCode>
                <c:ptCount val="15"/>
                <c:pt idx="0">
                  <c:v>0.000133249</c:v>
                </c:pt>
                <c:pt idx="1">
                  <c:v>0.00799931</c:v>
                </c:pt>
                <c:pt idx="2">
                  <c:v>0.192963</c:v>
                </c:pt>
                <c:pt idx="3">
                  <c:v>0.470671</c:v>
                </c:pt>
                <c:pt idx="4">
                  <c:v>0.735848</c:v>
                </c:pt>
                <c:pt idx="5">
                  <c:v>1.21733</c:v>
                </c:pt>
                <c:pt idx="6">
                  <c:v>1.13059</c:v>
                </c:pt>
                <c:pt idx="7">
                  <c:v>1.15828</c:v>
                </c:pt>
                <c:pt idx="8">
                  <c:v>1.1374</c:v>
                </c:pt>
                <c:pt idx="9">
                  <c:v>1.49146</c:v>
                </c:pt>
                <c:pt idx="10">
                  <c:v>1.49146</c:v>
                </c:pt>
                <c:pt idx="11">
                  <c:v>1.49146</c:v>
                </c:pt>
                <c:pt idx="12">
                  <c:v>1.49146</c:v>
                </c:pt>
                <c:pt idx="13">
                  <c:v>1.49146</c:v>
                </c:pt>
                <c:pt idx="14">
                  <c:v>1.49146</c:v>
                </c:pt>
              </c:numCache>
            </c:numRef>
          </c:val>
        </c:ser>
        <c:ser>
          <c:idx val="39"/>
          <c:order val="38"/>
          <c:tx>
            <c:strRef>
              <c:f>Summary!$D$160</c:f>
              <c:strCache>
                <c:ptCount val="1"/>
                <c:pt idx="0">
                  <c:v>2016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solidFill>
                <a:schemeClr val="tx2"/>
              </a:solidFill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Summary!$E$160:$S$160</c:f>
              <c:numCache>
                <c:formatCode>General</c:formatCode>
                <c:ptCount val="15"/>
                <c:pt idx="0">
                  <c:v>0.000133494</c:v>
                </c:pt>
                <c:pt idx="1">
                  <c:v>0.00798022</c:v>
                </c:pt>
                <c:pt idx="2">
                  <c:v>0.181304</c:v>
                </c:pt>
                <c:pt idx="3">
                  <c:v>0.443278</c:v>
                </c:pt>
                <c:pt idx="4">
                  <c:v>0.676999</c:v>
                </c:pt>
                <c:pt idx="5">
                  <c:v>1.19163</c:v>
                </c:pt>
                <c:pt idx="6">
                  <c:v>1.17963</c:v>
                </c:pt>
                <c:pt idx="7">
                  <c:v>1.18576</c:v>
                </c:pt>
                <c:pt idx="8">
                  <c:v>1.17573</c:v>
                </c:pt>
                <c:pt idx="9">
                  <c:v>1.49293</c:v>
                </c:pt>
                <c:pt idx="10">
                  <c:v>1.49293</c:v>
                </c:pt>
                <c:pt idx="11">
                  <c:v>1.49293</c:v>
                </c:pt>
                <c:pt idx="12">
                  <c:v>1.49293</c:v>
                </c:pt>
                <c:pt idx="13">
                  <c:v>1.49293</c:v>
                </c:pt>
                <c:pt idx="14">
                  <c:v>1.49293</c:v>
                </c:pt>
              </c:numCache>
            </c:numRef>
          </c:val>
        </c:ser>
        <c:ser>
          <c:idx val="30"/>
          <c:order val="39"/>
          <c:tx>
            <c:strRef>
              <c:f>Summary!$D$163</c:f>
              <c:strCache>
                <c:ptCount val="1"/>
                <c:pt idx="0">
                  <c:v>Future</c:v>
                </c:pt>
              </c:strCache>
            </c:strRef>
          </c:tx>
          <c:spPr>
            <a:gradFill rotWithShape="0">
              <a:gsLst>
                <a:gs pos="0">
                  <a:srgbClr val="FFFFC0">
                    <a:gamma/>
                    <a:shade val="46275"/>
                    <a:invGamma/>
                  </a:srgbClr>
                </a:gs>
                <a:gs pos="100000">
                  <a:srgbClr val="FFFFC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cat>
            <c:numRef>
              <c:f>Summary!$E$107:$S$107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Summary!$E$163:$S$163</c:f>
              <c:numCache>
                <c:formatCode>General</c:formatCode>
                <c:ptCount val="15"/>
                <c:pt idx="0">
                  <c:v>0.000112378</c:v>
                </c:pt>
                <c:pt idx="1">
                  <c:v>0.00738701</c:v>
                </c:pt>
                <c:pt idx="2">
                  <c:v>0.097611</c:v>
                </c:pt>
                <c:pt idx="3">
                  <c:v>0.32773</c:v>
                </c:pt>
                <c:pt idx="4">
                  <c:v>0.658661</c:v>
                </c:pt>
                <c:pt idx="5">
                  <c:v>1.0</c:v>
                </c:pt>
                <c:pt idx="6">
                  <c:v>1.08914</c:v>
                </c:pt>
                <c:pt idx="7">
                  <c:v>1.1138</c:v>
                </c:pt>
                <c:pt idx="8">
                  <c:v>1.09045</c:v>
                </c:pt>
                <c:pt idx="9">
                  <c:v>1.18959</c:v>
                </c:pt>
                <c:pt idx="10">
                  <c:v>1.18959</c:v>
                </c:pt>
                <c:pt idx="11">
                  <c:v>1.18959</c:v>
                </c:pt>
                <c:pt idx="12">
                  <c:v>1.18959</c:v>
                </c:pt>
                <c:pt idx="13">
                  <c:v>1.18959</c:v>
                </c:pt>
                <c:pt idx="14">
                  <c:v>1.18959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Depth val="500"/>
        <c:axId val="446361344"/>
        <c:axId val="446363536"/>
        <c:axId val="446365312"/>
      </c:area3DChart>
      <c:catAx>
        <c:axId val="44636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0.493192078262944"/>
              <c:y val="0.9218584616599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363536"/>
        <c:crosses val="autoZero"/>
        <c:auto val="0"/>
        <c:lblAlgn val="ctr"/>
        <c:lblOffset val="100"/>
        <c:tickLblSkip val="2"/>
        <c:tickMarkSkip val="1"/>
        <c:noMultiLvlLbl val="1"/>
      </c:catAx>
      <c:valAx>
        <c:axId val="4463635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46361344"/>
        <c:crosses val="max"/>
        <c:crossBetween val="midCat"/>
      </c:valAx>
      <c:serAx>
        <c:axId val="4463653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363536"/>
        <c:crosses val="autoZero"/>
        <c:tickLblSkip val="2"/>
        <c:tickMarkSkip val="1"/>
      </c:ser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sng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gradFill rotWithShape="0">
              <a:gsLst>
                <a:gs pos="0">
                  <a:srgbClr val="0000FF"/>
                </a:gs>
                <a:gs pos="100000">
                  <a:srgbClr val="FFFFFF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Comps'!$S$110:$AG$110</c:f>
              <c:numCache>
                <c:formatCode>General</c:formatCode>
                <c:ptCount val="15"/>
                <c:pt idx="0">
                  <c:v>0.0</c:v>
                </c:pt>
                <c:pt idx="1">
                  <c:v>0.167315</c:v>
                </c:pt>
                <c:pt idx="2">
                  <c:v>0.379074</c:v>
                </c:pt>
                <c:pt idx="3">
                  <c:v>0.17743</c:v>
                </c:pt>
                <c:pt idx="4">
                  <c:v>0.0613952</c:v>
                </c:pt>
                <c:pt idx="5">
                  <c:v>0.0288705</c:v>
                </c:pt>
                <c:pt idx="6">
                  <c:v>0.123204</c:v>
                </c:pt>
                <c:pt idx="7">
                  <c:v>0.0421798</c:v>
                </c:pt>
                <c:pt idx="8">
                  <c:v>0.0110281</c:v>
                </c:pt>
                <c:pt idx="9">
                  <c:v>0.00704765</c:v>
                </c:pt>
                <c:pt idx="10">
                  <c:v>0.00152438</c:v>
                </c:pt>
                <c:pt idx="11">
                  <c:v>0.00068202</c:v>
                </c:pt>
                <c:pt idx="12">
                  <c:v>0.000176027</c:v>
                </c:pt>
                <c:pt idx="13">
                  <c:v>0.0</c:v>
                </c:pt>
                <c:pt idx="14">
                  <c:v>7.30603E-5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659952"/>
        <c:axId val="446674128"/>
      </c:barChart>
      <c:catAx>
        <c:axId val="44665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omic Sans MS"/>
                <a:ea typeface="Comic Sans MS"/>
                <a:cs typeface="Comic Sans MS"/>
              </a:defRPr>
            </a:pPr>
            <a:endParaRPr lang="en-US"/>
          </a:p>
        </c:txPr>
        <c:crossAx val="446674128"/>
        <c:crosses val="autoZero"/>
        <c:auto val="1"/>
        <c:lblAlgn val="ctr"/>
        <c:lblOffset val="100"/>
        <c:tickLblSkip val="6"/>
        <c:tickMarkSkip val="1"/>
        <c:noMultiLvlLbl val="0"/>
      </c:catAx>
      <c:valAx>
        <c:axId val="446674128"/>
        <c:scaling>
          <c:orientation val="minMax"/>
          <c:max val="0.5"/>
          <c:min val="0.0"/>
        </c:scaling>
        <c:delete val="1"/>
        <c:axPos val="l"/>
        <c:numFmt formatCode="General" sourceLinked="1"/>
        <c:majorTickMark val="out"/>
        <c:minorTickMark val="none"/>
        <c:tickLblPos val="nextTo"/>
        <c:crossAx val="446659952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850342960588602"/>
          <c:w val="0.913551401869158"/>
          <c:h val="0.789118267426217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bg1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Comps'!$S$212:$AG$212</c:f>
              <c:numCache>
                <c:formatCode>General</c:formatCode>
                <c:ptCount val="15"/>
                <c:pt idx="0">
                  <c:v>1086.1984056</c:v>
                </c:pt>
                <c:pt idx="1">
                  <c:v>117.1788156</c:v>
                </c:pt>
                <c:pt idx="2">
                  <c:v>225.42648744</c:v>
                </c:pt>
                <c:pt idx="3">
                  <c:v>886.9061308800001</c:v>
                </c:pt>
                <c:pt idx="4">
                  <c:v>4410.796975200001</c:v>
                </c:pt>
                <c:pt idx="5">
                  <c:v>1023.01122</c:v>
                </c:pt>
                <c:pt idx="6">
                  <c:v>637.62371904</c:v>
                </c:pt>
                <c:pt idx="7">
                  <c:v>223.6679676</c:v>
                </c:pt>
                <c:pt idx="8">
                  <c:v>75.71822412</c:v>
                </c:pt>
                <c:pt idx="9">
                  <c:v>68.416201392</c:v>
                </c:pt>
                <c:pt idx="10">
                  <c:v>89.90056891200001</c:v>
                </c:pt>
                <c:pt idx="11">
                  <c:v>67.633198248</c:v>
                </c:pt>
                <c:pt idx="12">
                  <c:v>62.675385696</c:v>
                </c:pt>
                <c:pt idx="13">
                  <c:v>34.270853232</c:v>
                </c:pt>
                <c:pt idx="14">
                  <c:v>45.76996116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382208"/>
        <c:axId val="44638425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Comps'!$B$212:$P$212</c:f>
              <c:numCache>
                <c:formatCode>General</c:formatCode>
                <c:ptCount val="15"/>
                <c:pt idx="0">
                  <c:v>666.0667455999999</c:v>
                </c:pt>
                <c:pt idx="1">
                  <c:v>39.926573632</c:v>
                </c:pt>
                <c:pt idx="2">
                  <c:v>119.9629264</c:v>
                </c:pt>
                <c:pt idx="3">
                  <c:v>469.76129568</c:v>
                </c:pt>
                <c:pt idx="4">
                  <c:v>2030.9336432</c:v>
                </c:pt>
                <c:pt idx="5">
                  <c:v>622.7905584</c:v>
                </c:pt>
                <c:pt idx="6">
                  <c:v>482.2264176</c:v>
                </c:pt>
                <c:pt idx="7">
                  <c:v>138.25338144</c:v>
                </c:pt>
                <c:pt idx="8">
                  <c:v>33.578756848</c:v>
                </c:pt>
                <c:pt idx="9">
                  <c:v>23.00743248</c:v>
                </c:pt>
                <c:pt idx="10">
                  <c:v>23.55244064</c:v>
                </c:pt>
                <c:pt idx="11">
                  <c:v>20.387584368</c:v>
                </c:pt>
                <c:pt idx="12">
                  <c:v>15.635385952</c:v>
                </c:pt>
                <c:pt idx="13">
                  <c:v>7.831753152</c:v>
                </c:pt>
                <c:pt idx="14">
                  <c:v>8.484540319999998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382208"/>
        <c:axId val="446384256"/>
      </c:scatterChart>
      <c:catAx>
        <c:axId val="44638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38425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6384256"/>
        <c:scaling>
          <c:orientation val="minMax"/>
          <c:max val="4000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382208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Bottom Trawl Survey numbers (age 2+)</a:t>
            </a:r>
          </a:p>
        </c:rich>
      </c:tx>
      <c:layout>
        <c:manualLayout>
          <c:xMode val="edge"/>
          <c:yMode val="edge"/>
          <c:x val="0.176150713718925"/>
          <c:y val="0.055603674540682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325915419472"/>
          <c:y val="0.050043248005535"/>
          <c:w val="0.877429762021163"/>
          <c:h val="0.811812689867561"/>
        </c:manualLayout>
      </c:layout>
      <c:lineChart>
        <c:grouping val="standard"/>
        <c:varyColors val="0"/>
        <c:ser>
          <c:idx val="0"/>
          <c:order val="0"/>
          <c:tx>
            <c:strRef>
              <c:f>Summary!$U$6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9"/>
            <c:spPr>
              <a:noFill/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Summary!$V$1:$BA$1</c:f>
              <c:numCache>
                <c:formatCode>General</c:formatCode>
                <c:ptCount val="32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  <c:pt idx="29">
                  <c:v>2011.0</c:v>
                </c:pt>
                <c:pt idx="30">
                  <c:v>2012.0</c:v>
                </c:pt>
                <c:pt idx="31">
                  <c:v>2013.0</c:v>
                </c:pt>
              </c:numCache>
            </c:numRef>
          </c:cat>
          <c:val>
            <c:numRef>
              <c:f>Summary!$V$6:$BA$6</c:f>
              <c:numCache>
                <c:formatCode>#,##0</c:formatCode>
                <c:ptCount val="32"/>
                <c:pt idx="0">
                  <c:v>6310.33</c:v>
                </c:pt>
                <c:pt idx="1">
                  <c:v>6929.87</c:v>
                </c:pt>
                <c:pt idx="2">
                  <c:v>5254.46</c:v>
                </c:pt>
                <c:pt idx="3">
                  <c:v>6348.25</c:v>
                </c:pt>
                <c:pt idx="4">
                  <c:v>5121.55</c:v>
                </c:pt>
                <c:pt idx="5">
                  <c:v>7347.19</c:v>
                </c:pt>
                <c:pt idx="6">
                  <c:v>8657.6</c:v>
                </c:pt>
                <c:pt idx="7">
                  <c:v>7786.73</c:v>
                </c:pt>
                <c:pt idx="8">
                  <c:v>5958.58</c:v>
                </c:pt>
                <c:pt idx="9">
                  <c:v>4226.82</c:v>
                </c:pt>
                <c:pt idx="10">
                  <c:v>3952.03</c:v>
                </c:pt>
                <c:pt idx="11">
                  <c:v>4540.47</c:v>
                </c:pt>
                <c:pt idx="12">
                  <c:v>4557.5</c:v>
                </c:pt>
                <c:pt idx="13">
                  <c:v>3458.3</c:v>
                </c:pt>
                <c:pt idx="14">
                  <c:v>2700.03</c:v>
                </c:pt>
                <c:pt idx="15">
                  <c:v>3356.55</c:v>
                </c:pt>
                <c:pt idx="16">
                  <c:v>2952.98</c:v>
                </c:pt>
                <c:pt idx="17">
                  <c:v>4515.58</c:v>
                </c:pt>
                <c:pt idx="18">
                  <c:v>4539.2</c:v>
                </c:pt>
                <c:pt idx="19">
                  <c:v>3840.49</c:v>
                </c:pt>
                <c:pt idx="20">
                  <c:v>3759.51</c:v>
                </c:pt>
                <c:pt idx="21">
                  <c:v>2772.96</c:v>
                </c:pt>
                <c:pt idx="22">
                  <c:v>3243.85</c:v>
                </c:pt>
                <c:pt idx="23">
                  <c:v>4133.65</c:v>
                </c:pt>
                <c:pt idx="24">
                  <c:v>2635.86</c:v>
                </c:pt>
                <c:pt idx="25">
                  <c:v>3214.05</c:v>
                </c:pt>
                <c:pt idx="26">
                  <c:v>2429.92</c:v>
                </c:pt>
                <c:pt idx="27">
                  <c:v>2174.61</c:v>
                </c:pt>
                <c:pt idx="28">
                  <c:v>3132.32</c:v>
                </c:pt>
                <c:pt idx="29">
                  <c:v>2291.08</c:v>
                </c:pt>
                <c:pt idx="30">
                  <c:v>3659.74</c:v>
                </c:pt>
                <c:pt idx="31">
                  <c:v>4702.4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Summary!$U$7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Summary!$C$403:$C$432</c:f>
                <c:numCache>
                  <c:formatCode>General</c:formatCode>
                  <c:ptCount val="30"/>
                  <c:pt idx="0">
                    <c:v>1273.281229</c:v>
                  </c:pt>
                  <c:pt idx="1">
                    <c:v>1128.229727</c:v>
                  </c:pt>
                  <c:pt idx="2">
                    <c:v>739.2267437</c:v>
                  </c:pt>
                  <c:pt idx="3">
                    <c:v>1930.851273</c:v>
                  </c:pt>
                  <c:pt idx="4">
                    <c:v>826.3730571</c:v>
                  </c:pt>
                  <c:pt idx="5">
                    <c:v>1125.630941</c:v>
                  </c:pt>
                  <c:pt idx="6">
                    <c:v>1456.237948</c:v>
                  </c:pt>
                  <c:pt idx="7">
                    <c:v>1136.250077</c:v>
                  </c:pt>
                  <c:pt idx="8">
                    <c:v>1369.842305</c:v>
                  </c:pt>
                  <c:pt idx="9">
                    <c:v>827.3787603</c:v>
                  </c:pt>
                  <c:pt idx="10">
                    <c:v>802.1038459</c:v>
                  </c:pt>
                  <c:pt idx="11">
                    <c:v>863.1712933</c:v>
                  </c:pt>
                  <c:pt idx="12">
                    <c:v>972.7242685</c:v>
                  </c:pt>
                  <c:pt idx="13">
                    <c:v>1809.108057</c:v>
                  </c:pt>
                  <c:pt idx="14">
                    <c:v>458.018317</c:v>
                  </c:pt>
                  <c:pt idx="15">
                    <c:v>981.6488213</c:v>
                  </c:pt>
                  <c:pt idx="16">
                    <c:v>578.1486389</c:v>
                  </c:pt>
                  <c:pt idx="17">
                    <c:v>833.7953316</c:v>
                  </c:pt>
                  <c:pt idx="18">
                    <c:v>1006.046504</c:v>
                  </c:pt>
                  <c:pt idx="19">
                    <c:v>695.6240203</c:v>
                  </c:pt>
                  <c:pt idx="20">
                    <c:v>750.124331</c:v>
                  </c:pt>
                  <c:pt idx="21">
                    <c:v>1863.12202</c:v>
                  </c:pt>
                  <c:pt idx="22">
                    <c:v>498.7207319</c:v>
                  </c:pt>
                  <c:pt idx="23">
                    <c:v>697.376502</c:v>
                  </c:pt>
                  <c:pt idx="24">
                    <c:v>427.3259792</c:v>
                  </c:pt>
                  <c:pt idx="25">
                    <c:v>668.5135658</c:v>
                  </c:pt>
                  <c:pt idx="26">
                    <c:v>430.8984247</c:v>
                  </c:pt>
                  <c:pt idx="27">
                    <c:v>415.0758849</c:v>
                  </c:pt>
                  <c:pt idx="28">
                    <c:v>707.0270956000001</c:v>
                  </c:pt>
                  <c:pt idx="29">
                    <c:v>452.5935264</c:v>
                  </c:pt>
                </c:numCache>
              </c:numRef>
            </c:plus>
            <c:minus>
              <c:numRef>
                <c:f>Summary!$C$403:$C$432</c:f>
                <c:numCache>
                  <c:formatCode>General</c:formatCode>
                  <c:ptCount val="30"/>
                  <c:pt idx="0">
                    <c:v>1273.281229</c:v>
                  </c:pt>
                  <c:pt idx="1">
                    <c:v>1128.229727</c:v>
                  </c:pt>
                  <c:pt idx="2">
                    <c:v>739.2267437</c:v>
                  </c:pt>
                  <c:pt idx="3">
                    <c:v>1930.851273</c:v>
                  </c:pt>
                  <c:pt idx="4">
                    <c:v>826.3730571</c:v>
                  </c:pt>
                  <c:pt idx="5">
                    <c:v>1125.630941</c:v>
                  </c:pt>
                  <c:pt idx="6">
                    <c:v>1456.237948</c:v>
                  </c:pt>
                  <c:pt idx="7">
                    <c:v>1136.250077</c:v>
                  </c:pt>
                  <c:pt idx="8">
                    <c:v>1369.842305</c:v>
                  </c:pt>
                  <c:pt idx="9">
                    <c:v>827.3787603</c:v>
                  </c:pt>
                  <c:pt idx="10">
                    <c:v>802.1038459</c:v>
                  </c:pt>
                  <c:pt idx="11">
                    <c:v>863.1712933</c:v>
                  </c:pt>
                  <c:pt idx="12">
                    <c:v>972.7242685</c:v>
                  </c:pt>
                  <c:pt idx="13">
                    <c:v>1809.108057</c:v>
                  </c:pt>
                  <c:pt idx="14">
                    <c:v>458.018317</c:v>
                  </c:pt>
                  <c:pt idx="15">
                    <c:v>981.6488213</c:v>
                  </c:pt>
                  <c:pt idx="16">
                    <c:v>578.1486389</c:v>
                  </c:pt>
                  <c:pt idx="17">
                    <c:v>833.7953316</c:v>
                  </c:pt>
                  <c:pt idx="18">
                    <c:v>1006.046504</c:v>
                  </c:pt>
                  <c:pt idx="19">
                    <c:v>695.6240203</c:v>
                  </c:pt>
                  <c:pt idx="20">
                    <c:v>750.124331</c:v>
                  </c:pt>
                  <c:pt idx="21">
                    <c:v>1863.12202</c:v>
                  </c:pt>
                  <c:pt idx="22">
                    <c:v>498.7207319</c:v>
                  </c:pt>
                  <c:pt idx="23">
                    <c:v>697.376502</c:v>
                  </c:pt>
                  <c:pt idx="24">
                    <c:v>427.3259792</c:v>
                  </c:pt>
                  <c:pt idx="25">
                    <c:v>668.5135658</c:v>
                  </c:pt>
                  <c:pt idx="26">
                    <c:v>430.8984247</c:v>
                  </c:pt>
                  <c:pt idx="27">
                    <c:v>415.0758849</c:v>
                  </c:pt>
                  <c:pt idx="28">
                    <c:v>707.0270956000001</c:v>
                  </c:pt>
                  <c:pt idx="29">
                    <c:v>452.5935264</c:v>
                  </c:pt>
                </c:numCache>
              </c:numRef>
            </c:minus>
            <c:spPr>
              <a:ln w="12700">
                <a:solidFill>
                  <a:srgbClr val="FF0000"/>
                </a:solidFill>
                <a:prstDash val="solid"/>
              </a:ln>
            </c:spPr>
          </c:errBars>
          <c:cat>
            <c:numRef>
              <c:f>Summary!$V$1:$BA$1</c:f>
              <c:numCache>
                <c:formatCode>General</c:formatCode>
                <c:ptCount val="32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  <c:pt idx="29">
                  <c:v>2011.0</c:v>
                </c:pt>
                <c:pt idx="30">
                  <c:v>2012.0</c:v>
                </c:pt>
                <c:pt idx="31">
                  <c:v>2013.0</c:v>
                </c:pt>
              </c:numCache>
            </c:numRef>
          </c:cat>
          <c:val>
            <c:numRef>
              <c:f>Summary!$V$7:$BA$7</c:f>
              <c:numCache>
                <c:formatCode>#,##0</c:formatCode>
                <c:ptCount val="32"/>
                <c:pt idx="0">
                  <c:v>12818.7</c:v>
                </c:pt>
                <c:pt idx="1">
                  <c:v>15926.6</c:v>
                </c:pt>
                <c:pt idx="2">
                  <c:v>10877.4</c:v>
                </c:pt>
                <c:pt idx="3">
                  <c:v>15166.2</c:v>
                </c:pt>
                <c:pt idx="4">
                  <c:v>9997.84</c:v>
                </c:pt>
                <c:pt idx="5">
                  <c:v>12858.9</c:v>
                </c:pt>
                <c:pt idx="6">
                  <c:v>18892.4</c:v>
                </c:pt>
                <c:pt idx="7">
                  <c:v>15757.8</c:v>
                </c:pt>
                <c:pt idx="8">
                  <c:v>15785.4</c:v>
                </c:pt>
                <c:pt idx="9">
                  <c:v>8479.68</c:v>
                </c:pt>
                <c:pt idx="10">
                  <c:v>8325.03</c:v>
                </c:pt>
                <c:pt idx="11">
                  <c:v>10213.1</c:v>
                </c:pt>
                <c:pt idx="12">
                  <c:v>10042.8</c:v>
                </c:pt>
                <c:pt idx="13">
                  <c:v>13415.1</c:v>
                </c:pt>
                <c:pt idx="14">
                  <c:v>6213.77</c:v>
                </c:pt>
                <c:pt idx="15">
                  <c:v>8496.35</c:v>
                </c:pt>
                <c:pt idx="16">
                  <c:v>6296.36</c:v>
                </c:pt>
                <c:pt idx="17">
                  <c:v>9138.450000000001</c:v>
                </c:pt>
                <c:pt idx="18">
                  <c:v>11305.7</c:v>
                </c:pt>
                <c:pt idx="19">
                  <c:v>8144.45</c:v>
                </c:pt>
                <c:pt idx="20">
                  <c:v>9537.389999999999</c:v>
                </c:pt>
                <c:pt idx="21">
                  <c:v>15526.5</c:v>
                </c:pt>
                <c:pt idx="22">
                  <c:v>6744.19</c:v>
                </c:pt>
                <c:pt idx="23">
                  <c:v>10345.6</c:v>
                </c:pt>
                <c:pt idx="24">
                  <c:v>5056.71</c:v>
                </c:pt>
                <c:pt idx="25">
                  <c:v>7357.24</c:v>
                </c:pt>
                <c:pt idx="26">
                  <c:v>4636.5</c:v>
                </c:pt>
                <c:pt idx="27">
                  <c:v>3648.9</c:v>
                </c:pt>
                <c:pt idx="28">
                  <c:v>7033.5</c:v>
                </c:pt>
                <c:pt idx="29">
                  <c:v>4950.78</c:v>
                </c:pt>
                <c:pt idx="30">
                  <c:v>7317.35</c:v>
                </c:pt>
                <c:pt idx="31">
                  <c:v>9055.2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409936"/>
        <c:axId val="446353568"/>
      </c:lineChart>
      <c:catAx>
        <c:axId val="4464099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40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35356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446353568"/>
        <c:scaling>
          <c:orientation val="minMax"/>
          <c:max val="15000.0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409936"/>
        <c:crosses val="autoZero"/>
        <c:crossBetween val="between"/>
        <c:majorUnit val="50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32890365448505"/>
          <c:y val="0.655557305336833"/>
          <c:w val="0.1578073089701"/>
          <c:h val="0.12222251385243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.0" l="0.750000000000004" r="0.750000000000004" t="1.0" header="0.5" footer="0.5"/>
    <c:pageSetup orientation="portrait"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485981308411"/>
          <c:y val="0.0544219494776702"/>
          <c:w val="0.89719626168224"/>
          <c:h val="0.79592101111092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Comps'!$S$232:$AB$232</c:f>
              <c:numCache>
                <c:formatCode>#,##0</c:formatCode>
                <c:ptCount val="10"/>
                <c:pt idx="0">
                  <c:v>0.0</c:v>
                </c:pt>
                <c:pt idx="1">
                  <c:v>797.39770857</c:v>
                </c:pt>
                <c:pt idx="2">
                  <c:v>1674.34377834</c:v>
                </c:pt>
                <c:pt idx="3">
                  <c:v>198.932314794</c:v>
                </c:pt>
                <c:pt idx="4">
                  <c:v>31.056575562</c:v>
                </c:pt>
                <c:pt idx="5">
                  <c:v>33.908780331</c:v>
                </c:pt>
                <c:pt idx="6">
                  <c:v>50.513209362</c:v>
                </c:pt>
                <c:pt idx="7">
                  <c:v>37.516292772</c:v>
                </c:pt>
                <c:pt idx="8">
                  <c:v>20.7938899629</c:v>
                </c:pt>
                <c:pt idx="9">
                  <c:v>15.8220312966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325360"/>
        <c:axId val="446327408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Comps'!$B$232:$K$232</c:f>
              <c:numCache>
                <c:formatCode>#,##0</c:formatCode>
                <c:ptCount val="10"/>
                <c:pt idx="0">
                  <c:v>0.0</c:v>
                </c:pt>
                <c:pt idx="1">
                  <c:v>1657.3558976</c:v>
                </c:pt>
                <c:pt idx="2">
                  <c:v>2427.3738219</c:v>
                </c:pt>
                <c:pt idx="3">
                  <c:v>829.9250739</c:v>
                </c:pt>
                <c:pt idx="4">
                  <c:v>209.95435705</c:v>
                </c:pt>
                <c:pt idx="5">
                  <c:v>130.3499669</c:v>
                </c:pt>
                <c:pt idx="6">
                  <c:v>137.85867576</c:v>
                </c:pt>
                <c:pt idx="7">
                  <c:v>97.69842599</c:v>
                </c:pt>
                <c:pt idx="8">
                  <c:v>74.79759757</c:v>
                </c:pt>
                <c:pt idx="9">
                  <c:v>37.336781116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325360"/>
        <c:axId val="446327408"/>
      </c:lineChart>
      <c:catAx>
        <c:axId val="44632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632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6327408"/>
        <c:scaling>
          <c:orientation val="minMax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6325360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850342960588602"/>
          <c:w val="0.913551401869158"/>
          <c:h val="0.78911826742621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Comps'!$S$208:$AG$208</c:f>
              <c:numCache>
                <c:formatCode>General</c:formatCode>
                <c:ptCount val="15"/>
                <c:pt idx="0">
                  <c:v>655.8788283</c:v>
                </c:pt>
                <c:pt idx="1">
                  <c:v>181.46490546</c:v>
                </c:pt>
                <c:pt idx="2">
                  <c:v>379.3688352</c:v>
                </c:pt>
                <c:pt idx="3">
                  <c:v>408.6695022</c:v>
                </c:pt>
                <c:pt idx="4">
                  <c:v>238.03088304</c:v>
                </c:pt>
                <c:pt idx="5">
                  <c:v>345.33809913</c:v>
                </c:pt>
                <c:pt idx="6">
                  <c:v>467.0920401000001</c:v>
                </c:pt>
                <c:pt idx="7">
                  <c:v>364.9447335</c:v>
                </c:pt>
                <c:pt idx="8">
                  <c:v>265.26225885</c:v>
                </c:pt>
                <c:pt idx="9">
                  <c:v>128.74669293</c:v>
                </c:pt>
                <c:pt idx="10">
                  <c:v>84.94785156</c:v>
                </c:pt>
                <c:pt idx="11">
                  <c:v>27.872597007</c:v>
                </c:pt>
                <c:pt idx="12">
                  <c:v>28.02501156</c:v>
                </c:pt>
                <c:pt idx="13">
                  <c:v>14.604685761</c:v>
                </c:pt>
                <c:pt idx="14">
                  <c:v>58.65862173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295632"/>
        <c:axId val="44625945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Comps'!$B$208:$P$208</c:f>
              <c:numCache>
                <c:formatCode>General</c:formatCode>
                <c:ptCount val="15"/>
                <c:pt idx="0">
                  <c:v>417.74910483</c:v>
                </c:pt>
                <c:pt idx="1">
                  <c:v>45.904494873</c:v>
                </c:pt>
                <c:pt idx="2">
                  <c:v>217.213964304</c:v>
                </c:pt>
                <c:pt idx="3">
                  <c:v>245.36994474</c:v>
                </c:pt>
                <c:pt idx="4">
                  <c:v>163.312341156</c:v>
                </c:pt>
                <c:pt idx="5">
                  <c:v>207.426479616</c:v>
                </c:pt>
                <c:pt idx="6">
                  <c:v>264.79356126</c:v>
                </c:pt>
                <c:pt idx="7">
                  <c:v>236.76066375</c:v>
                </c:pt>
                <c:pt idx="8">
                  <c:v>183.955478964</c:v>
                </c:pt>
                <c:pt idx="9">
                  <c:v>92.16649563</c:v>
                </c:pt>
                <c:pt idx="10">
                  <c:v>37.298693259</c:v>
                </c:pt>
                <c:pt idx="11">
                  <c:v>18.9115611033</c:v>
                </c:pt>
                <c:pt idx="12">
                  <c:v>18.8508894843</c:v>
                </c:pt>
                <c:pt idx="13">
                  <c:v>9.2521391982</c:v>
                </c:pt>
                <c:pt idx="14">
                  <c:v>15.6454708521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95632"/>
        <c:axId val="446259456"/>
      </c:scatterChart>
      <c:catAx>
        <c:axId val="44629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25945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6259456"/>
        <c:scaling>
          <c:orientation val="minMax"/>
          <c:max val="3400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295632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544219494776702"/>
          <c:w val="0.927570093457943"/>
          <c:h val="0.823131985849759"/>
        </c:manualLayout>
      </c:layout>
      <c:barChart>
        <c:barDir val="col"/>
        <c:grouping val="clustered"/>
        <c:varyColors val="0"/>
        <c:ser>
          <c:idx val="1"/>
          <c:order val="1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Comps'!$B$169:$P$169</c:f>
              <c:numCache>
                <c:formatCode>#,##0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282096"/>
        <c:axId val="446284144"/>
      </c:barChar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Comps'!$S$169:$AG$169</c:f>
              <c:numCache>
                <c:formatCode>#,##0</c:formatCode>
                <c:ptCount val="15"/>
                <c:pt idx="0">
                  <c:v>1.26636</c:v>
                </c:pt>
                <c:pt idx="1">
                  <c:v>8.86308</c:v>
                </c:pt>
                <c:pt idx="2">
                  <c:v>142.044</c:v>
                </c:pt>
                <c:pt idx="3">
                  <c:v>192.573</c:v>
                </c:pt>
                <c:pt idx="4">
                  <c:v>81.0762</c:v>
                </c:pt>
                <c:pt idx="5">
                  <c:v>105.319</c:v>
                </c:pt>
                <c:pt idx="6">
                  <c:v>124.568</c:v>
                </c:pt>
                <c:pt idx="7">
                  <c:v>102.565</c:v>
                </c:pt>
                <c:pt idx="8">
                  <c:v>80.5939</c:v>
                </c:pt>
                <c:pt idx="9">
                  <c:v>39.4174</c:v>
                </c:pt>
                <c:pt idx="10">
                  <c:v>15.9369</c:v>
                </c:pt>
                <c:pt idx="11">
                  <c:v>8.07864</c:v>
                </c:pt>
                <c:pt idx="12">
                  <c:v>8.05226</c:v>
                </c:pt>
                <c:pt idx="13">
                  <c:v>3.95204</c:v>
                </c:pt>
                <c:pt idx="14">
                  <c:v>6.68293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82096"/>
        <c:axId val="446284144"/>
      </c:scatterChart>
      <c:catAx>
        <c:axId val="44628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2841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6284144"/>
        <c:scaling>
          <c:orientation val="minMax"/>
          <c:max val="25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282096"/>
        <c:crosses val="autoZero"/>
        <c:crossBetween val="between"/>
        <c:majorUnit val="5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485981308411"/>
          <c:y val="0.0544219494776702"/>
          <c:w val="0.89719626168224"/>
          <c:h val="0.79592101111092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Comps'!$S$233:$AB$233</c:f>
              <c:numCache>
                <c:formatCode>#,##0</c:formatCode>
                <c:ptCount val="10"/>
                <c:pt idx="0">
                  <c:v>0.0</c:v>
                </c:pt>
                <c:pt idx="1">
                  <c:v>6395.17515</c:v>
                </c:pt>
                <c:pt idx="2">
                  <c:v>973.4718474</c:v>
                </c:pt>
                <c:pt idx="3">
                  <c:v>2183.440389</c:v>
                </c:pt>
                <c:pt idx="4">
                  <c:v>383.6443572</c:v>
                </c:pt>
                <c:pt idx="5">
                  <c:v>46.29673815</c:v>
                </c:pt>
                <c:pt idx="6">
                  <c:v>6.220263777</c:v>
                </c:pt>
                <c:pt idx="7">
                  <c:v>7.400161314</c:v>
                </c:pt>
                <c:pt idx="8">
                  <c:v>6.789139188</c:v>
                </c:pt>
                <c:pt idx="9">
                  <c:v>6.479318235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216592"/>
        <c:axId val="446218640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Comps'!$B$233:$K$233</c:f>
              <c:numCache>
                <c:formatCode>#,##0</c:formatCode>
                <c:ptCount val="10"/>
                <c:pt idx="0">
                  <c:v>0.0</c:v>
                </c:pt>
                <c:pt idx="1">
                  <c:v>6453.4251426</c:v>
                </c:pt>
                <c:pt idx="2">
                  <c:v>1354.3028218</c:v>
                </c:pt>
                <c:pt idx="3">
                  <c:v>1764.740875</c:v>
                </c:pt>
                <c:pt idx="4">
                  <c:v>543.84878954</c:v>
                </c:pt>
                <c:pt idx="5">
                  <c:v>107.95858066</c:v>
                </c:pt>
                <c:pt idx="6">
                  <c:v>73.590403008</c:v>
                </c:pt>
                <c:pt idx="7">
                  <c:v>62.48888395</c:v>
                </c:pt>
                <c:pt idx="8">
                  <c:v>53.17000247</c:v>
                </c:pt>
                <c:pt idx="9">
                  <c:v>40.651127514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16592"/>
        <c:axId val="446218640"/>
      </c:lineChart>
      <c:catAx>
        <c:axId val="44621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6218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6218640"/>
        <c:scaling>
          <c:orientation val="minMax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6216592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850342960588602"/>
          <c:w val="0.913551401869158"/>
          <c:h val="0.78911826742621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Comps'!$S$209:$AG$209</c:f>
              <c:numCache>
                <c:formatCode>General</c:formatCode>
                <c:ptCount val="15"/>
                <c:pt idx="0">
                  <c:v>476.1974907000001</c:v>
                </c:pt>
                <c:pt idx="1">
                  <c:v>134.47559655</c:v>
                </c:pt>
                <c:pt idx="2">
                  <c:v>258.7427712</c:v>
                </c:pt>
                <c:pt idx="3">
                  <c:v>2783.1489165</c:v>
                </c:pt>
                <c:pt idx="4">
                  <c:v>1246.61754</c:v>
                </c:pt>
                <c:pt idx="5">
                  <c:v>388.58751135</c:v>
                </c:pt>
                <c:pt idx="6">
                  <c:v>334.53365715</c:v>
                </c:pt>
                <c:pt idx="7">
                  <c:v>353.8117773</c:v>
                </c:pt>
                <c:pt idx="8">
                  <c:v>372.0848103</c:v>
                </c:pt>
                <c:pt idx="9">
                  <c:v>253.32908625</c:v>
                </c:pt>
                <c:pt idx="10">
                  <c:v>218.4380028</c:v>
                </c:pt>
                <c:pt idx="11">
                  <c:v>79.36671735</c:v>
                </c:pt>
                <c:pt idx="12">
                  <c:v>47.56608346500001</c:v>
                </c:pt>
                <c:pt idx="13">
                  <c:v>27.471514635</c:v>
                </c:pt>
                <c:pt idx="14">
                  <c:v>59.129438805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27836320"/>
        <c:axId val="42783040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Comps'!$B$209:$P$209</c:f>
              <c:numCache>
                <c:formatCode>General</c:formatCode>
                <c:ptCount val="15"/>
                <c:pt idx="0">
                  <c:v>250.645427312</c:v>
                </c:pt>
                <c:pt idx="1">
                  <c:v>225.697124976</c:v>
                </c:pt>
                <c:pt idx="2">
                  <c:v>180.870180224</c:v>
                </c:pt>
                <c:pt idx="3">
                  <c:v>863.77796016</c:v>
                </c:pt>
                <c:pt idx="4">
                  <c:v>657.8592433600001</c:v>
                </c:pt>
                <c:pt idx="5">
                  <c:v>226.5372132</c:v>
                </c:pt>
                <c:pt idx="6">
                  <c:v>168.886550368</c:v>
                </c:pt>
                <c:pt idx="7">
                  <c:v>174.816971824</c:v>
                </c:pt>
                <c:pt idx="8">
                  <c:v>149.457709104</c:v>
                </c:pt>
                <c:pt idx="9">
                  <c:v>114.381676512</c:v>
                </c:pt>
                <c:pt idx="10">
                  <c:v>57.30422824000001</c:v>
                </c:pt>
                <c:pt idx="11">
                  <c:v>23.1697083936</c:v>
                </c:pt>
                <c:pt idx="12">
                  <c:v>11.7451663344</c:v>
                </c:pt>
                <c:pt idx="13">
                  <c:v>11.7068267376</c:v>
                </c:pt>
                <c:pt idx="14">
                  <c:v>15.4616953376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836320"/>
        <c:axId val="427830400"/>
      </c:scatterChart>
      <c:catAx>
        <c:axId val="42783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8304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27830400"/>
        <c:scaling>
          <c:orientation val="minMax"/>
          <c:max val="3400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7836320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544219494776702"/>
          <c:w val="0.927570093457943"/>
          <c:h val="0.823131985849759"/>
        </c:manualLayout>
      </c:layout>
      <c:barChart>
        <c:barDir val="col"/>
        <c:grouping val="clustered"/>
        <c:varyColors val="0"/>
        <c:ser>
          <c:idx val="1"/>
          <c:order val="1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Comps'!$B$170:$P$170</c:f>
              <c:numCache>
                <c:formatCode>#,##0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35194336"/>
        <c:axId val="435195968"/>
      </c:barChar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Comps'!$S$170:$AG$170</c:f>
              <c:numCache>
                <c:formatCode>#,##0</c:formatCode>
                <c:ptCount val="15"/>
                <c:pt idx="0">
                  <c:v>0.42104</c:v>
                </c:pt>
                <c:pt idx="1">
                  <c:v>30.4501</c:v>
                </c:pt>
                <c:pt idx="2">
                  <c:v>40.4424</c:v>
                </c:pt>
                <c:pt idx="3">
                  <c:v>553.546</c:v>
                </c:pt>
                <c:pt idx="4">
                  <c:v>224.853</c:v>
                </c:pt>
                <c:pt idx="5">
                  <c:v>62.106</c:v>
                </c:pt>
                <c:pt idx="6">
                  <c:v>50.1511</c:v>
                </c:pt>
                <c:pt idx="7">
                  <c:v>55.388</c:v>
                </c:pt>
                <c:pt idx="8">
                  <c:v>46.0783</c:v>
                </c:pt>
                <c:pt idx="9">
                  <c:v>34.4644</c:v>
                </c:pt>
                <c:pt idx="10">
                  <c:v>17.2628</c:v>
                </c:pt>
                <c:pt idx="11">
                  <c:v>6.97954</c:v>
                </c:pt>
                <c:pt idx="12">
                  <c:v>3.53803</c:v>
                </c:pt>
                <c:pt idx="13">
                  <c:v>3.52647</c:v>
                </c:pt>
                <c:pt idx="14">
                  <c:v>4.65757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94336"/>
        <c:axId val="435195968"/>
      </c:scatterChart>
      <c:catAx>
        <c:axId val="435194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19596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5195968"/>
        <c:scaling>
          <c:orientation val="minMax"/>
          <c:max val="8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5194336"/>
        <c:crosses val="autoZero"/>
        <c:crossBetween val="between"/>
        <c:majorUnit val="2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850342960588602"/>
          <c:w val="0.913551401869158"/>
          <c:h val="0.78911826742621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Comps'!$S$210:$AG$210</c:f>
              <c:numCache>
                <c:formatCode>General</c:formatCode>
                <c:ptCount val="15"/>
                <c:pt idx="0">
                  <c:v>939.6827979</c:v>
                </c:pt>
                <c:pt idx="1">
                  <c:v>101.189487498</c:v>
                </c:pt>
                <c:pt idx="2">
                  <c:v>220.326542652</c:v>
                </c:pt>
                <c:pt idx="3">
                  <c:v>301.147531074</c:v>
                </c:pt>
                <c:pt idx="4">
                  <c:v>1506.40353528</c:v>
                </c:pt>
                <c:pt idx="5">
                  <c:v>737.11173264</c:v>
                </c:pt>
                <c:pt idx="6">
                  <c:v>216.069862008</c:v>
                </c:pt>
                <c:pt idx="7">
                  <c:v>122.678843166</c:v>
                </c:pt>
                <c:pt idx="8">
                  <c:v>191.910550686</c:v>
                </c:pt>
                <c:pt idx="9">
                  <c:v>190.913463594</c:v>
                </c:pt>
                <c:pt idx="10">
                  <c:v>160.003763742</c:v>
                </c:pt>
                <c:pt idx="11">
                  <c:v>122.283770922</c:v>
                </c:pt>
                <c:pt idx="12">
                  <c:v>51.646041882</c:v>
                </c:pt>
                <c:pt idx="13">
                  <c:v>24.3701650422</c:v>
                </c:pt>
                <c:pt idx="14">
                  <c:v>65.04483287399999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204240"/>
        <c:axId val="446206288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Comps'!$B$210:$P$210</c:f>
              <c:numCache>
                <c:formatCode>General</c:formatCode>
                <c:ptCount val="15"/>
                <c:pt idx="0">
                  <c:v>409.7138363999999</c:v>
                </c:pt>
                <c:pt idx="1">
                  <c:v>26.99006794</c:v>
                </c:pt>
                <c:pt idx="2">
                  <c:v>217.990076084</c:v>
                </c:pt>
                <c:pt idx="3">
                  <c:v>176.677092416</c:v>
                </c:pt>
                <c:pt idx="4">
                  <c:v>615.8102288800001</c:v>
                </c:pt>
                <c:pt idx="5">
                  <c:v>376.85745812</c:v>
                </c:pt>
                <c:pt idx="6">
                  <c:v>115.680524036</c:v>
                </c:pt>
                <c:pt idx="7">
                  <c:v>82.056863064</c:v>
                </c:pt>
                <c:pt idx="8">
                  <c:v>83.788461328</c:v>
                </c:pt>
                <c:pt idx="9">
                  <c:v>72.235232212</c:v>
                </c:pt>
                <c:pt idx="10">
                  <c:v>55.429473088</c:v>
                </c:pt>
                <c:pt idx="11">
                  <c:v>27.767660492</c:v>
                </c:pt>
                <c:pt idx="12">
                  <c:v>11.2271167888</c:v>
                </c:pt>
                <c:pt idx="13">
                  <c:v>5.6912260064</c:v>
                </c:pt>
                <c:pt idx="14">
                  <c:v>13.1647289664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04240"/>
        <c:axId val="446206288"/>
      </c:scatterChart>
      <c:catAx>
        <c:axId val="44620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20628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6206288"/>
        <c:scaling>
          <c:orientation val="minMax"/>
          <c:max val="3400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204240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544219494776702"/>
          <c:w val="0.927570093457943"/>
          <c:h val="0.823131985849759"/>
        </c:manualLayout>
      </c:layout>
      <c:barChart>
        <c:barDir val="col"/>
        <c:grouping val="clustered"/>
        <c:varyColors val="0"/>
        <c:ser>
          <c:idx val="1"/>
          <c:order val="1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Comps'!$B$171:$P$171</c:f>
              <c:numCache>
                <c:formatCode>#,##0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6094128"/>
        <c:axId val="446096176"/>
      </c:barChar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Comps'!$S$171:$AG$171</c:f>
              <c:numCache>
                <c:formatCode>#,##0</c:formatCode>
                <c:ptCount val="15"/>
                <c:pt idx="0">
                  <c:v>0.331705</c:v>
                </c:pt>
                <c:pt idx="1">
                  <c:v>17.0393</c:v>
                </c:pt>
                <c:pt idx="2">
                  <c:v>204.022</c:v>
                </c:pt>
                <c:pt idx="3">
                  <c:v>143.403</c:v>
                </c:pt>
                <c:pt idx="4">
                  <c:v>844.926</c:v>
                </c:pt>
                <c:pt idx="5">
                  <c:v>276.023</c:v>
                </c:pt>
                <c:pt idx="6">
                  <c:v>60.5485</c:v>
                </c:pt>
                <c:pt idx="7">
                  <c:v>38.8185</c:v>
                </c:pt>
                <c:pt idx="8">
                  <c:v>37.7788</c:v>
                </c:pt>
                <c:pt idx="9">
                  <c:v>31.2147</c:v>
                </c:pt>
                <c:pt idx="10">
                  <c:v>23.9367</c:v>
                </c:pt>
                <c:pt idx="11">
                  <c:v>11.9896</c:v>
                </c:pt>
                <c:pt idx="12">
                  <c:v>4.84752</c:v>
                </c:pt>
                <c:pt idx="13">
                  <c:v>2.45728</c:v>
                </c:pt>
                <c:pt idx="14">
                  <c:v>5.68409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094128"/>
        <c:axId val="446096176"/>
      </c:scatterChart>
      <c:catAx>
        <c:axId val="44609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961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6096176"/>
        <c:scaling>
          <c:orientation val="minMax"/>
          <c:max val="10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094128"/>
        <c:crosses val="autoZero"/>
        <c:crossBetween val="between"/>
        <c:majorUnit val="2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850342960588602"/>
          <c:w val="0.913551401869158"/>
          <c:h val="0.78911826742621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Comps'!$S$211:$AG$211</c:f>
              <c:numCache>
                <c:formatCode>General</c:formatCode>
                <c:ptCount val="15"/>
                <c:pt idx="0">
                  <c:v>1021.1508272</c:v>
                </c:pt>
                <c:pt idx="1">
                  <c:v>208.47569191</c:v>
                </c:pt>
                <c:pt idx="2">
                  <c:v>391.42407661</c:v>
                </c:pt>
                <c:pt idx="3">
                  <c:v>2801.5352557</c:v>
                </c:pt>
                <c:pt idx="4">
                  <c:v>654.779161785</c:v>
                </c:pt>
                <c:pt idx="5">
                  <c:v>1056.99852485</c:v>
                </c:pt>
                <c:pt idx="6">
                  <c:v>361.881739455</c:v>
                </c:pt>
                <c:pt idx="7">
                  <c:v>144.746695555</c:v>
                </c:pt>
                <c:pt idx="8">
                  <c:v>109.676100475</c:v>
                </c:pt>
                <c:pt idx="9">
                  <c:v>151.47938929</c:v>
                </c:pt>
                <c:pt idx="10">
                  <c:v>124.240553915</c:v>
                </c:pt>
                <c:pt idx="11">
                  <c:v>109.501947545</c:v>
                </c:pt>
                <c:pt idx="12">
                  <c:v>91.18003487999999</c:v>
                </c:pt>
                <c:pt idx="13">
                  <c:v>32.3974939515</c:v>
                </c:pt>
                <c:pt idx="14">
                  <c:v>57.878189642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4323520"/>
        <c:axId val="504324880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Comps'!$B$211:$P$211</c:f>
              <c:numCache>
                <c:formatCode>General</c:formatCode>
                <c:ptCount val="15"/>
                <c:pt idx="0">
                  <c:v>430.2939305</c:v>
                </c:pt>
                <c:pt idx="1">
                  <c:v>47.745699988</c:v>
                </c:pt>
                <c:pt idx="2">
                  <c:v>197.350747552</c:v>
                </c:pt>
                <c:pt idx="3">
                  <c:v>1171.25221038</c:v>
                </c:pt>
                <c:pt idx="4">
                  <c:v>554.40669312</c:v>
                </c:pt>
                <c:pt idx="5">
                  <c:v>736.24453476</c:v>
                </c:pt>
                <c:pt idx="6">
                  <c:v>259.880699218</c:v>
                </c:pt>
                <c:pt idx="7">
                  <c:v>66.35474594</c:v>
                </c:pt>
                <c:pt idx="8">
                  <c:v>45.646473124</c:v>
                </c:pt>
                <c:pt idx="9">
                  <c:v>46.684375388</c:v>
                </c:pt>
                <c:pt idx="10">
                  <c:v>40.455497908</c:v>
                </c:pt>
                <c:pt idx="11">
                  <c:v>31.0346683948</c:v>
                </c:pt>
                <c:pt idx="12">
                  <c:v>15.5464291304</c:v>
                </c:pt>
                <c:pt idx="13">
                  <c:v>6.285749839599999</c:v>
                </c:pt>
                <c:pt idx="14">
                  <c:v>10.5569591988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323520"/>
        <c:axId val="504324880"/>
      </c:scatterChart>
      <c:catAx>
        <c:axId val="50432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43248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4324880"/>
        <c:scaling>
          <c:orientation val="minMax"/>
          <c:max val="3400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4323520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544219494776702"/>
          <c:w val="0.927570093457943"/>
          <c:h val="0.823131985849759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bg1"/>
            </a:soli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Comps'!$B$172:$P$172</c:f>
              <c:numCache>
                <c:formatCode>#,##0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04264768"/>
        <c:axId val="504266816"/>
      </c:barChar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Comps'!$S$172:$AG$172</c:f>
              <c:numCache>
                <c:formatCode>#,##0</c:formatCode>
                <c:ptCount val="15"/>
                <c:pt idx="0">
                  <c:v>0.266752</c:v>
                </c:pt>
                <c:pt idx="1">
                  <c:v>13.4679</c:v>
                </c:pt>
                <c:pt idx="2">
                  <c:v>115.408</c:v>
                </c:pt>
                <c:pt idx="3">
                  <c:v>943.226</c:v>
                </c:pt>
                <c:pt idx="4">
                  <c:v>192.061</c:v>
                </c:pt>
                <c:pt idx="5">
                  <c:v>457.581</c:v>
                </c:pt>
                <c:pt idx="6">
                  <c:v>129.617</c:v>
                </c:pt>
                <c:pt idx="7">
                  <c:v>30.4823</c:v>
                </c:pt>
                <c:pt idx="8">
                  <c:v>19.4036</c:v>
                </c:pt>
                <c:pt idx="9">
                  <c:v>19.1866</c:v>
                </c:pt>
                <c:pt idx="10">
                  <c:v>16.6029</c:v>
                </c:pt>
                <c:pt idx="11">
                  <c:v>12.7317</c:v>
                </c:pt>
                <c:pt idx="12">
                  <c:v>6.37717</c:v>
                </c:pt>
                <c:pt idx="13">
                  <c:v>2.57836</c:v>
                </c:pt>
                <c:pt idx="14">
                  <c:v>4.33033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64768"/>
        <c:axId val="504266816"/>
      </c:scatterChart>
      <c:catAx>
        <c:axId val="50426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42668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04266816"/>
        <c:scaling>
          <c:orientation val="minMax"/>
          <c:max val="10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4264768"/>
        <c:crosses val="autoZero"/>
        <c:crossBetween val="between"/>
        <c:majorUnit val="2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485981308411"/>
          <c:y val="0.0544219494776702"/>
          <c:w val="0.89719626168224"/>
          <c:h val="0.795921011110927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Comps'!$S$234:$AB$234</c:f>
              <c:numCache>
                <c:formatCode>#,##0</c:formatCode>
                <c:ptCount val="10"/>
                <c:pt idx="0">
                  <c:v>0.0</c:v>
                </c:pt>
                <c:pt idx="1">
                  <c:v>1963.090968</c:v>
                </c:pt>
                <c:pt idx="2">
                  <c:v>1640.6152252</c:v>
                </c:pt>
                <c:pt idx="3">
                  <c:v>2444.1347204</c:v>
                </c:pt>
                <c:pt idx="4">
                  <c:v>202.63822036</c:v>
                </c:pt>
                <c:pt idx="5">
                  <c:v>246.07149252</c:v>
                </c:pt>
                <c:pt idx="6">
                  <c:v>63.629242084</c:v>
                </c:pt>
                <c:pt idx="7">
                  <c:v>13.08067272</c:v>
                </c:pt>
                <c:pt idx="8">
                  <c:v>8.331288896</c:v>
                </c:pt>
                <c:pt idx="9">
                  <c:v>6.4602471064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7720496"/>
        <c:axId val="447722272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ymbol val="none"/>
            </c:marker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Comps'!$B$234:$K$234</c:f>
              <c:numCache>
                <c:formatCode>#,##0</c:formatCode>
                <c:ptCount val="10"/>
                <c:pt idx="0">
                  <c:v>0.0</c:v>
                </c:pt>
                <c:pt idx="1">
                  <c:v>1526.85840216</c:v>
                </c:pt>
                <c:pt idx="2">
                  <c:v>2071.80952316</c:v>
                </c:pt>
                <c:pt idx="3">
                  <c:v>3904.46259268</c:v>
                </c:pt>
                <c:pt idx="4">
                  <c:v>710.9805992640001</c:v>
                </c:pt>
                <c:pt idx="5">
                  <c:v>447.362882668</c:v>
                </c:pt>
                <c:pt idx="6">
                  <c:v>126.6961371</c:v>
                </c:pt>
                <c:pt idx="7">
                  <c:v>25.2592509</c:v>
                </c:pt>
                <c:pt idx="8">
                  <c:v>17.0326883272</c:v>
                </c:pt>
                <c:pt idx="9">
                  <c:v>17.326913058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720496"/>
        <c:axId val="447722272"/>
      </c:lineChart>
      <c:catAx>
        <c:axId val="44772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772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7722272"/>
        <c:scaling>
          <c:orientation val="minMax"/>
          <c:max val="40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7720496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544219494776702"/>
          <c:w val="0.927570093457943"/>
          <c:h val="0.823131985849759"/>
        </c:manualLayout>
      </c:layout>
      <c:barChart>
        <c:barDir val="col"/>
        <c:grouping val="clustered"/>
        <c:varyColors val="0"/>
        <c:ser>
          <c:idx val="1"/>
          <c:order val="1"/>
          <c:spPr>
            <a:gradFill rotWithShape="0">
              <a:gsLst>
                <a:gs pos="0">
                  <a:srgbClr val="FFFFFF"/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5400000" scaled="1"/>
            </a:gra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Comps'!$B$173:$P$173</c:f>
              <c:numCache>
                <c:formatCode>#,##0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7643472"/>
        <c:axId val="447645104"/>
      </c:barChar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Comps'!$S$173:$AG$173</c:f>
              <c:numCache>
                <c:formatCode>#,##0</c:formatCode>
                <c:ptCount val="15"/>
                <c:pt idx="0">
                  <c:v>1.36977</c:v>
                </c:pt>
                <c:pt idx="1">
                  <c:v>7.44167</c:v>
                </c:pt>
                <c:pt idx="2">
                  <c:v>68.2702</c:v>
                </c:pt>
                <c:pt idx="3">
                  <c:v>351.195</c:v>
                </c:pt>
                <c:pt idx="4">
                  <c:v>971.4299999999999</c:v>
                </c:pt>
                <c:pt idx="5">
                  <c:v>189.407</c:v>
                </c:pt>
                <c:pt idx="6">
                  <c:v>178.834</c:v>
                </c:pt>
                <c:pt idx="7">
                  <c:v>61.4195</c:v>
                </c:pt>
                <c:pt idx="8">
                  <c:v>14.4991</c:v>
                </c:pt>
                <c:pt idx="9">
                  <c:v>9.85588</c:v>
                </c:pt>
                <c:pt idx="10">
                  <c:v>10.0766</c:v>
                </c:pt>
                <c:pt idx="11">
                  <c:v>8.71964</c:v>
                </c:pt>
                <c:pt idx="12">
                  <c:v>6.68657</c:v>
                </c:pt>
                <c:pt idx="13">
                  <c:v>3.34922</c:v>
                </c:pt>
                <c:pt idx="14">
                  <c:v>3.62837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43472"/>
        <c:axId val="447645104"/>
      </c:scatterChart>
      <c:catAx>
        <c:axId val="44764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6451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7645104"/>
        <c:scaling>
          <c:orientation val="minMax"/>
          <c:max val="10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643472"/>
        <c:crosses val="autoZero"/>
        <c:crossBetween val="between"/>
        <c:majorUnit val="2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1028037383178"/>
          <c:y val="0.0850342960588602"/>
          <c:w val="0.913551401869158"/>
          <c:h val="0.789118267426217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rotWithShape="0">
              <a:gsLst>
                <a:gs pos="0">
                  <a:srgbClr val="FFFFFF">
                    <a:lumMod val="18000"/>
                    <a:lumOff val="82000"/>
                  </a:srgbClr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5400000" scaled="1"/>
            </a:gradFill>
            <a:ln w="3175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'Age Comps'!$S$213:$AG$213</c:f>
              <c:numCache>
                <c:formatCode>General</c:formatCode>
                <c:ptCount val="15"/>
                <c:pt idx="0">
                  <c:v>1946.9193987</c:v>
                </c:pt>
                <c:pt idx="1">
                  <c:v>527.27588358</c:v>
                </c:pt>
                <c:pt idx="2">
                  <c:v>242.19892215</c:v>
                </c:pt>
                <c:pt idx="3">
                  <c:v>317.50901934</c:v>
                </c:pt>
                <c:pt idx="4">
                  <c:v>1468.7636139</c:v>
                </c:pt>
                <c:pt idx="5">
                  <c:v>5388.6367089</c:v>
                </c:pt>
                <c:pt idx="6">
                  <c:v>2802.9933117</c:v>
                </c:pt>
                <c:pt idx="7">
                  <c:v>597.11400906</c:v>
                </c:pt>
                <c:pt idx="8">
                  <c:v>328.43332482</c:v>
                </c:pt>
                <c:pt idx="9">
                  <c:v>119.602348692</c:v>
                </c:pt>
                <c:pt idx="10">
                  <c:v>45.756540471</c:v>
                </c:pt>
                <c:pt idx="11">
                  <c:v>64.537705203</c:v>
                </c:pt>
                <c:pt idx="12">
                  <c:v>65.615407296</c:v>
                </c:pt>
                <c:pt idx="13">
                  <c:v>30.660014367</c:v>
                </c:pt>
                <c:pt idx="14">
                  <c:v>81.077199084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7670928"/>
        <c:axId val="447672976"/>
      </c:barChart>
      <c:scatterChart>
        <c:scatterStyle val="lineMarker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'Age Comps'!$B$2:$P$2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'Age Comps'!$B$213:$P$213</c:f>
              <c:numCache>
                <c:formatCode>General</c:formatCode>
                <c:ptCount val="15"/>
                <c:pt idx="0">
                  <c:v>742.9191230999999</c:v>
                </c:pt>
                <c:pt idx="1">
                  <c:v>246.511014126</c:v>
                </c:pt>
                <c:pt idx="2">
                  <c:v>113.242684524</c:v>
                </c:pt>
                <c:pt idx="3">
                  <c:v>328.258532322</c:v>
                </c:pt>
                <c:pt idx="4">
                  <c:v>904.39329936</c:v>
                </c:pt>
                <c:pt idx="5">
                  <c:v>2326.1301291</c:v>
                </c:pt>
                <c:pt idx="6">
                  <c:v>461.406744756</c:v>
                </c:pt>
                <c:pt idx="7">
                  <c:v>291.333069024</c:v>
                </c:pt>
                <c:pt idx="8">
                  <c:v>76.10201129999999</c:v>
                </c:pt>
                <c:pt idx="9">
                  <c:v>17.9758122402</c:v>
                </c:pt>
                <c:pt idx="10">
                  <c:v>12.2744174952</c:v>
                </c:pt>
                <c:pt idx="11">
                  <c:v>12.5519103972</c:v>
                </c:pt>
                <c:pt idx="12">
                  <c:v>10.8622066242</c:v>
                </c:pt>
                <c:pt idx="13">
                  <c:v>8.3296807224</c:v>
                </c:pt>
                <c:pt idx="14">
                  <c:v>8.692256618399998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70928"/>
        <c:axId val="447672976"/>
      </c:scatterChart>
      <c:catAx>
        <c:axId val="44767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6729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7672976"/>
        <c:scaling>
          <c:orientation val="minMax"/>
          <c:max val="4000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670928"/>
        <c:crosses val="autoZero"/>
        <c:crossBetween val="between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485981308411"/>
          <c:y val="0.0544219494776702"/>
          <c:w val="0.89719626168224"/>
          <c:h val="0.795921011110927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 flip="none" rotWithShape="1">
              <a:gsLst>
                <a:gs pos="0">
                  <a:srgbClr val="FFFFFF">
                    <a:lumMod val="18000"/>
                    <a:lumOff val="82000"/>
                  </a:srgbClr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5400000" scaled="0"/>
              <a:tileRect/>
            </a:gradFill>
            <a:ln w="12700">
              <a:solidFill>
                <a:srgbClr val="800000"/>
              </a:solidFill>
              <a:prstDash val="solid"/>
            </a:ln>
          </c:spPr>
          <c:invertIfNegative val="0"/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Comps'!$S$235:$AB$235</c:f>
              <c:numCache>
                <c:formatCode>#,##0</c:formatCode>
                <c:ptCount val="10"/>
                <c:pt idx="0">
                  <c:v>0.0</c:v>
                </c:pt>
                <c:pt idx="1">
                  <c:v>8614.875257600001</c:v>
                </c:pt>
                <c:pt idx="2">
                  <c:v>941.27267692</c:v>
                </c:pt>
                <c:pt idx="3">
                  <c:v>1100.64750672</c:v>
                </c:pt>
                <c:pt idx="4">
                  <c:v>892.33464284</c:v>
                </c:pt>
                <c:pt idx="5">
                  <c:v>974.6298682800001</c:v>
                </c:pt>
                <c:pt idx="6">
                  <c:v>316.92179736</c:v>
                </c:pt>
                <c:pt idx="7">
                  <c:v>66.89250867200001</c:v>
                </c:pt>
                <c:pt idx="8">
                  <c:v>21.473627212</c:v>
                </c:pt>
                <c:pt idx="9">
                  <c:v>5.8276183552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7636240"/>
        <c:axId val="447625600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ash"/>
            <c:size val="1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bubble3D val="0"/>
            <c:spPr>
              <a:ln w="28575">
                <a:noFill/>
              </a:ln>
            </c:spPr>
          </c:dPt>
          <c:dPt>
            <c:idx val="1"/>
            <c:bubble3D val="0"/>
            <c:spPr>
              <a:ln w="28575">
                <a:noFill/>
              </a:ln>
            </c:spPr>
          </c:dPt>
          <c:cat>
            <c:numRef>
              <c:f>'Age Comps'!$B$2:$K$2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</c:numCache>
            </c:numRef>
          </c:cat>
          <c:val>
            <c:numRef>
              <c:f>'Age Comps'!$B$235:$K$235</c:f>
              <c:numCache>
                <c:formatCode>#,##0</c:formatCode>
                <c:ptCount val="10"/>
                <c:pt idx="0">
                  <c:v>0.0</c:v>
                </c:pt>
                <c:pt idx="1">
                  <c:v>7199.679951800001</c:v>
                </c:pt>
                <c:pt idx="2">
                  <c:v>1033.97840776</c:v>
                </c:pt>
                <c:pt idx="3">
                  <c:v>926.57993927</c:v>
                </c:pt>
                <c:pt idx="4">
                  <c:v>1010.42649777</c:v>
                </c:pt>
                <c:pt idx="5">
                  <c:v>1324.5141609</c:v>
                </c:pt>
                <c:pt idx="6">
                  <c:v>222.14049311</c:v>
                </c:pt>
                <c:pt idx="7">
                  <c:v>111.862837198</c:v>
                </c:pt>
                <c:pt idx="8">
                  <c:v>28.839175326</c:v>
                </c:pt>
                <c:pt idx="9">
                  <c:v>6.7894082231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636240"/>
        <c:axId val="447625600"/>
      </c:lineChart>
      <c:catAx>
        <c:axId val="44763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6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762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7625600"/>
        <c:scaling>
          <c:orientation val="minMax"/>
          <c:max val="85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7636240"/>
        <c:crosses val="autoZero"/>
        <c:crossBetween val="between"/>
        <c:majorUnit val="25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landscape"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9802799482554"/>
          <c:y val="0.0612246253734087"/>
          <c:w val="0.646840931450562"/>
          <c:h val="0.834468968052385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Summary!$U$225</c:f>
              <c:strCache>
                <c:ptCount val="1"/>
                <c:pt idx="0">
                  <c:v>1+ Biomass estimates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Summary!$T$226:$T$264</c:f>
              <c:numCache>
                <c:formatCode>General</c:formatCode>
                <c:ptCount val="3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</c:numCache>
            </c:numRef>
          </c:xVal>
          <c:yVal>
            <c:numRef>
              <c:f>Summary!$U$226:$U$264</c:f>
              <c:numCache>
                <c:formatCode>#,##0</c:formatCode>
                <c:ptCount val="3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Summary!$V$225</c:f>
              <c:strCache>
                <c:ptCount val="1"/>
                <c:pt idx="0">
                  <c:v>3+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Summary!$T$226:$T$264</c:f>
              <c:numCache>
                <c:formatCode>General</c:formatCode>
                <c:ptCount val="3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</c:numCache>
            </c:numRef>
          </c:xVal>
          <c:yVal>
            <c:numRef>
              <c:f>Summary!$V$226:$V$264</c:f>
              <c:numCache>
                <c:formatCode>#,##0</c:formatCode>
                <c:ptCount val="39"/>
                <c:pt idx="0">
                  <c:v>-0.11656</c:v>
                </c:pt>
                <c:pt idx="1">
                  <c:v>-0.2546</c:v>
                </c:pt>
                <c:pt idx="2">
                  <c:v>-0.56219</c:v>
                </c:pt>
                <c:pt idx="3">
                  <c:v>-0.49657</c:v>
                </c:pt>
                <c:pt idx="4">
                  <c:v>-0.45038</c:v>
                </c:pt>
                <c:pt idx="5">
                  <c:v>-0.13657</c:v>
                </c:pt>
                <c:pt idx="6">
                  <c:v>0.0064785</c:v>
                </c:pt>
                <c:pt idx="7">
                  <c:v>0.34119</c:v>
                </c:pt>
                <c:pt idx="8">
                  <c:v>-0.17519</c:v>
                </c:pt>
                <c:pt idx="9">
                  <c:v>-0.36015</c:v>
                </c:pt>
                <c:pt idx="10">
                  <c:v>-0.28355</c:v>
                </c:pt>
                <c:pt idx="11">
                  <c:v>-0.037546</c:v>
                </c:pt>
                <c:pt idx="12">
                  <c:v>-0.041904</c:v>
                </c:pt>
                <c:pt idx="13">
                  <c:v>-0.14237</c:v>
                </c:pt>
                <c:pt idx="14">
                  <c:v>-0.51102</c:v>
                </c:pt>
                <c:pt idx="15">
                  <c:v>-0.36833</c:v>
                </c:pt>
                <c:pt idx="16">
                  <c:v>-0.21094</c:v>
                </c:pt>
                <c:pt idx="17">
                  <c:v>-0.068849</c:v>
                </c:pt>
                <c:pt idx="18">
                  <c:v>-0.064016</c:v>
                </c:pt>
                <c:pt idx="19">
                  <c:v>-0.12517</c:v>
                </c:pt>
                <c:pt idx="20">
                  <c:v>-0.22727</c:v>
                </c:pt>
                <c:pt idx="21">
                  <c:v>-0.0057662</c:v>
                </c:pt>
                <c:pt idx="22">
                  <c:v>0.055912</c:v>
                </c:pt>
                <c:pt idx="23">
                  <c:v>0.14023</c:v>
                </c:pt>
                <c:pt idx="24">
                  <c:v>0.14204</c:v>
                </c:pt>
                <c:pt idx="25">
                  <c:v>-0.037775</c:v>
                </c:pt>
                <c:pt idx="26">
                  <c:v>0.39066</c:v>
                </c:pt>
                <c:pt idx="27">
                  <c:v>-1.0304</c:v>
                </c:pt>
                <c:pt idx="28">
                  <c:v>2244.9</c:v>
                </c:pt>
                <c:pt idx="29">
                  <c:v>5.9928</c:v>
                </c:pt>
                <c:pt idx="30">
                  <c:v>5.9928</c:v>
                </c:pt>
                <c:pt idx="31">
                  <c:v>2649.5</c:v>
                </c:pt>
                <c:pt idx="32">
                  <c:v>1868.9</c:v>
                </c:pt>
                <c:pt idx="33">
                  <c:v>2323.7</c:v>
                </c:pt>
                <c:pt idx="34">
                  <c:v>2562.9</c:v>
                </c:pt>
                <c:pt idx="35">
                  <c:v>3888.1</c:v>
                </c:pt>
                <c:pt idx="36">
                  <c:v>4495.0</c:v>
                </c:pt>
                <c:pt idx="37">
                  <c:v>5690.0</c:v>
                </c:pt>
                <c:pt idx="38">
                  <c:v>6423.9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248048"/>
        <c:axId val="448250096"/>
      </c:scatterChart>
      <c:valAx>
        <c:axId val="44824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250096"/>
        <c:crosses val="autoZero"/>
        <c:crossBetween val="midCat"/>
      </c:valAx>
      <c:valAx>
        <c:axId val="44825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248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323511141033"/>
          <c:y val="0.426304807137203"/>
          <c:w val="0.219331115209112"/>
          <c:h val="0.10204105439201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Summary!$AN$150:$BA$150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  <c:smooth val="0"/>
        </c:ser>
        <c:ser>
          <c:idx val="1"/>
          <c:order val="1"/>
          <c:val>
            <c:numRef>
              <c:f>Summary!$AN$151:$BA$151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  <c:smooth val="0"/>
        </c:ser>
        <c:ser>
          <c:idx val="2"/>
          <c:order val="2"/>
          <c:val>
            <c:numRef>
              <c:f>Summary!$AN$152:$BA$152</c:f>
              <c:numCache>
                <c:formatCode>General</c:formatCode>
                <c:ptCount val="14"/>
                <c:pt idx="0">
                  <c:v>1.00617</c:v>
                </c:pt>
                <c:pt idx="1">
                  <c:v>1.20487</c:v>
                </c:pt>
                <c:pt idx="2">
                  <c:v>1.28284</c:v>
                </c:pt>
                <c:pt idx="3">
                  <c:v>1.31125</c:v>
                </c:pt>
                <c:pt idx="4">
                  <c:v>1.10782</c:v>
                </c:pt>
                <c:pt idx="5">
                  <c:v>1.12163</c:v>
                </c:pt>
                <c:pt idx="6">
                  <c:v>0.941145</c:v>
                </c:pt>
                <c:pt idx="7">
                  <c:v>0.941145</c:v>
                </c:pt>
                <c:pt idx="8">
                  <c:v>0.941145</c:v>
                </c:pt>
                <c:pt idx="9">
                  <c:v>0.941145</c:v>
                </c:pt>
                <c:pt idx="10">
                  <c:v>0.941145</c:v>
                </c:pt>
                <c:pt idx="11">
                  <c:v>0.941145</c:v>
                </c:pt>
                <c:pt idx="12">
                  <c:v>0.941145</c:v>
                </c:pt>
                <c:pt idx="13">
                  <c:v>0.941145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211936"/>
        <c:axId val="448202928"/>
      </c:lineChart>
      <c:catAx>
        <c:axId val="44821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202928"/>
        <c:crosses val="autoZero"/>
        <c:auto val="1"/>
        <c:lblAlgn val="ctr"/>
        <c:lblOffset val="100"/>
        <c:noMultiLvlLbl val="0"/>
      </c:catAx>
      <c:valAx>
        <c:axId val="44820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211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9327731092437"/>
          <c:y val="0.365853658536585"/>
          <c:w val="0.165966386554622"/>
          <c:h val="0.250871080139373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3" l="0.700000000000001" r="0.700000000000001" t="0.750000000000003" header="0.3" footer="0.3"/>
    <c:pageSetup orientation="portrait"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8573928259"/>
          <c:y val="0.037437382737591"/>
          <c:w val="0.849587926509189"/>
          <c:h val="0.812486015826716"/>
        </c:manualLayout>
      </c:layout>
      <c:scatterChart>
        <c:scatterStyle val="lineMarker"/>
        <c:varyColors val="0"/>
        <c:ser>
          <c:idx val="2"/>
          <c:order val="0"/>
          <c:tx>
            <c:strRef>
              <c:f>Summary!$Y$167</c:f>
              <c:strCache>
                <c:ptCount val="1"/>
                <c:pt idx="0">
                  <c:v>2008 Assessment</c:v>
                </c:pt>
              </c:strCache>
            </c:strRef>
          </c:tx>
          <c:xVal>
            <c:numRef>
              <c:f>Summary!$V$176:$V$195</c:f>
              <c:numCache>
                <c:formatCode>General</c:formatCode>
                <c:ptCount val="20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</c:numCache>
            </c:numRef>
          </c:xVal>
          <c:yVal>
            <c:numRef>
              <c:f>Summary!$Y$176:$Y$195</c:f>
              <c:numCache>
                <c:formatCode>General</c:formatCode>
                <c:ptCount val="20"/>
                <c:pt idx="0">
                  <c:v>0.11536</c:v>
                </c:pt>
                <c:pt idx="1">
                  <c:v>0.0496438</c:v>
                </c:pt>
                <c:pt idx="2">
                  <c:v>0.0849877</c:v>
                </c:pt>
                <c:pt idx="3">
                  <c:v>0.10521</c:v>
                </c:pt>
                <c:pt idx="4">
                  <c:v>0.0597599</c:v>
                </c:pt>
                <c:pt idx="5">
                  <c:v>0.0488852</c:v>
                </c:pt>
                <c:pt idx="6">
                  <c:v>0.0305465</c:v>
                </c:pt>
                <c:pt idx="7">
                  <c:v>0.0426448</c:v>
                </c:pt>
                <c:pt idx="8">
                  <c:v>0.0428418</c:v>
                </c:pt>
                <c:pt idx="9">
                  <c:v>0.0615552</c:v>
                </c:pt>
                <c:pt idx="10">
                  <c:v>0.0654258</c:v>
                </c:pt>
                <c:pt idx="11">
                  <c:v>0.0698835</c:v>
                </c:pt>
                <c:pt idx="12">
                  <c:v>0.0601327</c:v>
                </c:pt>
                <c:pt idx="13">
                  <c:v>0.038179</c:v>
                </c:pt>
                <c:pt idx="14">
                  <c:v>0.0293649</c:v>
                </c:pt>
                <c:pt idx="15">
                  <c:v>0.0469825</c:v>
                </c:pt>
                <c:pt idx="16">
                  <c:v>0.0204971</c:v>
                </c:pt>
                <c:pt idx="17">
                  <c:v>0.0396791</c:v>
                </c:pt>
                <c:pt idx="18">
                  <c:v>0.0156787</c:v>
                </c:pt>
                <c:pt idx="19">
                  <c:v>0.0156787</c:v>
                </c:pt>
              </c:numCache>
            </c:numRef>
          </c:yVal>
          <c:smooth val="0"/>
        </c:ser>
        <c:ser>
          <c:idx val="0"/>
          <c:order val="1"/>
          <c:tx>
            <c:v>2009 Assessment</c:v>
          </c:tx>
          <c:xVal>
            <c:numRef>
              <c:f>Summary!$V$176:$V$203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</c:numCache>
            </c:numRef>
          </c:xVal>
          <c:yVal>
            <c:numRef>
              <c:f>Summary!$X$134:$X$153</c:f>
              <c:numCache>
                <c:formatCode>General</c:formatCode>
                <c:ptCount val="20"/>
                <c:pt idx="0">
                  <c:v>0.145228</c:v>
                </c:pt>
                <c:pt idx="1">
                  <c:v>0.0803747</c:v>
                </c:pt>
                <c:pt idx="2">
                  <c:v>0.0950763</c:v>
                </c:pt>
                <c:pt idx="3">
                  <c:v>0.101262</c:v>
                </c:pt>
                <c:pt idx="4">
                  <c:v>0.0714883</c:v>
                </c:pt>
                <c:pt idx="5">
                  <c:v>0.0362901</c:v>
                </c:pt>
                <c:pt idx="6">
                  <c:v>0.0262798</c:v>
                </c:pt>
                <c:pt idx="7">
                  <c:v>0.0433436</c:v>
                </c:pt>
                <c:pt idx="8">
                  <c:v>0.039635</c:v>
                </c:pt>
                <c:pt idx="9">
                  <c:v>0.0854911</c:v>
                </c:pt>
                <c:pt idx="10">
                  <c:v>0.0864514</c:v>
                </c:pt>
                <c:pt idx="11">
                  <c:v>0.0681558</c:v>
                </c:pt>
                <c:pt idx="12">
                  <c:v>0.0593411</c:v>
                </c:pt>
                <c:pt idx="13">
                  <c:v>0.0304448</c:v>
                </c:pt>
                <c:pt idx="14">
                  <c:v>0.0408479</c:v>
                </c:pt>
                <c:pt idx="15">
                  <c:v>0.0605503</c:v>
                </c:pt>
                <c:pt idx="16">
                  <c:v>0.0271988</c:v>
                </c:pt>
                <c:pt idx="17">
                  <c:v>0.0555491</c:v>
                </c:pt>
                <c:pt idx="18">
                  <c:v>0.0403899</c:v>
                </c:pt>
                <c:pt idx="19">
                  <c:v>0.046351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176800"/>
        <c:axId val="448162400"/>
      </c:scatterChart>
      <c:valAx>
        <c:axId val="448176800"/>
        <c:scaling>
          <c:orientation val="minMax"/>
          <c:max val="2010.0"/>
          <c:min val="1990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162400"/>
        <c:crosses val="autoZero"/>
        <c:crossBetween val="midCat"/>
      </c:valAx>
      <c:valAx>
        <c:axId val="448162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481768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37472154216017"/>
          <c:y val="0.0560523836959405"/>
          <c:w val="0.27919451245065"/>
          <c:h val="0.16710289262622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" l="0.700000000000001" r="0.700000000000001" t="0.750000000000002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Summary!$C$6</c:f>
              <c:strCache>
                <c:ptCount val="1"/>
                <c:pt idx="0">
                  <c:v>Predicted</c:v>
                </c:pt>
              </c:strCache>
            </c:strRef>
          </c:tx>
          <c:marker>
            <c:symbol val="none"/>
          </c:marker>
          <c:xVal>
            <c:numRef>
              <c:f>Summary!$E$1:$P$1</c:f>
              <c:numCache>
                <c:formatCode>General</c:formatCode>
                <c:ptCount val="12"/>
                <c:pt idx="0">
                  <c:v>1965.0</c:v>
                </c:pt>
                <c:pt idx="1">
                  <c:v>1966.0</c:v>
                </c:pt>
                <c:pt idx="2">
                  <c:v>1967.0</c:v>
                </c:pt>
                <c:pt idx="3">
                  <c:v>1968.0</c:v>
                </c:pt>
                <c:pt idx="4">
                  <c:v>1969.0</c:v>
                </c:pt>
                <c:pt idx="5">
                  <c:v>1970.0</c:v>
                </c:pt>
                <c:pt idx="6">
                  <c:v>1971.0</c:v>
                </c:pt>
                <c:pt idx="7">
                  <c:v>1972.0</c:v>
                </c:pt>
                <c:pt idx="8">
                  <c:v>1973.0</c:v>
                </c:pt>
                <c:pt idx="9">
                  <c:v>1974.0</c:v>
                </c:pt>
                <c:pt idx="10">
                  <c:v>1975.0</c:v>
                </c:pt>
                <c:pt idx="11">
                  <c:v>1976.0</c:v>
                </c:pt>
              </c:numCache>
            </c:numRef>
          </c:xVal>
          <c:yVal>
            <c:numRef>
              <c:f>Summary!$E$6:$P$6</c:f>
              <c:numCache>
                <c:formatCode>General</c:formatCode>
                <c:ptCount val="12"/>
                <c:pt idx="0">
                  <c:v>2474.55</c:v>
                </c:pt>
                <c:pt idx="1">
                  <c:v>3011.46</c:v>
                </c:pt>
                <c:pt idx="2">
                  <c:v>3810.76</c:v>
                </c:pt>
                <c:pt idx="3">
                  <c:v>4936.08</c:v>
                </c:pt>
                <c:pt idx="4">
                  <c:v>5806.02</c:v>
                </c:pt>
                <c:pt idx="5">
                  <c:v>6008.62</c:v>
                </c:pt>
                <c:pt idx="6">
                  <c:v>6102.19</c:v>
                </c:pt>
                <c:pt idx="7">
                  <c:v>6025.43</c:v>
                </c:pt>
                <c:pt idx="8">
                  <c:v>5165.8</c:v>
                </c:pt>
                <c:pt idx="9">
                  <c:v>4478.78</c:v>
                </c:pt>
                <c:pt idx="10">
                  <c:v>4513.84</c:v>
                </c:pt>
                <c:pt idx="11">
                  <c:v>4311.69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Summary!$C$7</c:f>
              <c:strCache>
                <c:ptCount val="1"/>
                <c:pt idx="0">
                  <c:v>Observed</c:v>
                </c:pt>
              </c:strCache>
            </c:strRef>
          </c:tx>
          <c:spPr>
            <a:ln>
              <a:noFill/>
            </a:ln>
          </c:spPr>
          <c:xVal>
            <c:numRef>
              <c:f>Summary!$E$1:$P$1</c:f>
              <c:numCache>
                <c:formatCode>General</c:formatCode>
                <c:ptCount val="12"/>
                <c:pt idx="0">
                  <c:v>1965.0</c:v>
                </c:pt>
                <c:pt idx="1">
                  <c:v>1966.0</c:v>
                </c:pt>
                <c:pt idx="2">
                  <c:v>1967.0</c:v>
                </c:pt>
                <c:pt idx="3">
                  <c:v>1968.0</c:v>
                </c:pt>
                <c:pt idx="4">
                  <c:v>1969.0</c:v>
                </c:pt>
                <c:pt idx="5">
                  <c:v>1970.0</c:v>
                </c:pt>
                <c:pt idx="6">
                  <c:v>1971.0</c:v>
                </c:pt>
                <c:pt idx="7">
                  <c:v>1972.0</c:v>
                </c:pt>
                <c:pt idx="8">
                  <c:v>1973.0</c:v>
                </c:pt>
                <c:pt idx="9">
                  <c:v>1974.0</c:v>
                </c:pt>
                <c:pt idx="10">
                  <c:v>1975.0</c:v>
                </c:pt>
                <c:pt idx="11">
                  <c:v>1976.0</c:v>
                </c:pt>
              </c:numCache>
            </c:numRef>
          </c:xVal>
          <c:yVal>
            <c:numRef>
              <c:f>Summary!$E$7:$P$7</c:f>
              <c:numCache>
                <c:formatCode>General</c:formatCode>
                <c:ptCount val="12"/>
                <c:pt idx="0">
                  <c:v>2816.44</c:v>
                </c:pt>
                <c:pt idx="1">
                  <c:v>3473.58</c:v>
                </c:pt>
                <c:pt idx="2">
                  <c:v>3802.17</c:v>
                </c:pt>
                <c:pt idx="3">
                  <c:v>5257.3</c:v>
                </c:pt>
                <c:pt idx="4">
                  <c:v>6712.47</c:v>
                </c:pt>
                <c:pt idx="5">
                  <c:v>5679.81</c:v>
                </c:pt>
                <c:pt idx="6">
                  <c:v>5257.33</c:v>
                </c:pt>
                <c:pt idx="7">
                  <c:v>5726.74</c:v>
                </c:pt>
                <c:pt idx="8">
                  <c:v>4787.92</c:v>
                </c:pt>
                <c:pt idx="9">
                  <c:v>4740.99</c:v>
                </c:pt>
                <c:pt idx="10">
                  <c:v>4271.57</c:v>
                </c:pt>
                <c:pt idx="11">
                  <c:v>4318.52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113824"/>
        <c:axId val="446116144"/>
      </c:scatterChart>
      <c:valAx>
        <c:axId val="44611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6116144"/>
        <c:crosses val="autoZero"/>
        <c:crossBetween val="midCat"/>
      </c:valAx>
      <c:valAx>
        <c:axId val="44611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46113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Summary!$B$108:$B$159</c:f>
              <c:numCache>
                <c:formatCode>General</c:formatCode>
                <c:ptCount val="52"/>
                <c:pt idx="0">
                  <c:v>4.885595780938637</c:v>
                </c:pt>
                <c:pt idx="1">
                  <c:v>4.831970754745664</c:v>
                </c:pt>
                <c:pt idx="2">
                  <c:v>4.855357344136446</c:v>
                </c:pt>
                <c:pt idx="3">
                  <c:v>4.964235495131627</c:v>
                </c:pt>
                <c:pt idx="4">
                  <c:v>4.994747345684588</c:v>
                </c:pt>
                <c:pt idx="5">
                  <c:v>5.156734640320765</c:v>
                </c:pt>
                <c:pt idx="6">
                  <c:v>5.622728223893834</c:v>
                </c:pt>
                <c:pt idx="7">
                  <c:v>5.850097069275534</c:v>
                </c:pt>
                <c:pt idx="8">
                  <c:v>5.664322570229297</c:v>
                </c:pt>
                <c:pt idx="9">
                  <c:v>5.43056645541236</c:v>
                </c:pt>
                <c:pt idx="10">
                  <c:v>5.209334403787102</c:v>
                </c:pt>
                <c:pt idx="11">
                  <c:v>5.135223958940643</c:v>
                </c:pt>
                <c:pt idx="12">
                  <c:v>5.09425111842468</c:v>
                </c:pt>
                <c:pt idx="13">
                  <c:v>5.180864868553402</c:v>
                </c:pt>
                <c:pt idx="14">
                  <c:v>5.276659781638908</c:v>
                </c:pt>
                <c:pt idx="15">
                  <c:v>5.381461660751449</c:v>
                </c:pt>
                <c:pt idx="16">
                  <c:v>5.417619303497617</c:v>
                </c:pt>
                <c:pt idx="17">
                  <c:v>5.545474456767796</c:v>
                </c:pt>
                <c:pt idx="18">
                  <c:v>5.77703934527982</c:v>
                </c:pt>
                <c:pt idx="19">
                  <c:v>6.124676069692116</c:v>
                </c:pt>
                <c:pt idx="20">
                  <c:v>6.235356780738766</c:v>
                </c:pt>
                <c:pt idx="21">
                  <c:v>6.399169387005203</c:v>
                </c:pt>
                <c:pt idx="22">
                  <c:v>6.473066020310948</c:v>
                </c:pt>
                <c:pt idx="23">
                  <c:v>6.606463590905983</c:v>
                </c:pt>
                <c:pt idx="24">
                  <c:v>6.077933814419441</c:v>
                </c:pt>
                <c:pt idx="25">
                  <c:v>5.806132008294258</c:v>
                </c:pt>
                <c:pt idx="26">
                  <c:v>5.712675600142383</c:v>
                </c:pt>
                <c:pt idx="27">
                  <c:v>6.546035863114183</c:v>
                </c:pt>
                <c:pt idx="28">
                  <c:v>6.803865283789207</c:v>
                </c:pt>
                <c:pt idx="29">
                  <c:v>6.324572293973825</c:v>
                </c:pt>
                <c:pt idx="30">
                  <c:v>6.156306570824621</c:v>
                </c:pt>
                <c:pt idx="31">
                  <c:v>6.219442042927996</c:v>
                </c:pt>
                <c:pt idx="32">
                  <c:v>6.623192838750187</c:v>
                </c:pt>
                <c:pt idx="33">
                  <c:v>7.929203626486977</c:v>
                </c:pt>
                <c:pt idx="34">
                  <c:v>7.82967793605517</c:v>
                </c:pt>
                <c:pt idx="35">
                  <c:v>6.40134636295653</c:v>
                </c:pt>
                <c:pt idx="36">
                  <c:v>5.92366382255568</c:v>
                </c:pt>
                <c:pt idx="37">
                  <c:v>5.698971415457153</c:v>
                </c:pt>
                <c:pt idx="38">
                  <c:v>5.53972516130498</c:v>
                </c:pt>
                <c:pt idx="39">
                  <c:v>5.332577300216319</c:v>
                </c:pt>
                <c:pt idx="40">
                  <c:v>5.311389703194048</c:v>
                </c:pt>
                <c:pt idx="41">
                  <c:v>5.013013253240291</c:v>
                </c:pt>
                <c:pt idx="42">
                  <c:v>5.217426448062577</c:v>
                </c:pt>
                <c:pt idx="43">
                  <c:v>5.298780723861111</c:v>
                </c:pt>
                <c:pt idx="44">
                  <c:v>5.569451291498648</c:v>
                </c:pt>
                <c:pt idx="45">
                  <c:v>6.487024065209904</c:v>
                </c:pt>
                <c:pt idx="46">
                  <c:v>6.244005572068867</c:v>
                </c:pt>
                <c:pt idx="47">
                  <c:v>5.74466191931296</c:v>
                </c:pt>
                <c:pt idx="48">
                  <c:v>6.301711389007617</c:v>
                </c:pt>
                <c:pt idx="49">
                  <c:v>7.345998150298844</c:v>
                </c:pt>
                <c:pt idx="50">
                  <c:v>6.801857770622221</c:v>
                </c:pt>
                <c:pt idx="51">
                  <c:v>6.966561941638791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Summary!$A$108:$A$159</c:f>
              <c:numCache>
                <c:formatCode>General</c:formatCode>
                <c:ptCount val="52"/>
                <c:pt idx="0">
                  <c:v>1.810909861341596</c:v>
                </c:pt>
                <c:pt idx="1">
                  <c:v>1.71608806051339</c:v>
                </c:pt>
                <c:pt idx="2">
                  <c:v>1.705265994481396</c:v>
                </c:pt>
                <c:pt idx="3">
                  <c:v>1.737768304280525</c:v>
                </c:pt>
                <c:pt idx="4">
                  <c:v>1.721457647761235</c:v>
                </c:pt>
                <c:pt idx="5">
                  <c:v>1.749798343144498</c:v>
                </c:pt>
                <c:pt idx="6">
                  <c:v>1.978233627280102</c:v>
                </c:pt>
                <c:pt idx="7">
                  <c:v>2.073842816949834</c:v>
                </c:pt>
                <c:pt idx="8">
                  <c:v>1.92978688884947</c:v>
                </c:pt>
                <c:pt idx="9">
                  <c:v>1.827108163713692</c:v>
                </c:pt>
                <c:pt idx="10">
                  <c:v>1.683188286987544</c:v>
                </c:pt>
                <c:pt idx="11">
                  <c:v>1.630901290401169</c:v>
                </c:pt>
                <c:pt idx="12">
                  <c:v>1.636207887355711</c:v>
                </c:pt>
                <c:pt idx="13">
                  <c:v>1.72696955031088</c:v>
                </c:pt>
                <c:pt idx="14">
                  <c:v>1.818608956069452</c:v>
                </c:pt>
                <c:pt idx="15">
                  <c:v>2.014874647968118</c:v>
                </c:pt>
                <c:pt idx="16">
                  <c:v>2.190023116538361</c:v>
                </c:pt>
                <c:pt idx="17">
                  <c:v>2.367835436789389</c:v>
                </c:pt>
                <c:pt idx="18">
                  <c:v>2.658188966516036</c:v>
                </c:pt>
                <c:pt idx="19">
                  <c:v>3.12642458828142</c:v>
                </c:pt>
                <c:pt idx="20">
                  <c:v>3.215634846185542</c:v>
                </c:pt>
                <c:pt idx="21">
                  <c:v>3.757364117716587</c:v>
                </c:pt>
                <c:pt idx="22">
                  <c:v>3.617458475494025</c:v>
                </c:pt>
                <c:pt idx="23">
                  <c:v>3.70020893226397</c:v>
                </c:pt>
                <c:pt idx="24">
                  <c:v>3.020511909499998</c:v>
                </c:pt>
                <c:pt idx="25">
                  <c:v>3.039399259032495</c:v>
                </c:pt>
                <c:pt idx="26">
                  <c:v>2.818420251223373</c:v>
                </c:pt>
                <c:pt idx="27">
                  <c:v>3.725153489826471</c:v>
                </c:pt>
                <c:pt idx="28">
                  <c:v>4.618442253699348</c:v>
                </c:pt>
                <c:pt idx="29">
                  <c:v>3.686826754095982</c:v>
                </c:pt>
                <c:pt idx="30">
                  <c:v>3.431396330366122</c:v>
                </c:pt>
                <c:pt idx="31">
                  <c:v>5.4656633902061</c:v>
                </c:pt>
                <c:pt idx="32">
                  <c:v>10.1049224593317</c:v>
                </c:pt>
                <c:pt idx="33">
                  <c:v>8.58313924817923</c:v>
                </c:pt>
                <c:pt idx="34">
                  <c:v>6.76661441627153</c:v>
                </c:pt>
                <c:pt idx="35">
                  <c:v>4.220403152583125</c:v>
                </c:pt>
                <c:pt idx="36">
                  <c:v>3.535212492981369</c:v>
                </c:pt>
                <c:pt idx="37">
                  <c:v>3.766632161817206</c:v>
                </c:pt>
                <c:pt idx="38">
                  <c:v>4.302039413291173</c:v>
                </c:pt>
                <c:pt idx="39">
                  <c:v>3.670765853919111</c:v>
                </c:pt>
                <c:pt idx="40">
                  <c:v>3.087967311033475</c:v>
                </c:pt>
                <c:pt idx="41">
                  <c:v>2.614226786832426</c:v>
                </c:pt>
                <c:pt idx="42">
                  <c:v>2.940370121920137</c:v>
                </c:pt>
                <c:pt idx="43">
                  <c:v>3.114260853129498</c:v>
                </c:pt>
                <c:pt idx="44">
                  <c:v>3.772524018917283</c:v>
                </c:pt>
                <c:pt idx="45">
                  <c:v>4.63769383579823</c:v>
                </c:pt>
                <c:pt idx="46">
                  <c:v>3.412828647952618</c:v>
                </c:pt>
                <c:pt idx="47">
                  <c:v>3.509591939086988</c:v>
                </c:pt>
                <c:pt idx="48">
                  <c:v>5.87168438808803</c:v>
                </c:pt>
                <c:pt idx="49">
                  <c:v>4.725905214723022</c:v>
                </c:pt>
                <c:pt idx="50">
                  <c:v>4.41541551360346</c:v>
                </c:pt>
                <c:pt idx="51">
                  <c:v>4.077631520860108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142992"/>
        <c:axId val="446145312"/>
      </c:lineChart>
      <c:catAx>
        <c:axId val="4461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45312"/>
        <c:crosses val="autoZero"/>
        <c:auto val="1"/>
        <c:lblAlgn val="ctr"/>
        <c:lblOffset val="100"/>
        <c:noMultiLvlLbl val="0"/>
      </c:catAx>
      <c:valAx>
        <c:axId val="4461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4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8264182895851"/>
          <c:y val="0.0417287630402385"/>
          <c:w val="0.837425910245557"/>
          <c:h val="0.91654247391952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pm.rep!$A$815:$A$838</c:f>
              <c:numCache>
                <c:formatCode>General</c:formatCode>
                <c:ptCount val="24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  <c:pt idx="22">
                  <c:v>2005.0</c:v>
                </c:pt>
                <c:pt idx="23">
                  <c:v>2006.0</c:v>
                </c:pt>
              </c:numCache>
            </c:numRef>
          </c:xVal>
          <c:yVal>
            <c:numRef>
              <c:f>pm.rep!$B$815:$B$838</c:f>
              <c:numCache>
                <c:formatCode>General</c:formatCode>
                <c:ptCount val="24"/>
                <c:pt idx="0">
                  <c:v>1.30878</c:v>
                </c:pt>
                <c:pt idx="1">
                  <c:v>0.887434</c:v>
                </c:pt>
                <c:pt idx="2">
                  <c:v>0.962802</c:v>
                </c:pt>
                <c:pt idx="3">
                  <c:v>0.660695</c:v>
                </c:pt>
                <c:pt idx="4">
                  <c:v>1.36387</c:v>
                </c:pt>
                <c:pt idx="5">
                  <c:v>0.937347</c:v>
                </c:pt>
                <c:pt idx="6">
                  <c:v>1.26377</c:v>
                </c:pt>
                <c:pt idx="7">
                  <c:v>1.03611</c:v>
                </c:pt>
                <c:pt idx="8">
                  <c:v>1.21835</c:v>
                </c:pt>
                <c:pt idx="9">
                  <c:v>0.770515</c:v>
                </c:pt>
                <c:pt idx="10">
                  <c:v>1.31696</c:v>
                </c:pt>
                <c:pt idx="11">
                  <c:v>0.565789</c:v>
                </c:pt>
                <c:pt idx="12">
                  <c:v>0.646255</c:v>
                </c:pt>
                <c:pt idx="13">
                  <c:v>1.44758</c:v>
                </c:pt>
                <c:pt idx="14">
                  <c:v>1.09525</c:v>
                </c:pt>
                <c:pt idx="15">
                  <c:v>1.476</c:v>
                </c:pt>
                <c:pt idx="16">
                  <c:v>0.149056</c:v>
                </c:pt>
                <c:pt idx="17">
                  <c:v>0.870974</c:v>
                </c:pt>
                <c:pt idx="18">
                  <c:v>1.0492</c:v>
                </c:pt>
                <c:pt idx="19">
                  <c:v>1.4319</c:v>
                </c:pt>
                <c:pt idx="20">
                  <c:v>1.62911</c:v>
                </c:pt>
                <c:pt idx="21">
                  <c:v>1.4676</c:v>
                </c:pt>
                <c:pt idx="22">
                  <c:v>1.49988</c:v>
                </c:pt>
                <c:pt idx="23">
                  <c:v>0.651584</c:v>
                </c:pt>
              </c:numCache>
            </c:numRef>
          </c:y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pm.rep!$A$815:$A$838</c:f>
              <c:numCache>
                <c:formatCode>General</c:formatCode>
                <c:ptCount val="24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  <c:pt idx="22">
                  <c:v>2005.0</c:v>
                </c:pt>
                <c:pt idx="23">
                  <c:v>2006.0</c:v>
                </c:pt>
              </c:numCache>
            </c:numRef>
          </c:xVal>
          <c:yVal>
            <c:numRef>
              <c:f>pm.rep!$C$815:$C$838</c:f>
              <c:numCache>
                <c:formatCode>General</c:formatCode>
                <c:ptCount val="2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086336"/>
        <c:axId val="448087968"/>
      </c:scatterChart>
      <c:valAx>
        <c:axId val="44808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087968"/>
        <c:crosses val="autoZero"/>
        <c:crossBetween val="midCat"/>
      </c:valAx>
      <c:valAx>
        <c:axId val="448087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0863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8552074513125"/>
          <c:y val="0.50521609538003"/>
          <c:w val="0.088060965283658"/>
          <c:h val="0.083457526080476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7198697068405"/>
          <c:y val="0.10035877421726"/>
          <c:w val="0.713355048859934"/>
          <c:h val="0.71684838726614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pm.rep!$V$386:$Z$386</c:f>
              <c:numCache>
                <c:formatCode>General</c:formatCode>
                <c:ptCount val="5"/>
                <c:pt idx="0">
                  <c:v>0.0412138</c:v>
                </c:pt>
                <c:pt idx="1">
                  <c:v>0.0296154</c:v>
                </c:pt>
                <c:pt idx="2">
                  <c:v>0.0186432</c:v>
                </c:pt>
                <c:pt idx="3">
                  <c:v>0.0105</c:v>
                </c:pt>
                <c:pt idx="4">
                  <c:v>0.0113193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pm.rep!$V$331:$Z$331</c:f>
              <c:numCache>
                <c:formatCode>General</c:formatCode>
                <c:ptCount val="5"/>
                <c:pt idx="0">
                  <c:v>0.0744018</c:v>
                </c:pt>
                <c:pt idx="1">
                  <c:v>0.0504237</c:v>
                </c:pt>
                <c:pt idx="2">
                  <c:v>0.0332891</c:v>
                </c:pt>
                <c:pt idx="3">
                  <c:v>0.0214595</c:v>
                </c:pt>
                <c:pt idx="4">
                  <c:v>0.0353575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059984"/>
        <c:axId val="448054704"/>
      </c:lineChart>
      <c:catAx>
        <c:axId val="44805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054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805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059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4104234527687"/>
          <c:y val="0.580647042775567"/>
          <c:w val="0.169381107491857"/>
          <c:h val="0.2007175984722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8264182895851"/>
          <c:y val="0.0417287630402385"/>
          <c:w val="0.837425910245557"/>
          <c:h val="0.91654247391952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pm.rep!$A$815:$A$838</c:f>
              <c:numCache>
                <c:formatCode>General</c:formatCode>
                <c:ptCount val="24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  <c:pt idx="22">
                  <c:v>2005.0</c:v>
                </c:pt>
                <c:pt idx="23">
                  <c:v>2006.0</c:v>
                </c:pt>
              </c:numCache>
            </c:numRef>
          </c:xVal>
          <c:yVal>
            <c:numRef>
              <c:f>pm.rep!$B$815:$B$838</c:f>
              <c:numCache>
                <c:formatCode>General</c:formatCode>
                <c:ptCount val="24"/>
                <c:pt idx="0">
                  <c:v>1.30878</c:v>
                </c:pt>
                <c:pt idx="1">
                  <c:v>0.887434</c:v>
                </c:pt>
                <c:pt idx="2">
                  <c:v>0.962802</c:v>
                </c:pt>
                <c:pt idx="3">
                  <c:v>0.660695</c:v>
                </c:pt>
                <c:pt idx="4">
                  <c:v>1.36387</c:v>
                </c:pt>
                <c:pt idx="5">
                  <c:v>0.937347</c:v>
                </c:pt>
                <c:pt idx="6">
                  <c:v>1.26377</c:v>
                </c:pt>
                <c:pt idx="7">
                  <c:v>1.03611</c:v>
                </c:pt>
                <c:pt idx="8">
                  <c:v>1.21835</c:v>
                </c:pt>
                <c:pt idx="9">
                  <c:v>0.770515</c:v>
                </c:pt>
                <c:pt idx="10">
                  <c:v>1.31696</c:v>
                </c:pt>
                <c:pt idx="11">
                  <c:v>0.565789</c:v>
                </c:pt>
                <c:pt idx="12">
                  <c:v>0.646255</c:v>
                </c:pt>
                <c:pt idx="13">
                  <c:v>1.44758</c:v>
                </c:pt>
                <c:pt idx="14">
                  <c:v>1.09525</c:v>
                </c:pt>
                <c:pt idx="15">
                  <c:v>1.476</c:v>
                </c:pt>
                <c:pt idx="16">
                  <c:v>0.149056</c:v>
                </c:pt>
                <c:pt idx="17">
                  <c:v>0.870974</c:v>
                </c:pt>
                <c:pt idx="18">
                  <c:v>1.0492</c:v>
                </c:pt>
                <c:pt idx="19">
                  <c:v>1.4319</c:v>
                </c:pt>
                <c:pt idx="20">
                  <c:v>1.62911</c:v>
                </c:pt>
                <c:pt idx="21">
                  <c:v>1.4676</c:v>
                </c:pt>
                <c:pt idx="22">
                  <c:v>1.49988</c:v>
                </c:pt>
                <c:pt idx="23">
                  <c:v>0.651584</c:v>
                </c:pt>
              </c:numCache>
            </c:numRef>
          </c:y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pm.rep!$A$815:$A$838</c:f>
              <c:numCache>
                <c:formatCode>General</c:formatCode>
                <c:ptCount val="24"/>
                <c:pt idx="0">
                  <c:v>1983.0</c:v>
                </c:pt>
                <c:pt idx="1">
                  <c:v>1984.0</c:v>
                </c:pt>
                <c:pt idx="2">
                  <c:v>1985.0</c:v>
                </c:pt>
                <c:pt idx="3">
                  <c:v>1986.0</c:v>
                </c:pt>
                <c:pt idx="4">
                  <c:v>1987.0</c:v>
                </c:pt>
                <c:pt idx="5">
                  <c:v>1988.0</c:v>
                </c:pt>
                <c:pt idx="6">
                  <c:v>1989.0</c:v>
                </c:pt>
                <c:pt idx="7">
                  <c:v>1990.0</c:v>
                </c:pt>
                <c:pt idx="8">
                  <c:v>1991.0</c:v>
                </c:pt>
                <c:pt idx="9">
                  <c:v>1992.0</c:v>
                </c:pt>
                <c:pt idx="10">
                  <c:v>1993.0</c:v>
                </c:pt>
                <c:pt idx="11">
                  <c:v>1994.0</c:v>
                </c:pt>
                <c:pt idx="12">
                  <c:v>1995.0</c:v>
                </c:pt>
                <c:pt idx="13">
                  <c:v>1996.0</c:v>
                </c:pt>
                <c:pt idx="14">
                  <c:v>1997.0</c:v>
                </c:pt>
                <c:pt idx="15">
                  <c:v>1998.0</c:v>
                </c:pt>
                <c:pt idx="16">
                  <c:v>1999.0</c:v>
                </c:pt>
                <c:pt idx="17">
                  <c:v>2000.0</c:v>
                </c:pt>
                <c:pt idx="18">
                  <c:v>2001.0</c:v>
                </c:pt>
                <c:pt idx="19">
                  <c:v>2002.0</c:v>
                </c:pt>
                <c:pt idx="20">
                  <c:v>2003.0</c:v>
                </c:pt>
                <c:pt idx="21">
                  <c:v>2004.0</c:v>
                </c:pt>
                <c:pt idx="22">
                  <c:v>2005.0</c:v>
                </c:pt>
                <c:pt idx="23">
                  <c:v>2006.0</c:v>
                </c:pt>
              </c:numCache>
            </c:numRef>
          </c:xVal>
          <c:yVal>
            <c:numRef>
              <c:f>pm.rep!$C$815:$C$838</c:f>
              <c:numCache>
                <c:formatCode>General</c:formatCode>
                <c:ptCount val="2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55504"/>
        <c:axId val="504257552"/>
      </c:scatterChart>
      <c:valAx>
        <c:axId val="50425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504257552"/>
        <c:crosses val="autoZero"/>
        <c:crossBetween val="midCat"/>
      </c:valAx>
      <c:valAx>
        <c:axId val="504257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5042555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8552074513125"/>
          <c:y val="0.50521609538003"/>
          <c:w val="0.088060965283658"/>
          <c:h val="0.083457526080476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7198697068405"/>
          <c:y val="0.10035877421726"/>
          <c:w val="0.713355048859934"/>
          <c:h val="0.71684838726614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pm.rep!$V$386:$Z$386</c:f>
              <c:numCache>
                <c:formatCode>General</c:formatCode>
                <c:ptCount val="5"/>
                <c:pt idx="0">
                  <c:v>0.0412138</c:v>
                </c:pt>
                <c:pt idx="1">
                  <c:v>0.0296154</c:v>
                </c:pt>
                <c:pt idx="2">
                  <c:v>0.0186432</c:v>
                </c:pt>
                <c:pt idx="3">
                  <c:v>0.0105</c:v>
                </c:pt>
                <c:pt idx="4">
                  <c:v>0.0113193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pm.rep!$V$331:$Z$331</c:f>
              <c:numCache>
                <c:formatCode>General</c:formatCode>
                <c:ptCount val="5"/>
                <c:pt idx="0">
                  <c:v>0.0744018</c:v>
                </c:pt>
                <c:pt idx="1">
                  <c:v>0.0504237</c:v>
                </c:pt>
                <c:pt idx="2">
                  <c:v>0.0332891</c:v>
                </c:pt>
                <c:pt idx="3">
                  <c:v>0.0214595</c:v>
                </c:pt>
                <c:pt idx="4">
                  <c:v>0.0353575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010960"/>
        <c:axId val="448002992"/>
      </c:lineChart>
      <c:catAx>
        <c:axId val="44801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002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800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801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4104234527687"/>
          <c:y val="0.580647042775567"/>
          <c:w val="0.169381107491857"/>
          <c:h val="0.2007175984722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5" r="0.750000000000005" t="1.0" header="0.5" footer="0.5"/>
    <c:pageSetup orientation="portrait"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Stdev!$D$56:$D$175</c:f>
              <c:numCache>
                <c:formatCode>General</c:formatCode>
                <c:ptCount val="120"/>
                <c:pt idx="0">
                  <c:v>3483.4</c:v>
                </c:pt>
                <c:pt idx="1">
                  <c:v>3695.8</c:v>
                </c:pt>
                <c:pt idx="2">
                  <c:v>4058.5</c:v>
                </c:pt>
                <c:pt idx="3">
                  <c:v>4302.5</c:v>
                </c:pt>
                <c:pt idx="4">
                  <c:v>4526.8</c:v>
                </c:pt>
                <c:pt idx="5">
                  <c:v>4705.5</c:v>
                </c:pt>
                <c:pt idx="6">
                  <c:v>3483.4</c:v>
                </c:pt>
                <c:pt idx="7">
                  <c:v>3679.3</c:v>
                </c:pt>
                <c:pt idx="8">
                  <c:v>3982.5</c:v>
                </c:pt>
                <c:pt idx="9">
                  <c:v>4169.9</c:v>
                </c:pt>
                <c:pt idx="10">
                  <c:v>4347.6</c:v>
                </c:pt>
                <c:pt idx="11">
                  <c:v>4492.9</c:v>
                </c:pt>
                <c:pt idx="12">
                  <c:v>3483.4</c:v>
                </c:pt>
                <c:pt idx="13">
                  <c:v>3662.6</c:v>
                </c:pt>
                <c:pt idx="14">
                  <c:v>3907.1</c:v>
                </c:pt>
                <c:pt idx="15">
                  <c:v>4040.7</c:v>
                </c:pt>
                <c:pt idx="16">
                  <c:v>4175.8</c:v>
                </c:pt>
                <c:pt idx="17">
                  <c:v>4292.2</c:v>
                </c:pt>
                <c:pt idx="18">
                  <c:v>3483.4</c:v>
                </c:pt>
                <c:pt idx="19">
                  <c:v>3645.7</c:v>
                </c:pt>
                <c:pt idx="20">
                  <c:v>3832.3</c:v>
                </c:pt>
                <c:pt idx="21">
                  <c:v>3914.7</c:v>
                </c:pt>
                <c:pt idx="22">
                  <c:v>4011.3</c:v>
                </c:pt>
                <c:pt idx="23">
                  <c:v>4102.5</c:v>
                </c:pt>
                <c:pt idx="24">
                  <c:v>3483.4</c:v>
                </c:pt>
                <c:pt idx="25">
                  <c:v>3628.5</c:v>
                </c:pt>
                <c:pt idx="26">
                  <c:v>3758.0</c:v>
                </c:pt>
                <c:pt idx="27">
                  <c:v>3792.0</c:v>
                </c:pt>
                <c:pt idx="28">
                  <c:v>3853.8</c:v>
                </c:pt>
                <c:pt idx="29">
                  <c:v>3923.5</c:v>
                </c:pt>
                <c:pt idx="30">
                  <c:v>3483.4</c:v>
                </c:pt>
                <c:pt idx="31">
                  <c:v>3611.1</c:v>
                </c:pt>
                <c:pt idx="32">
                  <c:v>3684.2</c:v>
                </c:pt>
                <c:pt idx="33">
                  <c:v>3672.6</c:v>
                </c:pt>
                <c:pt idx="34">
                  <c:v>3703.0</c:v>
                </c:pt>
                <c:pt idx="35">
                  <c:v>3754.6</c:v>
                </c:pt>
                <c:pt idx="36">
                  <c:v>3483.4</c:v>
                </c:pt>
                <c:pt idx="37">
                  <c:v>3593.5</c:v>
                </c:pt>
                <c:pt idx="38">
                  <c:v>3610.9</c:v>
                </c:pt>
                <c:pt idx="39">
                  <c:v>3556.3</c:v>
                </c:pt>
                <c:pt idx="40">
                  <c:v>3558.9</c:v>
                </c:pt>
                <c:pt idx="41">
                  <c:v>3595.2</c:v>
                </c:pt>
                <c:pt idx="42">
                  <c:v>3483.4</c:v>
                </c:pt>
                <c:pt idx="43">
                  <c:v>3575.6</c:v>
                </c:pt>
                <c:pt idx="44">
                  <c:v>3538.3</c:v>
                </c:pt>
                <c:pt idx="45">
                  <c:v>3443.1</c:v>
                </c:pt>
                <c:pt idx="46">
                  <c:v>3421.0</c:v>
                </c:pt>
                <c:pt idx="47">
                  <c:v>3444.8</c:v>
                </c:pt>
                <c:pt idx="48">
                  <c:v>3483.4</c:v>
                </c:pt>
                <c:pt idx="49">
                  <c:v>3557.5</c:v>
                </c:pt>
                <c:pt idx="50">
                  <c:v>3466.2</c:v>
                </c:pt>
                <c:pt idx="51">
                  <c:v>3333.1</c:v>
                </c:pt>
                <c:pt idx="52">
                  <c:v>3289.3</c:v>
                </c:pt>
                <c:pt idx="53">
                  <c:v>3303.0</c:v>
                </c:pt>
                <c:pt idx="54">
                  <c:v>3483.4</c:v>
                </c:pt>
                <c:pt idx="55">
                  <c:v>3539.1</c:v>
                </c:pt>
                <c:pt idx="56">
                  <c:v>3394.6</c:v>
                </c:pt>
                <c:pt idx="57">
                  <c:v>3226.1</c:v>
                </c:pt>
                <c:pt idx="58">
                  <c:v>3163.5</c:v>
                </c:pt>
                <c:pt idx="59">
                  <c:v>3169.4</c:v>
                </c:pt>
                <c:pt idx="60">
                  <c:v>3483.4</c:v>
                </c:pt>
                <c:pt idx="61">
                  <c:v>3520.5</c:v>
                </c:pt>
                <c:pt idx="62">
                  <c:v>3323.7</c:v>
                </c:pt>
                <c:pt idx="63">
                  <c:v>3122.2</c:v>
                </c:pt>
                <c:pt idx="64">
                  <c:v>3043.4</c:v>
                </c:pt>
                <c:pt idx="65">
                  <c:v>3043.4</c:v>
                </c:pt>
                <c:pt idx="66">
                  <c:v>3483.4</c:v>
                </c:pt>
                <c:pt idx="67">
                  <c:v>3501.6</c:v>
                </c:pt>
                <c:pt idx="68">
                  <c:v>3253.3</c:v>
                </c:pt>
                <c:pt idx="69">
                  <c:v>3021.2</c:v>
                </c:pt>
                <c:pt idx="70">
                  <c:v>2928.8</c:v>
                </c:pt>
                <c:pt idx="71">
                  <c:v>2924.6</c:v>
                </c:pt>
                <c:pt idx="72">
                  <c:v>3483.4</c:v>
                </c:pt>
                <c:pt idx="73">
                  <c:v>3482.3</c:v>
                </c:pt>
                <c:pt idx="74">
                  <c:v>3183.5</c:v>
                </c:pt>
                <c:pt idx="75">
                  <c:v>2923.2</c:v>
                </c:pt>
                <c:pt idx="76">
                  <c:v>2819.5</c:v>
                </c:pt>
                <c:pt idx="77">
                  <c:v>2812.6</c:v>
                </c:pt>
                <c:pt idx="78">
                  <c:v>3483.4</c:v>
                </c:pt>
                <c:pt idx="79">
                  <c:v>3462.8</c:v>
                </c:pt>
                <c:pt idx="80">
                  <c:v>3114.3</c:v>
                </c:pt>
                <c:pt idx="81">
                  <c:v>2828.1</c:v>
                </c:pt>
                <c:pt idx="82">
                  <c:v>2715.3</c:v>
                </c:pt>
                <c:pt idx="83">
                  <c:v>2707.0</c:v>
                </c:pt>
                <c:pt idx="84">
                  <c:v>3483.4</c:v>
                </c:pt>
                <c:pt idx="85">
                  <c:v>3443.0</c:v>
                </c:pt>
                <c:pt idx="86">
                  <c:v>3045.8</c:v>
                </c:pt>
                <c:pt idx="87">
                  <c:v>2735.8</c:v>
                </c:pt>
                <c:pt idx="88">
                  <c:v>2616.0</c:v>
                </c:pt>
                <c:pt idx="89">
                  <c:v>2607.5</c:v>
                </c:pt>
                <c:pt idx="90">
                  <c:v>3483.4</c:v>
                </c:pt>
                <c:pt idx="91">
                  <c:v>3422.9</c:v>
                </c:pt>
                <c:pt idx="92">
                  <c:v>2977.8</c:v>
                </c:pt>
                <c:pt idx="93">
                  <c:v>2646.3</c:v>
                </c:pt>
                <c:pt idx="94">
                  <c:v>2521.4</c:v>
                </c:pt>
                <c:pt idx="95">
                  <c:v>2513.6</c:v>
                </c:pt>
                <c:pt idx="96">
                  <c:v>3483.4</c:v>
                </c:pt>
                <c:pt idx="97">
                  <c:v>3402.5</c:v>
                </c:pt>
                <c:pt idx="98">
                  <c:v>2910.5</c:v>
                </c:pt>
                <c:pt idx="99">
                  <c:v>2559.6</c:v>
                </c:pt>
                <c:pt idx="100">
                  <c:v>2431.3</c:v>
                </c:pt>
                <c:pt idx="101">
                  <c:v>2425.0</c:v>
                </c:pt>
                <c:pt idx="102">
                  <c:v>3483.4</c:v>
                </c:pt>
                <c:pt idx="103">
                  <c:v>3381.7</c:v>
                </c:pt>
                <c:pt idx="104">
                  <c:v>2843.8</c:v>
                </c:pt>
                <c:pt idx="105">
                  <c:v>2475.5</c:v>
                </c:pt>
                <c:pt idx="106">
                  <c:v>2345.5</c:v>
                </c:pt>
                <c:pt idx="107">
                  <c:v>2341.4</c:v>
                </c:pt>
                <c:pt idx="108">
                  <c:v>3483.4</c:v>
                </c:pt>
                <c:pt idx="109">
                  <c:v>3360.6</c:v>
                </c:pt>
                <c:pt idx="110">
                  <c:v>2777.7</c:v>
                </c:pt>
                <c:pt idx="111">
                  <c:v>2394.2</c:v>
                </c:pt>
                <c:pt idx="112">
                  <c:v>2263.9</c:v>
                </c:pt>
                <c:pt idx="113">
                  <c:v>2262.4</c:v>
                </c:pt>
                <c:pt idx="114">
                  <c:v>3483.4</c:v>
                </c:pt>
                <c:pt idx="115">
                  <c:v>3339.2</c:v>
                </c:pt>
                <c:pt idx="116">
                  <c:v>2712.3</c:v>
                </c:pt>
                <c:pt idx="117">
                  <c:v>2315.4</c:v>
                </c:pt>
                <c:pt idx="118">
                  <c:v>2186.3</c:v>
                </c:pt>
                <c:pt idx="119">
                  <c:v>2187.7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161952"/>
        <c:axId val="446164272"/>
      </c:lineChart>
      <c:catAx>
        <c:axId val="4461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64272"/>
        <c:crosses val="autoZero"/>
        <c:auto val="1"/>
        <c:lblAlgn val="ctr"/>
        <c:lblOffset val="100"/>
        <c:noMultiLvlLbl val="0"/>
      </c:catAx>
      <c:valAx>
        <c:axId val="4461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6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pm.rep!$A$166</c:f>
              <c:strCache>
                <c:ptCount val="1"/>
                <c:pt idx="0">
                  <c:v>2013</c:v>
                </c:pt>
              </c:strCache>
            </c:strRef>
          </c:tx>
          <c:val>
            <c:numRef>
              <c:f>pm.rep!$B$166:$P$166</c:f>
              <c:numCache>
                <c:formatCode>General</c:formatCode>
                <c:ptCount val="15"/>
                <c:pt idx="0" formatCode="0.00E+00">
                  <c:v>0.000133953</c:v>
                </c:pt>
                <c:pt idx="1">
                  <c:v>0.00831988</c:v>
                </c:pt>
                <c:pt idx="2">
                  <c:v>0.0939279</c:v>
                </c:pt>
                <c:pt idx="3">
                  <c:v>0.414583</c:v>
                </c:pt>
                <c:pt idx="4">
                  <c:v>0.697561</c:v>
                </c:pt>
                <c:pt idx="5">
                  <c:v>0.77611</c:v>
                </c:pt>
                <c:pt idx="6">
                  <c:v>1.17335</c:v>
                </c:pt>
                <c:pt idx="7">
                  <c:v>1.49602</c:v>
                </c:pt>
                <c:pt idx="8">
                  <c:v>1.48102</c:v>
                </c:pt>
                <c:pt idx="9">
                  <c:v>1.47649</c:v>
                </c:pt>
                <c:pt idx="10">
                  <c:v>1.47649</c:v>
                </c:pt>
                <c:pt idx="11">
                  <c:v>1.47649</c:v>
                </c:pt>
                <c:pt idx="12">
                  <c:v>1.47649</c:v>
                </c:pt>
                <c:pt idx="13">
                  <c:v>1.47649</c:v>
                </c:pt>
                <c:pt idx="14">
                  <c:v>1.47649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pm.rep!$A$167</c:f>
              <c:strCache>
                <c:ptCount val="1"/>
                <c:pt idx="0">
                  <c:v>2014</c:v>
                </c:pt>
              </c:strCache>
            </c:strRef>
          </c:tx>
          <c:val>
            <c:numRef>
              <c:f>pm.rep!$B$167:$P$167</c:f>
              <c:numCache>
                <c:formatCode>General</c:formatCode>
                <c:ptCount val="15"/>
                <c:pt idx="0" formatCode="0.00E+00">
                  <c:v>0.000131105</c:v>
                </c:pt>
                <c:pt idx="1">
                  <c:v>0.00855424</c:v>
                </c:pt>
                <c:pt idx="2">
                  <c:v>0.0849462</c:v>
                </c:pt>
                <c:pt idx="3">
                  <c:v>0.390052</c:v>
                </c:pt>
                <c:pt idx="4">
                  <c:v>0.816247</c:v>
                </c:pt>
                <c:pt idx="5">
                  <c:v>1.00526</c:v>
                </c:pt>
                <c:pt idx="6">
                  <c:v>1.42286</c:v>
                </c:pt>
                <c:pt idx="7">
                  <c:v>1.30475</c:v>
                </c:pt>
                <c:pt idx="8">
                  <c:v>1.30833</c:v>
                </c:pt>
                <c:pt idx="9">
                  <c:v>1.44315</c:v>
                </c:pt>
                <c:pt idx="10">
                  <c:v>1.44315</c:v>
                </c:pt>
                <c:pt idx="11">
                  <c:v>1.44315</c:v>
                </c:pt>
                <c:pt idx="12">
                  <c:v>1.44315</c:v>
                </c:pt>
                <c:pt idx="13">
                  <c:v>1.44315</c:v>
                </c:pt>
                <c:pt idx="14">
                  <c:v>1.44315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pm.rep!$A$170</c:f>
              <c:strCache>
                <c:ptCount val="1"/>
                <c:pt idx="0">
                  <c:v>Future</c:v>
                </c:pt>
              </c:strCache>
            </c:strRef>
          </c:tx>
          <c:val>
            <c:numRef>
              <c:f>pm.rep!$B$170:$P$170</c:f>
              <c:numCache>
                <c:formatCode>General</c:formatCode>
                <c:ptCount val="15"/>
                <c:pt idx="0" formatCode="0.00E+00">
                  <c:v>0.000112378</c:v>
                </c:pt>
                <c:pt idx="1">
                  <c:v>0.00738701</c:v>
                </c:pt>
                <c:pt idx="2">
                  <c:v>0.097611</c:v>
                </c:pt>
                <c:pt idx="3">
                  <c:v>0.32773</c:v>
                </c:pt>
                <c:pt idx="4">
                  <c:v>0.658661</c:v>
                </c:pt>
                <c:pt idx="5">
                  <c:v>1.0</c:v>
                </c:pt>
                <c:pt idx="6">
                  <c:v>1.08914</c:v>
                </c:pt>
                <c:pt idx="7">
                  <c:v>1.1138</c:v>
                </c:pt>
                <c:pt idx="8">
                  <c:v>1.09045</c:v>
                </c:pt>
                <c:pt idx="9">
                  <c:v>1.18959</c:v>
                </c:pt>
                <c:pt idx="10">
                  <c:v>1.18959</c:v>
                </c:pt>
                <c:pt idx="11">
                  <c:v>1.18959</c:v>
                </c:pt>
                <c:pt idx="12">
                  <c:v>1.18959</c:v>
                </c:pt>
                <c:pt idx="13">
                  <c:v>1.18959</c:v>
                </c:pt>
                <c:pt idx="14">
                  <c:v>1.18959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033072"/>
        <c:axId val="446035120"/>
      </c:lineChart>
      <c:catAx>
        <c:axId val="44603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6035120"/>
        <c:crosses val="autoZero"/>
        <c:auto val="1"/>
        <c:lblAlgn val="ctr"/>
        <c:lblOffset val="100"/>
        <c:noMultiLvlLbl val="0"/>
      </c:catAx>
      <c:valAx>
        <c:axId val="446035120"/>
        <c:scaling>
          <c:orientation val="minMax"/>
          <c:max val="1.6"/>
          <c:min val="0.0"/>
        </c:scaling>
        <c:delete val="0"/>
        <c:axPos val="l"/>
        <c:numFmt formatCode="#,##0.00" sourceLinked="0"/>
        <c:majorTickMark val="out"/>
        <c:minorTickMark val="none"/>
        <c:tickLblPos val="nextTo"/>
        <c:crossAx val="446033072"/>
        <c:crosses val="autoZero"/>
        <c:crossBetween val="between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950909982406"/>
          <c:y val="0.0292378445904067"/>
          <c:w val="0.8565582763693"/>
          <c:h val="0.782262618080455"/>
        </c:manualLayout>
      </c:layout>
      <c:scatterChart>
        <c:scatterStyle val="lineMarker"/>
        <c:varyColors val="0"/>
        <c:ser>
          <c:idx val="0"/>
          <c:order val="0"/>
          <c:tx>
            <c:strRef>
              <c:f>StdDev!$AJ$20</c:f>
              <c:strCache>
                <c:ptCount val="1"/>
                <c:pt idx="0">
                  <c:v>2015 SSB/B0</c:v>
                </c:pt>
              </c:strCache>
            </c:strRef>
          </c:tx>
          <c:marker>
            <c:symbol val="circle"/>
            <c:size val="5"/>
            <c:spPr>
              <a:solidFill>
                <a:srgbClr val="000080"/>
              </a:solidFill>
              <a:ln w="9525">
                <a:noFill/>
              </a:ln>
            </c:spPr>
          </c:marker>
          <c:xVal>
            <c:numRef>
              <c:f>StdDev!$AK$20:$CR$20</c:f>
              <c:numCache>
                <c:formatCode>General</c:formatCode>
                <c:ptCount val="60"/>
                <c:pt idx="0">
                  <c:v>0.332354649025475</c:v>
                </c:pt>
                <c:pt idx="1">
                  <c:v>0.34060916451714</c:v>
                </c:pt>
                <c:pt idx="2">
                  <c:v>0.34906869301585</c:v>
                </c:pt>
                <c:pt idx="3">
                  <c:v>0.357738326320525</c:v>
                </c:pt>
                <c:pt idx="4">
                  <c:v>0.366623282692382</c:v>
                </c:pt>
                <c:pt idx="5">
                  <c:v>0.375728909995816</c:v>
                </c:pt>
                <c:pt idx="6">
                  <c:v>0.385060688917282</c:v>
                </c:pt>
                <c:pt idx="7">
                  <c:v>0.394624236264126</c:v>
                </c:pt>
                <c:pt idx="8">
                  <c:v>0.404425308345351</c:v>
                </c:pt>
                <c:pt idx="9">
                  <c:v>0.414469804436339</c:v>
                </c:pt>
                <c:pt idx="10">
                  <c:v>0.424763770329637</c:v>
                </c:pt>
                <c:pt idx="11">
                  <c:v>0.435313401973922</c:v>
                </c:pt>
                <c:pt idx="12">
                  <c:v>0.446125049203348</c:v>
                </c:pt>
                <c:pt idx="13">
                  <c:v>0.457205219559523</c:v>
                </c:pt>
                <c:pt idx="14">
                  <c:v>0.4685605822084</c:v>
                </c:pt>
                <c:pt idx="15">
                  <c:v>0.480197971954456</c:v>
                </c:pt>
                <c:pt idx="16">
                  <c:v>0.492124393354568</c:v>
                </c:pt>
                <c:pt idx="17">
                  <c:v>0.504347024934066</c:v>
                </c:pt>
                <c:pt idx="18">
                  <c:v>0.51687322350749</c:v>
                </c:pt>
                <c:pt idx="19">
                  <c:v>0.529710528606666</c:v>
                </c:pt>
                <c:pt idx="20">
                  <c:v>0.54286666701876</c:v>
                </c:pt>
                <c:pt idx="21">
                  <c:v>0.556349557437036</c:v>
                </c:pt>
                <c:pt idx="22">
                  <c:v>0.570167315227128</c:v>
                </c:pt>
                <c:pt idx="23">
                  <c:v>0.584328257311687</c:v>
                </c:pt>
                <c:pt idx="24">
                  <c:v>0.598840907176342</c:v>
                </c:pt>
                <c:pt idx="25">
                  <c:v>0.613714</c:v>
                </c:pt>
                <c:pt idx="26">
                  <c:v>0.628956487912554</c:v>
                </c:pt>
                <c:pt idx="27">
                  <c:v>0.644577545383183</c:v>
                </c:pt>
                <c:pt idx="28">
                  <c:v>0.660586574742472</c:v>
                </c:pt>
                <c:pt idx="29">
                  <c:v>0.676993211841687</c:v>
                </c:pt>
                <c:pt idx="30">
                  <c:v>0.693807331852601</c:v>
                </c:pt>
                <c:pt idx="31">
                  <c:v>0.711039055211372</c:v>
                </c:pt>
                <c:pt idx="32">
                  <c:v>0.728698753710042</c:v>
                </c:pt>
                <c:pt idx="33">
                  <c:v>0.746797056739334</c:v>
                </c:pt>
                <c:pt idx="34">
                  <c:v>0.765344857686485</c:v>
                </c:pt>
                <c:pt idx="35">
                  <c:v>0.784353320491996</c:v>
                </c:pt>
                <c:pt idx="36">
                  <c:v>0.803833886369214</c:v>
                </c:pt>
                <c:pt idx="37">
                  <c:v>0.82379828069081</c:v>
                </c:pt>
                <c:pt idx="38">
                  <c:v>0.844258520046296</c:v>
                </c:pt>
                <c:pt idx="39">
                  <c:v>0.865226919474819</c:v>
                </c:pt>
                <c:pt idx="40">
                  <c:v>0.886716099877598</c:v>
                </c:pt>
                <c:pt idx="41">
                  <c:v>0.908738995614458</c:v>
                </c:pt>
                <c:pt idx="42">
                  <c:v>0.931308862289033</c:v>
                </c:pt>
                <c:pt idx="43">
                  <c:v>0.954439284727326</c:v>
                </c:pt>
                <c:pt idx="44">
                  <c:v>0.978144185154436</c:v>
                </c:pt>
                <c:pt idx="45">
                  <c:v>1.00243783157435</c:v>
                </c:pt>
                <c:pt idx="46">
                  <c:v>1.027334846357879</c:v>
                </c:pt>
                <c:pt idx="47">
                  <c:v>1.052850215043872</c:v>
                </c:pt>
                <c:pt idx="48">
                  <c:v>1.078999295359029</c:v>
                </c:pt>
                <c:pt idx="49">
                  <c:v>1.105797826461732</c:v>
                </c:pt>
                <c:pt idx="50">
                  <c:v>1.133261938415462</c:v>
                </c:pt>
                <c:pt idx="51">
                  <c:v>1.1614081618975</c:v>
                </c:pt>
                <c:pt idx="52">
                  <c:v>1.190253438148757</c:v>
                </c:pt>
                <c:pt idx="53">
                  <c:v>1.219815129170729</c:v>
                </c:pt>
                <c:pt idx="54">
                  <c:v>1.250111028175698</c:v>
                </c:pt>
                <c:pt idx="55">
                  <c:v>1.281159370296487</c:v>
                </c:pt>
                <c:pt idx="56">
                  <c:v>1.31297884356221</c:v>
                </c:pt>
                <c:pt idx="57">
                  <c:v>1.345588600146606</c:v>
                </c:pt>
                <c:pt idx="58">
                  <c:v>1.379008267895761</c:v>
                </c:pt>
                <c:pt idx="59">
                  <c:v>1.413257962142125</c:v>
                </c:pt>
              </c:numCache>
            </c:numRef>
          </c:xVal>
          <c:yVal>
            <c:numRef>
              <c:f>StdDev!$AK$23:$CR$23</c:f>
              <c:numCache>
                <c:formatCode>General</c:formatCode>
                <c:ptCount val="60"/>
                <c:pt idx="0">
                  <c:v>0.00134989803163009</c:v>
                </c:pt>
                <c:pt idx="1">
                  <c:v>0.00198837585489432</c:v>
                </c:pt>
                <c:pt idx="2">
                  <c:v>0.00289006807622615</c:v>
                </c:pt>
                <c:pt idx="3">
                  <c:v>0.00414530136103604</c:v>
                </c:pt>
                <c:pt idx="4">
                  <c:v>0.00586774171533256</c:v>
                </c:pt>
                <c:pt idx="5">
                  <c:v>0.00819753592459613</c:v>
                </c:pt>
                <c:pt idx="6">
                  <c:v>0.0113038442385528</c:v>
                </c:pt>
                <c:pt idx="7">
                  <c:v>0.0153863347839254</c:v>
                </c:pt>
                <c:pt idx="8">
                  <c:v>0.02067516286607</c:v>
                </c:pt>
                <c:pt idx="9">
                  <c:v>0.0274289497038368</c:v>
                </c:pt>
                <c:pt idx="10">
                  <c:v>0.0359303191129258</c:v>
                </c:pt>
                <c:pt idx="11">
                  <c:v>0.04647865786372</c:v>
                </c:pt>
                <c:pt idx="12">
                  <c:v>0.059379940594793</c:v>
                </c:pt>
                <c:pt idx="13">
                  <c:v>0.0749336995343271</c:v>
                </c:pt>
                <c:pt idx="14">
                  <c:v>0.0934175089934717</c:v>
                </c:pt>
                <c:pt idx="15">
                  <c:v>0.115069670221708</c:v>
                </c:pt>
                <c:pt idx="16">
                  <c:v>0.140071090088769</c:v>
                </c:pt>
                <c:pt idx="17">
                  <c:v>0.168527607466838</c:v>
                </c:pt>
                <c:pt idx="18">
                  <c:v>0.20045419326045</c:v>
                </c:pt>
                <c:pt idx="19">
                  <c:v>0.235762497779251</c:v>
                </c:pt>
                <c:pt idx="20">
                  <c:v>0.274253117750074</c:v>
                </c:pt>
                <c:pt idx="21">
                  <c:v>0.315613696516223</c:v>
                </c:pt>
                <c:pt idx="22">
                  <c:v>0.359423566782009</c:v>
                </c:pt>
                <c:pt idx="23">
                  <c:v>0.405165128302204</c:v>
                </c:pt>
                <c:pt idx="24">
                  <c:v>0.452241573979416</c:v>
                </c:pt>
                <c:pt idx="25">
                  <c:v>0.5</c:v>
                </c:pt>
                <c:pt idx="26">
                  <c:v>0.547758426020584</c:v>
                </c:pt>
                <c:pt idx="27">
                  <c:v>0.594834871697796</c:v>
                </c:pt>
                <c:pt idx="28">
                  <c:v>0.640576433217991</c:v>
                </c:pt>
                <c:pt idx="29">
                  <c:v>0.684386303483777</c:v>
                </c:pt>
                <c:pt idx="30">
                  <c:v>0.725746882249926</c:v>
                </c:pt>
                <c:pt idx="31">
                  <c:v>0.764237502220749</c:v>
                </c:pt>
                <c:pt idx="32">
                  <c:v>0.79954580673955</c:v>
                </c:pt>
                <c:pt idx="33">
                  <c:v>0.831472392533162</c:v>
                </c:pt>
                <c:pt idx="34">
                  <c:v>0.859928909911231</c:v>
                </c:pt>
                <c:pt idx="35">
                  <c:v>0.884930329778292</c:v>
                </c:pt>
                <c:pt idx="36">
                  <c:v>0.906582491006528</c:v>
                </c:pt>
                <c:pt idx="37">
                  <c:v>0.925066300465673</c:v>
                </c:pt>
                <c:pt idx="38">
                  <c:v>0.940620059405207</c:v>
                </c:pt>
                <c:pt idx="39">
                  <c:v>0.95352134213628</c:v>
                </c:pt>
                <c:pt idx="40">
                  <c:v>0.964069680887074</c:v>
                </c:pt>
                <c:pt idx="41">
                  <c:v>0.972571050296163</c:v>
                </c:pt>
                <c:pt idx="42">
                  <c:v>0.97932483713393</c:v>
                </c:pt>
                <c:pt idx="43">
                  <c:v>0.984613665216074</c:v>
                </c:pt>
                <c:pt idx="44">
                  <c:v>0.988696155761447</c:v>
                </c:pt>
                <c:pt idx="45">
                  <c:v>0.991802464075404</c:v>
                </c:pt>
                <c:pt idx="46">
                  <c:v>0.994132258284667</c:v>
                </c:pt>
                <c:pt idx="47">
                  <c:v>0.995854698638964</c:v>
                </c:pt>
                <c:pt idx="48">
                  <c:v>0.997109931923774</c:v>
                </c:pt>
                <c:pt idx="49">
                  <c:v>0.998011624145106</c:v>
                </c:pt>
                <c:pt idx="50">
                  <c:v>0.99865010196837</c:v>
                </c:pt>
                <c:pt idx="51">
                  <c:v>0.999095744800178</c:v>
                </c:pt>
                <c:pt idx="52">
                  <c:v>0.999402351502066</c:v>
                </c:pt>
                <c:pt idx="53">
                  <c:v>0.999610287637418</c:v>
                </c:pt>
                <c:pt idx="54">
                  <c:v>0.999749293108719</c:v>
                </c:pt>
                <c:pt idx="55">
                  <c:v>0.999840891409842</c:v>
                </c:pt>
                <c:pt idx="56">
                  <c:v>0.999900388611024</c:v>
                </c:pt>
                <c:pt idx="57">
                  <c:v>0.999938482844817</c:v>
                </c:pt>
                <c:pt idx="58">
                  <c:v>0.999962525118309</c:v>
                </c:pt>
                <c:pt idx="59">
                  <c:v>0.999977482149611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StdDev!$AG$10:$AG$11</c:f>
              <c:numCache>
                <c:formatCode>General</c:formatCode>
                <c:ptCount val="2"/>
                <c:pt idx="0">
                  <c:v>0.2</c:v>
                </c:pt>
                <c:pt idx="1">
                  <c:v>0.2</c:v>
                </c:pt>
              </c:numCache>
            </c:numRef>
          </c:xVal>
          <c:yVal>
            <c:numRef>
              <c:f>StdDev!$AH$10:$AH$11</c:f>
              <c:numCache>
                <c:formatCode>General</c:formatCode>
                <c:ptCount val="2"/>
                <c:pt idx="0">
                  <c:v>0.5</c:v>
                </c:pt>
                <c:pt idx="1">
                  <c:v>0.0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StdDev!$AJ$22</c:f>
              <c:strCache>
                <c:ptCount val="1"/>
                <c:pt idx="0">
                  <c:v>2016 SSB/B0, C = 1,300</c:v>
                </c:pt>
              </c:strCache>
            </c:strRef>
          </c:tx>
          <c:marker>
            <c:symbol val="none"/>
          </c:marker>
          <c:xVal>
            <c:numRef>
              <c:f>StdDev!$AK$22:$CR$22</c:f>
              <c:numCache>
                <c:formatCode>General</c:formatCode>
                <c:ptCount val="60"/>
                <c:pt idx="0">
                  <c:v>0.341754449138666</c:v>
                </c:pt>
                <c:pt idx="1">
                  <c:v>0.350423416000267</c:v>
                </c:pt>
                <c:pt idx="2">
                  <c:v>0.359312280471503</c:v>
                </c:pt>
                <c:pt idx="3">
                  <c:v>0.368426620490262</c:v>
                </c:pt>
                <c:pt idx="4">
                  <c:v>0.377772155484792</c:v>
                </c:pt>
                <c:pt idx="5">
                  <c:v>0.387354749962749</c:v>
                </c:pt>
                <c:pt idx="6">
                  <c:v>0.397180417191292</c:v>
                </c:pt>
                <c:pt idx="7">
                  <c:v>0.407255322970532</c:v>
                </c:pt>
                <c:pt idx="8">
                  <c:v>0.417585789502688</c:v>
                </c:pt>
                <c:pt idx="9">
                  <c:v>0.428178299359393</c:v>
                </c:pt>
                <c:pt idx="10">
                  <c:v>0.439039499549642</c:v>
                </c:pt>
                <c:pt idx="11">
                  <c:v>0.450176205690914</c:v>
                </c:pt>
                <c:pt idx="12">
                  <c:v>0.461595406286112</c:v>
                </c:pt>
                <c:pt idx="13">
                  <c:v>0.473304267108982</c:v>
                </c:pt>
                <c:pt idx="14">
                  <c:v>0.485310135700783</c:v>
                </c:pt>
                <c:pt idx="15">
                  <c:v>0.497620545981008</c:v>
                </c:pt>
                <c:pt idx="16">
                  <c:v>0.51024322297507</c:v>
                </c:pt>
                <c:pt idx="17">
                  <c:v>0.52318608766191</c:v>
                </c:pt>
                <c:pt idx="18">
                  <c:v>0.536457261944564</c:v>
                </c:pt>
                <c:pt idx="19">
                  <c:v>0.55006507374682</c:v>
                </c:pt>
                <c:pt idx="20">
                  <c:v>0.564018062239153</c:v>
                </c:pt>
                <c:pt idx="21">
                  <c:v>0.578324983197222</c:v>
                </c:pt>
                <c:pt idx="22">
                  <c:v>0.592994814496298</c:v>
                </c:pt>
                <c:pt idx="23">
                  <c:v>0.608036761745048</c:v>
                </c:pt>
                <c:pt idx="24">
                  <c:v>0.623460264062246</c:v>
                </c:pt>
                <c:pt idx="25">
                  <c:v>0.639275</c:v>
                </c:pt>
                <c:pt idx="26">
                  <c:v>0.655490893617237</c:v>
                </c:pt>
                <c:pt idx="27">
                  <c:v>0.672118120707244</c:v>
                </c:pt>
                <c:pt idx="28">
                  <c:v>0.689167115183183</c:v>
                </c:pt>
                <c:pt idx="29">
                  <c:v>0.706648575625572</c:v>
                </c:pt>
                <c:pt idx="30">
                  <c:v>0.72457347199586</c:v>
                </c:pt>
                <c:pt idx="31">
                  <c:v>0.742953052520293</c:v>
                </c:pt>
                <c:pt idx="32">
                  <c:v>0.761798850748395</c:v>
                </c:pt>
                <c:pt idx="33">
                  <c:v>0.781122692790504</c:v>
                </c:pt>
                <c:pt idx="34">
                  <c:v>0.800936704738884</c:v>
                </c:pt>
                <c:pt idx="35">
                  <c:v>0.821253320277088</c:v>
                </c:pt>
                <c:pt idx="36">
                  <c:v>0.842085288482345</c:v>
                </c:pt>
                <c:pt idx="37">
                  <c:v>0.863445681825851</c:v>
                </c:pt>
                <c:pt idx="38">
                  <c:v>0.885347904376006</c:v>
                </c:pt>
                <c:pt idx="39">
                  <c:v>0.907805700209731</c:v>
                </c:pt>
                <c:pt idx="40">
                  <c:v>0.930833162037148</c:v>
                </c:pt>
                <c:pt idx="41">
                  <c:v>0.954444740045033</c:v>
                </c:pt>
                <c:pt idx="42">
                  <c:v>0.978655250964592</c:v>
                </c:pt>
                <c:pt idx="43">
                  <c:v>1.003479887369257</c:v>
                </c:pt>
                <c:pt idx="44">
                  <c:v>1.028934227208319</c:v>
                </c:pt>
                <c:pt idx="45">
                  <c:v>1.055034243582404</c:v>
                </c:pt>
                <c:pt idx="46">
                  <c:v>1.081796314766909</c:v>
                </c:pt>
                <c:pt idx="47">
                  <c:v>1.109237234489687</c:v>
                </c:pt>
                <c:pt idx="48">
                  <c:v>1.137374222469449</c:v>
                </c:pt>
                <c:pt idx="49">
                  <c:v>1.166224935221475</c:v>
                </c:pt>
                <c:pt idx="50">
                  <c:v>1.195807477137427</c:v>
                </c:pt>
                <c:pt idx="51">
                  <c:v>1.22614041184621</c:v>
                </c:pt>
                <c:pt idx="52">
                  <c:v>1.257242773863014</c:v>
                </c:pt>
                <c:pt idx="53">
                  <c:v>1.289134080533855</c:v>
                </c:pt>
                <c:pt idx="54">
                  <c:v>1.321834344283089</c:v>
                </c:pt>
                <c:pt idx="55">
                  <c:v>1.355364085171602</c:v>
                </c:pt>
                <c:pt idx="56">
                  <c:v>1.389744343773559</c:v>
                </c:pt>
                <c:pt idx="57">
                  <c:v>1.424996694379774</c:v>
                </c:pt>
                <c:pt idx="58">
                  <c:v>1.461143258536008</c:v>
                </c:pt>
                <c:pt idx="59">
                  <c:v>1.498206718924671</c:v>
                </c:pt>
              </c:numCache>
            </c:numRef>
          </c:xVal>
          <c:yVal>
            <c:numRef>
              <c:f>StdDev!$AK$23:$CR$23</c:f>
              <c:numCache>
                <c:formatCode>General</c:formatCode>
                <c:ptCount val="60"/>
                <c:pt idx="0">
                  <c:v>0.00134989803163009</c:v>
                </c:pt>
                <c:pt idx="1">
                  <c:v>0.00198837585489432</c:v>
                </c:pt>
                <c:pt idx="2">
                  <c:v>0.00289006807622615</c:v>
                </c:pt>
                <c:pt idx="3">
                  <c:v>0.00414530136103604</c:v>
                </c:pt>
                <c:pt idx="4">
                  <c:v>0.00586774171533256</c:v>
                </c:pt>
                <c:pt idx="5">
                  <c:v>0.00819753592459613</c:v>
                </c:pt>
                <c:pt idx="6">
                  <c:v>0.0113038442385528</c:v>
                </c:pt>
                <c:pt idx="7">
                  <c:v>0.0153863347839254</c:v>
                </c:pt>
                <c:pt idx="8">
                  <c:v>0.02067516286607</c:v>
                </c:pt>
                <c:pt idx="9">
                  <c:v>0.0274289497038368</c:v>
                </c:pt>
                <c:pt idx="10">
                  <c:v>0.0359303191129258</c:v>
                </c:pt>
                <c:pt idx="11">
                  <c:v>0.04647865786372</c:v>
                </c:pt>
                <c:pt idx="12">
                  <c:v>0.059379940594793</c:v>
                </c:pt>
                <c:pt idx="13">
                  <c:v>0.0749336995343271</c:v>
                </c:pt>
                <c:pt idx="14">
                  <c:v>0.0934175089934717</c:v>
                </c:pt>
                <c:pt idx="15">
                  <c:v>0.115069670221708</c:v>
                </c:pt>
                <c:pt idx="16">
                  <c:v>0.140071090088769</c:v>
                </c:pt>
                <c:pt idx="17">
                  <c:v>0.168527607466838</c:v>
                </c:pt>
                <c:pt idx="18">
                  <c:v>0.20045419326045</c:v>
                </c:pt>
                <c:pt idx="19">
                  <c:v>0.235762497779251</c:v>
                </c:pt>
                <c:pt idx="20">
                  <c:v>0.274253117750074</c:v>
                </c:pt>
                <c:pt idx="21">
                  <c:v>0.315613696516223</c:v>
                </c:pt>
                <c:pt idx="22">
                  <c:v>0.359423566782009</c:v>
                </c:pt>
                <c:pt idx="23">
                  <c:v>0.405165128302204</c:v>
                </c:pt>
                <c:pt idx="24">
                  <c:v>0.452241573979416</c:v>
                </c:pt>
                <c:pt idx="25">
                  <c:v>0.5</c:v>
                </c:pt>
                <c:pt idx="26">
                  <c:v>0.547758426020584</c:v>
                </c:pt>
                <c:pt idx="27">
                  <c:v>0.594834871697796</c:v>
                </c:pt>
                <c:pt idx="28">
                  <c:v>0.640576433217991</c:v>
                </c:pt>
                <c:pt idx="29">
                  <c:v>0.684386303483777</c:v>
                </c:pt>
                <c:pt idx="30">
                  <c:v>0.725746882249926</c:v>
                </c:pt>
                <c:pt idx="31">
                  <c:v>0.764237502220749</c:v>
                </c:pt>
                <c:pt idx="32">
                  <c:v>0.79954580673955</c:v>
                </c:pt>
                <c:pt idx="33">
                  <c:v>0.831472392533162</c:v>
                </c:pt>
                <c:pt idx="34">
                  <c:v>0.859928909911231</c:v>
                </c:pt>
                <c:pt idx="35">
                  <c:v>0.884930329778292</c:v>
                </c:pt>
                <c:pt idx="36">
                  <c:v>0.906582491006528</c:v>
                </c:pt>
                <c:pt idx="37">
                  <c:v>0.925066300465673</c:v>
                </c:pt>
                <c:pt idx="38">
                  <c:v>0.940620059405207</c:v>
                </c:pt>
                <c:pt idx="39">
                  <c:v>0.95352134213628</c:v>
                </c:pt>
                <c:pt idx="40">
                  <c:v>0.964069680887074</c:v>
                </c:pt>
                <c:pt idx="41">
                  <c:v>0.972571050296163</c:v>
                </c:pt>
                <c:pt idx="42">
                  <c:v>0.97932483713393</c:v>
                </c:pt>
                <c:pt idx="43">
                  <c:v>0.984613665216074</c:v>
                </c:pt>
                <c:pt idx="44">
                  <c:v>0.988696155761447</c:v>
                </c:pt>
                <c:pt idx="45">
                  <c:v>0.991802464075404</c:v>
                </c:pt>
                <c:pt idx="46">
                  <c:v>0.994132258284667</c:v>
                </c:pt>
                <c:pt idx="47">
                  <c:v>0.995854698638964</c:v>
                </c:pt>
                <c:pt idx="48">
                  <c:v>0.997109931923774</c:v>
                </c:pt>
                <c:pt idx="49">
                  <c:v>0.998011624145106</c:v>
                </c:pt>
                <c:pt idx="50">
                  <c:v>0.99865010196837</c:v>
                </c:pt>
                <c:pt idx="51">
                  <c:v>0.999095744800178</c:v>
                </c:pt>
                <c:pt idx="52">
                  <c:v>0.999402351502066</c:v>
                </c:pt>
                <c:pt idx="53">
                  <c:v>0.999610287637418</c:v>
                </c:pt>
                <c:pt idx="54">
                  <c:v>0.999749293108719</c:v>
                </c:pt>
                <c:pt idx="55">
                  <c:v>0.999840891409842</c:v>
                </c:pt>
                <c:pt idx="56">
                  <c:v>0.999900388611024</c:v>
                </c:pt>
                <c:pt idx="57">
                  <c:v>0.999938482844817</c:v>
                </c:pt>
                <c:pt idx="58">
                  <c:v>0.999962525118309</c:v>
                </c:pt>
                <c:pt idx="59">
                  <c:v>0.999977482149611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368"/>
        <c:axId val="504213760"/>
      </c:scatterChart>
      <c:valAx>
        <c:axId val="504210368"/>
        <c:scaling>
          <c:orientation val="minMax"/>
          <c:max val="0.9"/>
          <c:min val="0.1"/>
        </c:scaling>
        <c:delete val="0"/>
        <c:axPos val="b"/>
        <c:title>
          <c:tx>
            <c:rich>
              <a:bodyPr/>
              <a:lstStyle/>
              <a:p>
                <a:pPr>
                  <a:defRPr sz="28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2800" b="1" i="0" u="none" strike="noStrike" baseline="0">
                    <a:solidFill>
                      <a:srgbClr val="000000"/>
                    </a:solidFill>
                    <a:latin typeface="Calibri"/>
                    <a:cs typeface="Calibri"/>
                  </a:rPr>
                  <a:t>SSB / </a:t>
                </a:r>
                <a:r>
                  <a:rPr lang="en-US" sz="2800" b="1" i="1" u="none" strike="noStrike" baseline="0">
                    <a:solidFill>
                      <a:srgbClr val="000000"/>
                    </a:solidFill>
                    <a:latin typeface="Calibri"/>
                    <a:cs typeface="Calibri"/>
                  </a:rPr>
                  <a:t>B</a:t>
                </a:r>
                <a:r>
                  <a:rPr lang="en-US" sz="2800" b="1" i="1" u="none" strike="noStrike" baseline="-25000">
                    <a:solidFill>
                      <a:srgbClr val="000000"/>
                    </a:solidFill>
                    <a:latin typeface="Calibri"/>
                    <a:cs typeface="Calibri"/>
                  </a:rPr>
                  <a:t>0</a:t>
                </a:r>
              </a:p>
            </c:rich>
          </c:tx>
          <c:layout/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4213760"/>
        <c:crosses val="autoZero"/>
        <c:crossBetween val="midCat"/>
      </c:valAx>
      <c:valAx>
        <c:axId val="504213760"/>
        <c:scaling>
          <c:orientation val="minMax"/>
          <c:max val="1.0"/>
          <c:min val="0.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2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2800"/>
                  <a:t>Probability</a:t>
                </a:r>
              </a:p>
            </c:rich>
          </c:tx>
          <c:layout>
            <c:manualLayout>
              <c:xMode val="edge"/>
              <c:yMode val="edge"/>
              <c:x val="0.000537163623777796"/>
              <c:y val="0.322361489987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 baseline="0"/>
            </a:pPr>
            <a:endParaRPr lang="en-US"/>
          </a:p>
        </c:txPr>
        <c:crossAx val="504210368"/>
        <c:crosses val="autoZero"/>
        <c:crossBetween val="midCat"/>
        <c:majorUnit val="0.1"/>
      </c:valAx>
      <c:spPr>
        <a:noFill/>
        <a:ln w="25400">
          <a:noFill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42935801789238"/>
          <c:y val="0.0916405754433601"/>
          <c:w val="0.326739926739927"/>
          <c:h val="0.19768028240040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200" b="1" i="0" u="none" strike="noStrike" baseline="0">
                <a:solidFill>
                  <a:srgbClr val="80008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class </a:t>
            </a:r>
          </a:p>
        </c:rich>
      </c:tx>
      <c:layout>
        <c:manualLayout>
          <c:xMode val="edge"/>
          <c:yMode val="edge"/>
          <c:x val="0.429522776319627"/>
          <c:y val="0.9113649197632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3914169441363"/>
          <c:y val="0.0226434944964063"/>
          <c:w val="0.833335631993278"/>
          <c:h val="0.81368061925157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FF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dPt>
            <c:idx val="45"/>
            <c:invertIfNegative val="0"/>
            <c:bubble3D val="0"/>
          </c:dPt>
          <c:dPt>
            <c:idx val="46"/>
            <c:invertIfNegative val="0"/>
            <c:bubble3D val="0"/>
          </c:dPt>
          <c:cat>
            <c:numRef>
              <c:f>StdDev!$A$174:$A$224</c:f>
              <c:numCache>
                <c:formatCode>General</c:formatCode>
                <c:ptCount val="51"/>
                <c:pt idx="0">
                  <c:v>1963.0</c:v>
                </c:pt>
                <c:pt idx="1">
                  <c:v>1964.0</c:v>
                </c:pt>
                <c:pt idx="2">
                  <c:v>1965.0</c:v>
                </c:pt>
                <c:pt idx="3">
                  <c:v>1966.0</c:v>
                </c:pt>
                <c:pt idx="4">
                  <c:v>1967.0</c:v>
                </c:pt>
                <c:pt idx="5">
                  <c:v>1968.0</c:v>
                </c:pt>
                <c:pt idx="6">
                  <c:v>1969.0</c:v>
                </c:pt>
                <c:pt idx="7">
                  <c:v>1970.0</c:v>
                </c:pt>
                <c:pt idx="8">
                  <c:v>1971.0</c:v>
                </c:pt>
                <c:pt idx="9">
                  <c:v>1972.0</c:v>
                </c:pt>
                <c:pt idx="10">
                  <c:v>1973.0</c:v>
                </c:pt>
                <c:pt idx="11">
                  <c:v>1974.0</c:v>
                </c:pt>
                <c:pt idx="12">
                  <c:v>1975.0</c:v>
                </c:pt>
                <c:pt idx="13">
                  <c:v>1976.0</c:v>
                </c:pt>
                <c:pt idx="14">
                  <c:v>1977.0</c:v>
                </c:pt>
                <c:pt idx="15">
                  <c:v>1978.0</c:v>
                </c:pt>
                <c:pt idx="16">
                  <c:v>1979.0</c:v>
                </c:pt>
                <c:pt idx="17">
                  <c:v>1980.0</c:v>
                </c:pt>
                <c:pt idx="18">
                  <c:v>1981.0</c:v>
                </c:pt>
                <c:pt idx="19">
                  <c:v>1982.0</c:v>
                </c:pt>
                <c:pt idx="20">
                  <c:v>1983.0</c:v>
                </c:pt>
                <c:pt idx="21">
                  <c:v>1984.0</c:v>
                </c:pt>
                <c:pt idx="22">
                  <c:v>1985.0</c:v>
                </c:pt>
                <c:pt idx="23">
                  <c:v>1986.0</c:v>
                </c:pt>
                <c:pt idx="24">
                  <c:v>1987.0</c:v>
                </c:pt>
                <c:pt idx="25">
                  <c:v>1988.0</c:v>
                </c:pt>
                <c:pt idx="26">
                  <c:v>1989.0</c:v>
                </c:pt>
                <c:pt idx="27">
                  <c:v>1990.0</c:v>
                </c:pt>
                <c:pt idx="28">
                  <c:v>1991.0</c:v>
                </c:pt>
                <c:pt idx="29">
                  <c:v>1992.0</c:v>
                </c:pt>
                <c:pt idx="30">
                  <c:v>1993.0</c:v>
                </c:pt>
                <c:pt idx="31">
                  <c:v>1994.0</c:v>
                </c:pt>
                <c:pt idx="32">
                  <c:v>1995.0</c:v>
                </c:pt>
                <c:pt idx="33">
                  <c:v>1996.0</c:v>
                </c:pt>
                <c:pt idx="34">
                  <c:v>1997.0</c:v>
                </c:pt>
                <c:pt idx="35">
                  <c:v>1998.0</c:v>
                </c:pt>
                <c:pt idx="36">
                  <c:v>1999.0</c:v>
                </c:pt>
                <c:pt idx="37">
                  <c:v>2000.0</c:v>
                </c:pt>
                <c:pt idx="38">
                  <c:v>2001.0</c:v>
                </c:pt>
                <c:pt idx="39">
                  <c:v>2002.0</c:v>
                </c:pt>
                <c:pt idx="40">
                  <c:v>2003.0</c:v>
                </c:pt>
                <c:pt idx="41">
                  <c:v>2004.0</c:v>
                </c:pt>
                <c:pt idx="42">
                  <c:v>2005.0</c:v>
                </c:pt>
                <c:pt idx="43">
                  <c:v>2006.0</c:v>
                </c:pt>
                <c:pt idx="44">
                  <c:v>2007.0</c:v>
                </c:pt>
                <c:pt idx="45">
                  <c:v>2008.0</c:v>
                </c:pt>
                <c:pt idx="46">
                  <c:v>2009.0</c:v>
                </c:pt>
                <c:pt idx="47">
                  <c:v>2010.0</c:v>
                </c:pt>
                <c:pt idx="48">
                  <c:v>2011.0</c:v>
                </c:pt>
                <c:pt idx="49">
                  <c:v>2012.0</c:v>
                </c:pt>
                <c:pt idx="50">
                  <c:v>2013.0</c:v>
                </c:pt>
              </c:numCache>
            </c:numRef>
          </c:cat>
          <c:val>
            <c:numRef>
              <c:f>StdDev!$E$174:$E$224</c:f>
              <c:numCache>
                <c:formatCode>#,##0</c:formatCode>
                <c:ptCount val="51"/>
                <c:pt idx="0">
                  <c:v>7409.5</c:v>
                </c:pt>
                <c:pt idx="1">
                  <c:v>22290.0</c:v>
                </c:pt>
                <c:pt idx="2">
                  <c:v>16499.0</c:v>
                </c:pt>
                <c:pt idx="3">
                  <c:v>27209.0</c:v>
                </c:pt>
                <c:pt idx="4">
                  <c:v>23734.0</c:v>
                </c:pt>
                <c:pt idx="5">
                  <c:v>26781.0</c:v>
                </c:pt>
                <c:pt idx="6">
                  <c:v>23061.0</c:v>
                </c:pt>
                <c:pt idx="7">
                  <c:v>14389.0</c:v>
                </c:pt>
                <c:pt idx="8">
                  <c:v>11932.0</c:v>
                </c:pt>
                <c:pt idx="9">
                  <c:v>26782.0</c:v>
                </c:pt>
                <c:pt idx="10">
                  <c:v>21349.0</c:v>
                </c:pt>
                <c:pt idx="11">
                  <c:v>19146.0</c:v>
                </c:pt>
                <c:pt idx="12">
                  <c:v>14795.0</c:v>
                </c:pt>
                <c:pt idx="13">
                  <c:v>15612.0</c:v>
                </c:pt>
                <c:pt idx="14">
                  <c:v>28474.0</c:v>
                </c:pt>
                <c:pt idx="15">
                  <c:v>67784.0</c:v>
                </c:pt>
                <c:pt idx="16">
                  <c:v>27425.0</c:v>
                </c:pt>
                <c:pt idx="17">
                  <c:v>30874.0</c:v>
                </c:pt>
                <c:pt idx="18">
                  <c:v>16332.0</c:v>
                </c:pt>
                <c:pt idx="19">
                  <c:v>50333.0</c:v>
                </c:pt>
                <c:pt idx="20">
                  <c:v>12734.0</c:v>
                </c:pt>
                <c:pt idx="21">
                  <c:v>32660.0</c:v>
                </c:pt>
                <c:pt idx="22">
                  <c:v>13941.0</c:v>
                </c:pt>
                <c:pt idx="23">
                  <c:v>7729.4</c:v>
                </c:pt>
                <c:pt idx="24">
                  <c:v>5433.1</c:v>
                </c:pt>
                <c:pt idx="25">
                  <c:v>11458.0</c:v>
                </c:pt>
                <c:pt idx="26">
                  <c:v>49809.0</c:v>
                </c:pt>
                <c:pt idx="27">
                  <c:v>26087.0</c:v>
                </c:pt>
                <c:pt idx="28">
                  <c:v>23039.0</c:v>
                </c:pt>
                <c:pt idx="29">
                  <c:v>47645.0</c:v>
                </c:pt>
                <c:pt idx="30">
                  <c:v>15411.0</c:v>
                </c:pt>
                <c:pt idx="31">
                  <c:v>10725.0</c:v>
                </c:pt>
                <c:pt idx="32">
                  <c:v>22872.0</c:v>
                </c:pt>
                <c:pt idx="33">
                  <c:v>31391.0</c:v>
                </c:pt>
                <c:pt idx="34">
                  <c:v>15821.0</c:v>
                </c:pt>
                <c:pt idx="35">
                  <c:v>17291.0</c:v>
                </c:pt>
                <c:pt idx="36">
                  <c:v>26883.0</c:v>
                </c:pt>
                <c:pt idx="37">
                  <c:v>36321.0</c:v>
                </c:pt>
                <c:pt idx="38">
                  <c:v>23454.0</c:v>
                </c:pt>
                <c:pt idx="39">
                  <c:v>14150.0</c:v>
                </c:pt>
                <c:pt idx="40">
                  <c:v>6358.9</c:v>
                </c:pt>
                <c:pt idx="41">
                  <c:v>4422.2</c:v>
                </c:pt>
                <c:pt idx="42">
                  <c:v>11401.0</c:v>
                </c:pt>
                <c:pt idx="43">
                  <c:v>27094.0</c:v>
                </c:pt>
                <c:pt idx="44">
                  <c:v>15205.0</c:v>
                </c:pt>
                <c:pt idx="45">
                  <c:v>62011.0</c:v>
                </c:pt>
                <c:pt idx="46">
                  <c:v>23818.0</c:v>
                </c:pt>
                <c:pt idx="47">
                  <c:v>16973.0</c:v>
                </c:pt>
                <c:pt idx="48">
                  <c:v>10626.0</c:v>
                </c:pt>
                <c:pt idx="49">
                  <c:v>36897.0</c:v>
                </c:pt>
                <c:pt idx="50">
                  <c:v>25993.0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7937424"/>
        <c:axId val="447939744"/>
      </c:barChart>
      <c:lineChart>
        <c:grouping val="standard"/>
        <c:varyColors val="0"/>
        <c:ser>
          <c:idx val="2"/>
          <c:order val="1"/>
          <c:spPr>
            <a:ln w="28575">
              <a:noFill/>
            </a:ln>
          </c:spPr>
          <c:marker>
            <c:symbol val="dash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StdDev!$H$2:$H$49</c:f>
              <c:numCache>
                <c:formatCode>General</c:formatCode>
                <c:ptCount val="48"/>
                <c:pt idx="0">
                  <c:v>1963.0</c:v>
                </c:pt>
                <c:pt idx="1">
                  <c:v>1964.0</c:v>
                </c:pt>
                <c:pt idx="2">
                  <c:v>1965.0</c:v>
                </c:pt>
                <c:pt idx="3">
                  <c:v>1966.0</c:v>
                </c:pt>
                <c:pt idx="4">
                  <c:v>1967.0</c:v>
                </c:pt>
                <c:pt idx="5">
                  <c:v>1968.0</c:v>
                </c:pt>
                <c:pt idx="6">
                  <c:v>1969.0</c:v>
                </c:pt>
                <c:pt idx="7">
                  <c:v>1970.0</c:v>
                </c:pt>
                <c:pt idx="8">
                  <c:v>1971.0</c:v>
                </c:pt>
                <c:pt idx="9">
                  <c:v>1972.0</c:v>
                </c:pt>
                <c:pt idx="10">
                  <c:v>1973.0</c:v>
                </c:pt>
                <c:pt idx="11">
                  <c:v>1974.0</c:v>
                </c:pt>
                <c:pt idx="12">
                  <c:v>1975.0</c:v>
                </c:pt>
                <c:pt idx="13">
                  <c:v>1976.0</c:v>
                </c:pt>
                <c:pt idx="14">
                  <c:v>1977.0</c:v>
                </c:pt>
                <c:pt idx="15">
                  <c:v>1978.0</c:v>
                </c:pt>
                <c:pt idx="16">
                  <c:v>1979.0</c:v>
                </c:pt>
                <c:pt idx="17">
                  <c:v>1980.0</c:v>
                </c:pt>
                <c:pt idx="18">
                  <c:v>1981.0</c:v>
                </c:pt>
                <c:pt idx="19">
                  <c:v>1982.0</c:v>
                </c:pt>
                <c:pt idx="20">
                  <c:v>1983.0</c:v>
                </c:pt>
                <c:pt idx="21">
                  <c:v>1984.0</c:v>
                </c:pt>
                <c:pt idx="22">
                  <c:v>1985.0</c:v>
                </c:pt>
                <c:pt idx="23">
                  <c:v>1986.0</c:v>
                </c:pt>
                <c:pt idx="24">
                  <c:v>1987.0</c:v>
                </c:pt>
                <c:pt idx="25">
                  <c:v>1988.0</c:v>
                </c:pt>
                <c:pt idx="26">
                  <c:v>1989.0</c:v>
                </c:pt>
                <c:pt idx="27">
                  <c:v>1990.0</c:v>
                </c:pt>
                <c:pt idx="28">
                  <c:v>1991.0</c:v>
                </c:pt>
                <c:pt idx="29">
                  <c:v>1992.0</c:v>
                </c:pt>
                <c:pt idx="30">
                  <c:v>1993.0</c:v>
                </c:pt>
                <c:pt idx="31">
                  <c:v>1994.0</c:v>
                </c:pt>
                <c:pt idx="32">
                  <c:v>1995.0</c:v>
                </c:pt>
                <c:pt idx="33">
                  <c:v>1996.0</c:v>
                </c:pt>
                <c:pt idx="34">
                  <c:v>1997.0</c:v>
                </c:pt>
                <c:pt idx="35">
                  <c:v>1998.0</c:v>
                </c:pt>
                <c:pt idx="36">
                  <c:v>1999.0</c:v>
                </c:pt>
                <c:pt idx="37">
                  <c:v>2000.0</c:v>
                </c:pt>
                <c:pt idx="38">
                  <c:v>2001.0</c:v>
                </c:pt>
                <c:pt idx="39">
                  <c:v>2002.0</c:v>
                </c:pt>
                <c:pt idx="40">
                  <c:v>2003.0</c:v>
                </c:pt>
                <c:pt idx="41">
                  <c:v>2004.0</c:v>
                </c:pt>
                <c:pt idx="42">
                  <c:v>2005.0</c:v>
                </c:pt>
                <c:pt idx="43">
                  <c:v>2006.0</c:v>
                </c:pt>
                <c:pt idx="44">
                  <c:v>2007.0</c:v>
                </c:pt>
                <c:pt idx="45">
                  <c:v>2008.0</c:v>
                </c:pt>
                <c:pt idx="46">
                  <c:v>2009.0</c:v>
                </c:pt>
                <c:pt idx="47">
                  <c:v>2010.0</c:v>
                </c:pt>
              </c:numCache>
            </c:numRef>
          </c:cat>
          <c:val>
            <c:numRef>
              <c:f>StdDev!$F$174:$F$224</c:f>
              <c:numCache>
                <c:formatCode>#,##0</c:formatCode>
                <c:ptCount val="51"/>
                <c:pt idx="0">
                  <c:v>3490.973443011981</c:v>
                </c:pt>
                <c:pt idx="1">
                  <c:v>13239.25043652925</c:v>
                </c:pt>
                <c:pt idx="2">
                  <c:v>8776.76918725141</c:v>
                </c:pt>
                <c:pt idx="3">
                  <c:v>16169.41305351412</c:v>
                </c:pt>
                <c:pt idx="4">
                  <c:v>13645.79190631639</c:v>
                </c:pt>
                <c:pt idx="5">
                  <c:v>16040.62818903779</c:v>
                </c:pt>
                <c:pt idx="6">
                  <c:v>13547.86976599139</c:v>
                </c:pt>
                <c:pt idx="7">
                  <c:v>7705.667638282656</c:v>
                </c:pt>
                <c:pt idx="8">
                  <c:v>6328.0280025942</c:v>
                </c:pt>
                <c:pt idx="9">
                  <c:v>18208.96742397954</c:v>
                </c:pt>
                <c:pt idx="10">
                  <c:v>14703.74036960879</c:v>
                </c:pt>
                <c:pt idx="11">
                  <c:v>13672.6032931375</c:v>
                </c:pt>
                <c:pt idx="12">
                  <c:v>10730.8902187587</c:v>
                </c:pt>
                <c:pt idx="13">
                  <c:v>11826.19115648109</c:v>
                </c:pt>
                <c:pt idx="14">
                  <c:v>23510.96061548061</c:v>
                </c:pt>
                <c:pt idx="15">
                  <c:v>59993.90725672092</c:v>
                </c:pt>
                <c:pt idx="16">
                  <c:v>23111.41352190333</c:v>
                </c:pt>
                <c:pt idx="17">
                  <c:v>26320.92429546876</c:v>
                </c:pt>
                <c:pt idx="18">
                  <c:v>13272.59101661582</c:v>
                </c:pt>
                <c:pt idx="19">
                  <c:v>44642.60473833264</c:v>
                </c:pt>
                <c:pt idx="20">
                  <c:v>10286.77516946005</c:v>
                </c:pt>
                <c:pt idx="21">
                  <c:v>28597.3906099998</c:v>
                </c:pt>
                <c:pt idx="22">
                  <c:v>11587.26028016937</c:v>
                </c:pt>
                <c:pt idx="23">
                  <c:v>6133.544781664345</c:v>
                </c:pt>
                <c:pt idx="24">
                  <c:v>4219.496032992352</c:v>
                </c:pt>
                <c:pt idx="25">
                  <c:v>9598.983912420053</c:v>
                </c:pt>
                <c:pt idx="26">
                  <c:v>45916.58654005188</c:v>
                </c:pt>
                <c:pt idx="27">
                  <c:v>23235.19158525785</c:v>
                </c:pt>
                <c:pt idx="28">
                  <c:v>20314.33462845931</c:v>
                </c:pt>
                <c:pt idx="29">
                  <c:v>43499.21556962746</c:v>
                </c:pt>
                <c:pt idx="30">
                  <c:v>13383.81620915532</c:v>
                </c:pt>
                <c:pt idx="31">
                  <c:v>9177.63375005883</c:v>
                </c:pt>
                <c:pt idx="32">
                  <c:v>20595.8308447267</c:v>
                </c:pt>
                <c:pt idx="33">
                  <c:v>28689.96291441654</c:v>
                </c:pt>
                <c:pt idx="34">
                  <c:v>13989.58667355764</c:v>
                </c:pt>
                <c:pt idx="35">
                  <c:v>15364.94987742624</c:v>
                </c:pt>
                <c:pt idx="36">
                  <c:v>24429.36309991315</c:v>
                </c:pt>
                <c:pt idx="37">
                  <c:v>33611.26517280715</c:v>
                </c:pt>
                <c:pt idx="38">
                  <c:v>21361.49307704062</c:v>
                </c:pt>
                <c:pt idx="39">
                  <c:v>12650.76486071329</c:v>
                </c:pt>
                <c:pt idx="40">
                  <c:v>5414.538273541076</c:v>
                </c:pt>
                <c:pt idx="41">
                  <c:v>3652.954076358019</c:v>
                </c:pt>
                <c:pt idx="42">
                  <c:v>9923.372840423915</c:v>
                </c:pt>
                <c:pt idx="43">
                  <c:v>23804.02662957144</c:v>
                </c:pt>
                <c:pt idx="44">
                  <c:v>12406.96087985851</c:v>
                </c:pt>
                <c:pt idx="45">
                  <c:v>51619.94162146639</c:v>
                </c:pt>
                <c:pt idx="46">
                  <c:v>18232.30367515828</c:v>
                </c:pt>
                <c:pt idx="47">
                  <c:v>11928.57389694372</c:v>
                </c:pt>
                <c:pt idx="48">
                  <c:v>6427.9508305424</c:v>
                </c:pt>
                <c:pt idx="49">
                  <c:v>25525.46853661054</c:v>
                </c:pt>
                <c:pt idx="50">
                  <c:v>17128.75367856273</c:v>
                </c:pt>
              </c:numCache>
            </c:numRef>
          </c:val>
          <c:smooth val="0"/>
        </c:ser>
        <c:ser>
          <c:idx val="3"/>
          <c:order val="2"/>
          <c:spPr>
            <a:ln w="28575">
              <a:noFill/>
            </a:ln>
          </c:spPr>
          <c:marker>
            <c:symbol val="dash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StdDev!$H$2:$H$49</c:f>
              <c:numCache>
                <c:formatCode>General</c:formatCode>
                <c:ptCount val="48"/>
                <c:pt idx="0">
                  <c:v>1963.0</c:v>
                </c:pt>
                <c:pt idx="1">
                  <c:v>1964.0</c:v>
                </c:pt>
                <c:pt idx="2">
                  <c:v>1965.0</c:v>
                </c:pt>
                <c:pt idx="3">
                  <c:v>1966.0</c:v>
                </c:pt>
                <c:pt idx="4">
                  <c:v>1967.0</c:v>
                </c:pt>
                <c:pt idx="5">
                  <c:v>1968.0</c:v>
                </c:pt>
                <c:pt idx="6">
                  <c:v>1969.0</c:v>
                </c:pt>
                <c:pt idx="7">
                  <c:v>1970.0</c:v>
                </c:pt>
                <c:pt idx="8">
                  <c:v>1971.0</c:v>
                </c:pt>
                <c:pt idx="9">
                  <c:v>1972.0</c:v>
                </c:pt>
                <c:pt idx="10">
                  <c:v>1973.0</c:v>
                </c:pt>
                <c:pt idx="11">
                  <c:v>1974.0</c:v>
                </c:pt>
                <c:pt idx="12">
                  <c:v>1975.0</c:v>
                </c:pt>
                <c:pt idx="13">
                  <c:v>1976.0</c:v>
                </c:pt>
                <c:pt idx="14">
                  <c:v>1977.0</c:v>
                </c:pt>
                <c:pt idx="15">
                  <c:v>1978.0</c:v>
                </c:pt>
                <c:pt idx="16">
                  <c:v>1979.0</c:v>
                </c:pt>
                <c:pt idx="17">
                  <c:v>1980.0</c:v>
                </c:pt>
                <c:pt idx="18">
                  <c:v>1981.0</c:v>
                </c:pt>
                <c:pt idx="19">
                  <c:v>1982.0</c:v>
                </c:pt>
                <c:pt idx="20">
                  <c:v>1983.0</c:v>
                </c:pt>
                <c:pt idx="21">
                  <c:v>1984.0</c:v>
                </c:pt>
                <c:pt idx="22">
                  <c:v>1985.0</c:v>
                </c:pt>
                <c:pt idx="23">
                  <c:v>1986.0</c:v>
                </c:pt>
                <c:pt idx="24">
                  <c:v>1987.0</c:v>
                </c:pt>
                <c:pt idx="25">
                  <c:v>1988.0</c:v>
                </c:pt>
                <c:pt idx="26">
                  <c:v>1989.0</c:v>
                </c:pt>
                <c:pt idx="27">
                  <c:v>1990.0</c:v>
                </c:pt>
                <c:pt idx="28">
                  <c:v>1991.0</c:v>
                </c:pt>
                <c:pt idx="29">
                  <c:v>1992.0</c:v>
                </c:pt>
                <c:pt idx="30">
                  <c:v>1993.0</c:v>
                </c:pt>
                <c:pt idx="31">
                  <c:v>1994.0</c:v>
                </c:pt>
                <c:pt idx="32">
                  <c:v>1995.0</c:v>
                </c:pt>
                <c:pt idx="33">
                  <c:v>1996.0</c:v>
                </c:pt>
                <c:pt idx="34">
                  <c:v>1997.0</c:v>
                </c:pt>
                <c:pt idx="35">
                  <c:v>1998.0</c:v>
                </c:pt>
                <c:pt idx="36">
                  <c:v>1999.0</c:v>
                </c:pt>
                <c:pt idx="37">
                  <c:v>2000.0</c:v>
                </c:pt>
                <c:pt idx="38">
                  <c:v>2001.0</c:v>
                </c:pt>
                <c:pt idx="39">
                  <c:v>2002.0</c:v>
                </c:pt>
                <c:pt idx="40">
                  <c:v>2003.0</c:v>
                </c:pt>
                <c:pt idx="41">
                  <c:v>2004.0</c:v>
                </c:pt>
                <c:pt idx="42">
                  <c:v>2005.0</c:v>
                </c:pt>
                <c:pt idx="43">
                  <c:v>2006.0</c:v>
                </c:pt>
                <c:pt idx="44">
                  <c:v>2007.0</c:v>
                </c:pt>
                <c:pt idx="45">
                  <c:v>2008.0</c:v>
                </c:pt>
                <c:pt idx="46">
                  <c:v>2009.0</c:v>
                </c:pt>
                <c:pt idx="47">
                  <c:v>2010.0</c:v>
                </c:pt>
              </c:numCache>
            </c:numRef>
          </c:cat>
          <c:val>
            <c:numRef>
              <c:f>StdDev!$G$174:$G$224</c:f>
              <c:numCache>
                <c:formatCode>#,##0</c:formatCode>
                <c:ptCount val="51"/>
                <c:pt idx="0">
                  <c:v>15726.47032302605</c:v>
                </c:pt>
                <c:pt idx="1">
                  <c:v>37528.11402593655</c:v>
                </c:pt>
                <c:pt idx="2">
                  <c:v>31015.62718493333</c:v>
                </c:pt>
                <c:pt idx="3">
                  <c:v>45785.81044035505</c:v>
                </c:pt>
                <c:pt idx="4">
                  <c:v>41280.32728824314</c:v>
                </c:pt>
                <c:pt idx="5">
                  <c:v>44712.83496803146</c:v>
                </c:pt>
                <c:pt idx="6">
                  <c:v>39254.1211412423</c:v>
                </c:pt>
                <c:pt idx="7">
                  <c:v>26868.96589873466</c:v>
                </c:pt>
                <c:pt idx="8">
                  <c:v>22498.7348257046</c:v>
                </c:pt>
                <c:pt idx="9">
                  <c:v>39391.33435185424</c:v>
                </c:pt>
                <c:pt idx="10">
                  <c:v>30997.54141075918</c:v>
                </c:pt>
                <c:pt idx="11">
                  <c:v>26810.49893285406</c:v>
                </c:pt>
                <c:pt idx="12">
                  <c:v>20398.3099759379</c:v>
                </c:pt>
                <c:pt idx="13">
                  <c:v>20609.72470129797</c:v>
                </c:pt>
                <c:pt idx="14">
                  <c:v>34484.71073811232</c:v>
                </c:pt>
                <c:pt idx="15">
                  <c:v>76585.62120881488</c:v>
                </c:pt>
                <c:pt idx="16">
                  <c:v>32543.68774489647</c:v>
                </c:pt>
                <c:pt idx="17">
                  <c:v>36214.68096255638</c:v>
                </c:pt>
                <c:pt idx="18">
                  <c:v>20096.62044630759</c:v>
                </c:pt>
                <c:pt idx="19">
                  <c:v>56748.72476302153</c:v>
                </c:pt>
                <c:pt idx="20">
                  <c:v>15763.41985984238</c:v>
                </c:pt>
                <c:pt idx="21">
                  <c:v>37299.75278328401</c:v>
                </c:pt>
                <c:pt idx="22">
                  <c:v>16772.85883813418</c:v>
                </c:pt>
                <c:pt idx="23">
                  <c:v>9740.47251413211</c:v>
                </c:pt>
                <c:pt idx="24">
                  <c:v>6995.758588038353</c:v>
                </c:pt>
                <c:pt idx="25">
                  <c:v>13677.04802902423</c:v>
                </c:pt>
                <c:pt idx="26">
                  <c:v>54031.3788098325</c:v>
                </c:pt>
                <c:pt idx="27">
                  <c:v>29288.82968332313</c:v>
                </c:pt>
                <c:pt idx="28">
                  <c:v>26129.11181724769</c:v>
                </c:pt>
                <c:pt idx="29">
                  <c:v>52185.90715426644</c:v>
                </c:pt>
                <c:pt idx="30">
                  <c:v>17745.23179999564</c:v>
                </c:pt>
                <c:pt idx="31">
                  <c:v>12533.25509957974</c:v>
                </c:pt>
                <c:pt idx="32">
                  <c:v>25399.72230029945</c:v>
                </c:pt>
                <c:pt idx="33">
                  <c:v>34346.32815453535</c:v>
                </c:pt>
                <c:pt idx="34">
                  <c:v>17892.1684279001</c:v>
                </c:pt>
                <c:pt idx="35">
                  <c:v>19458.48723133495</c:v>
                </c:pt>
                <c:pt idx="36">
                  <c:v>29583.07533619529</c:v>
                </c:pt>
                <c:pt idx="37">
                  <c:v>39249.19321594884</c:v>
                </c:pt>
                <c:pt idx="38">
                  <c:v>25751.48253991843</c:v>
                </c:pt>
                <c:pt idx="39">
                  <c:v>15826.90866556118</c:v>
                </c:pt>
                <c:pt idx="40">
                  <c:v>7467.96996663491</c:v>
                </c:pt>
                <c:pt idx="41">
                  <c:v>5353.435173621757</c:v>
                </c:pt>
                <c:pt idx="42">
                  <c:v>13098.65134468204</c:v>
                </c:pt>
                <c:pt idx="43">
                  <c:v>30838.68319522277</c:v>
                </c:pt>
                <c:pt idx="44">
                  <c:v>18634.05770669574</c:v>
                </c:pt>
                <c:pt idx="45">
                  <c:v>74493.771209553</c:v>
                </c:pt>
                <c:pt idx="46">
                  <c:v>31114.9448861445</c:v>
                </c:pt>
                <c:pt idx="47">
                  <c:v>24150.64294264138</c:v>
                </c:pt>
                <c:pt idx="48">
                  <c:v>17565.76535456671</c:v>
                </c:pt>
                <c:pt idx="49">
                  <c:v>53334.51987560558</c:v>
                </c:pt>
                <c:pt idx="50">
                  <c:v>39444.55397508481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3175">
              <a:solidFill>
                <a:srgbClr val="000000"/>
              </a:solidFill>
              <a:prstDash val="solid"/>
            </a:ln>
          </c:spPr>
        </c:hiLowLines>
        <c:marker val="1"/>
        <c:smooth val="0"/>
        <c:axId val="447937424"/>
        <c:axId val="447939744"/>
      </c:lineChart>
      <c:lineChart>
        <c:grouping val="standard"/>
        <c:varyColors val="0"/>
        <c:ser>
          <c:idx val="0"/>
          <c:order val="3"/>
          <c:tx>
            <c:v>Mean value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Summary!$C$48:$C$96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cat>
          <c:val>
            <c:numRef>
              <c:f>StdDev!$H$174:$H$224</c:f>
              <c:numCache>
                <c:formatCode>_(* #,##0_);_(* \(#,##0\);_(* "-"??_);_(@_)</c:formatCode>
                <c:ptCount val="51"/>
                <c:pt idx="0">
                  <c:v>23095.37450980392</c:v>
                </c:pt>
                <c:pt idx="1">
                  <c:v>23095.37450980392</c:v>
                </c:pt>
                <c:pt idx="2">
                  <c:v>23095.37450980392</c:v>
                </c:pt>
                <c:pt idx="3">
                  <c:v>23095.37450980392</c:v>
                </c:pt>
                <c:pt idx="4">
                  <c:v>23095.37450980392</c:v>
                </c:pt>
                <c:pt idx="5">
                  <c:v>23095.37450980392</c:v>
                </c:pt>
                <c:pt idx="6">
                  <c:v>23095.37450980392</c:v>
                </c:pt>
                <c:pt idx="7">
                  <c:v>23095.37450980392</c:v>
                </c:pt>
                <c:pt idx="8">
                  <c:v>23095.37450980392</c:v>
                </c:pt>
                <c:pt idx="9">
                  <c:v>23095.37450980392</c:v>
                </c:pt>
                <c:pt idx="10">
                  <c:v>23095.37450980392</c:v>
                </c:pt>
                <c:pt idx="11">
                  <c:v>23095.37450980392</c:v>
                </c:pt>
                <c:pt idx="12">
                  <c:v>23095.37450980392</c:v>
                </c:pt>
                <c:pt idx="13">
                  <c:v>23095.37450980392</c:v>
                </c:pt>
                <c:pt idx="14">
                  <c:v>23095.37450980392</c:v>
                </c:pt>
                <c:pt idx="15">
                  <c:v>23095.37450980392</c:v>
                </c:pt>
                <c:pt idx="16">
                  <c:v>23095.37450980392</c:v>
                </c:pt>
                <c:pt idx="17">
                  <c:v>23095.37450980392</c:v>
                </c:pt>
                <c:pt idx="18">
                  <c:v>23095.37450980392</c:v>
                </c:pt>
                <c:pt idx="19">
                  <c:v>23095.37450980392</c:v>
                </c:pt>
                <c:pt idx="20">
                  <c:v>23095.37450980392</c:v>
                </c:pt>
                <c:pt idx="21">
                  <c:v>23095.37450980392</c:v>
                </c:pt>
                <c:pt idx="22">
                  <c:v>23095.37450980392</c:v>
                </c:pt>
                <c:pt idx="23">
                  <c:v>23095.37450980392</c:v>
                </c:pt>
                <c:pt idx="24">
                  <c:v>23095.37450980392</c:v>
                </c:pt>
                <c:pt idx="25">
                  <c:v>23095.37450980392</c:v>
                </c:pt>
                <c:pt idx="26">
                  <c:v>23095.37450980392</c:v>
                </c:pt>
                <c:pt idx="27">
                  <c:v>23095.37450980392</c:v>
                </c:pt>
                <c:pt idx="28">
                  <c:v>23095.37450980392</c:v>
                </c:pt>
                <c:pt idx="29">
                  <c:v>23095.37450980392</c:v>
                </c:pt>
                <c:pt idx="30">
                  <c:v>23095.37450980392</c:v>
                </c:pt>
                <c:pt idx="31">
                  <c:v>23095.37450980392</c:v>
                </c:pt>
                <c:pt idx="32">
                  <c:v>23095.37450980392</c:v>
                </c:pt>
                <c:pt idx="33">
                  <c:v>23095.37450980392</c:v>
                </c:pt>
                <c:pt idx="34">
                  <c:v>23095.37450980392</c:v>
                </c:pt>
                <c:pt idx="35">
                  <c:v>23095.37450980392</c:v>
                </c:pt>
                <c:pt idx="36">
                  <c:v>23095.37450980392</c:v>
                </c:pt>
                <c:pt idx="37">
                  <c:v>23095.37450980392</c:v>
                </c:pt>
                <c:pt idx="38">
                  <c:v>23095.37450980392</c:v>
                </c:pt>
                <c:pt idx="39">
                  <c:v>23095.37450980392</c:v>
                </c:pt>
                <c:pt idx="40">
                  <c:v>23095.37450980392</c:v>
                </c:pt>
                <c:pt idx="41">
                  <c:v>23095.37450980392</c:v>
                </c:pt>
                <c:pt idx="42">
                  <c:v>23095.37450980392</c:v>
                </c:pt>
                <c:pt idx="43">
                  <c:v>23095.37450980392</c:v>
                </c:pt>
                <c:pt idx="44">
                  <c:v>23095.37450980392</c:v>
                </c:pt>
                <c:pt idx="45">
                  <c:v>23095.37450980392</c:v>
                </c:pt>
                <c:pt idx="46">
                  <c:v>23095.37450980392</c:v>
                </c:pt>
                <c:pt idx="47">
                  <c:v>23095.37450980392</c:v>
                </c:pt>
                <c:pt idx="48">
                  <c:v>23095.37450980392</c:v>
                </c:pt>
                <c:pt idx="49">
                  <c:v>23095.37450980392</c:v>
                </c:pt>
                <c:pt idx="50">
                  <c:v>23095.37450980392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943136"/>
        <c:axId val="447945456"/>
      </c:lineChart>
      <c:catAx>
        <c:axId val="44793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400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939744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447939744"/>
        <c:scaling>
          <c:orientation val="minMax"/>
          <c:max val="76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80008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800" baseline="0"/>
                  <a:t>Numbers at age 1 (millions)</a:t>
                </a:r>
              </a:p>
            </c:rich>
          </c:tx>
          <c:layout>
            <c:manualLayout>
              <c:xMode val="edge"/>
              <c:yMode val="edge"/>
              <c:x val="0.00592592592592593"/>
              <c:y val="0.091622109756455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937424"/>
        <c:crosses val="autoZero"/>
        <c:crossBetween val="between"/>
        <c:majorUnit val="25000.0"/>
      </c:valAx>
      <c:catAx>
        <c:axId val="447943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7945456"/>
        <c:crosses val="autoZero"/>
        <c:auto val="0"/>
        <c:lblAlgn val="ctr"/>
        <c:lblOffset val="100"/>
        <c:noMultiLvlLbl val="0"/>
      </c:catAx>
      <c:valAx>
        <c:axId val="447945456"/>
        <c:scaling>
          <c:orientation val="minMax"/>
          <c:max val="100000.0"/>
          <c:min val="0.0"/>
        </c:scaling>
        <c:delete val="1"/>
        <c:axPos val="r"/>
        <c:numFmt formatCode="_(* #,##0_);_(* \(#,##0\);_(* &quot;-&quot;??_);_(@_)" sourceLinked="1"/>
        <c:majorTickMark val="out"/>
        <c:minorTickMark val="none"/>
        <c:tickLblPos val="nextTo"/>
        <c:crossAx val="447943136"/>
        <c:crosses val="max"/>
        <c:crossBetween val="between"/>
        <c:majorUnit val="25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487372411782"/>
          <c:y val="0.135331680603546"/>
          <c:w val="0.812714365199356"/>
          <c:h val="0.714560035623606"/>
        </c:manualLayout>
      </c:layout>
      <c:scatterChart>
        <c:scatterStyle val="lineMarker"/>
        <c:varyColors val="0"/>
        <c:ser>
          <c:idx val="1"/>
          <c:order val="0"/>
          <c:tx>
            <c:v>Used in stock-recruit estimation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9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30"/>
            <c:bubble3D val="0"/>
          </c:dPt>
          <c:dPt>
            <c:idx val="31"/>
            <c:bubble3D val="0"/>
          </c:dPt>
          <c:dPt>
            <c:idx val="32"/>
            <c:bubble3D val="0"/>
          </c:dPt>
          <c:dPt>
            <c:idx val="33"/>
            <c:marker>
              <c:symbol val="circle"/>
              <c:size val="8"/>
              <c:spPr>
                <a:solidFill>
                  <a:srgbClr val="FFFF00"/>
                </a:solidFill>
              </c:spPr>
            </c:marker>
            <c:bubble3D val="0"/>
            <c:spPr>
              <a:ln w="12700">
                <a:solidFill>
                  <a:srgbClr val="CC04BE"/>
                </a:solidFill>
                <a:prstDash val="solid"/>
              </a:ln>
            </c:spPr>
          </c:dPt>
          <c:dPt>
            <c:idx val="34"/>
            <c:bubble3D val="0"/>
          </c:dPt>
          <c:dPt>
            <c:idx val="35"/>
            <c:marker>
              <c:spPr>
                <a:solidFill>
                  <a:srgbClr val="00B05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</c:dPt>
          <c:dPt>
            <c:idx val="36"/>
            <c:marker>
              <c:symbol val="circle"/>
              <c:size val="15"/>
              <c:spPr>
                <a:solidFill>
                  <a:srgbClr val="00B05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  <c:spPr>
              <a:ln w="12700">
                <a:solidFill>
                  <a:srgbClr val="00B050"/>
                </a:solidFill>
                <a:prstDash val="solid"/>
              </a:ln>
            </c:spPr>
          </c:dPt>
          <c:dLbls>
            <c:dLbl>
              <c:idx val="0"/>
              <c:layout>
                <c:manualLayout>
                  <c:x val="-0.0384757676655568"/>
                  <c:y val="-0.0239260467645459"/>
                </c:manualLayout>
              </c:layout>
              <c:tx>
                <c:rich>
                  <a:bodyPr/>
                  <a:lstStyle/>
                  <a:p>
                    <a:pPr>
                      <a:defRPr sz="14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cs-CZ" sz="1400" b="0" baseline="0"/>
                      <a:t> 1978 </a:t>
                    </a:r>
                    <a:endParaRPr lang="cs-CZ" b="0" baseline="0"/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207177210506844"/>
                  <c:y val="-0.0217509516041327"/>
                </c:manualLayout>
              </c:layout>
              <c:tx>
                <c:rich>
                  <a:bodyPr/>
                  <a:lstStyle/>
                  <a:p>
                    <a:r>
                      <a:rPr lang="is-IS" sz="1400" baseline="0"/>
                      <a:t>1982</a:t>
                    </a:r>
                    <a:endParaRPr lang="is-IS" baseline="0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>
                <c:manualLayout>
                  <c:x val="-0.0310765815760266"/>
                  <c:y val="-0.0239260467645459"/>
                </c:manualLayout>
              </c:layout>
              <c:tx>
                <c:rich>
                  <a:bodyPr/>
                  <a:lstStyle/>
                  <a:p>
                    <a:r>
                      <a:rPr lang="cs-CZ" sz="1400" baseline="0"/>
                      <a:t>1989</a:t>
                    </a:r>
                    <a:endParaRPr lang="cs-CZ" baseline="0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4"/>
              <c:layout>
                <c:manualLayout>
                  <c:x val="-0.0414354421013688"/>
                  <c:y val="-0.0261011419249592"/>
                </c:manualLayout>
              </c:layout>
              <c:tx>
                <c:rich>
                  <a:bodyPr/>
                  <a:lstStyle/>
                  <a:p>
                    <a:r>
                      <a:rPr lang="mr-IN" sz="1400" baseline="0"/>
                      <a:t> 1992  </a:t>
                    </a:r>
                    <a:endParaRPr lang="mr-IN" baseline="0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-0.0030472994427307"/>
                  <c:y val="-0.0302715015435469"/>
                </c:manualLayout>
              </c:layout>
              <c:tx>
                <c:rich>
                  <a:bodyPr/>
                  <a:lstStyle/>
                  <a:p>
                    <a:pPr>
                      <a:defRPr sz="14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is-IS" sz="1400" b="0" baseline="0"/>
                      <a:t>2000 </a:t>
                    </a:r>
                    <a:endParaRPr lang="is-IS" sz="1100" b="0" baseline="0"/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8"/>
              <c:layout>
                <c:manualLayout>
                  <c:x val="-0.0396663382615913"/>
                  <c:y val="0.0245902624263633"/>
                </c:manualLayout>
              </c:layout>
              <c:tx>
                <c:rich>
                  <a:bodyPr/>
                  <a:lstStyle/>
                  <a:p>
                    <a:pPr>
                      <a:defRPr sz="14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is-IS" sz="1400" b="0" baseline="0"/>
                      <a:t>2006 </a:t>
                    </a:r>
                    <a:endParaRPr lang="is-IS" b="0" baseline="0"/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0"/>
              <c:layout>
                <c:manualLayout>
                  <c:x val="-0.0356435657458317"/>
                  <c:y val="-0.0240000013743737"/>
                </c:manualLayout>
              </c:layout>
              <c:tx>
                <c:rich>
                  <a:bodyPr/>
                  <a:lstStyle/>
                  <a:p>
                    <a:pPr>
                      <a:defRPr sz="1400" b="1" baseline="0"/>
                    </a:pPr>
                    <a:r>
                      <a:rPr lang="is-IS" sz="1400" b="1" baseline="0"/>
                      <a:t>2008</a:t>
                    </a:r>
                    <a:endParaRPr lang="is-IS" b="1"/>
                  </a:p>
                </c:rich>
              </c:tx>
              <c:spPr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r>
                      <a:rPr lang="is-IS"/>
                      <a:t>2011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4"/>
              <c:layout>
                <c:manualLayout>
                  <c:x val="-0.0414814814814815"/>
                  <c:y val="-0.026181819681135"/>
                </c:manualLayout>
              </c:layout>
              <c:tx>
                <c:rich>
                  <a:bodyPr/>
                  <a:lstStyle/>
                  <a:p>
                    <a:r>
                      <a:rPr lang="is-IS"/>
                      <a:t> 2012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6"/>
              <c:layout>
                <c:manualLayout>
                  <c:x val="0.0251572327044024"/>
                  <c:y val="0.073953235454051"/>
                </c:manualLayout>
              </c:layout>
              <c:tx>
                <c:rich>
                  <a:bodyPr/>
                  <a:lstStyle/>
                  <a:p>
                    <a:r>
                      <a:rPr lang="is-IS"/>
                      <a:t>2014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aseline="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Summary!$AA$62:$AA$98</c:f>
              <c:numCache>
                <c:formatCode>#,##0</c:formatCode>
                <c:ptCount val="37"/>
                <c:pt idx="0">
                  <c:v>1095.3</c:v>
                </c:pt>
                <c:pt idx="1">
                  <c:v>1100.7</c:v>
                </c:pt>
                <c:pt idx="2">
                  <c:v>1251.5</c:v>
                </c:pt>
                <c:pt idx="3">
                  <c:v>1985.8</c:v>
                </c:pt>
                <c:pt idx="4">
                  <c:v>2946.0</c:v>
                </c:pt>
                <c:pt idx="5">
                  <c:v>3594.3</c:v>
                </c:pt>
                <c:pt idx="6">
                  <c:v>3812.4</c:v>
                </c:pt>
                <c:pt idx="7">
                  <c:v>4029.6</c:v>
                </c:pt>
                <c:pt idx="8">
                  <c:v>4183.3</c:v>
                </c:pt>
                <c:pt idx="9">
                  <c:v>4216.2</c:v>
                </c:pt>
                <c:pt idx="10">
                  <c:v>4129.6</c:v>
                </c:pt>
                <c:pt idx="11">
                  <c:v>3668.5</c:v>
                </c:pt>
                <c:pt idx="12">
                  <c:v>2927.9</c:v>
                </c:pt>
                <c:pt idx="13">
                  <c:v>2179.4</c:v>
                </c:pt>
                <c:pt idx="14">
                  <c:v>2303.1</c:v>
                </c:pt>
                <c:pt idx="15">
                  <c:v>3202.4</c:v>
                </c:pt>
                <c:pt idx="16">
                  <c:v>3522.5</c:v>
                </c:pt>
                <c:pt idx="17">
                  <c:v>3749.1</c:v>
                </c:pt>
                <c:pt idx="18">
                  <c:v>3764.9</c:v>
                </c:pt>
                <c:pt idx="19">
                  <c:v>3564.7</c:v>
                </c:pt>
                <c:pt idx="20">
                  <c:v>3317.4</c:v>
                </c:pt>
                <c:pt idx="21">
                  <c:v>3317.8</c:v>
                </c:pt>
                <c:pt idx="22">
                  <c:v>3345.5</c:v>
                </c:pt>
                <c:pt idx="23">
                  <c:v>3382.3</c:v>
                </c:pt>
                <c:pt idx="24">
                  <c:v>3215.9</c:v>
                </c:pt>
                <c:pt idx="25">
                  <c:v>3417.9</c:v>
                </c:pt>
                <c:pt idx="26">
                  <c:v>3520.4</c:v>
                </c:pt>
                <c:pt idx="27">
                  <c:v>3223.0</c:v>
                </c:pt>
                <c:pt idx="28">
                  <c:v>2651.0</c:v>
                </c:pt>
                <c:pt idx="29">
                  <c:v>2215.2</c:v>
                </c:pt>
                <c:pt idx="30">
                  <c:v>1629.7</c:v>
                </c:pt>
                <c:pt idx="31">
                  <c:v>1775.3</c:v>
                </c:pt>
                <c:pt idx="32">
                  <c:v>2017.6</c:v>
                </c:pt>
                <c:pt idx="33">
                  <c:v>2538.1</c:v>
                </c:pt>
                <c:pt idx="34">
                  <c:v>3053.0</c:v>
                </c:pt>
                <c:pt idx="35">
                  <c:v>3490.3</c:v>
                </c:pt>
                <c:pt idx="36">
                  <c:v>3467.5</c:v>
                </c:pt>
              </c:numCache>
            </c:numRef>
          </c:xVal>
          <c:yVal>
            <c:numRef>
              <c:f>Summary!$E$62:$E$98</c:f>
              <c:numCache>
                <c:formatCode>_(* #,##0_);_(* \(#,##0\);_(* "-"??_);_(@_)</c:formatCode>
                <c:ptCount val="37"/>
                <c:pt idx="0">
                  <c:v>61942.6</c:v>
                </c:pt>
                <c:pt idx="1">
                  <c:v>27184.1</c:v>
                </c:pt>
                <c:pt idx="2">
                  <c:v>30738.1</c:v>
                </c:pt>
                <c:pt idx="3">
                  <c:v>16305.4</c:v>
                </c:pt>
                <c:pt idx="4">
                  <c:v>52162.3</c:v>
                </c:pt>
                <c:pt idx="5">
                  <c:v>13572.8</c:v>
                </c:pt>
                <c:pt idx="6">
                  <c:v>34631.9</c:v>
                </c:pt>
                <c:pt idx="7">
                  <c:v>14545.4</c:v>
                </c:pt>
                <c:pt idx="8">
                  <c:v>7835.33</c:v>
                </c:pt>
                <c:pt idx="9">
                  <c:v>5561.46</c:v>
                </c:pt>
                <c:pt idx="10">
                  <c:v>11102.8</c:v>
                </c:pt>
                <c:pt idx="11">
                  <c:v>48848.1</c:v>
                </c:pt>
                <c:pt idx="12">
                  <c:v>25581.3</c:v>
                </c:pt>
                <c:pt idx="13">
                  <c:v>22780.8</c:v>
                </c:pt>
                <c:pt idx="14">
                  <c:v>46863.2</c:v>
                </c:pt>
                <c:pt idx="15">
                  <c:v>15942.8</c:v>
                </c:pt>
                <c:pt idx="16">
                  <c:v>10904.9</c:v>
                </c:pt>
                <c:pt idx="17">
                  <c:v>22878.1</c:v>
                </c:pt>
                <c:pt idx="18">
                  <c:v>31178.4</c:v>
                </c:pt>
                <c:pt idx="19">
                  <c:v>15483.0</c:v>
                </c:pt>
                <c:pt idx="20">
                  <c:v>16827.1</c:v>
                </c:pt>
                <c:pt idx="21">
                  <c:v>25850.3</c:v>
                </c:pt>
                <c:pt idx="22">
                  <c:v>35963.4</c:v>
                </c:pt>
                <c:pt idx="23">
                  <c:v>23951.8</c:v>
                </c:pt>
                <c:pt idx="24">
                  <c:v>14625.5</c:v>
                </c:pt>
                <c:pt idx="25">
                  <c:v>6640.46</c:v>
                </c:pt>
                <c:pt idx="26">
                  <c:v>4831.7</c:v>
                </c:pt>
                <c:pt idx="27">
                  <c:v>12207.5</c:v>
                </c:pt>
                <c:pt idx="28">
                  <c:v>26390.5</c:v>
                </c:pt>
                <c:pt idx="29">
                  <c:v>14622.4</c:v>
                </c:pt>
                <c:pt idx="30">
                  <c:v>56930.6</c:v>
                </c:pt>
                <c:pt idx="31">
                  <c:v>22500.1</c:v>
                </c:pt>
                <c:pt idx="32">
                  <c:v>13479.2</c:v>
                </c:pt>
                <c:pt idx="33">
                  <c:v>11200.8</c:v>
                </c:pt>
                <c:pt idx="34">
                  <c:v>63521.7</c:v>
                </c:pt>
                <c:pt idx="35">
                  <c:v>31883.2</c:v>
                </c:pt>
                <c:pt idx="36">
                  <c:v>18179.5</c:v>
                </c:pt>
              </c:numCache>
            </c:numRef>
          </c:yVal>
          <c:smooth val="0"/>
        </c:ser>
        <c:ser>
          <c:idx val="8"/>
          <c:order val="1"/>
          <c:tx>
            <c:v>Excluded in stock-recruit estimation</c:v>
          </c:tx>
          <c:spPr>
            <a:ln w="28575">
              <a:noFill/>
            </a:ln>
          </c:spPr>
          <c:marker>
            <c:symbol val="circle"/>
            <c:size val="8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xVal>
            <c:numRef>
              <c:f>Summary!$AA$48:$AA$61</c:f>
              <c:numCache>
                <c:formatCode>#,##0</c:formatCode>
                <c:ptCount val="14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</c:numCache>
            </c:numRef>
          </c:xVal>
          <c:yVal>
            <c:numRef>
              <c:f>Summary!$E$48:$E$61</c:f>
              <c:numCache>
                <c:formatCode>_(* #,##0_);_(* \(#,##0\);_(* "-"??_);_(@_)</c:formatCode>
                <c:ptCount val="14"/>
                <c:pt idx="0">
                  <c:v>21534.8</c:v>
                </c:pt>
                <c:pt idx="1">
                  <c:v>15436.5</c:v>
                </c:pt>
                <c:pt idx="2">
                  <c:v>25796.0</c:v>
                </c:pt>
                <c:pt idx="3">
                  <c:v>22271.4</c:v>
                </c:pt>
                <c:pt idx="4">
                  <c:v>26141.1</c:v>
                </c:pt>
                <c:pt idx="5">
                  <c:v>23500.1</c:v>
                </c:pt>
                <c:pt idx="6">
                  <c:v>14578.3</c:v>
                </c:pt>
                <c:pt idx="7">
                  <c:v>11964.4</c:v>
                </c:pt>
                <c:pt idx="8">
                  <c:v>26909.0</c:v>
                </c:pt>
                <c:pt idx="9">
                  <c:v>19909.1</c:v>
                </c:pt>
                <c:pt idx="10">
                  <c:v>17094.1</c:v>
                </c:pt>
                <c:pt idx="11">
                  <c:v>13137.6</c:v>
                </c:pt>
                <c:pt idx="12">
                  <c:v>13755.3</c:v>
                </c:pt>
                <c:pt idx="13">
                  <c:v>25352.3</c:v>
                </c:pt>
              </c:numCache>
            </c:numRef>
          </c:yVal>
          <c:smooth val="0"/>
        </c:ser>
        <c:ser>
          <c:idx val="3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dPt>
            <c:idx val="0"/>
            <c:marker>
              <c:symbol val="triangle"/>
              <c:size val="9"/>
              <c:spPr>
                <a:solidFill>
                  <a:srgbClr val="FFFF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00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0597654982361396"/>
                  <c:y val="-0.0555837861213515"/>
                </c:manualLayout>
              </c:layout>
              <c:tx>
                <c:rich>
                  <a:bodyPr/>
                  <a:lstStyle/>
                  <a:p>
                    <a:pPr>
                      <a:defRPr sz="1575" b="1" i="0" u="none" strike="noStrike" baseline="0">
                        <a:solidFill>
                          <a:srgbClr val="000000"/>
                        </a:solidFill>
                        <a:latin typeface="Tahoma"/>
                        <a:ea typeface="Tahoma"/>
                        <a:cs typeface="Tahoma"/>
                      </a:defRPr>
                    </a:pPr>
                    <a:r>
                      <a:rPr lang="en-US"/>
                      <a:t>Bmsy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75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Summary!$J$61:$J$62</c:f>
              <c:numCache>
                <c:formatCode>_(* #,##0_);_(* \(#,##0\);_(* "-"??_);_(@_)</c:formatCode>
                <c:ptCount val="2"/>
                <c:pt idx="0">
                  <c:v>1948.1</c:v>
                </c:pt>
                <c:pt idx="1">
                  <c:v>1948.1</c:v>
                </c:pt>
              </c:numCache>
            </c:numRef>
          </c:xVal>
          <c:yVal>
            <c:numRef>
              <c:f>Summary!$K$61:$K$62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61942.6</c:v>
                </c:pt>
              </c:numCache>
            </c:numRef>
          </c:yVal>
          <c:smooth val="0"/>
        </c:ser>
        <c:ser>
          <c:idx val="5"/>
          <c:order val="3"/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dPt>
            <c:idx val="0"/>
            <c:marker>
              <c:symbol val="triangle"/>
              <c:size val="9"/>
              <c:spPr>
                <a:solidFill>
                  <a:srgbClr val="FFFF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</c:dPt>
          <c:dPt>
            <c:idx val="1"/>
            <c:marker>
              <c:symbol val="none"/>
            </c:marker>
            <c:bubble3D val="0"/>
          </c:dPt>
          <c:dLbls>
            <c:dLbl>
              <c:idx val="1"/>
              <c:layout>
                <c:manualLayout>
                  <c:x val="-0.0126383924539953"/>
                  <c:y val="-0.0333055023913202"/>
                </c:manualLayout>
              </c:layout>
              <c:tx>
                <c:rich>
                  <a:bodyPr/>
                  <a:lstStyle/>
                  <a:p>
                    <a:pPr>
                      <a:defRPr sz="140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mr-IN"/>
                      <a:t>B40%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Summary!$E$105:$E$106</c:f>
              <c:numCache>
                <c:formatCode>General</c:formatCode>
                <c:ptCount val="2"/>
                <c:pt idx="0" formatCode="#,##0">
                  <c:v>2813.0</c:v>
                </c:pt>
                <c:pt idx="1">
                  <c:v>2813.0</c:v>
                </c:pt>
              </c:numCache>
            </c:numRef>
          </c:xVal>
          <c:yVal>
            <c:numRef>
              <c:f>Summary!$F$105:$F$106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61942.6</c:v>
                </c:pt>
              </c:numCache>
            </c:numRef>
          </c:yVal>
          <c:smooth val="0"/>
        </c:ser>
        <c:ser>
          <c:idx val="0"/>
          <c:order val="4"/>
          <c:tx>
            <c:v>Model estimate (1978-2011 YC included)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dPt>
            <c:idx val="6"/>
            <c:bubble3D val="0"/>
          </c:dPt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StdDev!$E$151:$E$170</c:f>
              <c:numCache>
                <c:formatCode>#,##0</c:formatCode>
                <c:ptCount val="20"/>
                <c:pt idx="0">
                  <c:v>17455.0</c:v>
                </c:pt>
                <c:pt idx="1">
                  <c:v>21668.0</c:v>
                </c:pt>
                <c:pt idx="2">
                  <c:v>24702.0</c:v>
                </c:pt>
                <c:pt idx="3">
                  <c:v>26770.0</c:v>
                </c:pt>
                <c:pt idx="4">
                  <c:v>28053.0</c:v>
                </c:pt>
                <c:pt idx="5">
                  <c:v>28701.0</c:v>
                </c:pt>
                <c:pt idx="6">
                  <c:v>28842.0</c:v>
                </c:pt>
                <c:pt idx="7">
                  <c:v>28583.0</c:v>
                </c:pt>
                <c:pt idx="8">
                  <c:v>28012.0</c:v>
                </c:pt>
                <c:pt idx="9">
                  <c:v>27203.0</c:v>
                </c:pt>
                <c:pt idx="10">
                  <c:v>26218.0</c:v>
                </c:pt>
                <c:pt idx="11">
                  <c:v>25107.0</c:v>
                </c:pt>
                <c:pt idx="12">
                  <c:v>23911.0</c:v>
                </c:pt>
                <c:pt idx="13">
                  <c:v>22664.0</c:v>
                </c:pt>
                <c:pt idx="14">
                  <c:v>21393.0</c:v>
                </c:pt>
                <c:pt idx="15">
                  <c:v>20118.0</c:v>
                </c:pt>
                <c:pt idx="16">
                  <c:v>18858.0</c:v>
                </c:pt>
                <c:pt idx="17">
                  <c:v>17625.0</c:v>
                </c:pt>
                <c:pt idx="18">
                  <c:v>0.097247</c:v>
                </c:pt>
                <c:pt idx="19">
                  <c:v>0.10691</c:v>
                </c:pt>
              </c:numCache>
            </c:numRef>
          </c:yVal>
          <c:smooth val="0"/>
        </c:ser>
        <c:ser>
          <c:idx val="6"/>
          <c:order val="5"/>
          <c:spPr>
            <a:ln w="25400">
              <a:solidFill>
                <a:srgbClr val="008080"/>
              </a:solidFill>
              <a:prstDash val="sysDash"/>
            </a:ln>
          </c:spPr>
          <c:marker>
            <c:symbol val="none"/>
          </c:marker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StdDev!$G$151:$G$170</c:f>
              <c:numCache>
                <c:formatCode>#,##0</c:formatCode>
                <c:ptCount val="20"/>
                <c:pt idx="0">
                  <c:v>11602.29589958854</c:v>
                </c:pt>
                <c:pt idx="1">
                  <c:v>14782.35576967025</c:v>
                </c:pt>
                <c:pt idx="2">
                  <c:v>17271.66219247177</c:v>
                </c:pt>
                <c:pt idx="3">
                  <c:v>19148.63465678778</c:v>
                </c:pt>
                <c:pt idx="4">
                  <c:v>20482.78496580226</c:v>
                </c:pt>
                <c:pt idx="5">
                  <c:v>21331.66744730566</c:v>
                </c:pt>
                <c:pt idx="6">
                  <c:v>21748.69662345841</c:v>
                </c:pt>
                <c:pt idx="7">
                  <c:v>21782.89229660845</c:v>
                </c:pt>
                <c:pt idx="8">
                  <c:v>21481.19302885542</c:v>
                </c:pt>
                <c:pt idx="9">
                  <c:v>20893.29830147033</c:v>
                </c:pt>
                <c:pt idx="10">
                  <c:v>20072.38586457145</c:v>
                </c:pt>
                <c:pt idx="11">
                  <c:v>19072.66538606808</c:v>
                </c:pt>
                <c:pt idx="12">
                  <c:v>17947.50904819264</c:v>
                </c:pt>
                <c:pt idx="13">
                  <c:v>16747.00638933531</c:v>
                </c:pt>
                <c:pt idx="14">
                  <c:v>15513.72661401775</c:v>
                </c:pt>
                <c:pt idx="15">
                  <c:v>14280.75466072394</c:v>
                </c:pt>
                <c:pt idx="16">
                  <c:v>13076.19493777863</c:v>
                </c:pt>
                <c:pt idx="17">
                  <c:v>11918.01280008644</c:v>
                </c:pt>
                <c:pt idx="18">
                  <c:v>0.0627385930941549</c:v>
                </c:pt>
                <c:pt idx="19">
                  <c:v>0.0706440162557108</c:v>
                </c:pt>
              </c:numCache>
            </c:numRef>
          </c:yVal>
          <c:smooth val="0"/>
        </c:ser>
        <c:ser>
          <c:idx val="7"/>
          <c:order val="6"/>
          <c:tx>
            <c:v>SR curve confidence interval</c:v>
          </c:tx>
          <c:spPr>
            <a:ln w="25400">
              <a:solidFill>
                <a:srgbClr val="008080"/>
              </a:solidFill>
              <a:prstDash val="sysDash"/>
            </a:ln>
          </c:spPr>
          <c:marker>
            <c:symbol val="none"/>
          </c:marker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StdDev!$H$151:$H$170</c:f>
              <c:numCache>
                <c:formatCode>#,##0</c:formatCode>
                <c:ptCount val="20"/>
                <c:pt idx="0">
                  <c:v>26260.06332167454</c:v>
                </c:pt>
                <c:pt idx="1">
                  <c:v>31760.98798564317</c:v>
                </c:pt>
                <c:pt idx="2">
                  <c:v>35328.89870124741</c:v>
                </c:pt>
                <c:pt idx="3">
                  <c:v>37424.75183451102</c:v>
                </c:pt>
                <c:pt idx="4">
                  <c:v>38421.08435517505</c:v>
                </c:pt>
                <c:pt idx="5">
                  <c:v>38616.1748974783</c:v>
                </c:pt>
                <c:pt idx="6">
                  <c:v>38248.77317488279</c:v>
                </c:pt>
                <c:pt idx="7">
                  <c:v>37505.94172139405</c:v>
                </c:pt>
                <c:pt idx="8">
                  <c:v>36528.3316874421</c:v>
                </c:pt>
                <c:pt idx="9">
                  <c:v>35418.20914641914</c:v>
                </c:pt>
                <c:pt idx="10">
                  <c:v>34245.232661318</c:v>
                </c:pt>
                <c:pt idx="11">
                  <c:v>33050.51686485607</c:v>
                </c:pt>
                <c:pt idx="12">
                  <c:v>31856.00405408768</c:v>
                </c:pt>
                <c:pt idx="13">
                  <c:v>30671.56505816482</c:v>
                </c:pt>
                <c:pt idx="14">
                  <c:v>29500.35541985582</c:v>
                </c:pt>
                <c:pt idx="15">
                  <c:v>28341.2140055267</c:v>
                </c:pt>
                <c:pt idx="16">
                  <c:v>27196.30333535032</c:v>
                </c:pt>
                <c:pt idx="17">
                  <c:v>26064.80041687378</c:v>
                </c:pt>
                <c:pt idx="18">
                  <c:v>0.150736230167091</c:v>
                </c:pt>
                <c:pt idx="19">
                  <c:v>0.161793577231335</c:v>
                </c:pt>
              </c:numCache>
            </c:numRef>
          </c:yVal>
          <c:smooth val="0"/>
        </c:ser>
        <c:ser>
          <c:idx val="10"/>
          <c:order val="7"/>
          <c:tx>
            <c:v>Curve at mode of prior on steepness</c:v>
          </c:tx>
          <c:spPr>
            <a:ln w="28575">
              <a:solidFill>
                <a:schemeClr val="bg2">
                  <a:lumMod val="2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Sheet3!$B$36:$U$36</c:f>
              <c:numCache>
                <c:formatCode>General</c:formatCode>
                <c:ptCount val="20"/>
                <c:pt idx="0">
                  <c:v>161.754</c:v>
                </c:pt>
                <c:pt idx="1">
                  <c:v>485.261</c:v>
                </c:pt>
                <c:pt idx="2">
                  <c:v>808.768</c:v>
                </c:pt>
                <c:pt idx="3">
                  <c:v>1132.28</c:v>
                </c:pt>
                <c:pt idx="4">
                  <c:v>1455.78</c:v>
                </c:pt>
                <c:pt idx="5">
                  <c:v>1779.29</c:v>
                </c:pt>
                <c:pt idx="6">
                  <c:v>2102.8</c:v>
                </c:pt>
                <c:pt idx="7">
                  <c:v>2426.3</c:v>
                </c:pt>
                <c:pt idx="8">
                  <c:v>2749.81</c:v>
                </c:pt>
                <c:pt idx="9">
                  <c:v>3073.32</c:v>
                </c:pt>
                <c:pt idx="10">
                  <c:v>3396.83</c:v>
                </c:pt>
                <c:pt idx="11">
                  <c:v>3720.33</c:v>
                </c:pt>
                <c:pt idx="12">
                  <c:v>4043.84</c:v>
                </c:pt>
                <c:pt idx="13">
                  <c:v>4367.35</c:v>
                </c:pt>
                <c:pt idx="14">
                  <c:v>4690.85</c:v>
                </c:pt>
                <c:pt idx="15">
                  <c:v>5014.36</c:v>
                </c:pt>
                <c:pt idx="16">
                  <c:v>5337.87</c:v>
                </c:pt>
                <c:pt idx="17">
                  <c:v>5661.38</c:v>
                </c:pt>
                <c:pt idx="18">
                  <c:v>5984.88</c:v>
                </c:pt>
                <c:pt idx="19">
                  <c:v>6308.39</c:v>
                </c:pt>
              </c:numCache>
            </c:numRef>
          </c:xVal>
          <c:yVal>
            <c:numRef>
              <c:f>Sheet3!$B$37:$U$37</c:f>
              <c:numCache>
                <c:formatCode>General</c:formatCode>
                <c:ptCount val="20"/>
                <c:pt idx="0">
                  <c:v>3421.98</c:v>
                </c:pt>
                <c:pt idx="1">
                  <c:v>9279.03</c:v>
                </c:pt>
                <c:pt idx="2">
                  <c:v>13978.3</c:v>
                </c:pt>
                <c:pt idx="3">
                  <c:v>17688.4</c:v>
                </c:pt>
                <c:pt idx="4">
                  <c:v>20555.9</c:v>
                </c:pt>
                <c:pt idx="5">
                  <c:v>22708.6</c:v>
                </c:pt>
                <c:pt idx="6">
                  <c:v>24257.5</c:v>
                </c:pt>
                <c:pt idx="7">
                  <c:v>25298.7</c:v>
                </c:pt>
                <c:pt idx="8">
                  <c:v>25915.5</c:v>
                </c:pt>
                <c:pt idx="9">
                  <c:v>26180.0</c:v>
                </c:pt>
                <c:pt idx="10">
                  <c:v>26154.1</c:v>
                </c:pt>
                <c:pt idx="11">
                  <c:v>25891.2</c:v>
                </c:pt>
                <c:pt idx="12">
                  <c:v>25437.1</c:v>
                </c:pt>
                <c:pt idx="13">
                  <c:v>24831.1</c:v>
                </c:pt>
                <c:pt idx="14">
                  <c:v>24106.5</c:v>
                </c:pt>
                <c:pt idx="15">
                  <c:v>23291.8</c:v>
                </c:pt>
                <c:pt idx="16">
                  <c:v>22410.9</c:v>
                </c:pt>
                <c:pt idx="17">
                  <c:v>21484.1</c:v>
                </c:pt>
                <c:pt idx="18">
                  <c:v>20528.4</c:v>
                </c:pt>
                <c:pt idx="19">
                  <c:v>19557.9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87680"/>
        <c:axId val="445890384"/>
      </c:scatterChart>
      <c:valAx>
        <c:axId val="445887680"/>
        <c:scaling>
          <c:orientation val="minMax"/>
          <c:max val="450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 sz="1800" baseline="0"/>
                  <a:t>Female spawning biomass (thousands of t)</a:t>
                </a:r>
              </a:p>
            </c:rich>
          </c:tx>
          <c:layout>
            <c:manualLayout>
              <c:xMode val="edge"/>
              <c:yMode val="edge"/>
              <c:x val="0.284302245552639"/>
              <c:y val="0.92348534994905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890384"/>
        <c:crosses val="autoZero"/>
        <c:crossBetween val="midCat"/>
        <c:majorUnit val="1000.0"/>
      </c:valAx>
      <c:valAx>
        <c:axId val="445890384"/>
        <c:scaling>
          <c:orientation val="minMax"/>
          <c:max val="74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 sz="1800" baseline="0"/>
                  <a:t>Age 1 Recruitment (millions)</a:t>
                </a:r>
              </a:p>
            </c:rich>
          </c:tx>
          <c:layout>
            <c:manualLayout>
              <c:xMode val="edge"/>
              <c:yMode val="edge"/>
              <c:x val="0.00387658859735669"/>
              <c:y val="0.09740410006609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5887680"/>
        <c:crosses val="autoZero"/>
        <c:crossBetween val="midCat"/>
        <c:majorUnit val="20000.0"/>
      </c:valAx>
      <c:spPr>
        <a:noFill/>
        <a:ln w="25400">
          <a:noFill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0895581171110548"/>
          <c:y val="0.00146810359961122"/>
          <c:w val="0.908962045671039"/>
          <c:h val="0.113008867366294"/>
        </c:manualLayout>
      </c:layout>
      <c:overlay val="0"/>
      <c:txPr>
        <a:bodyPr/>
        <a:lstStyle/>
        <a:p>
          <a:pPr>
            <a:defRPr sz="1000" baseline="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32780674742808"/>
          <c:y val="0.0172335349557883"/>
          <c:w val="0.85904501748731"/>
          <c:h val="0.905969954659959"/>
        </c:manualLayout>
      </c:layout>
      <c:scatterChart>
        <c:scatterStyle val="lineMarker"/>
        <c:varyColors val="0"/>
        <c:ser>
          <c:idx val="0"/>
          <c:order val="0"/>
          <c:tx>
            <c:v>BTS estimate</c:v>
          </c:tx>
          <c:spPr>
            <a:ln>
              <a:noFill/>
            </a:ln>
            <a:effectLst/>
          </c:spPr>
          <c:marker>
            <c:symbol val="circle"/>
            <c:size val="12"/>
            <c:spPr>
              <a:gradFill flip="none" rotWithShape="1">
                <a:gsLst>
                  <a:gs pos="0">
                    <a:srgbClr val="FFF200"/>
                  </a:gs>
                  <a:gs pos="45000">
                    <a:srgbClr val="FF7A00"/>
                  </a:gs>
                  <a:gs pos="70000">
                    <a:srgbClr val="FF0300"/>
                  </a:gs>
                  <a:gs pos="100000">
                    <a:srgbClr val="4D0808"/>
                  </a:gs>
                </a:gsLst>
                <a:path path="circle">
                  <a:fillToRect l="50000" t="50000" r="50000" b="50000"/>
                </a:path>
                <a:tileRect/>
              </a:gradFill>
              <a:effectLst/>
            </c:spPr>
          </c:marker>
          <c:errBars>
            <c:errDir val="y"/>
            <c:errBarType val="both"/>
            <c:errValType val="percentage"/>
            <c:noEndCap val="1"/>
            <c:val val="25.0"/>
            <c:spPr>
              <a:ln w="22225"/>
            </c:spPr>
          </c:errBars>
          <c:xVal>
            <c:numRef>
              <c:f>pm.rep!$B$876:$AG$876</c:f>
              <c:numCache>
                <c:formatCode>General</c:formatCode>
                <c:ptCount val="32"/>
                <c:pt idx="0">
                  <c:v>4069.2</c:v>
                </c:pt>
                <c:pt idx="1">
                  <c:v>8409.19</c:v>
                </c:pt>
                <c:pt idx="2">
                  <c:v>6408.72</c:v>
                </c:pt>
                <c:pt idx="3">
                  <c:v>8250.370000000001</c:v>
                </c:pt>
                <c:pt idx="4">
                  <c:v>6825.57</c:v>
                </c:pt>
                <c:pt idx="5">
                  <c:v>7892.19</c:v>
                </c:pt>
                <c:pt idx="6">
                  <c:v>11088.3</c:v>
                </c:pt>
                <c:pt idx="7">
                  <c:v>9795.799999999999</c:v>
                </c:pt>
                <c:pt idx="8">
                  <c:v>11899.8</c:v>
                </c:pt>
                <c:pt idx="9">
                  <c:v>7389.52</c:v>
                </c:pt>
                <c:pt idx="10">
                  <c:v>6210.93</c:v>
                </c:pt>
                <c:pt idx="11">
                  <c:v>7089.35</c:v>
                </c:pt>
                <c:pt idx="12">
                  <c:v>7100.03</c:v>
                </c:pt>
                <c:pt idx="13">
                  <c:v>9107.059999999999</c:v>
                </c:pt>
                <c:pt idx="14">
                  <c:v>4079.24</c:v>
                </c:pt>
                <c:pt idx="15">
                  <c:v>5019.41</c:v>
                </c:pt>
                <c:pt idx="16">
                  <c:v>3509.91</c:v>
                </c:pt>
                <c:pt idx="17">
                  <c:v>5454.72</c:v>
                </c:pt>
                <c:pt idx="18">
                  <c:v>7355.11</c:v>
                </c:pt>
                <c:pt idx="19">
                  <c:v>5439.75</c:v>
                </c:pt>
                <c:pt idx="20">
                  <c:v>6770.72</c:v>
                </c:pt>
                <c:pt idx="21">
                  <c:v>13508.1</c:v>
                </c:pt>
                <c:pt idx="22">
                  <c:v>5105.8</c:v>
                </c:pt>
                <c:pt idx="23">
                  <c:v>6696.47</c:v>
                </c:pt>
                <c:pt idx="24">
                  <c:v>3886.15</c:v>
                </c:pt>
                <c:pt idx="25">
                  <c:v>6145.11</c:v>
                </c:pt>
                <c:pt idx="26">
                  <c:v>3994.32</c:v>
                </c:pt>
                <c:pt idx="27">
                  <c:v>2989.7</c:v>
                </c:pt>
                <c:pt idx="28">
                  <c:v>5131.7</c:v>
                </c:pt>
                <c:pt idx="29">
                  <c:v>3948.6</c:v>
                </c:pt>
                <c:pt idx="30">
                  <c:v>4613.87</c:v>
                </c:pt>
                <c:pt idx="31">
                  <c:v>6114.9</c:v>
                </c:pt>
              </c:numCache>
            </c:numRef>
          </c:xVal>
          <c:yVal>
            <c:numRef>
              <c:f>pm.rep!$B$877:$AG$877</c:f>
              <c:numCache>
                <c:formatCode>General</c:formatCode>
                <c:ptCount val="32"/>
                <c:pt idx="0">
                  <c:v>5537.74</c:v>
                </c:pt>
                <c:pt idx="1">
                  <c:v>7721.77</c:v>
                </c:pt>
                <c:pt idx="2">
                  <c:v>7010.82</c:v>
                </c:pt>
                <c:pt idx="3">
                  <c:v>9977.57</c:v>
                </c:pt>
                <c:pt idx="4">
                  <c:v>7761.53</c:v>
                </c:pt>
                <c:pt idx="5">
                  <c:v>10146.8</c:v>
                </c:pt>
                <c:pt idx="6">
                  <c:v>11926.3</c:v>
                </c:pt>
                <c:pt idx="7">
                  <c:v>11459.4</c:v>
                </c:pt>
                <c:pt idx="8">
                  <c:v>9778.23</c:v>
                </c:pt>
                <c:pt idx="9">
                  <c:v>7174.7</c:v>
                </c:pt>
                <c:pt idx="10">
                  <c:v>6073.06</c:v>
                </c:pt>
                <c:pt idx="11">
                  <c:v>6589.92</c:v>
                </c:pt>
                <c:pt idx="12">
                  <c:v>7029.43</c:v>
                </c:pt>
                <c:pt idx="13">
                  <c:v>5274.47</c:v>
                </c:pt>
                <c:pt idx="14">
                  <c:v>4424.16</c:v>
                </c:pt>
                <c:pt idx="15">
                  <c:v>5573.67</c:v>
                </c:pt>
                <c:pt idx="16">
                  <c:v>4481.51</c:v>
                </c:pt>
                <c:pt idx="17">
                  <c:v>6486.7</c:v>
                </c:pt>
                <c:pt idx="18">
                  <c:v>6602.81</c:v>
                </c:pt>
                <c:pt idx="19">
                  <c:v>6245.15</c:v>
                </c:pt>
                <c:pt idx="20">
                  <c:v>6296.14</c:v>
                </c:pt>
                <c:pt idx="21">
                  <c:v>4891.41</c:v>
                </c:pt>
                <c:pt idx="22">
                  <c:v>5609.4</c:v>
                </c:pt>
                <c:pt idx="23">
                  <c:v>6567.07</c:v>
                </c:pt>
                <c:pt idx="24">
                  <c:v>4859.26</c:v>
                </c:pt>
                <c:pt idx="25">
                  <c:v>6146.96</c:v>
                </c:pt>
                <c:pt idx="26">
                  <c:v>4628.63</c:v>
                </c:pt>
                <c:pt idx="27">
                  <c:v>4107.35</c:v>
                </c:pt>
                <c:pt idx="28">
                  <c:v>4804.24</c:v>
                </c:pt>
                <c:pt idx="29">
                  <c:v>3869.69</c:v>
                </c:pt>
                <c:pt idx="30">
                  <c:v>5301.54</c:v>
                </c:pt>
                <c:pt idx="31">
                  <c:v>7083.49</c:v>
                </c:pt>
              </c:numCache>
            </c:numRef>
          </c:yVal>
          <c:smooth val="0"/>
        </c:ser>
        <c:ser>
          <c:idx val="1"/>
          <c:order val="1"/>
          <c:tx>
            <c:v>Model</c:v>
          </c:tx>
          <c:spPr>
            <a:ln w="15875">
              <a:solidFill>
                <a:schemeClr val="tx1"/>
              </a:solidFill>
            </a:ln>
          </c:spPr>
          <c:marker>
            <c:symbol val="dash"/>
            <c:size val="10"/>
          </c:marker>
          <c:xVal>
            <c:numRef>
              <c:f>pm.rep!$B$876:$AG$876</c:f>
              <c:numCache>
                <c:formatCode>General</c:formatCode>
                <c:ptCount val="32"/>
                <c:pt idx="0">
                  <c:v>4069.2</c:v>
                </c:pt>
                <c:pt idx="1">
                  <c:v>8409.19</c:v>
                </c:pt>
                <c:pt idx="2">
                  <c:v>6408.72</c:v>
                </c:pt>
                <c:pt idx="3">
                  <c:v>8250.370000000001</c:v>
                </c:pt>
                <c:pt idx="4">
                  <c:v>6825.57</c:v>
                </c:pt>
                <c:pt idx="5">
                  <c:v>7892.19</c:v>
                </c:pt>
                <c:pt idx="6">
                  <c:v>11088.3</c:v>
                </c:pt>
                <c:pt idx="7">
                  <c:v>9795.799999999999</c:v>
                </c:pt>
                <c:pt idx="8">
                  <c:v>11899.8</c:v>
                </c:pt>
                <c:pt idx="9">
                  <c:v>7389.52</c:v>
                </c:pt>
                <c:pt idx="10">
                  <c:v>6210.93</c:v>
                </c:pt>
                <c:pt idx="11">
                  <c:v>7089.35</c:v>
                </c:pt>
                <c:pt idx="12">
                  <c:v>7100.03</c:v>
                </c:pt>
                <c:pt idx="13">
                  <c:v>9107.059999999999</c:v>
                </c:pt>
                <c:pt idx="14">
                  <c:v>4079.24</c:v>
                </c:pt>
                <c:pt idx="15">
                  <c:v>5019.41</c:v>
                </c:pt>
                <c:pt idx="16">
                  <c:v>3509.91</c:v>
                </c:pt>
                <c:pt idx="17">
                  <c:v>5454.72</c:v>
                </c:pt>
                <c:pt idx="18">
                  <c:v>7355.11</c:v>
                </c:pt>
                <c:pt idx="19">
                  <c:v>5439.75</c:v>
                </c:pt>
                <c:pt idx="20">
                  <c:v>6770.72</c:v>
                </c:pt>
                <c:pt idx="21">
                  <c:v>13508.1</c:v>
                </c:pt>
                <c:pt idx="22">
                  <c:v>5105.8</c:v>
                </c:pt>
                <c:pt idx="23">
                  <c:v>6696.47</c:v>
                </c:pt>
                <c:pt idx="24">
                  <c:v>3886.15</c:v>
                </c:pt>
                <c:pt idx="25">
                  <c:v>6145.11</c:v>
                </c:pt>
                <c:pt idx="26">
                  <c:v>3994.32</c:v>
                </c:pt>
                <c:pt idx="27">
                  <c:v>2989.7</c:v>
                </c:pt>
                <c:pt idx="28">
                  <c:v>5131.7</c:v>
                </c:pt>
                <c:pt idx="29">
                  <c:v>3948.6</c:v>
                </c:pt>
                <c:pt idx="30">
                  <c:v>4613.87</c:v>
                </c:pt>
                <c:pt idx="31">
                  <c:v>6114.9</c:v>
                </c:pt>
              </c:numCache>
            </c:numRef>
          </c:xVal>
          <c:yVal>
            <c:numRef>
              <c:f>pm.rep!$B$878:$AG$878</c:f>
              <c:numCache>
                <c:formatCode>General</c:formatCode>
                <c:ptCount val="3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585584"/>
        <c:axId val="447587904"/>
      </c:scatterChart>
      <c:valAx>
        <c:axId val="447585584"/>
        <c:scaling>
          <c:orientation val="minMax"/>
          <c:max val="2013.0"/>
          <c:min val="1980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7587904"/>
        <c:crosses val="autoZero"/>
        <c:crossBetween val="midCat"/>
      </c:valAx>
      <c:valAx>
        <c:axId val="447587904"/>
        <c:scaling>
          <c:orientation val="minMax"/>
          <c:max val="10000.0"/>
          <c:min val="0.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475855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6655422284535"/>
          <c:y val="0.709580531943157"/>
          <c:w val="0.154098527716814"/>
          <c:h val="0.143538592764627"/>
        </c:manualLayout>
      </c:layout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8678523831319"/>
          <c:y val="0.049502444226954"/>
          <c:w val="0.841748908146126"/>
          <c:h val="0.873701045388797"/>
        </c:manualLayout>
      </c:layout>
      <c:scatterChart>
        <c:scatterStyle val="lineMarker"/>
        <c:varyColors val="0"/>
        <c:ser>
          <c:idx val="0"/>
          <c:order val="0"/>
          <c:tx>
            <c:v>Mid-water acoustic survey estimate</c:v>
          </c:tx>
          <c:spPr>
            <a:ln>
              <a:noFill/>
            </a:ln>
            <a:effectLst/>
          </c:spPr>
          <c:marker>
            <c:symbol val="circle"/>
            <c:size val="10"/>
            <c:spPr>
              <a:gradFill flip="none" rotWithShape="1">
                <a:gsLst>
                  <a:gs pos="0">
                    <a:srgbClr val="FFF200"/>
                  </a:gs>
                  <a:gs pos="45000">
                    <a:srgbClr val="FF7A00"/>
                  </a:gs>
                  <a:gs pos="70000">
                    <a:srgbClr val="FF0300"/>
                  </a:gs>
                  <a:gs pos="100000">
                    <a:srgbClr val="4D0808"/>
                  </a:gs>
                </a:gsLst>
                <a:path path="circle">
                  <a:fillToRect l="50000" t="50000" r="50000" b="50000"/>
                </a:path>
                <a:tileRect/>
              </a:gradFill>
              <a:effectLst/>
            </c:spPr>
          </c:marker>
          <c:errBars>
            <c:errDir val="y"/>
            <c:errBarType val="both"/>
            <c:errValType val="percentage"/>
            <c:noEndCap val="0"/>
            <c:val val="40.0"/>
          </c:errBars>
          <c:xVal>
            <c:numRef>
              <c:f>pm.rep!$B$880:$T$880</c:f>
              <c:numCache>
                <c:formatCode>General</c:formatCode>
                <c:ptCount val="19"/>
                <c:pt idx="0">
                  <c:v>7460.0</c:v>
                </c:pt>
                <c:pt idx="1">
                  <c:v>4900.0</c:v>
                </c:pt>
                <c:pt idx="2">
                  <c:v>4800.0</c:v>
                </c:pt>
                <c:pt idx="3">
                  <c:v>4680.0</c:v>
                </c:pt>
                <c:pt idx="4">
                  <c:v>1450.0</c:v>
                </c:pt>
                <c:pt idx="5">
                  <c:v>2886.23</c:v>
                </c:pt>
                <c:pt idx="6">
                  <c:v>2310.73</c:v>
                </c:pt>
                <c:pt idx="7">
                  <c:v>2592.18</c:v>
                </c:pt>
                <c:pt idx="8">
                  <c:v>3285.08</c:v>
                </c:pt>
                <c:pt idx="9">
                  <c:v>3048.7</c:v>
                </c:pt>
                <c:pt idx="10">
                  <c:v>3621.82</c:v>
                </c:pt>
                <c:pt idx="11">
                  <c:v>3306.94</c:v>
                </c:pt>
                <c:pt idx="12">
                  <c:v>1560.13</c:v>
                </c:pt>
                <c:pt idx="13">
                  <c:v>1769.02</c:v>
                </c:pt>
                <c:pt idx="14">
                  <c:v>996.939</c:v>
                </c:pt>
                <c:pt idx="15">
                  <c:v>923.843</c:v>
                </c:pt>
                <c:pt idx="16">
                  <c:v>2322.64</c:v>
                </c:pt>
                <c:pt idx="17">
                  <c:v>1842.79</c:v>
                </c:pt>
                <c:pt idx="18">
                  <c:v>3501.94</c:v>
                </c:pt>
              </c:numCache>
            </c:numRef>
          </c:xVal>
          <c:yVal>
            <c:numRef>
              <c:f>pm.rep!$B$881:$T$881</c:f>
              <c:numCache>
                <c:formatCode>General</c:formatCode>
                <c:ptCount val="19"/>
                <c:pt idx="0">
                  <c:v>2134.42</c:v>
                </c:pt>
                <c:pt idx="1">
                  <c:v>3191.75</c:v>
                </c:pt>
                <c:pt idx="2">
                  <c:v>3881.93</c:v>
                </c:pt>
                <c:pt idx="3">
                  <c:v>3458.01</c:v>
                </c:pt>
                <c:pt idx="4">
                  <c:v>2288.73</c:v>
                </c:pt>
                <c:pt idx="5">
                  <c:v>3216.35</c:v>
                </c:pt>
                <c:pt idx="6">
                  <c:v>3149.88</c:v>
                </c:pt>
                <c:pt idx="7">
                  <c:v>3258.38</c:v>
                </c:pt>
                <c:pt idx="8">
                  <c:v>2827.42</c:v>
                </c:pt>
                <c:pt idx="9">
                  <c:v>2931.41</c:v>
                </c:pt>
                <c:pt idx="10">
                  <c:v>3151.46</c:v>
                </c:pt>
                <c:pt idx="11">
                  <c:v>3267.47</c:v>
                </c:pt>
                <c:pt idx="12">
                  <c:v>2034.65</c:v>
                </c:pt>
                <c:pt idx="13">
                  <c:v>1687.15</c:v>
                </c:pt>
                <c:pt idx="14">
                  <c:v>1487.55</c:v>
                </c:pt>
                <c:pt idx="15">
                  <c:v>1884.05</c:v>
                </c:pt>
                <c:pt idx="16">
                  <c:v>2668.75</c:v>
                </c:pt>
                <c:pt idx="17">
                  <c:v>2965.73</c:v>
                </c:pt>
                <c:pt idx="18">
                  <c:v>3472.57</c:v>
                </c:pt>
              </c:numCache>
            </c:numRef>
          </c:yVal>
          <c:smooth val="0"/>
        </c:ser>
        <c:ser>
          <c:idx val="1"/>
          <c:order val="1"/>
          <c:tx>
            <c:v>Model prediction</c:v>
          </c:tx>
          <c:spPr>
            <a:ln w="15875">
              <a:solidFill>
                <a:schemeClr val="tx1"/>
              </a:solidFill>
            </a:ln>
          </c:spPr>
          <c:marker>
            <c:symbol val="x"/>
            <c:size val="14"/>
          </c:marker>
          <c:dPt>
            <c:idx val="1"/>
            <c:bubble3D val="0"/>
            <c:spPr>
              <a:ln w="15875">
                <a:noFill/>
              </a:ln>
            </c:spPr>
          </c:dPt>
          <c:xVal>
            <c:numRef>
              <c:f>pm.rep!$B$880:$T$880</c:f>
              <c:numCache>
                <c:formatCode>General</c:formatCode>
                <c:ptCount val="19"/>
                <c:pt idx="0">
                  <c:v>7460.0</c:v>
                </c:pt>
                <c:pt idx="1">
                  <c:v>4900.0</c:v>
                </c:pt>
                <c:pt idx="2">
                  <c:v>4800.0</c:v>
                </c:pt>
                <c:pt idx="3">
                  <c:v>4680.0</c:v>
                </c:pt>
                <c:pt idx="4">
                  <c:v>1450.0</c:v>
                </c:pt>
                <c:pt idx="5">
                  <c:v>2886.23</c:v>
                </c:pt>
                <c:pt idx="6">
                  <c:v>2310.73</c:v>
                </c:pt>
                <c:pt idx="7">
                  <c:v>2592.18</c:v>
                </c:pt>
                <c:pt idx="8">
                  <c:v>3285.08</c:v>
                </c:pt>
                <c:pt idx="9">
                  <c:v>3048.7</c:v>
                </c:pt>
                <c:pt idx="10">
                  <c:v>3621.82</c:v>
                </c:pt>
                <c:pt idx="11">
                  <c:v>3306.94</c:v>
                </c:pt>
                <c:pt idx="12">
                  <c:v>1560.13</c:v>
                </c:pt>
                <c:pt idx="13">
                  <c:v>1769.02</c:v>
                </c:pt>
                <c:pt idx="14">
                  <c:v>996.939</c:v>
                </c:pt>
                <c:pt idx="15">
                  <c:v>923.843</c:v>
                </c:pt>
                <c:pt idx="16">
                  <c:v>2322.64</c:v>
                </c:pt>
                <c:pt idx="17">
                  <c:v>1842.79</c:v>
                </c:pt>
                <c:pt idx="18">
                  <c:v>3501.94</c:v>
                </c:pt>
              </c:numCache>
            </c:numRef>
          </c:xVal>
          <c:yVal>
            <c:numRef>
              <c:f>pm.rep!$B$882:$T$882</c:f>
              <c:numCache>
                <c:formatCode>General</c:formatCode>
                <c:ptCount val="19"/>
              </c:numCache>
            </c:numRef>
          </c:yVal>
          <c:smooth val="0"/>
        </c:ser>
        <c:ser>
          <c:idx val="3"/>
          <c:order val="2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Summary!$U$23:$AL$23</c:f>
              <c:numCache>
                <c:formatCode>General</c:formatCode>
                <c:ptCount val="18"/>
                <c:pt idx="0">
                  <c:v>4900.0</c:v>
                </c:pt>
                <c:pt idx="1">
                  <c:v>4800.0</c:v>
                </c:pt>
                <c:pt idx="2">
                  <c:v>4680.0</c:v>
                </c:pt>
                <c:pt idx="3">
                  <c:v>1450.0</c:v>
                </c:pt>
                <c:pt idx="4">
                  <c:v>2886.23</c:v>
                </c:pt>
                <c:pt idx="5">
                  <c:v>2310.73</c:v>
                </c:pt>
                <c:pt idx="6">
                  <c:v>2592.18</c:v>
                </c:pt>
                <c:pt idx="7">
                  <c:v>3285.08</c:v>
                </c:pt>
                <c:pt idx="8">
                  <c:v>3048.7</c:v>
                </c:pt>
                <c:pt idx="9">
                  <c:v>3621.82</c:v>
                </c:pt>
                <c:pt idx="10">
                  <c:v>3306.94</c:v>
                </c:pt>
                <c:pt idx="11">
                  <c:v>1560.13</c:v>
                </c:pt>
                <c:pt idx="12">
                  <c:v>1769.02</c:v>
                </c:pt>
                <c:pt idx="13">
                  <c:v>996.939</c:v>
                </c:pt>
                <c:pt idx="14">
                  <c:v>923.843</c:v>
                </c:pt>
                <c:pt idx="15">
                  <c:v>2322.64</c:v>
                </c:pt>
                <c:pt idx="16">
                  <c:v>1842.79</c:v>
                </c:pt>
                <c:pt idx="17">
                  <c:v>3501.94</c:v>
                </c:pt>
              </c:numCache>
            </c:numRef>
          </c:xVal>
          <c:yVal>
            <c:numRef>
              <c:f>Summary!$U$26:$AL$26</c:f>
              <c:numCache>
                <c:formatCode>General</c:formatCode>
                <c:ptCount val="18"/>
                <c:pt idx="0">
                  <c:v>2823.513333333334</c:v>
                </c:pt>
                <c:pt idx="1">
                  <c:v>2823.513333333334</c:v>
                </c:pt>
                <c:pt idx="2">
                  <c:v>2823.513333333334</c:v>
                </c:pt>
                <c:pt idx="3">
                  <c:v>2823.513333333334</c:v>
                </c:pt>
                <c:pt idx="4">
                  <c:v>2823.513333333334</c:v>
                </c:pt>
                <c:pt idx="5">
                  <c:v>2823.513333333334</c:v>
                </c:pt>
                <c:pt idx="6">
                  <c:v>2823.513333333334</c:v>
                </c:pt>
                <c:pt idx="7">
                  <c:v>2823.513333333334</c:v>
                </c:pt>
                <c:pt idx="8">
                  <c:v>2823.513333333334</c:v>
                </c:pt>
                <c:pt idx="9">
                  <c:v>2823.513333333334</c:v>
                </c:pt>
                <c:pt idx="10">
                  <c:v>2823.513333333334</c:v>
                </c:pt>
                <c:pt idx="11">
                  <c:v>2823.513333333334</c:v>
                </c:pt>
                <c:pt idx="12">
                  <c:v>2823.513333333334</c:v>
                </c:pt>
                <c:pt idx="13">
                  <c:v>2823.513333333334</c:v>
                </c:pt>
                <c:pt idx="14">
                  <c:v>2823.513333333334</c:v>
                </c:pt>
                <c:pt idx="15">
                  <c:v>2823.513333333334</c:v>
                </c:pt>
                <c:pt idx="16">
                  <c:v>2823.513333333334</c:v>
                </c:pt>
                <c:pt idx="17">
                  <c:v>2823.513333333334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54560"/>
        <c:axId val="447856880"/>
      </c:scatterChart>
      <c:valAx>
        <c:axId val="447854560"/>
        <c:scaling>
          <c:orientation val="minMax"/>
          <c:max val="2014.0"/>
          <c:min val="1981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7856880"/>
        <c:crosses val="autoZero"/>
        <c:crossBetween val="midCat"/>
        <c:majorUnit val="2.0"/>
      </c:valAx>
      <c:valAx>
        <c:axId val="447856880"/>
        <c:scaling>
          <c:orientation val="minMax"/>
          <c:max val="75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22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Relative tons (thousands)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447854560"/>
        <c:crosses val="autoZero"/>
        <c:crossBetween val="midCat"/>
        <c:majorUnit val="2000.0"/>
      </c:valAx>
    </c:plotArea>
    <c:legend>
      <c:legendPos val="r"/>
      <c:layout>
        <c:manualLayout>
          <c:xMode val="edge"/>
          <c:yMode val="edge"/>
          <c:x val="0.525213745859441"/>
          <c:y val="0.0742864161654991"/>
          <c:w val="0.329867164667035"/>
          <c:h val="0.311735933161442"/>
        </c:manualLayout>
      </c:layout>
      <c:overlay val="0"/>
      <c:txPr>
        <a:bodyPr/>
        <a:lstStyle/>
        <a:p>
          <a:pPr>
            <a:defRPr sz="1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274292077927"/>
          <c:y val="0.0301491667303723"/>
          <c:w val="0.812147702503504"/>
          <c:h val="0.830789757461664"/>
        </c:manualLayout>
      </c:layout>
      <c:scatterChart>
        <c:scatterStyle val="lineMarker"/>
        <c:varyColors val="0"/>
        <c:ser>
          <c:idx val="0"/>
          <c:order val="0"/>
          <c:tx>
            <c:v>Model prediction</c:v>
          </c:tx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pm.rep!$B$510:$L$510</c:f>
              <c:numCache>
                <c:formatCode>General</c:formatCode>
                <c:ptCount val="11"/>
                <c:pt idx="0">
                  <c:v>2006.0</c:v>
                </c:pt>
                <c:pt idx="1">
                  <c:v>2007.0</c:v>
                </c:pt>
                <c:pt idx="2">
                  <c:v>2008.0</c:v>
                </c:pt>
                <c:pt idx="3">
                  <c:v>2009.0</c:v>
                </c:pt>
                <c:pt idx="4">
                  <c:v>2010.0</c:v>
                </c:pt>
                <c:pt idx="5">
                  <c:v>2011.0</c:v>
                </c:pt>
                <c:pt idx="6">
                  <c:v>2012.0</c:v>
                </c:pt>
                <c:pt idx="7">
                  <c:v>2013.0</c:v>
                </c:pt>
                <c:pt idx="8">
                  <c:v>2014.0</c:v>
                </c:pt>
                <c:pt idx="9">
                  <c:v>2015.0</c:v>
                </c:pt>
              </c:numCache>
            </c:numRef>
          </c:xVal>
          <c:yVal>
            <c:numRef>
              <c:f>'AVO wo new'!$C$4:$L$4</c:f>
              <c:numCache>
                <c:formatCode>General</c:formatCode>
                <c:ptCount val="10"/>
                <c:pt idx="0">
                  <c:v>0.487306</c:v>
                </c:pt>
                <c:pt idx="1">
                  <c:v>0.409369</c:v>
                </c:pt>
                <c:pt idx="2">
                  <c:v>0.35566</c:v>
                </c:pt>
                <c:pt idx="3">
                  <c:v>0.434686</c:v>
                </c:pt>
                <c:pt idx="4">
                  <c:v>0.609882</c:v>
                </c:pt>
                <c:pt idx="5">
                  <c:v>0.649528</c:v>
                </c:pt>
                <c:pt idx="6">
                  <c:v>0.673796</c:v>
                </c:pt>
                <c:pt idx="7">
                  <c:v>0.747012</c:v>
                </c:pt>
                <c:pt idx="8">
                  <c:v>0.800311</c:v>
                </c:pt>
                <c:pt idx="9">
                  <c:v>0.752727</c:v>
                </c:pt>
              </c:numCache>
            </c:numRef>
          </c:yVal>
          <c:smooth val="0"/>
        </c:ser>
        <c:ser>
          <c:idx val="1"/>
          <c:order val="1"/>
          <c:tx>
            <c:v>AVO Estimates</c:v>
          </c:tx>
          <c:spPr>
            <a:ln>
              <a:noFill/>
            </a:ln>
          </c:spPr>
          <c:marker>
            <c:symbol val="circle"/>
            <c:size val="15"/>
            <c:spPr>
              <a:gradFill flip="none" rotWithShape="1">
                <a:gsLst>
                  <a:gs pos="0">
                    <a:srgbClr val="FF3399"/>
                  </a:gs>
                  <a:gs pos="25000">
                    <a:srgbClr val="FF6633"/>
                  </a:gs>
                  <a:gs pos="50000">
                    <a:srgbClr val="FFFF00"/>
                  </a:gs>
                  <a:gs pos="75000">
                    <a:srgbClr val="01A78F"/>
                  </a:gs>
                  <a:gs pos="100000">
                    <a:srgbClr val="3366FF"/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'AVO wo new'!$C$10:$L$10</c:f>
                <c:numCache>
                  <c:formatCode>General</c:formatCode>
                  <c:ptCount val="10"/>
                  <c:pt idx="0">
                    <c:v>0.319545662079023</c:v>
                  </c:pt>
                  <c:pt idx="1">
                    <c:v>0.718232220803083</c:v>
                  </c:pt>
                  <c:pt idx="2">
                    <c:v>0.242718407576439</c:v>
                  </c:pt>
                  <c:pt idx="3">
                    <c:v>0.503294531880501</c:v>
                  </c:pt>
                  <c:pt idx="4">
                    <c:v>0.755880306377885</c:v>
                  </c:pt>
                  <c:pt idx="5">
                    <c:v>0.359829511870656</c:v>
                  </c:pt>
                  <c:pt idx="6">
                    <c:v>0.48840425092767</c:v>
                  </c:pt>
                  <c:pt idx="7">
                    <c:v>0.291591472880324</c:v>
                  </c:pt>
                  <c:pt idx="8">
                    <c:v>0.419854687134221</c:v>
                  </c:pt>
                  <c:pt idx="9">
                    <c:v>0.479815809823841</c:v>
                  </c:pt>
                </c:numCache>
              </c:numRef>
            </c:plus>
            <c:minus>
              <c:numRef>
                <c:f>'AVO wo new'!$C$9:$L$9</c:f>
                <c:numCache>
                  <c:formatCode>General</c:formatCode>
                  <c:ptCount val="10"/>
                  <c:pt idx="0">
                    <c:v>0.202781869436797</c:v>
                  </c:pt>
                  <c:pt idx="1">
                    <c:v>0.337837238827179</c:v>
                  </c:pt>
                  <c:pt idx="2">
                    <c:v>0.137337051701732</c:v>
                  </c:pt>
                  <c:pt idx="3">
                    <c:v>0.181893828602173</c:v>
                  </c:pt>
                  <c:pt idx="4">
                    <c:v>0.357604782007472</c:v>
                  </c:pt>
                  <c:pt idx="5">
                    <c:v>0.216478034940291</c:v>
                  </c:pt>
                  <c:pt idx="6">
                    <c:v>0.280802054764439</c:v>
                  </c:pt>
                  <c:pt idx="7">
                    <c:v>0.205472996969759</c:v>
                  </c:pt>
                  <c:pt idx="8">
                    <c:v>0.286271583525696</c:v>
                  </c:pt>
                  <c:pt idx="9">
                    <c:v>0.319162625932676</c:v>
                  </c:pt>
                </c:numCache>
              </c:numRef>
            </c:minus>
          </c:errBars>
          <c:xVal>
            <c:numRef>
              <c:f>pm.rep!$B$510:$L$510</c:f>
              <c:numCache>
                <c:formatCode>General</c:formatCode>
                <c:ptCount val="11"/>
                <c:pt idx="0">
                  <c:v>2006.0</c:v>
                </c:pt>
                <c:pt idx="1">
                  <c:v>2007.0</c:v>
                </c:pt>
                <c:pt idx="2">
                  <c:v>2008.0</c:v>
                </c:pt>
                <c:pt idx="3">
                  <c:v>2009.0</c:v>
                </c:pt>
                <c:pt idx="4">
                  <c:v>2010.0</c:v>
                </c:pt>
                <c:pt idx="5">
                  <c:v>2011.0</c:v>
                </c:pt>
                <c:pt idx="6">
                  <c:v>2012.0</c:v>
                </c:pt>
                <c:pt idx="7">
                  <c:v>2013.0</c:v>
                </c:pt>
                <c:pt idx="8">
                  <c:v>2014.0</c:v>
                </c:pt>
                <c:pt idx="9">
                  <c:v>2015.0</c:v>
                </c:pt>
              </c:numCache>
            </c:numRef>
          </c:xVal>
          <c:yVal>
            <c:numRef>
              <c:f>'AVO wo new'!$C$3:$L$3</c:f>
              <c:numCache>
                <c:formatCode>General</c:formatCode>
                <c:ptCount val="10"/>
                <c:pt idx="0">
                  <c:v>0.55495</c:v>
                </c:pt>
                <c:pt idx="1">
                  <c:v>0.637878</c:v>
                </c:pt>
                <c:pt idx="2">
                  <c:v>0.31632</c:v>
                </c:pt>
                <c:pt idx="3">
                  <c:v>0.284835</c:v>
                </c:pt>
                <c:pt idx="4">
                  <c:v>0.678692</c:v>
                </c:pt>
                <c:pt idx="5">
                  <c:v>0.543386</c:v>
                </c:pt>
                <c:pt idx="6">
                  <c:v>0.660614</c:v>
                </c:pt>
                <c:pt idx="7">
                  <c:v>0.695718</c:v>
                </c:pt>
                <c:pt idx="8">
                  <c:v>0.899758</c:v>
                </c:pt>
                <c:pt idx="9">
                  <c:v>0.953229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84688"/>
        <c:axId val="504088592"/>
      </c:scatterChart>
      <c:valAx>
        <c:axId val="504084688"/>
        <c:scaling>
          <c:orientation val="minMax"/>
          <c:max val="2015.0"/>
        </c:scaling>
        <c:delete val="0"/>
        <c:axPos val="b"/>
        <c:title>
          <c:tx>
            <c:rich>
              <a:bodyPr/>
              <a:lstStyle/>
              <a:p>
                <a:pPr>
                  <a:defRPr sz="2400" baseline="0"/>
                </a:pPr>
                <a:r>
                  <a:rPr lang="en-US" sz="2400" baseline="0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4088592"/>
        <c:crosses val="autoZero"/>
        <c:crossBetween val="midCat"/>
      </c:valAx>
      <c:valAx>
        <c:axId val="5040885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400" baseline="0"/>
                </a:pPr>
                <a:r>
                  <a:rPr lang="en-US" sz="2400" baseline="0"/>
                  <a:t>Index value</a:t>
                </a:r>
              </a:p>
            </c:rich>
          </c:tx>
          <c:layout>
            <c:manualLayout>
              <c:xMode val="edge"/>
              <c:yMode val="edge"/>
              <c:x val="0.023034400619376"/>
              <c:y val="0.31632622085681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040846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6175903848287"/>
          <c:y val="0.685313145019494"/>
          <c:w val="0.309339072492699"/>
          <c:h val="0.168417456616467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800" baseline="0"/>
      </a:pPr>
      <a:endParaRPr lang="en-US"/>
    </a:p>
  </c:txPr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'AVO wo new'!$N$6:$AB$6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'AVO wo new'!$N$7:$AB$7</c:f>
              <c:numCache>
                <c:formatCode>General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'AVO wo new'!$N$6:$AB$6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'AVO wo new'!$N$8:$AB$8</c:f>
              <c:numCache>
                <c:formatCode>General</c:formatCode>
                <c:ptCount val="15"/>
                <c:pt idx="0">
                  <c:v>0.000100517865804914</c:v>
                </c:pt>
                <c:pt idx="1">
                  <c:v>0.00695741401788107</c:v>
                </c:pt>
                <c:pt idx="2">
                  <c:v>0.079884701362168</c:v>
                </c:pt>
                <c:pt idx="3">
                  <c:v>0.323001495931135</c:v>
                </c:pt>
                <c:pt idx="4">
                  <c:v>0.706229654262386</c:v>
                </c:pt>
                <c:pt idx="5">
                  <c:v>1.0</c:v>
                </c:pt>
                <c:pt idx="6">
                  <c:v>0.990937348414008</c:v>
                </c:pt>
                <c:pt idx="7">
                  <c:v>0.95062070400351</c:v>
                </c:pt>
                <c:pt idx="8">
                  <c:v>0.917185568956998</c:v>
                </c:pt>
                <c:pt idx="9">
                  <c:v>0.866915272405328</c:v>
                </c:pt>
                <c:pt idx="10">
                  <c:v>0.866915272405328</c:v>
                </c:pt>
                <c:pt idx="11">
                  <c:v>0.866915272405328</c:v>
                </c:pt>
                <c:pt idx="12">
                  <c:v>0.866915272405328</c:v>
                </c:pt>
                <c:pt idx="13">
                  <c:v>0.866915272405328</c:v>
                </c:pt>
                <c:pt idx="14">
                  <c:v>0.866915272405328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92768"/>
        <c:axId val="447495088"/>
      </c:scatterChart>
      <c:valAx>
        <c:axId val="44749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7495088"/>
        <c:crosses val="autoZero"/>
        <c:crossBetween val="midCat"/>
      </c:valAx>
      <c:valAx>
        <c:axId val="447495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492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'AVO wo new'!$B$84:$P$84</c:f>
              <c:numCache>
                <c:formatCode>#,##0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val>
          <c:smooth val="0"/>
        </c:ser>
        <c:ser>
          <c:idx val="1"/>
          <c:order val="1"/>
          <c:val>
            <c:numRef>
              <c:f>'AVO wo new'!$B$133:$P$133</c:f>
              <c:numCache>
                <c:formatCode>#,##0</c:formatCode>
                <c:ptCount val="15"/>
                <c:pt idx="0">
                  <c:v>1082.77042137</c:v>
                </c:pt>
                <c:pt idx="1">
                  <c:v>1278.822013359</c:v>
                </c:pt>
                <c:pt idx="2">
                  <c:v>1706.329058115</c:v>
                </c:pt>
                <c:pt idx="3">
                  <c:v>3083.721496845</c:v>
                </c:pt>
                <c:pt idx="4">
                  <c:v>3513.490603755</c:v>
                </c:pt>
                <c:pt idx="5">
                  <c:v>3698.338131972</c:v>
                </c:pt>
                <c:pt idx="6">
                  <c:v>3852.764511189</c:v>
                </c:pt>
                <c:pt idx="7">
                  <c:v>4012.855126731</c:v>
                </c:pt>
                <c:pt idx="8">
                  <c:v>4245.245916318</c:v>
                </c:pt>
                <c:pt idx="9">
                  <c:v>4304.380089504</c:v>
                </c:pt>
                <c:pt idx="10">
                  <c:v>4440.754014048</c:v>
                </c:pt>
                <c:pt idx="11">
                  <c:v>4467.819755718</c:v>
                </c:pt>
                <c:pt idx="12">
                  <c:v>4499.5216804956</c:v>
                </c:pt>
                <c:pt idx="13">
                  <c:v>4515.0314719686</c:v>
                </c:pt>
                <c:pt idx="14">
                  <c:v>4540.4711351175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102048"/>
        <c:axId val="504104368"/>
      </c:lineChart>
      <c:catAx>
        <c:axId val="50410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504104368"/>
        <c:crosses val="autoZero"/>
        <c:auto val="1"/>
        <c:lblAlgn val="ctr"/>
        <c:lblOffset val="100"/>
        <c:noMultiLvlLbl val="0"/>
      </c:catAx>
      <c:valAx>
        <c:axId val="50410436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04102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Sheet3!$A$11</c:f>
              <c:strCache>
                <c:ptCount val="1"/>
                <c:pt idx="0">
                  <c:v>2012</c:v>
                </c:pt>
              </c:strCache>
            </c:strRef>
          </c:tx>
          <c:xVal>
            <c:numRef>
              <c:f>Sheet3!$B$10:$P$10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Sheet3!$B$11:$P$11</c:f>
              <c:numCache>
                <c:formatCode>General</c:formatCode>
                <c:ptCount val="15"/>
                <c:pt idx="0" formatCode="0.00E+00">
                  <c:v>8.72363E-5</c:v>
                </c:pt>
                <c:pt idx="1">
                  <c:v>0.00361112</c:v>
                </c:pt>
                <c:pt idx="2">
                  <c:v>0.0300383</c:v>
                </c:pt>
                <c:pt idx="3">
                  <c:v>0.162614</c:v>
                </c:pt>
                <c:pt idx="4">
                  <c:v>0.544261</c:v>
                </c:pt>
                <c:pt idx="5">
                  <c:v>0.819106</c:v>
                </c:pt>
                <c:pt idx="6">
                  <c:v>1.46887</c:v>
                </c:pt>
                <c:pt idx="7">
                  <c:v>1.45814</c:v>
                </c:pt>
                <c:pt idx="8">
                  <c:v>1.41549</c:v>
                </c:pt>
                <c:pt idx="9">
                  <c:v>1.5163</c:v>
                </c:pt>
                <c:pt idx="10">
                  <c:v>1.5163</c:v>
                </c:pt>
                <c:pt idx="11">
                  <c:v>1.5163</c:v>
                </c:pt>
                <c:pt idx="12">
                  <c:v>1.5163</c:v>
                </c:pt>
                <c:pt idx="13">
                  <c:v>1.5163</c:v>
                </c:pt>
                <c:pt idx="14">
                  <c:v>1.5163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Sheet3!$A$12</c:f>
              <c:strCache>
                <c:ptCount val="1"/>
                <c:pt idx="0">
                  <c:v>Future</c:v>
                </c:pt>
              </c:strCache>
            </c:strRef>
          </c:tx>
          <c:xVal>
            <c:numRef>
              <c:f>Sheet3!$B$10:$P$10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Sheet3!$B$12:$P$12</c:f>
              <c:numCache>
                <c:formatCode>General</c:formatCode>
                <c:ptCount val="15"/>
                <c:pt idx="0">
                  <c:v>0.000100009</c:v>
                </c:pt>
                <c:pt idx="1">
                  <c:v>0.00657228</c:v>
                </c:pt>
                <c:pt idx="2">
                  <c:v>0.0771818</c:v>
                </c:pt>
                <c:pt idx="3">
                  <c:v>0.325027</c:v>
                </c:pt>
                <c:pt idx="4">
                  <c:v>0.71536</c:v>
                </c:pt>
                <c:pt idx="5">
                  <c:v>1.0</c:v>
                </c:pt>
                <c:pt idx="6">
                  <c:v>1.04727</c:v>
                </c:pt>
                <c:pt idx="7">
                  <c:v>0.999913</c:v>
                </c:pt>
                <c:pt idx="8">
                  <c:v>0.962659</c:v>
                </c:pt>
                <c:pt idx="9">
                  <c:v>0.955058</c:v>
                </c:pt>
                <c:pt idx="10">
                  <c:v>0.955058</c:v>
                </c:pt>
                <c:pt idx="11">
                  <c:v>0.955058</c:v>
                </c:pt>
                <c:pt idx="12">
                  <c:v>0.955058</c:v>
                </c:pt>
                <c:pt idx="13">
                  <c:v>0.955058</c:v>
                </c:pt>
                <c:pt idx="14">
                  <c:v>0.955058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Sheet3!$B$10:$P$10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Sheet3!$B$15:$P$15</c:f>
              <c:numCache>
                <c:formatCode>General</c:formatCode>
                <c:ptCount val="15"/>
                <c:pt idx="0">
                  <c:v>0.000112378</c:v>
                </c:pt>
                <c:pt idx="1">
                  <c:v>0.00738701</c:v>
                </c:pt>
                <c:pt idx="2">
                  <c:v>0.097611</c:v>
                </c:pt>
                <c:pt idx="3">
                  <c:v>0.32773</c:v>
                </c:pt>
                <c:pt idx="4">
                  <c:v>0.658661</c:v>
                </c:pt>
                <c:pt idx="5">
                  <c:v>1.0</c:v>
                </c:pt>
                <c:pt idx="6">
                  <c:v>1.08914</c:v>
                </c:pt>
                <c:pt idx="7">
                  <c:v>1.1138</c:v>
                </c:pt>
                <c:pt idx="8">
                  <c:v>1.09045</c:v>
                </c:pt>
                <c:pt idx="9">
                  <c:v>1.18959</c:v>
                </c:pt>
                <c:pt idx="10">
                  <c:v>1.18959</c:v>
                </c:pt>
                <c:pt idx="11">
                  <c:v>1.18959</c:v>
                </c:pt>
                <c:pt idx="12">
                  <c:v>1.18959</c:v>
                </c:pt>
                <c:pt idx="13">
                  <c:v>1.18959</c:v>
                </c:pt>
                <c:pt idx="14">
                  <c:v>1.18959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Sheet3!$A$14</c:f>
              <c:strCache>
                <c:ptCount val="1"/>
                <c:pt idx="0">
                  <c:v>2012</c:v>
                </c:pt>
              </c:strCache>
            </c:strRef>
          </c:tx>
          <c:xVal>
            <c:numRef>
              <c:f>Sheet3!$B$10:$P$10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Sheet3!$B$14:$P$14</c:f>
              <c:numCache>
                <c:formatCode>General</c:formatCode>
                <c:ptCount val="15"/>
                <c:pt idx="0">
                  <c:v>0.000138291</c:v>
                </c:pt>
                <c:pt idx="1">
                  <c:v>0.0117016</c:v>
                </c:pt>
                <c:pt idx="2">
                  <c:v>0.0888627</c:v>
                </c:pt>
                <c:pt idx="3">
                  <c:v>0.409275</c:v>
                </c:pt>
                <c:pt idx="4">
                  <c:v>0.46755</c:v>
                </c:pt>
                <c:pt idx="5">
                  <c:v>1.47767</c:v>
                </c:pt>
                <c:pt idx="6">
                  <c:v>1.49601</c:v>
                </c:pt>
                <c:pt idx="7">
                  <c:v>1.48103</c:v>
                </c:pt>
                <c:pt idx="8">
                  <c:v>1.39975</c:v>
                </c:pt>
                <c:pt idx="9">
                  <c:v>1.36134</c:v>
                </c:pt>
                <c:pt idx="10">
                  <c:v>1.36134</c:v>
                </c:pt>
                <c:pt idx="11">
                  <c:v>1.36134</c:v>
                </c:pt>
                <c:pt idx="12">
                  <c:v>1.36134</c:v>
                </c:pt>
                <c:pt idx="13">
                  <c:v>1.36134</c:v>
                </c:pt>
                <c:pt idx="14">
                  <c:v>1.36134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41776"/>
        <c:axId val="504044608"/>
      </c:scatterChart>
      <c:valAx>
        <c:axId val="50404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4044608"/>
        <c:crosses val="autoZero"/>
        <c:crossBetween val="midCat"/>
      </c:valAx>
      <c:valAx>
        <c:axId val="5040446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4041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38407699038"/>
          <c:y val="0.0652894429862934"/>
          <c:w val="0.855011592300962"/>
          <c:h val="0.8326195683872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Sheet4!$C$46</c:f>
              <c:strCache>
                <c:ptCount val="1"/>
                <c:pt idx="0">
                  <c:v>2010 Assessment</c:v>
                </c:pt>
              </c:strCache>
            </c:strRef>
          </c:tx>
          <c:spPr>
            <a:noFill/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Sheet4!$D$45:$R$45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Sheet4!$D$46:$R$46</c:f>
              <c:numCache>
                <c:formatCode>General</c:formatCode>
                <c:ptCount val="15"/>
                <c:pt idx="0">
                  <c:v>30552.0</c:v>
                </c:pt>
                <c:pt idx="1">
                  <c:v>18645.6</c:v>
                </c:pt>
                <c:pt idx="2">
                  <c:v>4103.31</c:v>
                </c:pt>
                <c:pt idx="3">
                  <c:v>6360.74</c:v>
                </c:pt>
                <c:pt idx="4">
                  <c:v>1157.18</c:v>
                </c:pt>
                <c:pt idx="5">
                  <c:v>232.267</c:v>
                </c:pt>
                <c:pt idx="6">
                  <c:v>175.384</c:v>
                </c:pt>
                <c:pt idx="7">
                  <c:v>190.896</c:v>
                </c:pt>
                <c:pt idx="8">
                  <c:v>159.654</c:v>
                </c:pt>
                <c:pt idx="9">
                  <c:v>129.864</c:v>
                </c:pt>
                <c:pt idx="10">
                  <c:v>65.68519999999999</c:v>
                </c:pt>
                <c:pt idx="11">
                  <c:v>26.2091</c:v>
                </c:pt>
                <c:pt idx="12">
                  <c:v>12.8904</c:v>
                </c:pt>
                <c:pt idx="13">
                  <c:v>13.2766</c:v>
                </c:pt>
                <c:pt idx="14">
                  <c:v>16.0406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axId val="503947408"/>
        <c:axId val="503949728"/>
      </c:barChart>
      <c:lineChart>
        <c:grouping val="standard"/>
        <c:varyColors val="0"/>
        <c:ser>
          <c:idx val="1"/>
          <c:order val="1"/>
          <c:tx>
            <c:strRef>
              <c:f>Sheet4!$C$47</c:f>
              <c:strCache>
                <c:ptCount val="1"/>
                <c:pt idx="0">
                  <c:v>Current assessment</c:v>
                </c:pt>
              </c:strCache>
            </c:strRef>
          </c:tx>
          <c:marker>
            <c:symbol val="dash"/>
            <c:size val="9"/>
          </c:marker>
          <c:cat>
            <c:numRef>
              <c:f>Sheet4!$D$45:$R$45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cat>
          <c:val>
            <c:numRef>
              <c:f>Sheet4!$D$47:$R$47</c:f>
              <c:numCache>
                <c:formatCode>General</c:formatCode>
                <c:ptCount val="15"/>
                <c:pt idx="0">
                  <c:v>22500.1</c:v>
                </c:pt>
                <c:pt idx="1">
                  <c:v>23145.5</c:v>
                </c:pt>
                <c:pt idx="2">
                  <c:v>3783.56</c:v>
                </c:pt>
                <c:pt idx="3">
                  <c:v>4932.12</c:v>
                </c:pt>
                <c:pt idx="4">
                  <c:v>1522.99</c:v>
                </c:pt>
                <c:pt idx="5">
                  <c:v>363.694</c:v>
                </c:pt>
                <c:pt idx="6">
                  <c:v>250.199</c:v>
                </c:pt>
                <c:pt idx="7">
                  <c:v>256.206</c:v>
                </c:pt>
                <c:pt idx="8">
                  <c:v>217.315</c:v>
                </c:pt>
                <c:pt idx="9">
                  <c:v>165.652</c:v>
                </c:pt>
                <c:pt idx="10">
                  <c:v>82.97280000000001</c:v>
                </c:pt>
                <c:pt idx="11">
                  <c:v>33.5468</c:v>
                </c:pt>
                <c:pt idx="12">
                  <c:v>17.0054</c:v>
                </c:pt>
                <c:pt idx="13">
                  <c:v>16.9498</c:v>
                </c:pt>
                <c:pt idx="14">
                  <c:v>22.3864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947408"/>
        <c:axId val="503949728"/>
      </c:lineChart>
      <c:catAx>
        <c:axId val="50394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3949728"/>
        <c:crosses val="autoZero"/>
        <c:auto val="1"/>
        <c:lblAlgn val="ctr"/>
        <c:lblOffset val="100"/>
        <c:noMultiLvlLbl val="0"/>
      </c:catAx>
      <c:valAx>
        <c:axId val="503949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3947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726177679511"/>
          <c:y val="0.0261011419249594"/>
          <c:w val="0.855715871254165"/>
          <c:h val="0.784665579119087"/>
        </c:manualLayout>
      </c:layout>
      <c:areaChart>
        <c:grouping val="standard"/>
        <c:varyColors val="0"/>
        <c:ser>
          <c:idx val="2"/>
          <c:order val="0"/>
          <c:spPr>
            <a:solidFill>
              <a:srgbClr val="A6CAF0"/>
            </a:solidFill>
            <a:ln w="25400">
              <a:noFill/>
            </a:ln>
          </c:spPr>
          <c:cat>
            <c:numRef>
              <c:f>StdDev!$B$582:$B$608</c:f>
              <c:numCache>
                <c:formatCode>General</c:formatCode>
                <c:ptCount val="27"/>
                <c:pt idx="0">
                  <c:v>1991.0</c:v>
                </c:pt>
                <c:pt idx="1">
                  <c:v>1992.0</c:v>
                </c:pt>
                <c:pt idx="2">
                  <c:v>1993.0</c:v>
                </c:pt>
                <c:pt idx="3">
                  <c:v>1994.0</c:v>
                </c:pt>
                <c:pt idx="4">
                  <c:v>1995.0</c:v>
                </c:pt>
                <c:pt idx="5">
                  <c:v>1996.0</c:v>
                </c:pt>
                <c:pt idx="6">
                  <c:v>1997.0</c:v>
                </c:pt>
                <c:pt idx="7">
                  <c:v>1998.0</c:v>
                </c:pt>
                <c:pt idx="8">
                  <c:v>1999.0</c:v>
                </c:pt>
                <c:pt idx="9">
                  <c:v>2000.0</c:v>
                </c:pt>
                <c:pt idx="10">
                  <c:v>2001.0</c:v>
                </c:pt>
                <c:pt idx="11">
                  <c:v>2002.0</c:v>
                </c:pt>
                <c:pt idx="12">
                  <c:v>2003.0</c:v>
                </c:pt>
                <c:pt idx="13">
                  <c:v>2004.0</c:v>
                </c:pt>
                <c:pt idx="14">
                  <c:v>2005.0</c:v>
                </c:pt>
                <c:pt idx="15">
                  <c:v>2006.0</c:v>
                </c:pt>
                <c:pt idx="16">
                  <c:v>2007.0</c:v>
                </c:pt>
                <c:pt idx="17">
                  <c:v>2008.0</c:v>
                </c:pt>
                <c:pt idx="18">
                  <c:v>2009.0</c:v>
                </c:pt>
                <c:pt idx="19">
                  <c:v>2010.0</c:v>
                </c:pt>
                <c:pt idx="20">
                  <c:v>2011.0</c:v>
                </c:pt>
                <c:pt idx="21">
                  <c:v>2012.0</c:v>
                </c:pt>
                <c:pt idx="22">
                  <c:v>2013.0</c:v>
                </c:pt>
                <c:pt idx="23">
                  <c:v>2014.0</c:v>
                </c:pt>
                <c:pt idx="24">
                  <c:v>2015.0</c:v>
                </c:pt>
                <c:pt idx="25">
                  <c:v>2016.0</c:v>
                </c:pt>
                <c:pt idx="26">
                  <c:v>2017.0</c:v>
                </c:pt>
              </c:numCache>
            </c:numRef>
          </c:cat>
          <c:val>
            <c:numRef>
              <c:f>StdDev!$F$582:$F$608</c:f>
              <c:numCache>
                <c:formatCode>#,##0</c:formatCode>
                <c:ptCount val="27"/>
                <c:pt idx="0">
                  <c:v>2420.998873889283</c:v>
                </c:pt>
                <c:pt idx="1">
                  <c:v>2525.653800351347</c:v>
                </c:pt>
                <c:pt idx="2">
                  <c:v>3449.873784294955</c:v>
                </c:pt>
                <c:pt idx="3">
                  <c:v>3780.278286410646</c:v>
                </c:pt>
                <c:pt idx="4">
                  <c:v>4016.31682723471</c:v>
                </c:pt>
                <c:pt idx="5">
                  <c:v>4042.513614538943</c:v>
                </c:pt>
                <c:pt idx="6">
                  <c:v>3840.195231309918</c:v>
                </c:pt>
                <c:pt idx="7">
                  <c:v>3577.698076760551</c:v>
                </c:pt>
                <c:pt idx="8">
                  <c:v>3563.667868946036</c:v>
                </c:pt>
                <c:pt idx="9">
                  <c:v>3584.245555578338</c:v>
                </c:pt>
                <c:pt idx="10">
                  <c:v>3632.183223783773</c:v>
                </c:pt>
                <c:pt idx="11">
                  <c:v>3452.464591912387</c:v>
                </c:pt>
                <c:pt idx="12">
                  <c:v>3646.566232366988</c:v>
                </c:pt>
                <c:pt idx="13">
                  <c:v>3746.44788396066</c:v>
                </c:pt>
                <c:pt idx="14">
                  <c:v>3439.165288635269</c:v>
                </c:pt>
                <c:pt idx="15">
                  <c:v>2849.729674414334</c:v>
                </c:pt>
                <c:pt idx="16">
                  <c:v>2412.520885113941</c:v>
                </c:pt>
                <c:pt idx="17">
                  <c:v>1801.971005067832</c:v>
                </c:pt>
                <c:pt idx="18">
                  <c:v>1976.23299755783</c:v>
                </c:pt>
                <c:pt idx="19">
                  <c:v>2257.728922253258</c:v>
                </c:pt>
                <c:pt idx="20">
                  <c:v>2883.49596327172</c:v>
                </c:pt>
                <c:pt idx="21">
                  <c:v>3561.087925830966</c:v>
                </c:pt>
                <c:pt idx="22">
                  <c:v>4176.877007261485</c:v>
                </c:pt>
                <c:pt idx="23">
                  <c:v>4482.97131583742</c:v>
                </c:pt>
                <c:pt idx="24">
                  <c:v>4660.89349940377</c:v>
                </c:pt>
                <c:pt idx="25">
                  <c:v>4872.629115551755</c:v>
                </c:pt>
                <c:pt idx="26">
                  <c:v>5265.38476944405</c:v>
                </c:pt>
              </c:numCache>
            </c:numRef>
          </c:val>
        </c:ser>
        <c:ser>
          <c:idx val="1"/>
          <c:order val="3"/>
          <c:spPr>
            <a:solidFill>
              <a:srgbClr val="FFFFFF"/>
            </a:solidFill>
            <a:ln w="25400">
              <a:noFill/>
            </a:ln>
          </c:spPr>
          <c:cat>
            <c:numRef>
              <c:f>StdDev!$B$582:$B$608</c:f>
              <c:numCache>
                <c:formatCode>General</c:formatCode>
                <c:ptCount val="27"/>
                <c:pt idx="0">
                  <c:v>1991.0</c:v>
                </c:pt>
                <c:pt idx="1">
                  <c:v>1992.0</c:v>
                </c:pt>
                <c:pt idx="2">
                  <c:v>1993.0</c:v>
                </c:pt>
                <c:pt idx="3">
                  <c:v>1994.0</c:v>
                </c:pt>
                <c:pt idx="4">
                  <c:v>1995.0</c:v>
                </c:pt>
                <c:pt idx="5">
                  <c:v>1996.0</c:v>
                </c:pt>
                <c:pt idx="6">
                  <c:v>1997.0</c:v>
                </c:pt>
                <c:pt idx="7">
                  <c:v>1998.0</c:v>
                </c:pt>
                <c:pt idx="8">
                  <c:v>1999.0</c:v>
                </c:pt>
                <c:pt idx="9">
                  <c:v>2000.0</c:v>
                </c:pt>
                <c:pt idx="10">
                  <c:v>2001.0</c:v>
                </c:pt>
                <c:pt idx="11">
                  <c:v>2002.0</c:v>
                </c:pt>
                <c:pt idx="12">
                  <c:v>2003.0</c:v>
                </c:pt>
                <c:pt idx="13">
                  <c:v>2004.0</c:v>
                </c:pt>
                <c:pt idx="14">
                  <c:v>2005.0</c:v>
                </c:pt>
                <c:pt idx="15">
                  <c:v>2006.0</c:v>
                </c:pt>
                <c:pt idx="16">
                  <c:v>2007.0</c:v>
                </c:pt>
                <c:pt idx="17">
                  <c:v>2008.0</c:v>
                </c:pt>
                <c:pt idx="18">
                  <c:v>2009.0</c:v>
                </c:pt>
                <c:pt idx="19">
                  <c:v>2010.0</c:v>
                </c:pt>
                <c:pt idx="20">
                  <c:v>2011.0</c:v>
                </c:pt>
                <c:pt idx="21">
                  <c:v>2012.0</c:v>
                </c:pt>
                <c:pt idx="22">
                  <c:v>2013.0</c:v>
                </c:pt>
                <c:pt idx="23">
                  <c:v>2014.0</c:v>
                </c:pt>
                <c:pt idx="24">
                  <c:v>2015.0</c:v>
                </c:pt>
                <c:pt idx="25">
                  <c:v>2016.0</c:v>
                </c:pt>
                <c:pt idx="26">
                  <c:v>2017.0</c:v>
                </c:pt>
              </c:numCache>
            </c:numRef>
          </c:cat>
          <c:val>
            <c:numRef>
              <c:f>StdDev!$E$582:$E$608</c:f>
              <c:numCache>
                <c:formatCode>#,##0</c:formatCode>
                <c:ptCount val="27"/>
                <c:pt idx="0">
                  <c:v>1961.911015831896</c:v>
                </c:pt>
                <c:pt idx="1">
                  <c:v>2100.15704023335</c:v>
                </c:pt>
                <c:pt idx="2">
                  <c:v>2972.678538758737</c:v>
                </c:pt>
                <c:pt idx="3">
                  <c:v>3282.299690635034</c:v>
                </c:pt>
                <c:pt idx="4">
                  <c:v>3499.661858020694</c:v>
                </c:pt>
                <c:pt idx="5">
                  <c:v>3506.351087853201</c:v>
                </c:pt>
                <c:pt idx="6">
                  <c:v>3308.968769711617</c:v>
                </c:pt>
                <c:pt idx="7">
                  <c:v>3076.040102848666</c:v>
                </c:pt>
                <c:pt idx="8">
                  <c:v>3088.895274422861</c:v>
                </c:pt>
                <c:pt idx="9">
                  <c:v>3122.657216546104</c:v>
                </c:pt>
                <c:pt idx="10">
                  <c:v>3149.607986483292</c:v>
                </c:pt>
                <c:pt idx="11">
                  <c:v>2995.544931648773</c:v>
                </c:pt>
                <c:pt idx="12">
                  <c:v>3203.5728040012</c:v>
                </c:pt>
                <c:pt idx="13">
                  <c:v>3307.991074174018</c:v>
                </c:pt>
                <c:pt idx="14">
                  <c:v>3020.421564013302</c:v>
                </c:pt>
                <c:pt idx="15">
                  <c:v>2466.12900272526</c:v>
                </c:pt>
                <c:pt idx="16">
                  <c:v>2034.018055668869</c:v>
                </c:pt>
                <c:pt idx="17">
                  <c:v>1473.898349379946</c:v>
                </c:pt>
                <c:pt idx="18">
                  <c:v>1594.796814897214</c:v>
                </c:pt>
                <c:pt idx="19">
                  <c:v>1803.01085744933</c:v>
                </c:pt>
                <c:pt idx="20">
                  <c:v>2234.076860884774</c:v>
                </c:pt>
                <c:pt idx="21">
                  <c:v>2617.40490381883</c:v>
                </c:pt>
                <c:pt idx="22">
                  <c:v>2916.579556645144</c:v>
                </c:pt>
                <c:pt idx="23">
                  <c:v>2682.050676417054</c:v>
                </c:pt>
                <c:pt idx="24">
                  <c:v>2603.379708537045</c:v>
                </c:pt>
                <c:pt idx="25">
                  <c:v>2597.325991754025</c:v>
                </c:pt>
                <c:pt idx="26">
                  <c:v>2281.797620892303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994192"/>
        <c:axId val="503997584"/>
      </c:areaChart>
      <c:lineChart>
        <c:grouping val="standard"/>
        <c:varyColors val="0"/>
        <c:ser>
          <c:idx val="0"/>
          <c:order val="1"/>
          <c:tx>
            <c:v>Current assessment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plus"/>
            <c:size val="9"/>
            <c:spPr>
              <a:ln>
                <a:solidFill>
                  <a:srgbClr val="FF0000"/>
                </a:solidFill>
              </a:ln>
            </c:spPr>
          </c:marker>
          <c:dPt>
            <c:idx val="17"/>
            <c:bubble3D val="0"/>
            <c:spPr>
              <a:ln w="38100">
                <a:solidFill>
                  <a:srgbClr val="FF0000"/>
                </a:solidFill>
                <a:prstDash val="solid"/>
              </a:ln>
            </c:spPr>
          </c:dPt>
          <c:cat>
            <c:numRef>
              <c:f>StdDev!$L$582:$L$608</c:f>
              <c:numCache>
                <c:formatCode>General</c:formatCode>
                <c:ptCount val="27"/>
                <c:pt idx="0">
                  <c:v>1991.0</c:v>
                </c:pt>
                <c:pt idx="1">
                  <c:v>1992.0</c:v>
                </c:pt>
                <c:pt idx="2">
                  <c:v>1993.0</c:v>
                </c:pt>
                <c:pt idx="3">
                  <c:v>1994.0</c:v>
                </c:pt>
                <c:pt idx="4">
                  <c:v>1995.0</c:v>
                </c:pt>
                <c:pt idx="5">
                  <c:v>1996.0</c:v>
                </c:pt>
                <c:pt idx="6">
                  <c:v>1997.0</c:v>
                </c:pt>
                <c:pt idx="7">
                  <c:v>1998.0</c:v>
                </c:pt>
                <c:pt idx="8">
                  <c:v>1999.0</c:v>
                </c:pt>
                <c:pt idx="9">
                  <c:v>2000.0</c:v>
                </c:pt>
                <c:pt idx="10">
                  <c:v>2001.0</c:v>
                </c:pt>
                <c:pt idx="11">
                  <c:v>2002.0</c:v>
                </c:pt>
                <c:pt idx="12">
                  <c:v>2003.0</c:v>
                </c:pt>
                <c:pt idx="13">
                  <c:v>2004.0</c:v>
                </c:pt>
                <c:pt idx="14">
                  <c:v>2005.0</c:v>
                </c:pt>
                <c:pt idx="15">
                  <c:v>2006.0</c:v>
                </c:pt>
                <c:pt idx="16">
                  <c:v>2007.0</c:v>
                </c:pt>
                <c:pt idx="17">
                  <c:v>2008.0</c:v>
                </c:pt>
                <c:pt idx="18">
                  <c:v>2009.0</c:v>
                </c:pt>
                <c:pt idx="19">
                  <c:v>2010.0</c:v>
                </c:pt>
                <c:pt idx="20">
                  <c:v>2011.0</c:v>
                </c:pt>
                <c:pt idx="21">
                  <c:v>2012.0</c:v>
                </c:pt>
                <c:pt idx="22">
                  <c:v>2013.0</c:v>
                </c:pt>
                <c:pt idx="23">
                  <c:v>2014.0</c:v>
                </c:pt>
                <c:pt idx="24">
                  <c:v>2015.0</c:v>
                </c:pt>
                <c:pt idx="25">
                  <c:v>2016.0</c:v>
                </c:pt>
                <c:pt idx="26">
                  <c:v>2017.0</c:v>
                </c:pt>
              </c:numCache>
            </c:numRef>
          </c:cat>
          <c:val>
            <c:numRef>
              <c:f>StdDev!$C$582:$C$608</c:f>
              <c:numCache>
                <c:formatCode>#,##0</c:formatCode>
                <c:ptCount val="27"/>
                <c:pt idx="0">
                  <c:v>2179.4</c:v>
                </c:pt>
                <c:pt idx="1">
                  <c:v>2303.1</c:v>
                </c:pt>
                <c:pt idx="2">
                  <c:v>3202.4</c:v>
                </c:pt>
                <c:pt idx="3">
                  <c:v>3522.5</c:v>
                </c:pt>
                <c:pt idx="4">
                  <c:v>3749.1</c:v>
                </c:pt>
                <c:pt idx="5">
                  <c:v>3764.9</c:v>
                </c:pt>
                <c:pt idx="6">
                  <c:v>3564.7</c:v>
                </c:pt>
                <c:pt idx="7">
                  <c:v>3317.4</c:v>
                </c:pt>
                <c:pt idx="8">
                  <c:v>3317.8</c:v>
                </c:pt>
                <c:pt idx="9">
                  <c:v>3345.5</c:v>
                </c:pt>
                <c:pt idx="10">
                  <c:v>3382.3</c:v>
                </c:pt>
                <c:pt idx="11">
                  <c:v>3215.9</c:v>
                </c:pt>
                <c:pt idx="12">
                  <c:v>3417.9</c:v>
                </c:pt>
                <c:pt idx="13">
                  <c:v>3520.4</c:v>
                </c:pt>
                <c:pt idx="14">
                  <c:v>3223.0</c:v>
                </c:pt>
                <c:pt idx="15">
                  <c:v>2651.0</c:v>
                </c:pt>
                <c:pt idx="16">
                  <c:v>2215.2</c:v>
                </c:pt>
                <c:pt idx="17">
                  <c:v>1629.7</c:v>
                </c:pt>
                <c:pt idx="18">
                  <c:v>1775.3</c:v>
                </c:pt>
                <c:pt idx="19">
                  <c:v>2017.6</c:v>
                </c:pt>
                <c:pt idx="20">
                  <c:v>2538.1</c:v>
                </c:pt>
                <c:pt idx="21">
                  <c:v>3053.0</c:v>
                </c:pt>
                <c:pt idx="22">
                  <c:v>3490.3</c:v>
                </c:pt>
                <c:pt idx="23">
                  <c:v>3467.5</c:v>
                </c:pt>
                <c:pt idx="24">
                  <c:v>3483.4</c:v>
                </c:pt>
                <c:pt idx="25">
                  <c:v>3557.5</c:v>
                </c:pt>
                <c:pt idx="26">
                  <c:v>3466.2</c:v>
                </c:pt>
              </c:numCache>
            </c:numRef>
          </c:val>
          <c:smooth val="0"/>
        </c:ser>
        <c:ser>
          <c:idx val="3"/>
          <c:order val="2"/>
          <c:tx>
            <c:v>Bmsy</c:v>
          </c:tx>
          <c:spPr>
            <a:ln w="38100">
              <a:solidFill>
                <a:srgbClr val="3333CC"/>
              </a:solidFill>
              <a:prstDash val="solid"/>
            </a:ln>
          </c:spPr>
          <c:marker>
            <c:symbol val="none"/>
          </c:marker>
          <c:dLbls>
            <c:dLbl>
              <c:idx val="9"/>
              <c:layout>
                <c:manualLayout>
                  <c:x val="-0.00473722693653305"/>
                  <c:y val="-0.027323134363506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Tahoma"/>
                      <a:ea typeface="Tahoma"/>
                      <a:cs typeface="Tahoma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StdDev!$L$582:$L$608</c:f>
              <c:numCache>
                <c:formatCode>General</c:formatCode>
                <c:ptCount val="27"/>
                <c:pt idx="0">
                  <c:v>1991.0</c:v>
                </c:pt>
                <c:pt idx="1">
                  <c:v>1992.0</c:v>
                </c:pt>
                <c:pt idx="2">
                  <c:v>1993.0</c:v>
                </c:pt>
                <c:pt idx="3">
                  <c:v>1994.0</c:v>
                </c:pt>
                <c:pt idx="4">
                  <c:v>1995.0</c:v>
                </c:pt>
                <c:pt idx="5">
                  <c:v>1996.0</c:v>
                </c:pt>
                <c:pt idx="6">
                  <c:v>1997.0</c:v>
                </c:pt>
                <c:pt idx="7">
                  <c:v>1998.0</c:v>
                </c:pt>
                <c:pt idx="8">
                  <c:v>1999.0</c:v>
                </c:pt>
                <c:pt idx="9">
                  <c:v>2000.0</c:v>
                </c:pt>
                <c:pt idx="10">
                  <c:v>2001.0</c:v>
                </c:pt>
                <c:pt idx="11">
                  <c:v>2002.0</c:v>
                </c:pt>
                <c:pt idx="12">
                  <c:v>2003.0</c:v>
                </c:pt>
                <c:pt idx="13">
                  <c:v>2004.0</c:v>
                </c:pt>
                <c:pt idx="14">
                  <c:v>2005.0</c:v>
                </c:pt>
                <c:pt idx="15">
                  <c:v>2006.0</c:v>
                </c:pt>
                <c:pt idx="16">
                  <c:v>2007.0</c:v>
                </c:pt>
                <c:pt idx="17">
                  <c:v>2008.0</c:v>
                </c:pt>
                <c:pt idx="18">
                  <c:v>2009.0</c:v>
                </c:pt>
                <c:pt idx="19">
                  <c:v>2010.0</c:v>
                </c:pt>
                <c:pt idx="20">
                  <c:v>2011.0</c:v>
                </c:pt>
                <c:pt idx="21">
                  <c:v>2012.0</c:v>
                </c:pt>
                <c:pt idx="22">
                  <c:v>2013.0</c:v>
                </c:pt>
                <c:pt idx="23">
                  <c:v>2014.0</c:v>
                </c:pt>
                <c:pt idx="24">
                  <c:v>2015.0</c:v>
                </c:pt>
                <c:pt idx="25">
                  <c:v>2016.0</c:v>
                </c:pt>
                <c:pt idx="26">
                  <c:v>2017.0</c:v>
                </c:pt>
              </c:numCache>
            </c:numRef>
          </c:cat>
          <c:val>
            <c:numRef>
              <c:f>Summary!$J$72:$J$98</c:f>
              <c:numCache>
                <c:formatCode>_(* #,##0_);_(* \(#,##0\);_(* "-"??_);_(@_)</c:formatCode>
                <c:ptCount val="27"/>
                <c:pt idx="0">
                  <c:v>1948.1</c:v>
                </c:pt>
                <c:pt idx="1">
                  <c:v>1948.1</c:v>
                </c:pt>
                <c:pt idx="2">
                  <c:v>1948.1</c:v>
                </c:pt>
                <c:pt idx="3">
                  <c:v>1948.1</c:v>
                </c:pt>
                <c:pt idx="4">
                  <c:v>1948.1</c:v>
                </c:pt>
                <c:pt idx="5">
                  <c:v>1948.1</c:v>
                </c:pt>
                <c:pt idx="6">
                  <c:v>1948.1</c:v>
                </c:pt>
                <c:pt idx="7">
                  <c:v>1948.1</c:v>
                </c:pt>
                <c:pt idx="8">
                  <c:v>1948.1</c:v>
                </c:pt>
                <c:pt idx="9">
                  <c:v>1948.1</c:v>
                </c:pt>
                <c:pt idx="10">
                  <c:v>1948.1</c:v>
                </c:pt>
                <c:pt idx="11">
                  <c:v>1948.1</c:v>
                </c:pt>
                <c:pt idx="12">
                  <c:v>1948.1</c:v>
                </c:pt>
                <c:pt idx="13">
                  <c:v>1948.1</c:v>
                </c:pt>
                <c:pt idx="14">
                  <c:v>1948.1</c:v>
                </c:pt>
                <c:pt idx="15">
                  <c:v>1948.1</c:v>
                </c:pt>
                <c:pt idx="16">
                  <c:v>1948.1</c:v>
                </c:pt>
                <c:pt idx="17">
                  <c:v>1948.1</c:v>
                </c:pt>
                <c:pt idx="18">
                  <c:v>1948.1</c:v>
                </c:pt>
                <c:pt idx="19">
                  <c:v>1948.1</c:v>
                </c:pt>
                <c:pt idx="20">
                  <c:v>1948.1</c:v>
                </c:pt>
                <c:pt idx="21">
                  <c:v>1948.1</c:v>
                </c:pt>
                <c:pt idx="22">
                  <c:v>1948.1</c:v>
                </c:pt>
                <c:pt idx="23">
                  <c:v>1948.1</c:v>
                </c:pt>
                <c:pt idx="24">
                  <c:v>1948.1</c:v>
                </c:pt>
                <c:pt idx="25">
                  <c:v>1948.1</c:v>
                </c:pt>
                <c:pt idx="26">
                  <c:v>1948.1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994192"/>
        <c:axId val="503997584"/>
      </c:lineChart>
      <c:catAx>
        <c:axId val="50399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22752522601342"/>
              <c:y val="0.91680262945183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Verdana" pitchFamily="34" charset="0"/>
                <a:ea typeface="Tahoma"/>
                <a:cs typeface="Tahoma"/>
              </a:defRPr>
            </a:pPr>
            <a:endParaRPr lang="en-US"/>
          </a:p>
        </c:txPr>
        <c:crossAx val="50399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3997584"/>
        <c:scaling>
          <c:orientation val="minMax"/>
          <c:max val="45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Verdana" pitchFamily="34" charset="0"/>
                    <a:ea typeface="Tahoma"/>
                    <a:cs typeface="Tahoma"/>
                  </a:defRPr>
                </a:pPr>
                <a:r>
                  <a:rPr lang="en-US" sz="1600" b="0" baseline="0">
                    <a:latin typeface="Verdana" pitchFamily="34" charset="0"/>
                  </a:rPr>
                  <a:t>Female spawning biomass (1,000s of t)</a:t>
                </a:r>
              </a:p>
            </c:rich>
          </c:tx>
          <c:layout>
            <c:manualLayout>
              <c:xMode val="edge"/>
              <c:yMode val="edge"/>
              <c:x val="0.000369903762029746"/>
              <c:y val="0.052202322244943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503994192"/>
        <c:crosses val="autoZero"/>
        <c:crossBetween val="midCat"/>
        <c:majorUnit val="1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487372411782"/>
          <c:y val="0.0244018279501837"/>
          <c:w val="0.804227354913969"/>
          <c:h val="0.829840019196805"/>
        </c:manualLayout>
      </c:layout>
      <c:scatterChart>
        <c:scatterStyle val="lineMarker"/>
        <c:varyColors val="0"/>
        <c:ser>
          <c:idx val="1"/>
          <c:order val="0"/>
          <c:tx>
            <c:v>Used in stock-recruit estimation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9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30"/>
            <c:marker>
              <c:spPr>
                <a:solidFill>
                  <a:srgbClr val="00B05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</c:dPt>
          <c:dPt>
            <c:idx val="31"/>
            <c:marker>
              <c:spPr>
                <a:solidFill>
                  <a:srgbClr val="00B05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</c:dPt>
          <c:dPt>
            <c:idx val="32"/>
            <c:marker>
              <c:spPr>
                <a:solidFill>
                  <a:srgbClr val="00B05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</c:dPt>
          <c:dLbls>
            <c:dLbl>
              <c:idx val="0"/>
              <c:layout>
                <c:manualLayout>
                  <c:x val="-0.0384757676655568"/>
                  <c:y val="-0.0239260467645459"/>
                </c:manualLayout>
              </c:layout>
              <c:tx>
                <c:rich>
                  <a:bodyPr/>
                  <a:lstStyle/>
                  <a:p>
                    <a:pPr>
                      <a:defRPr sz="14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1400" b="0" baseline="0"/>
                      <a:t> 1978 </a:t>
                    </a:r>
                    <a:endParaRPr lang="en-US" b="0" baseline="0"/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0.0207177210506844"/>
                  <c:y val="-0.0217509516041327"/>
                </c:manualLayout>
              </c:layout>
              <c:tx>
                <c:rich>
                  <a:bodyPr/>
                  <a:lstStyle/>
                  <a:p>
                    <a:r>
                      <a:rPr lang="en-US" sz="1400" baseline="0"/>
                      <a:t>1982</a:t>
                    </a:r>
                    <a:endParaRPr lang="en-US" baseline="0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0.0310765815760266"/>
                  <c:y val="-0.0239260467645459"/>
                </c:manualLayout>
              </c:layout>
              <c:tx>
                <c:rich>
                  <a:bodyPr/>
                  <a:lstStyle/>
                  <a:p>
                    <a:r>
                      <a:rPr lang="en-US" sz="1400" baseline="0"/>
                      <a:t>1989</a:t>
                    </a:r>
                    <a:endParaRPr lang="en-US" baseline="0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0.0414354421013688"/>
                  <c:y val="-0.0261011419249592"/>
                </c:manualLayout>
              </c:layout>
              <c:tx>
                <c:rich>
                  <a:bodyPr/>
                  <a:lstStyle/>
                  <a:p>
                    <a:r>
                      <a:rPr lang="en-US" sz="1400" baseline="0"/>
                      <a:t> 1992  </a:t>
                    </a:r>
                    <a:endParaRPr lang="en-US" baseline="0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-0.0385633926724754"/>
                  <c:y val="-0.0302715015435469"/>
                </c:manualLayout>
              </c:layout>
              <c:tx>
                <c:rich>
                  <a:bodyPr/>
                  <a:lstStyle/>
                  <a:p>
                    <a:pPr>
                      <a:defRPr sz="14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1400" b="0" baseline="0"/>
                      <a:t>2000 </a:t>
                    </a:r>
                    <a:endParaRPr lang="en-US" sz="1100" b="0" baseline="0"/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-0.00255566821270629"/>
                  <c:y val="-0.0015702867330263"/>
                </c:manualLayout>
              </c:layout>
              <c:tx>
                <c:rich>
                  <a:bodyPr/>
                  <a:lstStyle/>
                  <a:p>
                    <a:pPr>
                      <a:defRPr sz="1400" b="0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1400" b="0" baseline="0"/>
                      <a:t>2006 </a:t>
                    </a:r>
                    <a:endParaRPr lang="en-US" b="0" baseline="0"/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0"/>
              <c:layout>
                <c:manualLayout>
                  <c:x val="-0.0356435657458317"/>
                  <c:y val="-0.0240000013743737"/>
                </c:manualLayout>
              </c:layout>
              <c:tx>
                <c:rich>
                  <a:bodyPr/>
                  <a:lstStyle/>
                  <a:p>
                    <a:pPr>
                      <a:defRPr sz="1400" b="1" baseline="0"/>
                    </a:pPr>
                    <a:r>
                      <a:rPr lang="en-US" sz="1400" b="1" baseline="0"/>
                      <a:t>2008</a:t>
                    </a:r>
                    <a:endParaRPr lang="en-US" b="1"/>
                  </a:p>
                </c:rich>
              </c:tx>
              <c:spPr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aseline="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Summary!$AA$62:$AA$94</c:f>
              <c:numCache>
                <c:formatCode>#,##0</c:formatCode>
                <c:ptCount val="33"/>
                <c:pt idx="0">
                  <c:v>1095.3</c:v>
                </c:pt>
                <c:pt idx="1">
                  <c:v>1100.7</c:v>
                </c:pt>
                <c:pt idx="2">
                  <c:v>1251.5</c:v>
                </c:pt>
                <c:pt idx="3">
                  <c:v>1985.8</c:v>
                </c:pt>
                <c:pt idx="4">
                  <c:v>2946.0</c:v>
                </c:pt>
                <c:pt idx="5">
                  <c:v>3594.3</c:v>
                </c:pt>
                <c:pt idx="6">
                  <c:v>3812.4</c:v>
                </c:pt>
                <c:pt idx="7">
                  <c:v>4029.6</c:v>
                </c:pt>
                <c:pt idx="8">
                  <c:v>4183.3</c:v>
                </c:pt>
                <c:pt idx="9">
                  <c:v>4216.2</c:v>
                </c:pt>
                <c:pt idx="10">
                  <c:v>4129.6</c:v>
                </c:pt>
                <c:pt idx="11">
                  <c:v>3668.5</c:v>
                </c:pt>
                <c:pt idx="12">
                  <c:v>2927.9</c:v>
                </c:pt>
                <c:pt idx="13">
                  <c:v>2179.4</c:v>
                </c:pt>
                <c:pt idx="14">
                  <c:v>2303.1</c:v>
                </c:pt>
                <c:pt idx="15">
                  <c:v>3202.4</c:v>
                </c:pt>
                <c:pt idx="16">
                  <c:v>3522.5</c:v>
                </c:pt>
                <c:pt idx="17">
                  <c:v>3749.1</c:v>
                </c:pt>
                <c:pt idx="18">
                  <c:v>3764.9</c:v>
                </c:pt>
                <c:pt idx="19">
                  <c:v>3564.7</c:v>
                </c:pt>
                <c:pt idx="20">
                  <c:v>3317.4</c:v>
                </c:pt>
                <c:pt idx="21">
                  <c:v>3317.8</c:v>
                </c:pt>
                <c:pt idx="22">
                  <c:v>3345.5</c:v>
                </c:pt>
                <c:pt idx="23">
                  <c:v>3382.3</c:v>
                </c:pt>
                <c:pt idx="24">
                  <c:v>3215.9</c:v>
                </c:pt>
                <c:pt idx="25">
                  <c:v>3417.9</c:v>
                </c:pt>
                <c:pt idx="26">
                  <c:v>3520.4</c:v>
                </c:pt>
                <c:pt idx="27">
                  <c:v>3223.0</c:v>
                </c:pt>
                <c:pt idx="28">
                  <c:v>2651.0</c:v>
                </c:pt>
                <c:pt idx="29">
                  <c:v>2215.2</c:v>
                </c:pt>
                <c:pt idx="30">
                  <c:v>1629.7</c:v>
                </c:pt>
                <c:pt idx="31">
                  <c:v>1775.3</c:v>
                </c:pt>
                <c:pt idx="32">
                  <c:v>2017.6</c:v>
                </c:pt>
              </c:numCache>
            </c:numRef>
          </c:xVal>
          <c:yVal>
            <c:numRef>
              <c:f>Summary!$E$62:$E$94</c:f>
              <c:numCache>
                <c:formatCode>_(* #,##0_);_(* \(#,##0\);_(* "-"??_);_(@_)</c:formatCode>
                <c:ptCount val="33"/>
                <c:pt idx="0">
                  <c:v>61942.6</c:v>
                </c:pt>
                <c:pt idx="1">
                  <c:v>27184.1</c:v>
                </c:pt>
                <c:pt idx="2">
                  <c:v>30738.1</c:v>
                </c:pt>
                <c:pt idx="3">
                  <c:v>16305.4</c:v>
                </c:pt>
                <c:pt idx="4">
                  <c:v>52162.3</c:v>
                </c:pt>
                <c:pt idx="5">
                  <c:v>13572.8</c:v>
                </c:pt>
                <c:pt idx="6">
                  <c:v>34631.9</c:v>
                </c:pt>
                <c:pt idx="7">
                  <c:v>14545.4</c:v>
                </c:pt>
                <c:pt idx="8">
                  <c:v>7835.33</c:v>
                </c:pt>
                <c:pt idx="9">
                  <c:v>5561.46</c:v>
                </c:pt>
                <c:pt idx="10">
                  <c:v>11102.8</c:v>
                </c:pt>
                <c:pt idx="11">
                  <c:v>48848.1</c:v>
                </c:pt>
                <c:pt idx="12">
                  <c:v>25581.3</c:v>
                </c:pt>
                <c:pt idx="13">
                  <c:v>22780.8</c:v>
                </c:pt>
                <c:pt idx="14">
                  <c:v>46863.2</c:v>
                </c:pt>
                <c:pt idx="15">
                  <c:v>15942.8</c:v>
                </c:pt>
                <c:pt idx="16">
                  <c:v>10904.9</c:v>
                </c:pt>
                <c:pt idx="17">
                  <c:v>22878.1</c:v>
                </c:pt>
                <c:pt idx="18">
                  <c:v>31178.4</c:v>
                </c:pt>
                <c:pt idx="19">
                  <c:v>15483.0</c:v>
                </c:pt>
                <c:pt idx="20">
                  <c:v>16827.1</c:v>
                </c:pt>
                <c:pt idx="21">
                  <c:v>25850.3</c:v>
                </c:pt>
                <c:pt idx="22">
                  <c:v>35963.4</c:v>
                </c:pt>
                <c:pt idx="23">
                  <c:v>23951.8</c:v>
                </c:pt>
                <c:pt idx="24">
                  <c:v>14625.5</c:v>
                </c:pt>
                <c:pt idx="25">
                  <c:v>6640.46</c:v>
                </c:pt>
                <c:pt idx="26">
                  <c:v>4831.7</c:v>
                </c:pt>
                <c:pt idx="27">
                  <c:v>12207.5</c:v>
                </c:pt>
                <c:pt idx="28">
                  <c:v>26390.5</c:v>
                </c:pt>
                <c:pt idx="29">
                  <c:v>14622.4</c:v>
                </c:pt>
                <c:pt idx="30">
                  <c:v>56930.6</c:v>
                </c:pt>
                <c:pt idx="31">
                  <c:v>22500.1</c:v>
                </c:pt>
                <c:pt idx="32">
                  <c:v>13479.2</c:v>
                </c:pt>
              </c:numCache>
            </c:numRef>
          </c:yVal>
          <c:smooth val="0"/>
        </c:ser>
        <c:ser>
          <c:idx val="8"/>
          <c:order val="1"/>
          <c:tx>
            <c:v>Excluded in stock-recruit estimation</c:v>
          </c:tx>
          <c:spPr>
            <a:ln w="28575">
              <a:noFill/>
            </a:ln>
          </c:spPr>
          <c:marker>
            <c:symbol val="circle"/>
            <c:size val="8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xVal>
            <c:numRef>
              <c:f>Summary!$AA$48:$AA$61</c:f>
              <c:numCache>
                <c:formatCode>#,##0</c:formatCode>
                <c:ptCount val="14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</c:numCache>
            </c:numRef>
          </c:xVal>
          <c:yVal>
            <c:numRef>
              <c:f>Summary!$E$48:$E$61</c:f>
              <c:numCache>
                <c:formatCode>_(* #,##0_);_(* \(#,##0\);_(* "-"??_);_(@_)</c:formatCode>
                <c:ptCount val="14"/>
                <c:pt idx="0">
                  <c:v>21534.8</c:v>
                </c:pt>
                <c:pt idx="1">
                  <c:v>15436.5</c:v>
                </c:pt>
                <c:pt idx="2">
                  <c:v>25796.0</c:v>
                </c:pt>
                <c:pt idx="3">
                  <c:v>22271.4</c:v>
                </c:pt>
                <c:pt idx="4">
                  <c:v>26141.1</c:v>
                </c:pt>
                <c:pt idx="5">
                  <c:v>23500.1</c:v>
                </c:pt>
                <c:pt idx="6">
                  <c:v>14578.3</c:v>
                </c:pt>
                <c:pt idx="7">
                  <c:v>11964.4</c:v>
                </c:pt>
                <c:pt idx="8">
                  <c:v>26909.0</c:v>
                </c:pt>
                <c:pt idx="9">
                  <c:v>19909.1</c:v>
                </c:pt>
                <c:pt idx="10">
                  <c:v>17094.1</c:v>
                </c:pt>
                <c:pt idx="11">
                  <c:v>13137.6</c:v>
                </c:pt>
                <c:pt idx="12">
                  <c:v>13755.3</c:v>
                </c:pt>
                <c:pt idx="13">
                  <c:v>25352.3</c:v>
                </c:pt>
              </c:numCache>
            </c:numRef>
          </c:yVal>
          <c:smooth val="0"/>
        </c:ser>
        <c:ser>
          <c:idx val="2"/>
          <c:order val="2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Summary!$AQ$48:$AQ$49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xVal>
          <c:yVal>
            <c:numRef>
              <c:f>Summary!$AR$48:$AR$49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yVal>
          <c:smooth val="0"/>
        </c:ser>
        <c:ser>
          <c:idx val="0"/>
          <c:order val="3"/>
          <c:tx>
            <c:v>Model estimate (1978-2007 YC included)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dPt>
            <c:idx val="6"/>
            <c:bubble3D val="0"/>
          </c:dPt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StdDev!$E$151:$E$170</c:f>
              <c:numCache>
                <c:formatCode>#,##0</c:formatCode>
                <c:ptCount val="20"/>
                <c:pt idx="0">
                  <c:v>17455.0</c:v>
                </c:pt>
                <c:pt idx="1">
                  <c:v>21668.0</c:v>
                </c:pt>
                <c:pt idx="2">
                  <c:v>24702.0</c:v>
                </c:pt>
                <c:pt idx="3">
                  <c:v>26770.0</c:v>
                </c:pt>
                <c:pt idx="4">
                  <c:v>28053.0</c:v>
                </c:pt>
                <c:pt idx="5">
                  <c:v>28701.0</c:v>
                </c:pt>
                <c:pt idx="6">
                  <c:v>28842.0</c:v>
                </c:pt>
                <c:pt idx="7">
                  <c:v>28583.0</c:v>
                </c:pt>
                <c:pt idx="8">
                  <c:v>28012.0</c:v>
                </c:pt>
                <c:pt idx="9">
                  <c:v>27203.0</c:v>
                </c:pt>
                <c:pt idx="10">
                  <c:v>26218.0</c:v>
                </c:pt>
                <c:pt idx="11">
                  <c:v>25107.0</c:v>
                </c:pt>
                <c:pt idx="12">
                  <c:v>23911.0</c:v>
                </c:pt>
                <c:pt idx="13">
                  <c:v>22664.0</c:v>
                </c:pt>
                <c:pt idx="14">
                  <c:v>21393.0</c:v>
                </c:pt>
                <c:pt idx="15">
                  <c:v>20118.0</c:v>
                </c:pt>
                <c:pt idx="16">
                  <c:v>18858.0</c:v>
                </c:pt>
                <c:pt idx="17">
                  <c:v>17625.0</c:v>
                </c:pt>
                <c:pt idx="18">
                  <c:v>0.097247</c:v>
                </c:pt>
                <c:pt idx="19">
                  <c:v>0.10691</c:v>
                </c:pt>
              </c:numCache>
            </c:numRef>
          </c:yVal>
          <c:smooth val="0"/>
        </c:ser>
        <c:ser>
          <c:idx val="3"/>
          <c:order val="4"/>
          <c:tx>
            <c:v>No prior</c:v>
          </c:tx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StdDev!$I$151:$I$170</c:f>
              <c:numCache>
                <c:formatCode>#,##0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yVal>
          <c:smooth val="0"/>
        </c:ser>
        <c:ser>
          <c:idx val="4"/>
          <c:order val="5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Summary!$AQ$51:$AQ$52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xVal>
          <c:yVal>
            <c:numRef>
              <c:f>Summary!$AR$51:$AR$52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62240"/>
        <c:axId val="447465872"/>
      </c:scatterChart>
      <c:valAx>
        <c:axId val="447462240"/>
        <c:scaling>
          <c:orientation val="minMax"/>
          <c:max val="450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 sz="1800" baseline="0"/>
                  <a:t>Female spawning biomass (thousands of t)</a:t>
                </a:r>
              </a:p>
            </c:rich>
          </c:tx>
          <c:layout>
            <c:manualLayout>
              <c:xMode val="edge"/>
              <c:yMode val="edge"/>
              <c:x val="0.185042963477156"/>
              <c:y val="0.93221262317609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465872"/>
        <c:crosses val="autoZero"/>
        <c:crossBetween val="midCat"/>
        <c:majorUnit val="1000.0"/>
      </c:valAx>
      <c:valAx>
        <c:axId val="447465872"/>
        <c:scaling>
          <c:orientation val="minMax"/>
          <c:max val="74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 sz="1800" baseline="0"/>
                  <a:t>Age 1 Recruitment (millions)</a:t>
                </a:r>
              </a:p>
            </c:rich>
          </c:tx>
          <c:layout>
            <c:manualLayout>
              <c:xMode val="edge"/>
              <c:yMode val="edge"/>
              <c:x val="0.00387658859735669"/>
              <c:y val="0.09740410006609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7462240"/>
        <c:crosses val="autoZero"/>
        <c:crossBetween val="midCat"/>
        <c:majorUnit val="20000.0"/>
      </c:valAx>
      <c:spPr>
        <a:noFill/>
        <a:ln w="25400">
          <a:noFill/>
        </a:ln>
      </c:spPr>
    </c:plotArea>
    <c:legend>
      <c:legendPos val="r"/>
      <c:legendEntry>
        <c:idx val="2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63762962962963"/>
          <c:y val="0.0167409445095373"/>
          <c:w val="0.3248"/>
          <c:h val="0.185847262251299"/>
        </c:manualLayout>
      </c:layout>
      <c:overlay val="0"/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64482962932559"/>
          <c:y val="0.0223894224341371"/>
          <c:w val="0.914551731031817"/>
          <c:h val="0.9270912297271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'FIshable stuff'!$B$9</c:f>
              <c:strCache>
                <c:ptCount val="1"/>
                <c:pt idx="0">
                  <c:v>ABC</c:v>
                </c:pt>
              </c:strCache>
            </c:strRef>
          </c:tx>
          <c:invertIfNegative val="0"/>
          <c:cat>
            <c:numRef>
              <c:f>'FIshable stuff'!$A$36:$A$58</c:f>
              <c:numCache>
                <c:formatCode>General</c:formatCode>
                <c:ptCount val="23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2013.0</c:v>
                </c:pt>
              </c:numCache>
            </c:numRef>
          </c:cat>
          <c:val>
            <c:numRef>
              <c:f>'FIshable stuff'!$B$36:$B$58</c:f>
              <c:numCache>
                <c:formatCode>#,##0</c:formatCode>
                <c:ptCount val="23"/>
                <c:pt idx="0">
                  <c:v>1450.0</c:v>
                </c:pt>
                <c:pt idx="1">
                  <c:v>1676.0</c:v>
                </c:pt>
                <c:pt idx="2">
                  <c:v>1490.0</c:v>
                </c:pt>
                <c:pt idx="3">
                  <c:v>1340.0</c:v>
                </c:pt>
                <c:pt idx="4">
                  <c:v>1330.0</c:v>
                </c:pt>
                <c:pt idx="5">
                  <c:v>1250.0</c:v>
                </c:pt>
                <c:pt idx="6">
                  <c:v>1190.0</c:v>
                </c:pt>
                <c:pt idx="7">
                  <c:v>1130.0</c:v>
                </c:pt>
                <c:pt idx="8">
                  <c:v>1110.0</c:v>
                </c:pt>
                <c:pt idx="9">
                  <c:v>992.0</c:v>
                </c:pt>
                <c:pt idx="10">
                  <c:v>1139.0</c:v>
                </c:pt>
                <c:pt idx="11">
                  <c:v>1842.0</c:v>
                </c:pt>
                <c:pt idx="12">
                  <c:v>2110.0</c:v>
                </c:pt>
                <c:pt idx="13">
                  <c:v>2330.0</c:v>
                </c:pt>
                <c:pt idx="14">
                  <c:v>2560.0</c:v>
                </c:pt>
                <c:pt idx="15">
                  <c:v>1960.0</c:v>
                </c:pt>
                <c:pt idx="16">
                  <c:v>1930.0</c:v>
                </c:pt>
                <c:pt idx="17">
                  <c:v>1394.0</c:v>
                </c:pt>
                <c:pt idx="18">
                  <c:v>1000.0</c:v>
                </c:pt>
                <c:pt idx="19">
                  <c:v>815.0</c:v>
                </c:pt>
                <c:pt idx="20">
                  <c:v>813.0</c:v>
                </c:pt>
                <c:pt idx="21">
                  <c:v>2100.0</c:v>
                </c:pt>
                <c:pt idx="22">
                  <c:v>2600.0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3870368"/>
        <c:axId val="503872688"/>
      </c:barChart>
      <c:lineChart>
        <c:grouping val="standard"/>
        <c:varyColors val="0"/>
        <c:ser>
          <c:idx val="1"/>
          <c:order val="1"/>
          <c:tx>
            <c:strRef>
              <c:f>'FIshable stuff'!$C$9</c:f>
              <c:strCache>
                <c:ptCount val="1"/>
                <c:pt idx="0">
                  <c:v>Survey</c:v>
                </c:pt>
              </c:strCache>
            </c:strRef>
          </c:tx>
          <c:cat>
            <c:numRef>
              <c:f>'FIshable stuff'!$A$36:$A$58</c:f>
              <c:numCache>
                <c:formatCode>General</c:formatCode>
                <c:ptCount val="23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2013.0</c:v>
                </c:pt>
              </c:numCache>
            </c:numRef>
          </c:cat>
          <c:val>
            <c:numRef>
              <c:f>'FIshable stuff'!$C$36:$C$58</c:f>
              <c:numCache>
                <c:formatCode>#,##0</c:formatCode>
                <c:ptCount val="23"/>
                <c:pt idx="0">
                  <c:v>5128.063566619268</c:v>
                </c:pt>
                <c:pt idx="1">
                  <c:v>4102.528529673255</c:v>
                </c:pt>
                <c:pt idx="2">
                  <c:v>3551.764463395845</c:v>
                </c:pt>
                <c:pt idx="3">
                  <c:v>3670.950005971081</c:v>
                </c:pt>
                <c:pt idx="4">
                  <c:v>4062.861160898551</c:v>
                </c:pt>
                <c:pt idx="5">
                  <c:v>4486.878503723326</c:v>
                </c:pt>
                <c:pt idx="6">
                  <c:v>4687.537766412329</c:v>
                </c:pt>
                <c:pt idx="7">
                  <c:v>4790.074175923912</c:v>
                </c:pt>
                <c:pt idx="8">
                  <c:v>4795.84260695386</c:v>
                </c:pt>
                <c:pt idx="9">
                  <c:v>4625.479921187751</c:v>
                </c:pt>
                <c:pt idx="10">
                  <c:v>4539.804048056172</c:v>
                </c:pt>
                <c:pt idx="11">
                  <c:v>4898.21315435544</c:v>
                </c:pt>
                <c:pt idx="12">
                  <c:v>4670.283277713504</c:v>
                </c:pt>
                <c:pt idx="13">
                  <c:v>4362.278977929139</c:v>
                </c:pt>
                <c:pt idx="14">
                  <c:v>4159.999715148002</c:v>
                </c:pt>
                <c:pt idx="15">
                  <c:v>4129.496584197683</c:v>
                </c:pt>
                <c:pt idx="16">
                  <c:v>3853.663661170931</c:v>
                </c:pt>
                <c:pt idx="17">
                  <c:v>3621.662594650124</c:v>
                </c:pt>
                <c:pt idx="18">
                  <c:v>2824.522398714438</c:v>
                </c:pt>
                <c:pt idx="19">
                  <c:v>2664.404145934886</c:v>
                </c:pt>
                <c:pt idx="20">
                  <c:v>2399.39964731383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'FIshable stuff'!$D$9</c:f>
              <c:strCache>
                <c:ptCount val="1"/>
                <c:pt idx="0">
                  <c:v>Spawning</c:v>
                </c:pt>
              </c:strCache>
            </c:strRef>
          </c:tx>
          <c:cat>
            <c:numRef>
              <c:f>'FIshable stuff'!$A$36:$A$58</c:f>
              <c:numCache>
                <c:formatCode>General</c:formatCode>
                <c:ptCount val="23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2013.0</c:v>
                </c:pt>
              </c:numCache>
            </c:numRef>
          </c:cat>
          <c:val>
            <c:numRef>
              <c:f>'FIshable stuff'!$D$36:$D$58</c:f>
              <c:numCache>
                <c:formatCode>#,##0</c:formatCode>
                <c:ptCount val="23"/>
                <c:pt idx="0">
                  <c:v>3402.57987405</c:v>
                </c:pt>
                <c:pt idx="1">
                  <c:v>2584.078607715445</c:v>
                </c:pt>
                <c:pt idx="2">
                  <c:v>2709.323313717633</c:v>
                </c:pt>
                <c:pt idx="3">
                  <c:v>3604.53099388914</c:v>
                </c:pt>
                <c:pt idx="4">
                  <c:v>3941.8454571068</c:v>
                </c:pt>
                <c:pt idx="5">
                  <c:v>4166.896713832402</c:v>
                </c:pt>
                <c:pt idx="6">
                  <c:v>4177.807258901154</c:v>
                </c:pt>
                <c:pt idx="7">
                  <c:v>3946.06236150246</c:v>
                </c:pt>
                <c:pt idx="8">
                  <c:v>3683.010455960075</c:v>
                </c:pt>
                <c:pt idx="9">
                  <c:v>3658.122184073233</c:v>
                </c:pt>
                <c:pt idx="10">
                  <c:v>3712.316840039764</c:v>
                </c:pt>
                <c:pt idx="11">
                  <c:v>3782.49769189831</c:v>
                </c:pt>
                <c:pt idx="12">
                  <c:v>3596.51847436922</c:v>
                </c:pt>
                <c:pt idx="13">
                  <c:v>3774.162440637373</c:v>
                </c:pt>
                <c:pt idx="14">
                  <c:v>3885.153658435623</c:v>
                </c:pt>
                <c:pt idx="15">
                  <c:v>3607.203129431931</c:v>
                </c:pt>
                <c:pt idx="16">
                  <c:v>3025.053575389485</c:v>
                </c:pt>
                <c:pt idx="17">
                  <c:v>2562.819490588305</c:v>
                </c:pt>
                <c:pt idx="18">
                  <c:v>1913.972076793419</c:v>
                </c:pt>
                <c:pt idx="19">
                  <c:v>2048.816525512517</c:v>
                </c:pt>
                <c:pt idx="20">
                  <c:v>2145.429927922378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'FIshable stuff'!$E$9</c:f>
              <c:strCache>
                <c:ptCount val="1"/>
                <c:pt idx="0">
                  <c:v>Fishable</c:v>
                </c:pt>
              </c:strCache>
            </c:strRef>
          </c:tx>
          <c:cat>
            <c:numRef>
              <c:f>'FIshable stuff'!$A$36:$A$58</c:f>
              <c:numCache>
                <c:formatCode>General</c:formatCode>
                <c:ptCount val="23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2013.0</c:v>
                </c:pt>
              </c:numCache>
            </c:numRef>
          </c:cat>
          <c:val>
            <c:numRef>
              <c:f>'FIshable stuff'!$E$36:$E$58</c:f>
              <c:numCache>
                <c:formatCode>#,##0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'FIshable stuff'!$H$9</c:f>
              <c:strCache>
                <c:ptCount val="1"/>
                <c:pt idx="0">
                  <c:v>Fishable w/ 2009 Ns</c:v>
                </c:pt>
              </c:strCache>
            </c:strRef>
          </c:tx>
          <c:cat>
            <c:numRef>
              <c:f>'FIshable stuff'!$A$36:$A$58</c:f>
              <c:numCache>
                <c:formatCode>General</c:formatCode>
                <c:ptCount val="23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2013.0</c:v>
                </c:pt>
              </c:numCache>
            </c:numRef>
          </c:cat>
          <c:val>
            <c:numRef>
              <c:f>'FIshable stuff'!$H$36:$H$58</c:f>
              <c:numCache>
                <c:formatCode>#,##0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870368"/>
        <c:axId val="503872688"/>
      </c:lineChart>
      <c:catAx>
        <c:axId val="50387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3872688"/>
        <c:crosses val="autoZero"/>
        <c:auto val="1"/>
        <c:lblAlgn val="ctr"/>
        <c:lblOffset val="100"/>
        <c:noMultiLvlLbl val="0"/>
      </c:catAx>
      <c:valAx>
        <c:axId val="503872688"/>
        <c:scaling>
          <c:orientation val="minMax"/>
          <c:max val="7200.0"/>
          <c:min val="0.0"/>
        </c:scaling>
        <c:delete val="0"/>
        <c:axPos val="l"/>
        <c:numFmt formatCode="#,##0" sourceLinked="1"/>
        <c:majorTickMark val="out"/>
        <c:minorTickMark val="none"/>
        <c:tickLblPos val="nextTo"/>
        <c:crossAx val="5038703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8683060634106"/>
          <c:y val="0.0740777673648151"/>
          <c:w val="0.211615161979456"/>
          <c:h val="0.231092877311199"/>
        </c:manualLayout>
      </c:layout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16446788225961"/>
          <c:y val="0.0223894224341371"/>
          <c:w val="0.877167918796802"/>
          <c:h val="0.92709122972714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'FIshable stuff'!$I$3</c:f>
              <c:strCache>
                <c:ptCount val="1"/>
                <c:pt idx="0">
                  <c:v>Fishery selectivity</c:v>
                </c:pt>
              </c:strCache>
            </c:strRef>
          </c:tx>
          <c:xVal>
            <c:numRef>
              <c:f>'FIshable stuff'!$J$1:$X$1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'FIshable stuff'!$J$3:$X$3</c:f>
              <c:numCache>
                <c:formatCode>General</c:formatCode>
                <c:ptCount val="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'FIshable stuff'!$I$8</c:f>
              <c:strCache>
                <c:ptCount val="1"/>
                <c:pt idx="0">
                  <c:v>Bottom trawl survey</c:v>
                </c:pt>
              </c:strCache>
            </c:strRef>
          </c:tx>
          <c:xVal>
            <c:numRef>
              <c:f>'FIshable stuff'!$J$1:$X$1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'FIshable stuff'!$J$8:$X$8</c:f>
              <c:numCache>
                <c:formatCode>General</c:formatCode>
                <c:ptCount val="15"/>
                <c:pt idx="0">
                  <c:v>0.0573146896551724</c:v>
                </c:pt>
                <c:pt idx="1">
                  <c:v>0.0360724334482759</c:v>
                </c:pt>
                <c:pt idx="2">
                  <c:v>0.0856377793103448</c:v>
                </c:pt>
                <c:pt idx="3">
                  <c:v>0.192908982758621</c:v>
                </c:pt>
                <c:pt idx="4">
                  <c:v>0.379491896551724</c:v>
                </c:pt>
                <c:pt idx="5">
                  <c:v>0.601160965517241</c:v>
                </c:pt>
                <c:pt idx="6">
                  <c:v>0.781090689655172</c:v>
                </c:pt>
                <c:pt idx="7">
                  <c:v>0.892704827586207</c:v>
                </c:pt>
                <c:pt idx="8">
                  <c:v>0.950816034482758</c:v>
                </c:pt>
                <c:pt idx="9">
                  <c:v>0.978153793103448</c:v>
                </c:pt>
                <c:pt idx="10">
                  <c:v>0.990398931034483</c:v>
                </c:pt>
                <c:pt idx="11">
                  <c:v>0.995780689655172</c:v>
                </c:pt>
                <c:pt idx="12">
                  <c:v>0.998137172413793</c:v>
                </c:pt>
                <c:pt idx="13">
                  <c:v>0.999172275862069</c:v>
                </c:pt>
                <c:pt idx="14">
                  <c:v>0.99962975862069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902496"/>
        <c:axId val="503905328"/>
      </c:scatterChart>
      <c:scatterChart>
        <c:scatterStyle val="lineMarker"/>
        <c:varyColors val="0"/>
        <c:ser>
          <c:idx val="2"/>
          <c:order val="1"/>
          <c:tx>
            <c:strRef>
              <c:f>'FIshable stuff'!$I$7</c:f>
              <c:strCache>
                <c:ptCount val="1"/>
                <c:pt idx="0">
                  <c:v>Spawning</c:v>
                </c:pt>
              </c:strCache>
            </c:strRef>
          </c:tx>
          <c:xVal>
            <c:numRef>
              <c:f>'FIshable stuff'!$J$1:$X$1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'FIshable stuff'!$J$7:$X$7</c:f>
              <c:numCache>
                <c:formatCode>General</c:formatCode>
                <c:ptCount val="15"/>
                <c:pt idx="0">
                  <c:v>0.0</c:v>
                </c:pt>
                <c:pt idx="1">
                  <c:v>0.004</c:v>
                </c:pt>
                <c:pt idx="2">
                  <c:v>0.1445</c:v>
                </c:pt>
                <c:pt idx="3">
                  <c:v>0.3205</c:v>
                </c:pt>
                <c:pt idx="4">
                  <c:v>0.421</c:v>
                </c:pt>
                <c:pt idx="5">
                  <c:v>0.4505</c:v>
                </c:pt>
                <c:pt idx="6">
                  <c:v>0.4735</c:v>
                </c:pt>
                <c:pt idx="7">
                  <c:v>0.4815</c:v>
                </c:pt>
                <c:pt idx="8">
                  <c:v>0.485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25936"/>
        <c:axId val="503823616"/>
      </c:scatterChart>
      <c:valAx>
        <c:axId val="50390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3905328"/>
        <c:crosses val="autoZero"/>
        <c:crossBetween val="midCat"/>
      </c:valAx>
      <c:valAx>
        <c:axId val="503905328"/>
        <c:scaling>
          <c:orientation val="minMax"/>
          <c:max val="1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crossAx val="503902496"/>
        <c:crosses val="autoZero"/>
        <c:crossBetween val="midCat"/>
      </c:valAx>
      <c:valAx>
        <c:axId val="503823616"/>
        <c:scaling>
          <c:orientation val="minMax"/>
          <c:max val="0.5"/>
          <c:min val="0.0"/>
        </c:scaling>
        <c:delete val="0"/>
        <c:axPos val="r"/>
        <c:numFmt formatCode="General" sourceLinked="1"/>
        <c:majorTickMark val="out"/>
        <c:minorTickMark val="none"/>
        <c:tickLblPos val="nextTo"/>
        <c:crossAx val="503825936"/>
        <c:crosses val="max"/>
        <c:crossBetween val="midCat"/>
      </c:valAx>
      <c:valAx>
        <c:axId val="503825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823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21283291479086"/>
          <c:y val="0.435217680850773"/>
          <c:w val="0.262497329464165"/>
          <c:h val="0.167913999160964"/>
        </c:manualLayout>
      </c:layout>
      <c:overlay val="0"/>
      <c:txPr>
        <a:bodyPr/>
        <a:lstStyle/>
        <a:p>
          <a:pPr>
            <a:defRPr sz="1800" baseline="0"/>
          </a:pPr>
          <a:endParaRPr lang="en-US"/>
        </a:p>
      </c:txPr>
    </c:legend>
    <c:plotVisOnly val="1"/>
    <c:dispBlanksAs val="gap"/>
    <c:showDLblsOverMax val="0"/>
  </c:chart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'FIshable stuff'!$H$67:$H$72</c:f>
              <c:numCache>
                <c:formatCode>#,##0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xVal>
          <c:yVal>
            <c:numRef>
              <c:f>'FIshable stuff'!$I$67:$I$72</c:f>
              <c:numCache>
                <c:formatCode>#,##0</c:formatCode>
                <c:ptCount val="6"/>
                <c:pt idx="0">
                  <c:v>2110.0</c:v>
                </c:pt>
                <c:pt idx="1">
                  <c:v>2330.0</c:v>
                </c:pt>
                <c:pt idx="2">
                  <c:v>2560.0</c:v>
                </c:pt>
                <c:pt idx="3">
                  <c:v>1960.0</c:v>
                </c:pt>
                <c:pt idx="4">
                  <c:v>1930.0</c:v>
                </c:pt>
                <c:pt idx="5">
                  <c:v>1394.0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40416"/>
        <c:axId val="503842736"/>
      </c:scatterChart>
      <c:valAx>
        <c:axId val="50384041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503842736"/>
        <c:crosses val="autoZero"/>
        <c:crossBetween val="midCat"/>
      </c:valAx>
      <c:valAx>
        <c:axId val="50384273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0384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Fs!$D$112</c:f>
              <c:strCache>
                <c:ptCount val="1"/>
                <c:pt idx="0">
                  <c:v>5-yr Average</c:v>
                </c:pt>
              </c:strCache>
            </c:strRef>
          </c:tx>
          <c:xVal>
            <c:numRef>
              <c:f>Fs!$F$58:$S$58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Fs!$F$112:$S$112</c:f>
              <c:numCache>
                <c:formatCode>0.00</c:formatCode>
                <c:ptCount val="14"/>
                <c:pt idx="0">
                  <c:v>0.00219117508642831</c:v>
                </c:pt>
                <c:pt idx="1">
                  <c:v>0.0242509499751677</c:v>
                </c:pt>
                <c:pt idx="2">
                  <c:v>0.090782949606765</c:v>
                </c:pt>
                <c:pt idx="3">
                  <c:v>0.1978101567451</c:v>
                </c:pt>
                <c:pt idx="4">
                  <c:v>0.292560734455222</c:v>
                </c:pt>
                <c:pt idx="5">
                  <c:v>0.322590336543308</c:v>
                </c:pt>
                <c:pt idx="6">
                  <c:v>0.331016686769212</c:v>
                </c:pt>
                <c:pt idx="7">
                  <c:v>0.322924990457205</c:v>
                </c:pt>
                <c:pt idx="8">
                  <c:v>0.338663897315238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Fs!$D$113</c:f>
              <c:strCache>
                <c:ptCount val="1"/>
                <c:pt idx="0">
                  <c:v>5-yr Max</c:v>
                </c:pt>
              </c:strCache>
            </c:strRef>
          </c:tx>
          <c:xVal>
            <c:numRef>
              <c:f>Fs!$F$58:$S$58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Fs!$F$113:$S$113</c:f>
              <c:numCache>
                <c:formatCode>0.00</c:formatCode>
                <c:ptCount val="14"/>
                <c:pt idx="0">
                  <c:v>0.00305684068369721</c:v>
                </c:pt>
                <c:pt idx="1">
                  <c:v>0.0402632133015682</c:v>
                </c:pt>
                <c:pt idx="2">
                  <c:v>0.1068951301024</c:v>
                </c:pt>
                <c:pt idx="3">
                  <c:v>0.363419460546976</c:v>
                </c:pt>
                <c:pt idx="4">
                  <c:v>0.41209761107897</c:v>
                </c:pt>
                <c:pt idx="5">
                  <c:v>0.39073010404434</c:v>
                </c:pt>
                <c:pt idx="6">
                  <c:v>0.386819244247186</c:v>
                </c:pt>
                <c:pt idx="7">
                  <c:v>0.365592326629817</c:v>
                </c:pt>
                <c:pt idx="8">
                  <c:v>0.360482526860605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Fs!$D$114</c:f>
              <c:strCache>
                <c:ptCount val="1"/>
                <c:pt idx="0">
                  <c:v>5-yr Min</c:v>
                </c:pt>
              </c:strCache>
            </c:strRef>
          </c:tx>
          <c:xVal>
            <c:numRef>
              <c:f>Fs!$F$58:$S$58</c:f>
              <c:numCache>
                <c:formatCode>General</c:formatCode>
                <c:ptCount val="1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</c:numCache>
            </c:numRef>
          </c:xVal>
          <c:yVal>
            <c:numRef>
              <c:f>Fs!$F$114:$S$114</c:f>
              <c:numCache>
                <c:formatCode>0.00</c:formatCode>
                <c:ptCount val="14"/>
                <c:pt idx="0">
                  <c:v>0.00166874522459048</c:v>
                </c:pt>
                <c:pt idx="1">
                  <c:v>0.0161515082684499</c:v>
                </c:pt>
                <c:pt idx="2">
                  <c:v>0.0617348666406552</c:v>
                </c:pt>
                <c:pt idx="3">
                  <c:v>0.122115967447175</c:v>
                </c:pt>
                <c:pt idx="4">
                  <c:v>0.18948496416184</c:v>
                </c:pt>
                <c:pt idx="5">
                  <c:v>0.235905853136708</c:v>
                </c:pt>
                <c:pt idx="6">
                  <c:v>0.241683536152489</c:v>
                </c:pt>
                <c:pt idx="7">
                  <c:v>0.237327037918692</c:v>
                </c:pt>
                <c:pt idx="8">
                  <c:v>0.311204125844033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31552"/>
        <c:axId val="447433872"/>
      </c:scatterChart>
      <c:valAx>
        <c:axId val="44743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7433872"/>
        <c:crosses val="autoZero"/>
        <c:crossBetween val="midCat"/>
      </c:valAx>
      <c:valAx>
        <c:axId val="4474338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47431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catch that is immature</a:t>
            </a:r>
          </a:p>
        </c:rich>
      </c:tx>
      <c:layout>
        <c:manualLayout>
          <c:xMode val="edge"/>
          <c:yMode val="edge"/>
          <c:x val="0.318759767873635"/>
          <c:y val="0.0727659562277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588196616015"/>
          <c:y val="0.0910585091127742"/>
          <c:w val="0.844818608680957"/>
          <c:h val="0.780694844024408"/>
        </c:manualLayout>
      </c:layout>
      <c:scatterChart>
        <c:scatterStyle val="lineMarker"/>
        <c:varyColors val="0"/>
        <c:ser>
          <c:idx val="0"/>
          <c:order val="0"/>
          <c:tx>
            <c:v>Annual estimates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Fs!$D$146:$D$170</c:f>
              <c:numCache>
                <c:formatCode>General</c:formatCode>
                <c:ptCount val="25"/>
                <c:pt idx="0">
                  <c:v>1991.0</c:v>
                </c:pt>
                <c:pt idx="1">
                  <c:v>1992.0</c:v>
                </c:pt>
                <c:pt idx="2">
                  <c:v>1993.0</c:v>
                </c:pt>
                <c:pt idx="3">
                  <c:v>1994.0</c:v>
                </c:pt>
                <c:pt idx="4">
                  <c:v>1995.0</c:v>
                </c:pt>
                <c:pt idx="5">
                  <c:v>1996.0</c:v>
                </c:pt>
                <c:pt idx="6">
                  <c:v>1997.0</c:v>
                </c:pt>
                <c:pt idx="7">
                  <c:v>1998.0</c:v>
                </c:pt>
                <c:pt idx="8">
                  <c:v>1999.0</c:v>
                </c:pt>
                <c:pt idx="9">
                  <c:v>2000.0</c:v>
                </c:pt>
                <c:pt idx="10">
                  <c:v>2001.0</c:v>
                </c:pt>
                <c:pt idx="11">
                  <c:v>2002.0</c:v>
                </c:pt>
                <c:pt idx="12">
                  <c:v>2003.0</c:v>
                </c:pt>
                <c:pt idx="13">
                  <c:v>2004.0</c:v>
                </c:pt>
                <c:pt idx="14">
                  <c:v>2005.0</c:v>
                </c:pt>
                <c:pt idx="15">
                  <c:v>2006.0</c:v>
                </c:pt>
                <c:pt idx="16">
                  <c:v>2007.0</c:v>
                </c:pt>
                <c:pt idx="17">
                  <c:v>2008.0</c:v>
                </c:pt>
                <c:pt idx="18">
                  <c:v>2009.0</c:v>
                </c:pt>
                <c:pt idx="19">
                  <c:v>2010.0</c:v>
                </c:pt>
                <c:pt idx="20">
                  <c:v>2011.0</c:v>
                </c:pt>
                <c:pt idx="21">
                  <c:v>2012.0</c:v>
                </c:pt>
                <c:pt idx="22">
                  <c:v>2013.0</c:v>
                </c:pt>
                <c:pt idx="23">
                  <c:v>2014.0</c:v>
                </c:pt>
                <c:pt idx="24">
                  <c:v>2015.0</c:v>
                </c:pt>
              </c:numCache>
            </c:numRef>
          </c:xVal>
          <c:yVal>
            <c:numRef>
              <c:f>Fs!$W$146:$W$170</c:f>
              <c:numCache>
                <c:formatCode>0%</c:formatCode>
                <c:ptCount val="25"/>
                <c:pt idx="0">
                  <c:v>0.185301989611023</c:v>
                </c:pt>
                <c:pt idx="1">
                  <c:v>0.340605556343171</c:v>
                </c:pt>
                <c:pt idx="2">
                  <c:v>0.326463988524228</c:v>
                </c:pt>
                <c:pt idx="3">
                  <c:v>0.224842132606845</c:v>
                </c:pt>
                <c:pt idx="4">
                  <c:v>0.18277808675954</c:v>
                </c:pt>
                <c:pt idx="5">
                  <c:v>0.146893928808431</c:v>
                </c:pt>
                <c:pt idx="6">
                  <c:v>0.160906770748302</c:v>
                </c:pt>
                <c:pt idx="7">
                  <c:v>0.171844649307906</c:v>
                </c:pt>
                <c:pt idx="8">
                  <c:v>0.238551544912051</c:v>
                </c:pt>
                <c:pt idx="9">
                  <c:v>0.190884205344226</c:v>
                </c:pt>
                <c:pt idx="10">
                  <c:v>0.156699163453804</c:v>
                </c:pt>
                <c:pt idx="11">
                  <c:v>0.17682047814187</c:v>
                </c:pt>
                <c:pt idx="12">
                  <c:v>0.251953179224251</c:v>
                </c:pt>
                <c:pt idx="13">
                  <c:v>0.233935489900277</c:v>
                </c:pt>
                <c:pt idx="14">
                  <c:v>0.179226534590967</c:v>
                </c:pt>
                <c:pt idx="15">
                  <c:v>0.157693778366655</c:v>
                </c:pt>
                <c:pt idx="16">
                  <c:v>0.136053674214002</c:v>
                </c:pt>
                <c:pt idx="17">
                  <c:v>0.149556447084793</c:v>
                </c:pt>
                <c:pt idx="18">
                  <c:v>0.234787865054285</c:v>
                </c:pt>
                <c:pt idx="19">
                  <c:v>0.269758876356285</c:v>
                </c:pt>
                <c:pt idx="20">
                  <c:v>0.223355661335636</c:v>
                </c:pt>
                <c:pt idx="21">
                  <c:v>0.264106605274106</c:v>
                </c:pt>
                <c:pt idx="22">
                  <c:v>0.194993829833605</c:v>
                </c:pt>
                <c:pt idx="23">
                  <c:v>0.164143076118779</c:v>
                </c:pt>
                <c:pt idx="24">
                  <c:v>0.296255669453476</c:v>
                </c:pt>
              </c:numCache>
            </c:numRef>
          </c:yVal>
          <c:smooth val="0"/>
        </c:ser>
        <c:ser>
          <c:idx val="1"/>
          <c:order val="1"/>
          <c:tx>
            <c:v>Total 1964-2015 Ratio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0.134687136560007"/>
                  <c:y val="-0.030293161473841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1964-2015 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Fs!$V$172:$V$173</c:f>
              <c:numCache>
                <c:formatCode>General</c:formatCode>
                <c:ptCount val="2"/>
                <c:pt idx="0">
                  <c:v>1990.0</c:v>
                </c:pt>
                <c:pt idx="1">
                  <c:v>2015.0</c:v>
                </c:pt>
              </c:numCache>
            </c:numRef>
          </c:xVal>
          <c:yVal>
            <c:numRef>
              <c:f>Fs!$W$172:$W$173</c:f>
              <c:numCache>
                <c:formatCode>0%</c:formatCode>
                <c:ptCount val="2"/>
                <c:pt idx="0">
                  <c:v>0.357144787528889</c:v>
                </c:pt>
                <c:pt idx="1">
                  <c:v>0.357144787528889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16704"/>
        <c:axId val="447398352"/>
      </c:scatterChart>
      <c:valAx>
        <c:axId val="447416704"/>
        <c:scaling>
          <c:orientation val="minMax"/>
          <c:max val="2015.0"/>
          <c:min val="1990.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98352"/>
        <c:crosses val="autoZero"/>
        <c:crossBetween val="midCat"/>
        <c:majorUnit val="2.0"/>
      </c:valAx>
      <c:valAx>
        <c:axId val="44739835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1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Fs!$W$58</c:f>
              <c:strCache>
                <c:ptCount val="1"/>
                <c:pt idx="0">
                  <c:v>3-8</c:v>
                </c:pt>
              </c:strCache>
            </c:strRef>
          </c:tx>
          <c:xVal>
            <c:numRef>
              <c:f>Fs!$U$59:$U$107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xVal>
          <c:yVal>
            <c:numRef>
              <c:f>Fs!$W$59:$W$107</c:f>
              <c:numCache>
                <c:formatCode>0.000</c:formatCode>
                <c:ptCount val="49"/>
                <c:pt idx="0">
                  <c:v>0.139183134350995</c:v>
                </c:pt>
                <c:pt idx="1">
                  <c:v>0.138486277799303</c:v>
                </c:pt>
                <c:pt idx="2">
                  <c:v>0.127973995810378</c:v>
                </c:pt>
                <c:pt idx="3">
                  <c:v>0.212460556476784</c:v>
                </c:pt>
                <c:pt idx="4">
                  <c:v>0.208549782041351</c:v>
                </c:pt>
                <c:pt idx="5">
                  <c:v>0.209576084692855</c:v>
                </c:pt>
                <c:pt idx="6">
                  <c:v>0.274520786660683</c:v>
                </c:pt>
                <c:pt idx="7">
                  <c:v>0.373078635070272</c:v>
                </c:pt>
                <c:pt idx="8">
                  <c:v>0.428001944979817</c:v>
                </c:pt>
                <c:pt idx="9">
                  <c:v>0.50569747653258</c:v>
                </c:pt>
                <c:pt idx="10">
                  <c:v>0.555096420534654</c:v>
                </c:pt>
                <c:pt idx="11">
                  <c:v>0.470448808448327</c:v>
                </c:pt>
                <c:pt idx="12">
                  <c:v>0.423812624104885</c:v>
                </c:pt>
                <c:pt idx="13">
                  <c:v>0.366852501655207</c:v>
                </c:pt>
                <c:pt idx="14">
                  <c:v>0.392453525811908</c:v>
                </c:pt>
                <c:pt idx="15">
                  <c:v>0.403034948543112</c:v>
                </c:pt>
                <c:pt idx="16">
                  <c:v>0.374148374360539</c:v>
                </c:pt>
                <c:pt idx="17">
                  <c:v>0.270770836879237</c:v>
                </c:pt>
                <c:pt idx="18">
                  <c:v>0.175256833205081</c:v>
                </c:pt>
                <c:pt idx="19">
                  <c:v>0.142462832283718</c:v>
                </c:pt>
                <c:pt idx="20">
                  <c:v>0.139358035473529</c:v>
                </c:pt>
                <c:pt idx="21">
                  <c:v>0.137394224299608</c:v>
                </c:pt>
                <c:pt idx="22">
                  <c:v>0.126081735383786</c:v>
                </c:pt>
                <c:pt idx="23">
                  <c:v>0.09027310438434</c:v>
                </c:pt>
                <c:pt idx="24">
                  <c:v>0.130824496743101</c:v>
                </c:pt>
                <c:pt idx="25">
                  <c:v>0.139438084564996</c:v>
                </c:pt>
                <c:pt idx="26">
                  <c:v>0.204661724119978</c:v>
                </c:pt>
                <c:pt idx="27">
                  <c:v>0.205558857730446</c:v>
                </c:pt>
                <c:pt idx="28">
                  <c:v>0.264202744797204</c:v>
                </c:pt>
                <c:pt idx="29">
                  <c:v>0.191396540750681</c:v>
                </c:pt>
                <c:pt idx="30">
                  <c:v>0.183479817585795</c:v>
                </c:pt>
                <c:pt idx="31">
                  <c:v>0.176837648634505</c:v>
                </c:pt>
                <c:pt idx="32">
                  <c:v>0.191929404530211</c:v>
                </c:pt>
                <c:pt idx="33">
                  <c:v>0.162032547446789</c:v>
                </c:pt>
                <c:pt idx="34">
                  <c:v>0.140053121715796</c:v>
                </c:pt>
                <c:pt idx="35">
                  <c:v>0.126291490195804</c:v>
                </c:pt>
                <c:pt idx="36">
                  <c:v>0.153350659434021</c:v>
                </c:pt>
                <c:pt idx="37">
                  <c:v>0.188182280047027</c:v>
                </c:pt>
                <c:pt idx="38">
                  <c:v>0.224664243789151</c:v>
                </c:pt>
                <c:pt idx="39">
                  <c:v>0.240892534613365</c:v>
                </c:pt>
                <c:pt idx="40">
                  <c:v>0.214484840466587</c:v>
                </c:pt>
                <c:pt idx="41">
                  <c:v>0.211953805734661</c:v>
                </c:pt>
                <c:pt idx="42">
                  <c:v>0.249259820290802</c:v>
                </c:pt>
                <c:pt idx="43">
                  <c:v>0.258088633712983</c:v>
                </c:pt>
                <c:pt idx="44">
                  <c:v>0.263832680743161</c:v>
                </c:pt>
                <c:pt idx="45">
                  <c:v>0.215141221280783</c:v>
                </c:pt>
                <c:pt idx="46">
                  <c:v>0.184011647370516</c:v>
                </c:pt>
                <c:pt idx="47">
                  <c:v>0.269031804360615</c:v>
                </c:pt>
                <c:pt idx="48">
                  <c:v>0.235952235121697</c:v>
                </c:pt>
              </c:numCache>
            </c:numRef>
          </c:yVal>
          <c:smooth val="0"/>
        </c:ser>
        <c:ser>
          <c:idx val="2"/>
          <c:order val="1"/>
          <c:xVal>
            <c:numRef>
              <c:f>Fs!$U$59:$U$107</c:f>
              <c:numCache>
                <c:formatCode>General</c:formatCode>
                <c:ptCount val="49"/>
                <c:pt idx="0">
                  <c:v>1964.0</c:v>
                </c:pt>
                <c:pt idx="1">
                  <c:v>1965.0</c:v>
                </c:pt>
                <c:pt idx="2">
                  <c:v>1966.0</c:v>
                </c:pt>
                <c:pt idx="3">
                  <c:v>1967.0</c:v>
                </c:pt>
                <c:pt idx="4">
                  <c:v>1968.0</c:v>
                </c:pt>
                <c:pt idx="5">
                  <c:v>1969.0</c:v>
                </c:pt>
                <c:pt idx="6">
                  <c:v>1970.0</c:v>
                </c:pt>
                <c:pt idx="7">
                  <c:v>1971.0</c:v>
                </c:pt>
                <c:pt idx="8">
                  <c:v>1972.0</c:v>
                </c:pt>
                <c:pt idx="9">
                  <c:v>1973.0</c:v>
                </c:pt>
                <c:pt idx="10">
                  <c:v>1974.0</c:v>
                </c:pt>
                <c:pt idx="11">
                  <c:v>1975.0</c:v>
                </c:pt>
                <c:pt idx="12">
                  <c:v>1976.0</c:v>
                </c:pt>
                <c:pt idx="13">
                  <c:v>1977.0</c:v>
                </c:pt>
                <c:pt idx="14">
                  <c:v>1978.0</c:v>
                </c:pt>
                <c:pt idx="15">
                  <c:v>1979.0</c:v>
                </c:pt>
                <c:pt idx="16">
                  <c:v>1980.0</c:v>
                </c:pt>
                <c:pt idx="17">
                  <c:v>1981.0</c:v>
                </c:pt>
                <c:pt idx="18">
                  <c:v>1982.0</c:v>
                </c:pt>
                <c:pt idx="19">
                  <c:v>1983.0</c:v>
                </c:pt>
                <c:pt idx="20">
                  <c:v>1984.0</c:v>
                </c:pt>
                <c:pt idx="21">
                  <c:v>1985.0</c:v>
                </c:pt>
                <c:pt idx="22">
                  <c:v>1986.0</c:v>
                </c:pt>
                <c:pt idx="23">
                  <c:v>1987.0</c:v>
                </c:pt>
                <c:pt idx="24">
                  <c:v>1988.0</c:v>
                </c:pt>
                <c:pt idx="25">
                  <c:v>1989.0</c:v>
                </c:pt>
                <c:pt idx="26">
                  <c:v>1990.0</c:v>
                </c:pt>
                <c:pt idx="27">
                  <c:v>1991.0</c:v>
                </c:pt>
                <c:pt idx="28">
                  <c:v>1992.0</c:v>
                </c:pt>
                <c:pt idx="29">
                  <c:v>1993.0</c:v>
                </c:pt>
                <c:pt idx="30">
                  <c:v>1994.0</c:v>
                </c:pt>
                <c:pt idx="31">
                  <c:v>1995.0</c:v>
                </c:pt>
                <c:pt idx="32">
                  <c:v>1996.0</c:v>
                </c:pt>
                <c:pt idx="33">
                  <c:v>1997.0</c:v>
                </c:pt>
                <c:pt idx="34">
                  <c:v>1998.0</c:v>
                </c:pt>
                <c:pt idx="35">
                  <c:v>1999.0</c:v>
                </c:pt>
                <c:pt idx="36">
                  <c:v>2000.0</c:v>
                </c:pt>
                <c:pt idx="37">
                  <c:v>2001.0</c:v>
                </c:pt>
                <c:pt idx="38">
                  <c:v>2002.0</c:v>
                </c:pt>
                <c:pt idx="39">
                  <c:v>2003.0</c:v>
                </c:pt>
                <c:pt idx="40">
                  <c:v>2004.0</c:v>
                </c:pt>
                <c:pt idx="41">
                  <c:v>2005.0</c:v>
                </c:pt>
                <c:pt idx="42">
                  <c:v>2006.0</c:v>
                </c:pt>
                <c:pt idx="43">
                  <c:v>2007.0</c:v>
                </c:pt>
                <c:pt idx="44">
                  <c:v>2008.0</c:v>
                </c:pt>
                <c:pt idx="45">
                  <c:v>2009.0</c:v>
                </c:pt>
                <c:pt idx="46">
                  <c:v>2010.0</c:v>
                </c:pt>
                <c:pt idx="47">
                  <c:v>2011.0</c:v>
                </c:pt>
                <c:pt idx="48">
                  <c:v>2012.0</c:v>
                </c:pt>
              </c:numCache>
            </c:numRef>
          </c:xVal>
          <c:yVal>
            <c:numRef>
              <c:f>Fs!$X$59:$X$107</c:f>
              <c:numCache>
                <c:formatCode>0.00</c:formatCode>
                <c:ptCount val="49"/>
                <c:pt idx="0">
                  <c:v>0.097247</c:v>
                </c:pt>
                <c:pt idx="1">
                  <c:v>0.10691</c:v>
                </c:pt>
                <c:pt idx="2">
                  <c:v>0.093107</c:v>
                </c:pt>
                <c:pt idx="3">
                  <c:v>0.14331</c:v>
                </c:pt>
                <c:pt idx="4">
                  <c:v>0.14979</c:v>
                </c:pt>
                <c:pt idx="5">
                  <c:v>0.15242</c:v>
                </c:pt>
                <c:pt idx="6">
                  <c:v>0.19228</c:v>
                </c:pt>
                <c:pt idx="7">
                  <c:v>0.25809</c:v>
                </c:pt>
                <c:pt idx="8">
                  <c:v>0.30501</c:v>
                </c:pt>
                <c:pt idx="9">
                  <c:v>0.35372</c:v>
                </c:pt>
                <c:pt idx="10">
                  <c:v>0.35247</c:v>
                </c:pt>
                <c:pt idx="11">
                  <c:v>0.32506</c:v>
                </c:pt>
                <c:pt idx="12">
                  <c:v>0.29113</c:v>
                </c:pt>
                <c:pt idx="13">
                  <c:v>0.24669</c:v>
                </c:pt>
                <c:pt idx="14">
                  <c:v>0.24895</c:v>
                </c:pt>
                <c:pt idx="15">
                  <c:v>0.21851</c:v>
                </c:pt>
                <c:pt idx="16">
                  <c:v>0.15548</c:v>
                </c:pt>
                <c:pt idx="17">
                  <c:v>0.1165</c:v>
                </c:pt>
                <c:pt idx="18">
                  <c:v>0.10019</c:v>
                </c:pt>
                <c:pt idx="19">
                  <c:v>0.097086</c:v>
                </c:pt>
                <c:pt idx="20">
                  <c:v>0.1018</c:v>
                </c:pt>
                <c:pt idx="21">
                  <c:v>0.10125</c:v>
                </c:pt>
                <c:pt idx="22">
                  <c:v>0.10192</c:v>
                </c:pt>
                <c:pt idx="23">
                  <c:v>0.079048</c:v>
                </c:pt>
                <c:pt idx="24">
                  <c:v>0.12097</c:v>
                </c:pt>
                <c:pt idx="25">
                  <c:v>0.14451</c:v>
                </c:pt>
                <c:pt idx="26">
                  <c:v>0.20986</c:v>
                </c:pt>
                <c:pt idx="27">
                  <c:v>0.18426</c:v>
                </c:pt>
                <c:pt idx="28">
                  <c:v>0.16934</c:v>
                </c:pt>
                <c:pt idx="29">
                  <c:v>0.12346</c:v>
                </c:pt>
                <c:pt idx="30">
                  <c:v>0.11292</c:v>
                </c:pt>
                <c:pt idx="31">
                  <c:v>0.10832</c:v>
                </c:pt>
                <c:pt idx="32">
                  <c:v>0.11022</c:v>
                </c:pt>
                <c:pt idx="33">
                  <c:v>0.12045</c:v>
                </c:pt>
                <c:pt idx="34">
                  <c:v>0.1182</c:v>
                </c:pt>
                <c:pt idx="35">
                  <c:v>0.10513</c:v>
                </c:pt>
                <c:pt idx="36">
                  <c:v>0.12414</c:v>
                </c:pt>
                <c:pt idx="37">
                  <c:v>0.14977</c:v>
                </c:pt>
                <c:pt idx="38">
                  <c:v>0.15193</c:v>
                </c:pt>
                <c:pt idx="39">
                  <c:v>0.13858</c:v>
                </c:pt>
                <c:pt idx="40">
                  <c:v>0.14516</c:v>
                </c:pt>
                <c:pt idx="41">
                  <c:v>0.17796</c:v>
                </c:pt>
                <c:pt idx="42">
                  <c:v>0.22767</c:v>
                </c:pt>
                <c:pt idx="43">
                  <c:v>0.24268</c:v>
                </c:pt>
                <c:pt idx="44">
                  <c:v>0.19861</c:v>
                </c:pt>
                <c:pt idx="45">
                  <c:v>0.13715</c:v>
                </c:pt>
                <c:pt idx="46">
                  <c:v>0.1097</c:v>
                </c:pt>
                <c:pt idx="47">
                  <c:v>0.12723</c:v>
                </c:pt>
                <c:pt idx="48">
                  <c:v>0.12953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81776"/>
        <c:axId val="503784096"/>
      </c:scatterChart>
      <c:valAx>
        <c:axId val="503781776"/>
        <c:scaling>
          <c:orientation val="minMax"/>
          <c:max val="2012.0"/>
          <c:min val="1990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3784096"/>
        <c:crosses val="autoZero"/>
        <c:crossBetween val="midCat"/>
        <c:majorUnit val="2.0"/>
      </c:valAx>
      <c:valAx>
        <c:axId val="503784096"/>
        <c:scaling>
          <c:orientation val="minMax"/>
          <c:max val="0.42"/>
          <c:min val="0.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503781776"/>
        <c:crosses val="autoZero"/>
        <c:crossBetween val="midCat"/>
        <c:majorUnit val="0.1"/>
      </c:valAx>
    </c:plotArea>
    <c:legend>
      <c:legendPos val="r"/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362041701309"/>
          <c:y val="0.0401175056369986"/>
          <c:w val="0.8643667367666"/>
          <c:h val="0.789567889379681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Projections!$U$18</c:f>
              <c:strCache>
                <c:ptCount val="1"/>
                <c:pt idx="0">
                  <c:v>2009 selectivity assumption for 2009</c:v>
                </c:pt>
              </c:strCache>
            </c:strRef>
          </c:tx>
          <c:xVal>
            <c:numRef>
              <c:f>Projections!$V$17:$AJ$17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Projections!$V$18:$AJ$18</c:f>
              <c:numCache>
                <c:formatCode>General</c:formatCode>
                <c:ptCount val="15"/>
                <c:pt idx="0">
                  <c:v>0.000239536053143485</c:v>
                </c:pt>
                <c:pt idx="1">
                  <c:v>0.00744121266656962</c:v>
                </c:pt>
                <c:pt idx="2">
                  <c:v>0.0870681099392608</c:v>
                </c:pt>
                <c:pt idx="3">
                  <c:v>0.372246556127513</c:v>
                </c:pt>
                <c:pt idx="4">
                  <c:v>0.713718588310021</c:v>
                </c:pt>
                <c:pt idx="5">
                  <c:v>1.0</c:v>
                </c:pt>
                <c:pt idx="6">
                  <c:v>0.987673516918313</c:v>
                </c:pt>
                <c:pt idx="7">
                  <c:v>0.930652780902222</c:v>
                </c:pt>
                <c:pt idx="8">
                  <c:v>0.881836467334489</c:v>
                </c:pt>
                <c:pt idx="9">
                  <c:v>0.823968823194696</c:v>
                </c:pt>
                <c:pt idx="10">
                  <c:v>0.823968823194696</c:v>
                </c:pt>
                <c:pt idx="11">
                  <c:v>0.823968823194696</c:v>
                </c:pt>
                <c:pt idx="12">
                  <c:v>0.823968823194696</c:v>
                </c:pt>
                <c:pt idx="13">
                  <c:v>0.823968823194696</c:v>
                </c:pt>
                <c:pt idx="14">
                  <c:v>0.823968823194696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Projections!$U$19</c:f>
              <c:strCache>
                <c:ptCount val="1"/>
                <c:pt idx="0">
                  <c:v>Selectivity in 2009 as estimated in 2010</c:v>
                </c:pt>
              </c:strCache>
            </c:strRef>
          </c:tx>
          <c:xVal>
            <c:numRef>
              <c:f>Projections!$V$17:$AJ$17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xVal>
          <c:yVal>
            <c:numRef>
              <c:f>Projections!$V$19:$AJ$19</c:f>
              <c:numCache>
                <c:formatCode>General</c:formatCode>
                <c:ptCount val="15"/>
                <c:pt idx="0">
                  <c:v>9.74593424013814E-5</c:v>
                </c:pt>
                <c:pt idx="1">
                  <c:v>0.00535317263732997</c:v>
                </c:pt>
                <c:pt idx="2">
                  <c:v>0.0704341056743712</c:v>
                </c:pt>
                <c:pt idx="3">
                  <c:v>0.296659636806273</c:v>
                </c:pt>
                <c:pt idx="4">
                  <c:v>0.503329039928664</c:v>
                </c:pt>
                <c:pt idx="5">
                  <c:v>0.884502696352493</c:v>
                </c:pt>
                <c:pt idx="6">
                  <c:v>0.999447990828155</c:v>
                </c:pt>
                <c:pt idx="7">
                  <c:v>0.974770350030431</c:v>
                </c:pt>
                <c:pt idx="8">
                  <c:v>1.0</c:v>
                </c:pt>
                <c:pt idx="9">
                  <c:v>0.980163055016914</c:v>
                </c:pt>
                <c:pt idx="10">
                  <c:v>0.980163055016914</c:v>
                </c:pt>
                <c:pt idx="11">
                  <c:v>0.980163055016914</c:v>
                </c:pt>
                <c:pt idx="12">
                  <c:v>0.980163055016914</c:v>
                </c:pt>
                <c:pt idx="13">
                  <c:v>0.980163055016914</c:v>
                </c:pt>
                <c:pt idx="14">
                  <c:v>0.980163055016914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96176"/>
        <c:axId val="503799568"/>
      </c:scatterChart>
      <c:valAx>
        <c:axId val="503796176"/>
        <c:scaling>
          <c:orientation val="minMax"/>
          <c:max val="15.0"/>
          <c:min val="1.0"/>
        </c:scaling>
        <c:delete val="0"/>
        <c:axPos val="b"/>
        <c:title>
          <c:tx>
            <c:rich>
              <a:bodyPr/>
              <a:lstStyle/>
              <a:p>
                <a:pPr>
                  <a:defRPr sz="2200" baseline="0"/>
                </a:pPr>
                <a:r>
                  <a:rPr lang="en-US" sz="2200" baseline="0"/>
                  <a:t>Age</a:t>
                </a:r>
              </a:p>
            </c:rich>
          </c:tx>
          <c:overlay val="0"/>
          <c:spPr>
            <a:ln>
              <a:noFill/>
            </a:ln>
          </c:spPr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503799568"/>
        <c:crosses val="autoZero"/>
        <c:crossBetween val="midCat"/>
        <c:majorUnit val="1.0"/>
      </c:valAx>
      <c:valAx>
        <c:axId val="503799568"/>
        <c:scaling>
          <c:orientation val="minMax"/>
          <c:max val="1.0"/>
          <c:min val="0.0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50379617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5262874749352"/>
          <c:y val="0.364009417521997"/>
          <c:w val="0.580303059943594"/>
          <c:h val="0.225250055125223"/>
        </c:manualLayout>
      </c:layout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Projections!$T$148:$T$173</c:f>
              <c:numCache>
                <c:formatCode>General</c:formatCode>
                <c:ptCount val="26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</c:numCache>
            </c:numRef>
          </c:xVal>
          <c:yVal>
            <c:numRef>
              <c:f>Projections!$U$148:$U$173</c:f>
              <c:numCache>
                <c:formatCode>0%</c:formatCode>
                <c:ptCount val="2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95984"/>
        <c:axId val="503698304"/>
      </c:scatterChart>
      <c:valAx>
        <c:axId val="50369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3698304"/>
        <c:crosses val="autoZero"/>
        <c:crossBetween val="midCat"/>
      </c:valAx>
      <c:valAx>
        <c:axId val="5036983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03695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601516477107"/>
          <c:y val="0.0206126855039476"/>
          <c:w val="0.77404887722368"/>
          <c:h val="0.808665529486931"/>
        </c:manualLayout>
      </c:layout>
      <c:lineChart>
        <c:grouping val="standard"/>
        <c:varyColors val="0"/>
        <c:ser>
          <c:idx val="0"/>
          <c:order val="0"/>
          <c:tx>
            <c:v>Current assessment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plus"/>
            <c:size val="9"/>
            <c:spPr>
              <a:ln>
                <a:solidFill>
                  <a:srgbClr val="FF0000"/>
                </a:solidFill>
              </a:ln>
            </c:spPr>
          </c:marker>
          <c:dPt>
            <c:idx val="17"/>
            <c:bubble3D val="0"/>
            <c:spPr>
              <a:ln w="38100">
                <a:solidFill>
                  <a:schemeClr val="accent2"/>
                </a:solidFill>
                <a:prstDash val="solid"/>
              </a:ln>
            </c:spPr>
          </c:dPt>
          <c:dLbls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Age 3+ </a:t>
                    </a:r>
                  </a:p>
                  <a:p>
                    <a:r>
                      <a:rPr lang="en-US" baseline="0"/>
                      <a:t>biomass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StdDev!$B$568:$B$601</c:f>
              <c:numCache>
                <c:formatCode>General</c:formatCode>
                <c:ptCount val="34"/>
                <c:pt idx="0">
                  <c:v>1977.0</c:v>
                </c:pt>
                <c:pt idx="1">
                  <c:v>1978.0</c:v>
                </c:pt>
                <c:pt idx="2">
                  <c:v>1979.0</c:v>
                </c:pt>
                <c:pt idx="3">
                  <c:v>1980.0</c:v>
                </c:pt>
                <c:pt idx="4">
                  <c:v>1981.0</c:v>
                </c:pt>
                <c:pt idx="5">
                  <c:v>1982.0</c:v>
                </c:pt>
                <c:pt idx="6">
                  <c:v>1983.0</c:v>
                </c:pt>
                <c:pt idx="7">
                  <c:v>1984.0</c:v>
                </c:pt>
                <c:pt idx="8">
                  <c:v>1985.0</c:v>
                </c:pt>
                <c:pt idx="9">
                  <c:v>1986.0</c:v>
                </c:pt>
                <c:pt idx="10">
                  <c:v>1987.0</c:v>
                </c:pt>
                <c:pt idx="11">
                  <c:v>1988.0</c:v>
                </c:pt>
                <c:pt idx="12">
                  <c:v>1989.0</c:v>
                </c:pt>
                <c:pt idx="13">
                  <c:v>1990.0</c:v>
                </c:pt>
                <c:pt idx="14">
                  <c:v>1991.0</c:v>
                </c:pt>
                <c:pt idx="15">
                  <c:v>1992.0</c:v>
                </c:pt>
                <c:pt idx="16">
                  <c:v>1993.0</c:v>
                </c:pt>
                <c:pt idx="17">
                  <c:v>1994.0</c:v>
                </c:pt>
                <c:pt idx="18">
                  <c:v>1995.0</c:v>
                </c:pt>
                <c:pt idx="19">
                  <c:v>1996.0</c:v>
                </c:pt>
                <c:pt idx="20">
                  <c:v>1997.0</c:v>
                </c:pt>
                <c:pt idx="21">
                  <c:v>1998.0</c:v>
                </c:pt>
                <c:pt idx="22">
                  <c:v>1999.0</c:v>
                </c:pt>
                <c:pt idx="23">
                  <c:v>2000.0</c:v>
                </c:pt>
                <c:pt idx="24">
                  <c:v>2001.0</c:v>
                </c:pt>
                <c:pt idx="25">
                  <c:v>2002.0</c:v>
                </c:pt>
                <c:pt idx="26">
                  <c:v>2003.0</c:v>
                </c:pt>
                <c:pt idx="27">
                  <c:v>2004.0</c:v>
                </c:pt>
                <c:pt idx="28">
                  <c:v>2005.0</c:v>
                </c:pt>
                <c:pt idx="29">
                  <c:v>2006.0</c:v>
                </c:pt>
                <c:pt idx="30">
                  <c:v>2007.0</c:v>
                </c:pt>
                <c:pt idx="31">
                  <c:v>2008.0</c:v>
                </c:pt>
                <c:pt idx="32">
                  <c:v>2009.0</c:v>
                </c:pt>
                <c:pt idx="33">
                  <c:v>2010.0</c:v>
                </c:pt>
              </c:numCache>
            </c:numRef>
          </c:cat>
          <c:val>
            <c:numRef>
              <c:f>StdDev!$E$114:$E$147</c:f>
              <c:numCache>
                <c:formatCode>General</c:formatCode>
                <c:ptCount val="34"/>
                <c:pt idx="0">
                  <c:v>3939.3</c:v>
                </c:pt>
                <c:pt idx="1">
                  <c:v>3888.3</c:v>
                </c:pt>
                <c:pt idx="2">
                  <c:v>3859.2</c:v>
                </c:pt>
                <c:pt idx="3">
                  <c:v>4887.3</c:v>
                </c:pt>
                <c:pt idx="4">
                  <c:v>9054.299999999999</c:v>
                </c:pt>
                <c:pt idx="5">
                  <c:v>10289.0</c:v>
                </c:pt>
                <c:pt idx="6">
                  <c:v>11383.0</c:v>
                </c:pt>
                <c:pt idx="7">
                  <c:v>11040.0</c:v>
                </c:pt>
                <c:pt idx="8">
                  <c:v>12951.0</c:v>
                </c:pt>
                <c:pt idx="9">
                  <c:v>12019.0</c:v>
                </c:pt>
                <c:pt idx="10">
                  <c:v>12334.0</c:v>
                </c:pt>
                <c:pt idx="11">
                  <c:v>11536.0</c:v>
                </c:pt>
                <c:pt idx="12">
                  <c:v>9699.9</c:v>
                </c:pt>
                <c:pt idx="13">
                  <c:v>7700.5</c:v>
                </c:pt>
                <c:pt idx="14">
                  <c:v>6063.2</c:v>
                </c:pt>
                <c:pt idx="15">
                  <c:v>9472.2</c:v>
                </c:pt>
                <c:pt idx="16">
                  <c:v>11712.0</c:v>
                </c:pt>
                <c:pt idx="17">
                  <c:v>11418.0</c:v>
                </c:pt>
                <c:pt idx="18">
                  <c:v>13177.0</c:v>
                </c:pt>
                <c:pt idx="19">
                  <c:v>11358.0</c:v>
                </c:pt>
                <c:pt idx="20">
                  <c:v>9940.0</c:v>
                </c:pt>
                <c:pt idx="21">
                  <c:v>9989.799999999999</c:v>
                </c:pt>
                <c:pt idx="22">
                  <c:v>10853.0</c:v>
                </c:pt>
                <c:pt idx="23">
                  <c:v>10068.0</c:v>
                </c:pt>
                <c:pt idx="24">
                  <c:v>9854.0</c:v>
                </c:pt>
                <c:pt idx="25">
                  <c:v>10276.0</c:v>
                </c:pt>
                <c:pt idx="26">
                  <c:v>12365.0</c:v>
                </c:pt>
                <c:pt idx="27">
                  <c:v>11591.0</c:v>
                </c:pt>
                <c:pt idx="28">
                  <c:v>9705.2</c:v>
                </c:pt>
                <c:pt idx="29">
                  <c:v>7445.9</c:v>
                </c:pt>
                <c:pt idx="30">
                  <c:v>6045.3</c:v>
                </c:pt>
                <c:pt idx="31">
                  <c:v>4848.8</c:v>
                </c:pt>
                <c:pt idx="32">
                  <c:v>6331.1</c:v>
                </c:pt>
                <c:pt idx="33">
                  <c:v>6680.3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69904"/>
        <c:axId val="445973296"/>
      </c:lineChart>
      <c:lineChart>
        <c:grouping val="standard"/>
        <c:varyColors val="0"/>
        <c:ser>
          <c:idx val="3"/>
          <c:order val="1"/>
          <c:tx>
            <c:v>Catch</c:v>
          </c:tx>
          <c:spPr>
            <a:ln w="38100">
              <a:solidFill>
                <a:srgbClr val="3333CC"/>
              </a:solidFill>
              <a:prstDash val="solid"/>
            </a:ln>
          </c:spPr>
          <c:marker>
            <c:symbol val="none"/>
          </c:marker>
          <c:dLbls>
            <c:dLbl>
              <c:idx val="9"/>
              <c:layout>
                <c:manualLayout>
                  <c:x val="0.263410906969962"/>
                  <c:y val="0.0359496656234597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Tahoma"/>
                      <a:ea typeface="Tahoma"/>
                      <a:cs typeface="Tahoma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StdDev!$B$568:$B$601</c:f>
              <c:numCache>
                <c:formatCode>General</c:formatCode>
                <c:ptCount val="34"/>
                <c:pt idx="0">
                  <c:v>1977.0</c:v>
                </c:pt>
                <c:pt idx="1">
                  <c:v>1978.0</c:v>
                </c:pt>
                <c:pt idx="2">
                  <c:v>1979.0</c:v>
                </c:pt>
                <c:pt idx="3">
                  <c:v>1980.0</c:v>
                </c:pt>
                <c:pt idx="4">
                  <c:v>1981.0</c:v>
                </c:pt>
                <c:pt idx="5">
                  <c:v>1982.0</c:v>
                </c:pt>
                <c:pt idx="6">
                  <c:v>1983.0</c:v>
                </c:pt>
                <c:pt idx="7">
                  <c:v>1984.0</c:v>
                </c:pt>
                <c:pt idx="8">
                  <c:v>1985.0</c:v>
                </c:pt>
                <c:pt idx="9">
                  <c:v>1986.0</c:v>
                </c:pt>
                <c:pt idx="10">
                  <c:v>1987.0</c:v>
                </c:pt>
                <c:pt idx="11">
                  <c:v>1988.0</c:v>
                </c:pt>
                <c:pt idx="12">
                  <c:v>1989.0</c:v>
                </c:pt>
                <c:pt idx="13">
                  <c:v>1990.0</c:v>
                </c:pt>
                <c:pt idx="14">
                  <c:v>1991.0</c:v>
                </c:pt>
                <c:pt idx="15">
                  <c:v>1992.0</c:v>
                </c:pt>
                <c:pt idx="16">
                  <c:v>1993.0</c:v>
                </c:pt>
                <c:pt idx="17">
                  <c:v>1994.0</c:v>
                </c:pt>
                <c:pt idx="18">
                  <c:v>1995.0</c:v>
                </c:pt>
                <c:pt idx="19">
                  <c:v>1996.0</c:v>
                </c:pt>
                <c:pt idx="20">
                  <c:v>1997.0</c:v>
                </c:pt>
                <c:pt idx="21">
                  <c:v>1998.0</c:v>
                </c:pt>
                <c:pt idx="22">
                  <c:v>1999.0</c:v>
                </c:pt>
                <c:pt idx="23">
                  <c:v>2000.0</c:v>
                </c:pt>
                <c:pt idx="24">
                  <c:v>2001.0</c:v>
                </c:pt>
                <c:pt idx="25">
                  <c:v>2002.0</c:v>
                </c:pt>
                <c:pt idx="26">
                  <c:v>2003.0</c:v>
                </c:pt>
                <c:pt idx="27">
                  <c:v>2004.0</c:v>
                </c:pt>
                <c:pt idx="28">
                  <c:v>2005.0</c:v>
                </c:pt>
                <c:pt idx="29">
                  <c:v>2006.0</c:v>
                </c:pt>
                <c:pt idx="30">
                  <c:v>2007.0</c:v>
                </c:pt>
                <c:pt idx="31">
                  <c:v>2008.0</c:v>
                </c:pt>
                <c:pt idx="32">
                  <c:v>2009.0</c:v>
                </c:pt>
                <c:pt idx="33">
                  <c:v>2010.0</c:v>
                </c:pt>
              </c:numCache>
            </c:numRef>
          </c:cat>
          <c:val>
            <c:numRef>
              <c:f>Summary!$Q$3:$AX$3</c:f>
              <c:numCache>
                <c:formatCode>General</c:formatCode>
                <c:ptCount val="34"/>
                <c:pt idx="0">
                  <c:v>978.37</c:v>
                </c:pt>
                <c:pt idx="1">
                  <c:v>979.431</c:v>
                </c:pt>
                <c:pt idx="2">
                  <c:v>935.714</c:v>
                </c:pt>
                <c:pt idx="3">
                  <c:v>958.28</c:v>
                </c:pt>
                <c:pt idx="4">
                  <c:v>973.502</c:v>
                </c:pt>
                <c:pt idx="5">
                  <c:v>955.9640000000001</c:v>
                </c:pt>
                <c:pt idx="6">
                  <c:v>981.45</c:v>
                </c:pt>
                <c:pt idx="7">
                  <c:v>1092.06</c:v>
                </c:pt>
                <c:pt idx="8">
                  <c:v>1139.68</c:v>
                </c:pt>
                <c:pt idx="9">
                  <c:v>1141.99</c:v>
                </c:pt>
                <c:pt idx="10">
                  <c:v>859.4160000000001</c:v>
                </c:pt>
                <c:pt idx="11">
                  <c:v>1228.72</c:v>
                </c:pt>
                <c:pt idx="12">
                  <c:v>1229.6</c:v>
                </c:pt>
                <c:pt idx="13">
                  <c:v>1455.19</c:v>
                </c:pt>
                <c:pt idx="14">
                  <c:v>1195.61</c:v>
                </c:pt>
                <c:pt idx="15">
                  <c:v>1390.33</c:v>
                </c:pt>
                <c:pt idx="16">
                  <c:v>1326.6</c:v>
                </c:pt>
                <c:pt idx="17">
                  <c:v>1329.35</c:v>
                </c:pt>
                <c:pt idx="18">
                  <c:v>1264.24</c:v>
                </c:pt>
                <c:pt idx="19">
                  <c:v>1192.78</c:v>
                </c:pt>
                <c:pt idx="20">
                  <c:v>1124.43</c:v>
                </c:pt>
                <c:pt idx="21">
                  <c:v>1101.17</c:v>
                </c:pt>
                <c:pt idx="22">
                  <c:v>989.816</c:v>
                </c:pt>
                <c:pt idx="23">
                  <c:v>1132.71</c:v>
                </c:pt>
                <c:pt idx="24">
                  <c:v>1387.19</c:v>
                </c:pt>
                <c:pt idx="25">
                  <c:v>1480.19</c:v>
                </c:pt>
                <c:pt idx="26">
                  <c:v>1490.9</c:v>
                </c:pt>
                <c:pt idx="27">
                  <c:v>1480.54</c:v>
                </c:pt>
                <c:pt idx="28">
                  <c:v>1483.29</c:v>
                </c:pt>
                <c:pt idx="29">
                  <c:v>1486.44</c:v>
                </c:pt>
                <c:pt idx="30">
                  <c:v>1354.1</c:v>
                </c:pt>
                <c:pt idx="31">
                  <c:v>990.566</c:v>
                </c:pt>
                <c:pt idx="32">
                  <c:v>807.947</c:v>
                </c:pt>
                <c:pt idx="33">
                  <c:v>810.215</c:v>
                </c:pt>
              </c:numCache>
            </c:numRef>
          </c:val>
          <c:smooth val="0"/>
        </c:ser>
        <c:ser>
          <c:idx val="4"/>
          <c:order val="2"/>
          <c:spPr>
            <a:ln w="38100">
              <a:solidFill>
                <a:srgbClr val="00B050"/>
              </a:solidFill>
              <a:prstDash val="sysDash"/>
            </a:ln>
          </c:spPr>
          <c:marker>
            <c:symbol val="none"/>
          </c:marker>
          <c:dLbls>
            <c:dLbl>
              <c:idx val="7"/>
              <c:layout>
                <c:manualLayout>
                  <c:x val="-0.0385185185185185"/>
                  <c:y val="-0.02618181968113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StdDev!$B$568:$B$601</c:f>
              <c:numCache>
                <c:formatCode>General</c:formatCode>
                <c:ptCount val="34"/>
                <c:pt idx="0">
                  <c:v>1977.0</c:v>
                </c:pt>
                <c:pt idx="1">
                  <c:v>1978.0</c:v>
                </c:pt>
                <c:pt idx="2">
                  <c:v>1979.0</c:v>
                </c:pt>
                <c:pt idx="3">
                  <c:v>1980.0</c:v>
                </c:pt>
                <c:pt idx="4">
                  <c:v>1981.0</c:v>
                </c:pt>
                <c:pt idx="5">
                  <c:v>1982.0</c:v>
                </c:pt>
                <c:pt idx="6">
                  <c:v>1983.0</c:v>
                </c:pt>
                <c:pt idx="7">
                  <c:v>1984.0</c:v>
                </c:pt>
                <c:pt idx="8">
                  <c:v>1985.0</c:v>
                </c:pt>
                <c:pt idx="9">
                  <c:v>1986.0</c:v>
                </c:pt>
                <c:pt idx="10">
                  <c:v>1987.0</c:v>
                </c:pt>
                <c:pt idx="11">
                  <c:v>1988.0</c:v>
                </c:pt>
                <c:pt idx="12">
                  <c:v>1989.0</c:v>
                </c:pt>
                <c:pt idx="13">
                  <c:v>1990.0</c:v>
                </c:pt>
                <c:pt idx="14">
                  <c:v>1991.0</c:v>
                </c:pt>
                <c:pt idx="15">
                  <c:v>1992.0</c:v>
                </c:pt>
                <c:pt idx="16">
                  <c:v>1993.0</c:v>
                </c:pt>
                <c:pt idx="17">
                  <c:v>1994.0</c:v>
                </c:pt>
                <c:pt idx="18">
                  <c:v>1995.0</c:v>
                </c:pt>
                <c:pt idx="19">
                  <c:v>1996.0</c:v>
                </c:pt>
                <c:pt idx="20">
                  <c:v>1997.0</c:v>
                </c:pt>
                <c:pt idx="21">
                  <c:v>1998.0</c:v>
                </c:pt>
                <c:pt idx="22">
                  <c:v>1999.0</c:v>
                </c:pt>
                <c:pt idx="23">
                  <c:v>2000.0</c:v>
                </c:pt>
                <c:pt idx="24">
                  <c:v>2001.0</c:v>
                </c:pt>
                <c:pt idx="25">
                  <c:v>2002.0</c:v>
                </c:pt>
                <c:pt idx="26">
                  <c:v>2003.0</c:v>
                </c:pt>
                <c:pt idx="27">
                  <c:v>2004.0</c:v>
                </c:pt>
                <c:pt idx="28">
                  <c:v>2005.0</c:v>
                </c:pt>
                <c:pt idx="29">
                  <c:v>2006.0</c:v>
                </c:pt>
                <c:pt idx="30">
                  <c:v>2007.0</c:v>
                </c:pt>
                <c:pt idx="31">
                  <c:v>2008.0</c:v>
                </c:pt>
                <c:pt idx="32">
                  <c:v>2009.0</c:v>
                </c:pt>
                <c:pt idx="33">
                  <c:v>2010.0</c:v>
                </c:pt>
              </c:numCache>
            </c:numRef>
          </c:cat>
          <c:val>
            <c:numRef>
              <c:f>StdDev!$G$568:$G$601</c:f>
              <c:numCache>
                <c:formatCode>#,##0</c:formatCode>
                <c:ptCount val="34"/>
                <c:pt idx="0">
                  <c:v>950.0</c:v>
                </c:pt>
                <c:pt idx="1">
                  <c:v>950.0</c:v>
                </c:pt>
                <c:pt idx="2">
                  <c:v>1100.0</c:v>
                </c:pt>
                <c:pt idx="3">
                  <c:v>1300.0</c:v>
                </c:pt>
                <c:pt idx="4">
                  <c:v>1300.0</c:v>
                </c:pt>
                <c:pt idx="5">
                  <c:v>1300.0</c:v>
                </c:pt>
                <c:pt idx="6">
                  <c:v>1300.0</c:v>
                </c:pt>
                <c:pt idx="7">
                  <c:v>1300.0</c:v>
                </c:pt>
                <c:pt idx="8">
                  <c:v>1300.0</c:v>
                </c:pt>
                <c:pt idx="9">
                  <c:v>1300.0</c:v>
                </c:pt>
                <c:pt idx="10">
                  <c:v>1300.0</c:v>
                </c:pt>
                <c:pt idx="11">
                  <c:v>1500.0</c:v>
                </c:pt>
                <c:pt idx="12">
                  <c:v>1340.0</c:v>
                </c:pt>
                <c:pt idx="13">
                  <c:v>1450.0</c:v>
                </c:pt>
                <c:pt idx="14">
                  <c:v>1676.0</c:v>
                </c:pt>
                <c:pt idx="15">
                  <c:v>1490.0</c:v>
                </c:pt>
                <c:pt idx="16">
                  <c:v>1340.0</c:v>
                </c:pt>
                <c:pt idx="17">
                  <c:v>1330.0</c:v>
                </c:pt>
                <c:pt idx="18">
                  <c:v>1250.0</c:v>
                </c:pt>
                <c:pt idx="19">
                  <c:v>1190.0</c:v>
                </c:pt>
                <c:pt idx="20">
                  <c:v>1130.0</c:v>
                </c:pt>
                <c:pt idx="21">
                  <c:v>1110.0</c:v>
                </c:pt>
                <c:pt idx="22">
                  <c:v>992.0</c:v>
                </c:pt>
                <c:pt idx="23">
                  <c:v>1139.0</c:v>
                </c:pt>
                <c:pt idx="24">
                  <c:v>1842.0</c:v>
                </c:pt>
                <c:pt idx="25">
                  <c:v>2110.0</c:v>
                </c:pt>
                <c:pt idx="26">
                  <c:v>2330.0</c:v>
                </c:pt>
                <c:pt idx="27">
                  <c:v>2560.0</c:v>
                </c:pt>
                <c:pt idx="28">
                  <c:v>1960.0</c:v>
                </c:pt>
                <c:pt idx="29">
                  <c:v>1930.0</c:v>
                </c:pt>
                <c:pt idx="30">
                  <c:v>1394.0</c:v>
                </c:pt>
                <c:pt idx="31">
                  <c:v>1000.0</c:v>
                </c:pt>
                <c:pt idx="32">
                  <c:v>815.0</c:v>
                </c:pt>
                <c:pt idx="33">
                  <c:v>813.0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980080"/>
        <c:axId val="445976688"/>
      </c:lineChart>
      <c:catAx>
        <c:axId val="44596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19048818897638"/>
              <c:y val="0.9451662674397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Verdana" pitchFamily="34" charset="0"/>
                <a:ea typeface="Tahoma"/>
                <a:cs typeface="Tahoma"/>
              </a:defRPr>
            </a:pPr>
            <a:endParaRPr lang="en-US"/>
          </a:p>
        </c:txPr>
        <c:crossAx val="4459732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45973296"/>
        <c:scaling>
          <c:orientation val="minMax"/>
          <c:max val="13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2000" b="0" i="0" u="none" strike="noStrike" baseline="0">
                    <a:solidFill>
                      <a:srgbClr val="000000"/>
                    </a:solidFill>
                    <a:latin typeface="Verdana" pitchFamily="34" charset="0"/>
                    <a:ea typeface="Tahoma"/>
                    <a:cs typeface="Tahoma"/>
                  </a:defRPr>
                </a:pPr>
                <a:r>
                  <a:rPr lang="en-US" sz="2000" b="0" baseline="0">
                    <a:latin typeface="Verdana" pitchFamily="34" charset="0"/>
                  </a:rPr>
                  <a:t>Biomass (1,000s of t)</a:t>
                </a:r>
              </a:p>
            </c:rich>
          </c:tx>
          <c:layout>
            <c:manualLayout>
              <c:xMode val="edge"/>
              <c:yMode val="edge"/>
              <c:x val="0.000369903762029746"/>
              <c:y val="0.1722023291168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445969904"/>
        <c:crosses val="autoZero"/>
        <c:crossBetween val="midCat"/>
        <c:majorUnit val="3000.0"/>
      </c:valAx>
      <c:valAx>
        <c:axId val="445976688"/>
        <c:scaling>
          <c:orientation val="minMax"/>
          <c:max val="3999.0"/>
          <c:min val="0.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2000" baseline="0"/>
                </a:pPr>
                <a:r>
                  <a:rPr lang="en-US" sz="2000" baseline="0"/>
                  <a:t>ABC or Catch (1,000s of t)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445980080"/>
        <c:crosses val="max"/>
        <c:crossBetween val="between"/>
        <c:majorUnit val="1000.0"/>
      </c:valAx>
      <c:catAx>
        <c:axId val="445980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976688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96814952709712"/>
          <c:y val="0.0282828935308744"/>
          <c:w val="0.861265260821309"/>
          <c:h val="0.848287112561181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circle"/>
            <c:size val="13"/>
            <c:spPr>
              <a:solidFill>
                <a:srgbClr val="FFFF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4"/>
              <c:layout>
                <c:manualLayout>
                  <c:x val="-0.059403345946907"/>
                  <c:y val="-0.0200447864082245"/>
                </c:manualLayout>
              </c:layout>
              <c:tx>
                <c:rich>
                  <a:bodyPr/>
                  <a:lstStyle/>
                  <a:p>
                    <a:pPr>
                      <a:defRPr sz="107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1978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0.044822638013756"/>
                  <c:y val="-0.0500213656000992"/>
                </c:manualLayout>
              </c:layout>
              <c:tx>
                <c:rich>
                  <a:bodyPr/>
                  <a:lstStyle/>
                  <a:p>
                    <a:pPr>
                      <a:defRPr sz="107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1982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tx>
                <c:rich>
                  <a:bodyPr/>
                  <a:lstStyle/>
                  <a:p>
                    <a:pPr>
                      <a:defRPr sz="107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1984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tx>
                <c:rich>
                  <a:bodyPr/>
                  <a:lstStyle/>
                  <a:p>
                    <a:pPr>
                      <a:defRPr sz="107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1989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2"/>
              <c:layout>
                <c:manualLayout>
                  <c:x val="-0.00769119176418163"/>
                  <c:y val="0.00861132162721092"/>
                </c:manualLayout>
              </c:layout>
              <c:tx>
                <c:rich>
                  <a:bodyPr/>
                  <a:lstStyle/>
                  <a:p>
                    <a:pPr>
                      <a:defRPr sz="107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 1996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Summary!$AA$48:$AA$89</c:f>
              <c:numCache>
                <c:formatCode>#,##0</c:formatCode>
                <c:ptCount val="42"/>
                <c:pt idx="0">
                  <c:v>545.08</c:v>
                </c:pt>
                <c:pt idx="1">
                  <c:v>664.08</c:v>
                </c:pt>
                <c:pt idx="2">
                  <c:v>794.27</c:v>
                </c:pt>
                <c:pt idx="3">
                  <c:v>1014.8</c:v>
                </c:pt>
                <c:pt idx="4">
                  <c:v>1267.5</c:v>
                </c:pt>
                <c:pt idx="5">
                  <c:v>1559.4</c:v>
                </c:pt>
                <c:pt idx="6">
                  <c:v>1831.6</c:v>
                </c:pt>
                <c:pt idx="7">
                  <c:v>1942.5</c:v>
                </c:pt>
                <c:pt idx="8">
                  <c:v>1836.1</c:v>
                </c:pt>
                <c:pt idx="9">
                  <c:v>1538.5</c:v>
                </c:pt>
                <c:pt idx="10">
                  <c:v>1158.6</c:v>
                </c:pt>
                <c:pt idx="11">
                  <c:v>980.86</c:v>
                </c:pt>
                <c:pt idx="12">
                  <c:v>976.89</c:v>
                </c:pt>
                <c:pt idx="13">
                  <c:v>1039.2</c:v>
                </c:pt>
                <c:pt idx="14">
                  <c:v>1095.3</c:v>
                </c:pt>
                <c:pt idx="15">
                  <c:v>1100.7</c:v>
                </c:pt>
                <c:pt idx="16">
                  <c:v>1251.5</c:v>
                </c:pt>
                <c:pt idx="17">
                  <c:v>1985.8</c:v>
                </c:pt>
                <c:pt idx="18">
                  <c:v>2946.0</c:v>
                </c:pt>
                <c:pt idx="19">
                  <c:v>3594.3</c:v>
                </c:pt>
                <c:pt idx="20">
                  <c:v>3812.4</c:v>
                </c:pt>
                <c:pt idx="21">
                  <c:v>4029.6</c:v>
                </c:pt>
                <c:pt idx="22">
                  <c:v>4183.3</c:v>
                </c:pt>
                <c:pt idx="23">
                  <c:v>4216.2</c:v>
                </c:pt>
                <c:pt idx="24">
                  <c:v>4129.6</c:v>
                </c:pt>
                <c:pt idx="25">
                  <c:v>3668.5</c:v>
                </c:pt>
                <c:pt idx="26">
                  <c:v>2927.9</c:v>
                </c:pt>
                <c:pt idx="27">
                  <c:v>2179.4</c:v>
                </c:pt>
                <c:pt idx="28">
                  <c:v>2303.1</c:v>
                </c:pt>
                <c:pt idx="29">
                  <c:v>3202.4</c:v>
                </c:pt>
                <c:pt idx="30">
                  <c:v>3522.5</c:v>
                </c:pt>
                <c:pt idx="31">
                  <c:v>3749.1</c:v>
                </c:pt>
                <c:pt idx="32">
                  <c:v>3764.9</c:v>
                </c:pt>
                <c:pt idx="33">
                  <c:v>3564.7</c:v>
                </c:pt>
                <c:pt idx="34">
                  <c:v>3317.4</c:v>
                </c:pt>
                <c:pt idx="35">
                  <c:v>3317.8</c:v>
                </c:pt>
                <c:pt idx="36">
                  <c:v>3345.5</c:v>
                </c:pt>
                <c:pt idx="37">
                  <c:v>3382.3</c:v>
                </c:pt>
                <c:pt idx="38">
                  <c:v>3215.9</c:v>
                </c:pt>
                <c:pt idx="39">
                  <c:v>3417.9</c:v>
                </c:pt>
                <c:pt idx="40">
                  <c:v>3520.4</c:v>
                </c:pt>
                <c:pt idx="41">
                  <c:v>3223.0</c:v>
                </c:pt>
              </c:numCache>
            </c:numRef>
          </c:xVal>
          <c:yVal>
            <c:numRef>
              <c:f>Summary!$E$48:$E$89</c:f>
              <c:numCache>
                <c:formatCode>_(* #,##0_);_(* \(#,##0\);_(* "-"??_);_(@_)</c:formatCode>
                <c:ptCount val="42"/>
                <c:pt idx="0">
                  <c:v>21534.8</c:v>
                </c:pt>
                <c:pt idx="1">
                  <c:v>15436.5</c:v>
                </c:pt>
                <c:pt idx="2">
                  <c:v>25796.0</c:v>
                </c:pt>
                <c:pt idx="3">
                  <c:v>22271.4</c:v>
                </c:pt>
                <c:pt idx="4">
                  <c:v>26141.1</c:v>
                </c:pt>
                <c:pt idx="5">
                  <c:v>23500.1</c:v>
                </c:pt>
                <c:pt idx="6">
                  <c:v>14578.3</c:v>
                </c:pt>
                <c:pt idx="7">
                  <c:v>11964.4</c:v>
                </c:pt>
                <c:pt idx="8">
                  <c:v>26909.0</c:v>
                </c:pt>
                <c:pt idx="9">
                  <c:v>19909.1</c:v>
                </c:pt>
                <c:pt idx="10">
                  <c:v>17094.1</c:v>
                </c:pt>
                <c:pt idx="11">
                  <c:v>13137.6</c:v>
                </c:pt>
                <c:pt idx="12">
                  <c:v>13755.3</c:v>
                </c:pt>
                <c:pt idx="13">
                  <c:v>25352.3</c:v>
                </c:pt>
                <c:pt idx="14">
                  <c:v>61942.6</c:v>
                </c:pt>
                <c:pt idx="15">
                  <c:v>27184.1</c:v>
                </c:pt>
                <c:pt idx="16">
                  <c:v>30738.1</c:v>
                </c:pt>
                <c:pt idx="17">
                  <c:v>16305.4</c:v>
                </c:pt>
                <c:pt idx="18">
                  <c:v>52162.3</c:v>
                </c:pt>
                <c:pt idx="19">
                  <c:v>13572.8</c:v>
                </c:pt>
                <c:pt idx="20">
                  <c:v>34631.9</c:v>
                </c:pt>
                <c:pt idx="21">
                  <c:v>14545.4</c:v>
                </c:pt>
                <c:pt idx="22">
                  <c:v>7835.33</c:v>
                </c:pt>
                <c:pt idx="23">
                  <c:v>5561.46</c:v>
                </c:pt>
                <c:pt idx="24">
                  <c:v>11102.8</c:v>
                </c:pt>
                <c:pt idx="25">
                  <c:v>48848.1</c:v>
                </c:pt>
                <c:pt idx="26">
                  <c:v>25581.3</c:v>
                </c:pt>
                <c:pt idx="27">
                  <c:v>22780.8</c:v>
                </c:pt>
                <c:pt idx="28">
                  <c:v>46863.2</c:v>
                </c:pt>
                <c:pt idx="29">
                  <c:v>15942.8</c:v>
                </c:pt>
                <c:pt idx="30">
                  <c:v>10904.9</c:v>
                </c:pt>
                <c:pt idx="31">
                  <c:v>22878.1</c:v>
                </c:pt>
                <c:pt idx="32">
                  <c:v>31178.4</c:v>
                </c:pt>
                <c:pt idx="33">
                  <c:v>15483.0</c:v>
                </c:pt>
                <c:pt idx="34">
                  <c:v>16827.1</c:v>
                </c:pt>
                <c:pt idx="35">
                  <c:v>25850.3</c:v>
                </c:pt>
                <c:pt idx="36">
                  <c:v>35963.4</c:v>
                </c:pt>
                <c:pt idx="37">
                  <c:v>23951.8</c:v>
                </c:pt>
                <c:pt idx="38">
                  <c:v>14625.5</c:v>
                </c:pt>
                <c:pt idx="39">
                  <c:v>6640.46</c:v>
                </c:pt>
                <c:pt idx="40">
                  <c:v>4831.7</c:v>
                </c:pt>
                <c:pt idx="41">
                  <c:v>12207.5</c:v>
                </c:pt>
              </c:numCache>
            </c:numRef>
          </c:yVal>
          <c:smooth val="0"/>
        </c:ser>
        <c:ser>
          <c:idx val="3"/>
          <c:order val="1"/>
          <c:spPr>
            <a:ln w="38100">
              <a:solidFill>
                <a:srgbClr val="000000"/>
              </a:solidFill>
              <a:prstDash val="solid"/>
            </a:ln>
          </c:spPr>
          <c:marker>
            <c:symbol val="dash"/>
            <c:size val="14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dPt>
            <c:idx val="0"/>
            <c:marker>
              <c:symbol val="triangle"/>
              <c:size val="9"/>
              <c:spPr>
                <a:solidFill>
                  <a:srgbClr val="FFFF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00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0321335582219814"/>
                  <c:y val="-0.0391964136619954"/>
                </c:manualLayout>
              </c:layout>
              <c:tx>
                <c:rich>
                  <a:bodyPr/>
                  <a:lstStyle/>
                  <a:p>
                    <a:pPr>
                      <a:defRPr sz="150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Bmsy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9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Summary!$J$61:$J$62</c:f>
              <c:numCache>
                <c:formatCode>_(* #,##0_);_(* \(#,##0\);_(* "-"??_);_(@_)</c:formatCode>
                <c:ptCount val="2"/>
                <c:pt idx="0">
                  <c:v>1948.1</c:v>
                </c:pt>
                <c:pt idx="1">
                  <c:v>1948.1</c:v>
                </c:pt>
              </c:numCache>
            </c:numRef>
          </c:xVal>
          <c:yVal>
            <c:numRef>
              <c:f>Summary!$K$61:$K$62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61942.6</c:v>
                </c:pt>
              </c:numCache>
            </c:numRef>
          </c:yVal>
          <c:smooth val="0"/>
        </c:ser>
        <c:ser>
          <c:idx val="2"/>
          <c:order val="2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Summary!$AQ$48:$AQ$49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xVal>
          <c:yVal>
            <c:numRef>
              <c:f>Summary!$AR$48:$AR$49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yVal>
          <c:smooth val="0"/>
        </c:ser>
        <c:ser>
          <c:idx val="4"/>
          <c:order val="3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Summary!$AQ$51:$AQ$52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xVal>
          <c:yVal>
            <c:numRef>
              <c:f>Summary!$AR$51:$AR$52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0.0</c:v>
                </c:pt>
              </c:numCache>
            </c:numRef>
          </c:yVal>
          <c:smooth val="0"/>
        </c:ser>
        <c:ser>
          <c:idx val="5"/>
          <c:order val="4"/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dPt>
            <c:idx val="0"/>
            <c:marker>
              <c:symbol val="triangle"/>
              <c:size val="9"/>
              <c:spPr>
                <a:solidFill>
                  <a:srgbClr val="FFFF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</c:dPt>
          <c:dLbls>
            <c:dLbl>
              <c:idx val="1"/>
              <c:layout>
                <c:manualLayout>
                  <c:x val="-0.0318493595625746"/>
                  <c:y val="-0.0364885058209486"/>
                </c:manualLayout>
              </c:layout>
              <c:tx>
                <c:rich>
                  <a:bodyPr/>
                  <a:lstStyle/>
                  <a:p>
                    <a:pPr>
                      <a:defRPr sz="1325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B40% 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Summary!$E$105:$E$106</c:f>
              <c:numCache>
                <c:formatCode>General</c:formatCode>
                <c:ptCount val="2"/>
                <c:pt idx="0" formatCode="#,##0">
                  <c:v>2813.0</c:v>
                </c:pt>
                <c:pt idx="1">
                  <c:v>2813.0</c:v>
                </c:pt>
              </c:numCache>
            </c:numRef>
          </c:xVal>
          <c:yVal>
            <c:numRef>
              <c:f>Summary!$F$105:$F$106</c:f>
              <c:numCache>
                <c:formatCode>_(* #,##0_);_(* \(#,##0\);_(* "-"??_);_(@_)</c:formatCode>
                <c:ptCount val="2"/>
                <c:pt idx="0" formatCode="General">
                  <c:v>0.0</c:v>
                </c:pt>
                <c:pt idx="1">
                  <c:v>61942.6</c:v>
                </c:pt>
              </c:numCache>
            </c:numRef>
          </c:yVal>
          <c:smooth val="0"/>
        </c:ser>
        <c:ser>
          <c:idx val="6"/>
          <c:order val="5"/>
          <c:spPr>
            <a:ln w="3175">
              <a:solidFill>
                <a:srgbClr val="008080"/>
              </a:solidFill>
              <a:prstDash val="sysDash"/>
            </a:ln>
          </c:spPr>
          <c:marker>
            <c:symbol val="none"/>
          </c:marker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StdDev!$I$151:$I$170</c:f>
              <c:numCache>
                <c:formatCode>#,##0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yVal>
          <c:smooth val="0"/>
        </c:ser>
        <c:ser>
          <c:idx val="7"/>
          <c:order val="6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FF99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Pt>
            <c:idx val="1"/>
            <c:marker>
              <c:symbol val="diamond"/>
              <c:size val="11"/>
              <c:spPr>
                <a:solidFill>
                  <a:srgbClr val="FF0000"/>
                </a:solidFill>
                <a:ln>
                  <a:solidFill>
                    <a:srgbClr val="FF0000"/>
                  </a:solidFill>
                  <a:prstDash val="solid"/>
                </a:ln>
              </c:spPr>
            </c:marker>
            <c:bubble3D val="0"/>
          </c:dPt>
          <c:dLbls>
            <c:dLbl>
              <c:idx val="0"/>
              <c:layout>
                <c:manualLayout>
                  <c:x val="0.0340444125949298"/>
                  <c:y val="-0.111350657024315"/>
                </c:manualLayout>
              </c:layout>
              <c:tx>
                <c:rich>
                  <a:bodyPr/>
                  <a:lstStyle/>
                  <a:p>
                    <a:pPr>
                      <a:defRPr sz="950" b="1" i="0" u="none" strike="noStrike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1998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StdDev!$AK$63:$AK$68</c:f>
              <c:numCache>
                <c:formatCode>#,##0</c:formatCode>
                <c:ptCount val="6"/>
                <c:pt idx="0">
                  <c:v>3483.4</c:v>
                </c:pt>
                <c:pt idx="1">
                  <c:v>3645.7</c:v>
                </c:pt>
                <c:pt idx="2">
                  <c:v>3832.3</c:v>
                </c:pt>
                <c:pt idx="3">
                  <c:v>3914.7</c:v>
                </c:pt>
                <c:pt idx="4">
                  <c:v>4011.3</c:v>
                </c:pt>
                <c:pt idx="5">
                  <c:v>4102.5</c:v>
                </c:pt>
              </c:numCache>
            </c:numRef>
          </c:xVal>
          <c:yVal>
            <c:numRef>
              <c:f>StdDev!$AL$63:$AL$68</c:f>
              <c:numCache>
                <c:formatCode>#,##0</c:formatCode>
                <c:ptCount val="6"/>
                <c:pt idx="0">
                  <c:v>26543.8</c:v>
                </c:pt>
                <c:pt idx="1">
                  <c:v>24938.4</c:v>
                </c:pt>
                <c:pt idx="2">
                  <c:v>24058.6</c:v>
                </c:pt>
                <c:pt idx="3">
                  <c:v>23755.7</c:v>
                </c:pt>
                <c:pt idx="4">
                  <c:v>23474.0</c:v>
                </c:pt>
                <c:pt idx="5">
                  <c:v>0.0</c:v>
                </c:pt>
              </c:numCache>
            </c:numRef>
          </c:yVal>
          <c:smooth val="0"/>
        </c:ser>
        <c:ser>
          <c:idx val="0"/>
          <c:order val="7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StdDev!$F$151:$F$170</c:f>
                <c:numCache>
                  <c:formatCode>General</c:formatCode>
                  <c:ptCount val="20"/>
                  <c:pt idx="0">
                    <c:v>3602.0</c:v>
                  </c:pt>
                  <c:pt idx="1">
                    <c:v>4181.1</c:v>
                  </c:pt>
                  <c:pt idx="2">
                    <c:v>4455.0</c:v>
                  </c:pt>
                  <c:pt idx="3">
                    <c:v>4516.3</c:v>
                  </c:pt>
                  <c:pt idx="4">
                    <c:v>4438.9</c:v>
                  </c:pt>
                  <c:pt idx="5">
                    <c:v>4281.9</c:v>
                  </c:pt>
                  <c:pt idx="6">
                    <c:v>4091.1</c:v>
                  </c:pt>
                  <c:pt idx="7">
                    <c:v>3900.8</c:v>
                  </c:pt>
                  <c:pt idx="8">
                    <c:v>3734.4</c:v>
                  </c:pt>
                  <c:pt idx="9">
                    <c:v>3605.1</c:v>
                  </c:pt>
                  <c:pt idx="10">
                    <c:v>3517.1</c:v>
                  </c:pt>
                  <c:pt idx="11">
                    <c:v>3467.2</c:v>
                  </c:pt>
                  <c:pt idx="12">
                    <c:v>3447.6</c:v>
                  </c:pt>
                  <c:pt idx="13">
                    <c:v>3448.3</c:v>
                  </c:pt>
                  <c:pt idx="14">
                    <c:v>3459.5</c:v>
                  </c:pt>
                  <c:pt idx="15">
                    <c:v>3472.7</c:v>
                  </c:pt>
                  <c:pt idx="16">
                    <c:v>3481.5</c:v>
                  </c:pt>
                  <c:pt idx="17">
                    <c:v>3481.3</c:v>
                  </c:pt>
                  <c:pt idx="18">
                    <c:v>0.021569</c:v>
                  </c:pt>
                  <c:pt idx="19">
                    <c:v>0.022388</c:v>
                  </c:pt>
                </c:numCache>
              </c:numRef>
            </c:plus>
            <c:minus>
              <c:numRef>
                <c:f>StdDev!$F$151:$F$170</c:f>
                <c:numCache>
                  <c:formatCode>General</c:formatCode>
                  <c:ptCount val="20"/>
                  <c:pt idx="0">
                    <c:v>3602.0</c:v>
                  </c:pt>
                  <c:pt idx="1">
                    <c:v>4181.1</c:v>
                  </c:pt>
                  <c:pt idx="2">
                    <c:v>4455.0</c:v>
                  </c:pt>
                  <c:pt idx="3">
                    <c:v>4516.3</c:v>
                  </c:pt>
                  <c:pt idx="4">
                    <c:v>4438.9</c:v>
                  </c:pt>
                  <c:pt idx="5">
                    <c:v>4281.9</c:v>
                  </c:pt>
                  <c:pt idx="6">
                    <c:v>4091.1</c:v>
                  </c:pt>
                  <c:pt idx="7">
                    <c:v>3900.8</c:v>
                  </c:pt>
                  <c:pt idx="8">
                    <c:v>3734.4</c:v>
                  </c:pt>
                  <c:pt idx="9">
                    <c:v>3605.1</c:v>
                  </c:pt>
                  <c:pt idx="10">
                    <c:v>3517.1</c:v>
                  </c:pt>
                  <c:pt idx="11">
                    <c:v>3467.2</c:v>
                  </c:pt>
                  <c:pt idx="12">
                    <c:v>3447.6</c:v>
                  </c:pt>
                  <c:pt idx="13">
                    <c:v>3448.3</c:v>
                  </c:pt>
                  <c:pt idx="14">
                    <c:v>3459.5</c:v>
                  </c:pt>
                  <c:pt idx="15">
                    <c:v>3472.7</c:v>
                  </c:pt>
                  <c:pt idx="16">
                    <c:v>3481.5</c:v>
                  </c:pt>
                  <c:pt idx="17">
                    <c:v>3481.3</c:v>
                  </c:pt>
                  <c:pt idx="18">
                    <c:v>0.021569</c:v>
                  </c:pt>
                  <c:pt idx="19">
                    <c:v>0.022388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StdDev!$B$151:$B$170</c:f>
              <c:numCache>
                <c:formatCode>General</c:formatCode>
                <c:ptCount val="20"/>
                <c:pt idx="0">
                  <c:v>162.094</c:v>
                </c:pt>
                <c:pt idx="1">
                  <c:v>486.282</c:v>
                </c:pt>
                <c:pt idx="2">
                  <c:v>810.4690000000001</c:v>
                </c:pt>
                <c:pt idx="3">
                  <c:v>1134.66</c:v>
                </c:pt>
                <c:pt idx="4">
                  <c:v>1458.84</c:v>
                </c:pt>
                <c:pt idx="5">
                  <c:v>1783.03</c:v>
                </c:pt>
                <c:pt idx="6">
                  <c:v>2107.22</c:v>
                </c:pt>
                <c:pt idx="7">
                  <c:v>2431.41</c:v>
                </c:pt>
                <c:pt idx="8">
                  <c:v>2755.6</c:v>
                </c:pt>
                <c:pt idx="9">
                  <c:v>3079.78</c:v>
                </c:pt>
                <c:pt idx="10">
                  <c:v>3403.97</c:v>
                </c:pt>
                <c:pt idx="11">
                  <c:v>3728.16</c:v>
                </c:pt>
                <c:pt idx="12">
                  <c:v>4052.35</c:v>
                </c:pt>
                <c:pt idx="13">
                  <c:v>4376.53</c:v>
                </c:pt>
                <c:pt idx="14">
                  <c:v>4700.72</c:v>
                </c:pt>
                <c:pt idx="15">
                  <c:v>5024.91</c:v>
                </c:pt>
                <c:pt idx="16">
                  <c:v>5349.1</c:v>
                </c:pt>
                <c:pt idx="17">
                  <c:v>5673.28</c:v>
                </c:pt>
                <c:pt idx="18">
                  <c:v>5997.47</c:v>
                </c:pt>
                <c:pt idx="19">
                  <c:v>6321.66</c:v>
                </c:pt>
              </c:numCache>
            </c:numRef>
          </c:xVal>
          <c:yVal>
            <c:numRef>
              <c:f>StdDev!$E$151:$E$170</c:f>
              <c:numCache>
                <c:formatCode>#,##0</c:formatCode>
                <c:ptCount val="20"/>
                <c:pt idx="0">
                  <c:v>17455.0</c:v>
                </c:pt>
                <c:pt idx="1">
                  <c:v>21668.0</c:v>
                </c:pt>
                <c:pt idx="2">
                  <c:v>24702.0</c:v>
                </c:pt>
                <c:pt idx="3">
                  <c:v>26770.0</c:v>
                </c:pt>
                <c:pt idx="4">
                  <c:v>28053.0</c:v>
                </c:pt>
                <c:pt idx="5">
                  <c:v>28701.0</c:v>
                </c:pt>
                <c:pt idx="6">
                  <c:v>28842.0</c:v>
                </c:pt>
                <c:pt idx="7">
                  <c:v>28583.0</c:v>
                </c:pt>
                <c:pt idx="8">
                  <c:v>28012.0</c:v>
                </c:pt>
                <c:pt idx="9">
                  <c:v>27203.0</c:v>
                </c:pt>
                <c:pt idx="10">
                  <c:v>26218.0</c:v>
                </c:pt>
                <c:pt idx="11">
                  <c:v>25107.0</c:v>
                </c:pt>
                <c:pt idx="12">
                  <c:v>23911.0</c:v>
                </c:pt>
                <c:pt idx="13">
                  <c:v>22664.0</c:v>
                </c:pt>
                <c:pt idx="14">
                  <c:v>21393.0</c:v>
                </c:pt>
                <c:pt idx="15">
                  <c:v>20118.0</c:v>
                </c:pt>
                <c:pt idx="16">
                  <c:v>18858.0</c:v>
                </c:pt>
                <c:pt idx="17">
                  <c:v>17625.0</c:v>
                </c:pt>
                <c:pt idx="18">
                  <c:v>0.097247</c:v>
                </c:pt>
                <c:pt idx="19">
                  <c:v>0.10691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48272"/>
        <c:axId val="505350944"/>
      </c:scatterChart>
      <c:valAx>
        <c:axId val="50534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spawning biomass (thousands t)</a:t>
                </a:r>
              </a:p>
            </c:rich>
          </c:tx>
          <c:layout>
            <c:manualLayout>
              <c:xMode val="edge"/>
              <c:yMode val="edge"/>
              <c:x val="0.308546048410615"/>
              <c:y val="0.93964111322211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350944"/>
        <c:crosses val="autoZero"/>
        <c:crossBetween val="midCat"/>
      </c:valAx>
      <c:valAx>
        <c:axId val="505350944"/>
        <c:scaling>
          <c:orientation val="minMax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Age 1 Recruitment (millions)</a:t>
                </a:r>
              </a:p>
            </c:rich>
          </c:tx>
          <c:layout>
            <c:manualLayout>
              <c:xMode val="edge"/>
              <c:yMode val="edge"/>
              <c:x val="0.0"/>
              <c:y val="0.21370309026216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348272"/>
        <c:crosses val="autoZero"/>
        <c:crossBetween val="midCat"/>
        <c:majorUnit val="20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929371157373"/>
          <c:y val="0.0342577328777299"/>
          <c:w val="0.818395541844727"/>
          <c:h val="0.879282218597064"/>
        </c:manualLayout>
      </c:layout>
      <c:scatterChart>
        <c:scatterStyle val="lineMarker"/>
        <c:varyColors val="0"/>
        <c:ser>
          <c:idx val="0"/>
          <c:order val="0"/>
          <c:tx>
            <c:v>Model inferred survey biomass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'Survey Components'!$E$167:$E$195</c:f>
              <c:numCache>
                <c:formatCode>General</c:formatCode>
                <c:ptCount val="29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  <c:pt idx="28">
                  <c:v>2010.0</c:v>
                </c:pt>
              </c:numCache>
            </c:numRef>
          </c:xVal>
          <c:yVal>
            <c:numRef>
              <c:f>'Survey Components'!$F$167:$F$195</c:f>
              <c:numCache>
                <c:formatCode>General</c:formatCode>
                <c:ptCount val="29"/>
                <c:pt idx="0">
                  <c:v>3556.047203240332</c:v>
                </c:pt>
                <c:pt idx="1">
                  <c:v>5755.839883609313</c:v>
                </c:pt>
                <c:pt idx="2">
                  <c:v>5315.50556765699</c:v>
                </c:pt>
                <c:pt idx="3">
                  <c:v>5825.898006696125</c:v>
                </c:pt>
                <c:pt idx="4">
                  <c:v>5615.79660232787</c:v>
                </c:pt>
                <c:pt idx="5">
                  <c:v>6217.023295917608</c:v>
                </c:pt>
                <c:pt idx="6">
                  <c:v>7641.123225506566</c:v>
                </c:pt>
                <c:pt idx="7">
                  <c:v>6859.1710446897</c:v>
                </c:pt>
                <c:pt idx="8">
                  <c:v>6137.860047328482</c:v>
                </c:pt>
                <c:pt idx="9">
                  <c:v>4416.597926595823</c:v>
                </c:pt>
                <c:pt idx="10">
                  <c:v>3765.728009677255</c:v>
                </c:pt>
                <c:pt idx="11">
                  <c:v>3714.023760371841</c:v>
                </c:pt>
                <c:pt idx="12">
                  <c:v>4160.731694071083</c:v>
                </c:pt>
                <c:pt idx="13">
                  <c:v>3367.665091143331</c:v>
                </c:pt>
                <c:pt idx="14">
                  <c:v>2697.81104708717</c:v>
                </c:pt>
                <c:pt idx="15">
                  <c:v>3147.289443456481</c:v>
                </c:pt>
                <c:pt idx="16">
                  <c:v>2644.419753896553</c:v>
                </c:pt>
                <c:pt idx="17">
                  <c:v>4319.738108822452</c:v>
                </c:pt>
                <c:pt idx="18">
                  <c:v>4093.49172316955</c:v>
                </c:pt>
                <c:pt idx="19">
                  <c:v>3709.343211440943</c:v>
                </c:pt>
                <c:pt idx="20">
                  <c:v>3638.829520478223</c:v>
                </c:pt>
                <c:pt idx="21">
                  <c:v>2907.513361115528</c:v>
                </c:pt>
                <c:pt idx="22">
                  <c:v>3284.896935318502</c:v>
                </c:pt>
                <c:pt idx="23">
                  <c:v>3987.517314169398</c:v>
                </c:pt>
                <c:pt idx="24">
                  <c:v>2971.17717723864</c:v>
                </c:pt>
                <c:pt idx="25">
                  <c:v>3988.163892642688</c:v>
                </c:pt>
                <c:pt idx="26">
                  <c:v>2839.845997316708</c:v>
                </c:pt>
                <c:pt idx="27">
                  <c:v>2593.561893620792</c:v>
                </c:pt>
                <c:pt idx="28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Observed survey biomass</c:v>
          </c:tx>
          <c:spPr>
            <a:ln w="28575">
              <a:noFill/>
            </a:ln>
            <a:effectLst/>
          </c:spPr>
          <c:marker>
            <c:symbol val="circle"/>
            <c:size val="11"/>
            <c:spPr>
              <a:gradFill flip="none" rotWithShape="1">
                <a:gsLst>
                  <a:gs pos="0">
                    <a:srgbClr val="FFF200"/>
                  </a:gs>
                  <a:gs pos="45000">
                    <a:srgbClr val="FF7A00"/>
                  </a:gs>
                  <a:gs pos="70000">
                    <a:srgbClr val="FF0300"/>
                  </a:gs>
                  <a:gs pos="100000">
                    <a:srgbClr val="4D0808"/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solidFill>
                  <a:srgbClr val="000000"/>
                </a:solidFill>
                <a:prstDash val="solid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'Survey Components'!$H$438:$H$465</c:f>
                <c:numCache>
                  <c:formatCode>General</c:formatCode>
                  <c:ptCount val="28"/>
                  <c:pt idx="0">
                    <c:v>822.5084788</c:v>
                  </c:pt>
                  <c:pt idx="1">
                    <c:v>1105.8283022</c:v>
                  </c:pt>
                  <c:pt idx="2">
                    <c:v>1017.8874968</c:v>
                  </c:pt>
                  <c:pt idx="3">
                    <c:v>868.9861064</c:v>
                  </c:pt>
                  <c:pt idx="4">
                    <c:v>1032.8951972</c:v>
                  </c:pt>
                  <c:pt idx="5">
                    <c:v>1226.314435</c:v>
                  </c:pt>
                  <c:pt idx="6">
                    <c:v>1494.8506526</c:v>
                  </c:pt>
                  <c:pt idx="7">
                    <c:v>1169.4548282</c:v>
                  </c:pt>
                  <c:pt idx="8">
                    <c:v>1919.4226006</c:v>
                  </c:pt>
                  <c:pt idx="9">
                    <c:v>1288.2337708</c:v>
                  </c:pt>
                  <c:pt idx="10">
                    <c:v>1026.6880164</c:v>
                  </c:pt>
                  <c:pt idx="11">
                    <c:v>942.370972</c:v>
                  </c:pt>
                  <c:pt idx="12">
                    <c:v>1054.099076</c:v>
                  </c:pt>
                  <c:pt idx="13">
                    <c:v>2082.74486</c:v>
                  </c:pt>
                  <c:pt idx="14">
                    <c:v>548.0088684</c:v>
                  </c:pt>
                  <c:pt idx="15">
                    <c:v>904.6772754</c:v>
                  </c:pt>
                  <c:pt idx="16">
                    <c:v>629.7343828</c:v>
                  </c:pt>
                  <c:pt idx="17">
                    <c:v>897.2790214</c:v>
                  </c:pt>
                  <c:pt idx="18">
                    <c:v>1161.457155</c:v>
                  </c:pt>
                  <c:pt idx="19">
                    <c:v>679.9498138</c:v>
                  </c:pt>
                  <c:pt idx="20">
                    <c:v>899.3465437999999</c:v>
                  </c:pt>
                  <c:pt idx="21">
                    <c:v>4122.542286</c:v>
                  </c:pt>
                  <c:pt idx="22">
                    <c:v>716.349154</c:v>
                  </c:pt>
                  <c:pt idx="23">
                    <c:v>896.190737</c:v>
                  </c:pt>
                  <c:pt idx="24">
                    <c:v>567.6111888</c:v>
                  </c:pt>
                  <c:pt idx="25">
                    <c:v>894.7162948649353</c:v>
                  </c:pt>
                  <c:pt idx="26">
                    <c:v>692.6978429521287</c:v>
                  </c:pt>
                  <c:pt idx="27">
                    <c:v>554.0461703092658</c:v>
                  </c:pt>
                </c:numCache>
              </c:numRef>
            </c:plus>
            <c:minus>
              <c:numRef>
                <c:f>'Survey Components'!$G$438:$G$465</c:f>
                <c:numCache>
                  <c:formatCode>General</c:formatCode>
                  <c:ptCount val="28"/>
                  <c:pt idx="0">
                    <c:v>822.5084788</c:v>
                  </c:pt>
                  <c:pt idx="1">
                    <c:v>1105.8283022</c:v>
                  </c:pt>
                  <c:pt idx="2">
                    <c:v>1017.8874968</c:v>
                  </c:pt>
                  <c:pt idx="3">
                    <c:v>868.9861064</c:v>
                  </c:pt>
                  <c:pt idx="4">
                    <c:v>1032.8951972</c:v>
                  </c:pt>
                  <c:pt idx="5">
                    <c:v>1226.314435</c:v>
                  </c:pt>
                  <c:pt idx="6">
                    <c:v>1494.8506526</c:v>
                  </c:pt>
                  <c:pt idx="7">
                    <c:v>1169.4548282</c:v>
                  </c:pt>
                  <c:pt idx="8">
                    <c:v>1919.4226006</c:v>
                  </c:pt>
                  <c:pt idx="9">
                    <c:v>1288.2337708</c:v>
                  </c:pt>
                  <c:pt idx="10">
                    <c:v>1026.6880164</c:v>
                  </c:pt>
                  <c:pt idx="11">
                    <c:v>942.370972</c:v>
                  </c:pt>
                  <c:pt idx="12">
                    <c:v>1054.099076</c:v>
                  </c:pt>
                  <c:pt idx="13">
                    <c:v>2082.74486</c:v>
                  </c:pt>
                  <c:pt idx="14">
                    <c:v>548.0088684</c:v>
                  </c:pt>
                  <c:pt idx="15">
                    <c:v>904.6772754</c:v>
                  </c:pt>
                  <c:pt idx="16">
                    <c:v>629.7343828</c:v>
                  </c:pt>
                  <c:pt idx="17">
                    <c:v>897.2790214</c:v>
                  </c:pt>
                  <c:pt idx="18">
                    <c:v>1161.457155</c:v>
                  </c:pt>
                  <c:pt idx="19">
                    <c:v>679.9498138</c:v>
                  </c:pt>
                  <c:pt idx="20">
                    <c:v>899.3465437999999</c:v>
                  </c:pt>
                  <c:pt idx="21">
                    <c:v>4122.542286</c:v>
                  </c:pt>
                  <c:pt idx="22">
                    <c:v>716.349154</c:v>
                  </c:pt>
                  <c:pt idx="23">
                    <c:v>896.190737</c:v>
                  </c:pt>
                  <c:pt idx="24">
                    <c:v>567.6111888</c:v>
                  </c:pt>
                  <c:pt idx="25">
                    <c:v>894.7162948649353</c:v>
                  </c:pt>
                  <c:pt idx="26">
                    <c:v>692.6978429521287</c:v>
                  </c:pt>
                  <c:pt idx="27">
                    <c:v>554.0461703092658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'Survey Components'!$E$368:$E$395</c:f>
              <c:numCache>
                <c:formatCode>General</c:formatCode>
                <c:ptCount val="28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  <c:pt idx="27">
                  <c:v>2009.0</c:v>
                </c:pt>
              </c:numCache>
            </c:numRef>
          </c:xVal>
          <c:yVal>
            <c:numRef>
              <c:f>'Survey Components'!$F$368:$F$395</c:f>
              <c:numCache>
                <c:formatCode>General</c:formatCode>
                <c:ptCount val="28"/>
                <c:pt idx="0">
                  <c:v>2554.071605972395</c:v>
                </c:pt>
                <c:pt idx="1">
                  <c:v>6859.670068616104</c:v>
                </c:pt>
                <c:pt idx="2">
                  <c:v>4999.411670884278</c:v>
                </c:pt>
                <c:pt idx="3">
                  <c:v>5595.865690704366</c:v>
                </c:pt>
                <c:pt idx="4">
                  <c:v>4946.737055809995</c:v>
                </c:pt>
                <c:pt idx="5">
                  <c:v>5016.231045861325</c:v>
                </c:pt>
                <c:pt idx="6">
                  <c:v>7323.46020588249</c:v>
                </c:pt>
                <c:pt idx="7">
                  <c:v>6234.98245046787</c:v>
                </c:pt>
                <c:pt idx="8">
                  <c:v>6956.492906940905</c:v>
                </c:pt>
                <c:pt idx="9">
                  <c:v>4763.519693266786</c:v>
                </c:pt>
                <c:pt idx="10">
                  <c:v>4241.14147861275</c:v>
                </c:pt>
                <c:pt idx="11">
                  <c:v>4848.90002939537</c:v>
                </c:pt>
                <c:pt idx="12">
                  <c:v>4853.124372165407</c:v>
                </c:pt>
                <c:pt idx="13">
                  <c:v>5982.397147569031</c:v>
                </c:pt>
                <c:pt idx="14">
                  <c:v>3234.980491956667</c:v>
                </c:pt>
                <c:pt idx="15">
                  <c:v>3845.72373933475</c:v>
                </c:pt>
                <c:pt idx="16">
                  <c:v>2765.587414628246</c:v>
                </c:pt>
                <c:pt idx="17">
                  <c:v>4012.410760873641</c:v>
                </c:pt>
                <c:pt idx="18">
                  <c:v>5079.754608075836</c:v>
                </c:pt>
                <c:pt idx="19">
                  <c:v>3994.234997348914</c:v>
                </c:pt>
                <c:pt idx="20">
                  <c:v>4740.361711444476</c:v>
                </c:pt>
                <c:pt idx="21">
                  <c:v>7571.409119416067</c:v>
                </c:pt>
                <c:pt idx="22">
                  <c:v>3530.795658369042</c:v>
                </c:pt>
                <c:pt idx="23">
                  <c:v>4961.769487736554</c:v>
                </c:pt>
                <c:pt idx="24">
                  <c:v>2973.847885989024</c:v>
                </c:pt>
                <c:pt idx="25">
                  <c:v>4412.028744474032</c:v>
                </c:pt>
                <c:pt idx="26">
                  <c:v>2931.111128507714</c:v>
                </c:pt>
                <c:pt idx="27">
                  <c:v>2217.000027799173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05792"/>
        <c:axId val="505307840"/>
      </c:scatterChart>
      <c:valAx>
        <c:axId val="505305792"/>
        <c:scaling>
          <c:orientation val="minMax"/>
          <c:min val="1980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75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505307840"/>
        <c:crosses val="autoZero"/>
        <c:crossBetween val="midCat"/>
        <c:majorUnit val="2.0"/>
      </c:valAx>
      <c:valAx>
        <c:axId val="505307840"/>
        <c:scaling>
          <c:orientation val="minMax"/>
          <c:max val="9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23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biomass (kt)</a:t>
                </a:r>
              </a:p>
            </c:rich>
          </c:tx>
          <c:layout>
            <c:manualLayout>
              <c:xMode val="edge"/>
              <c:yMode val="edge"/>
              <c:x val="0.00739924176144649"/>
              <c:y val="0.18542689680325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305792"/>
        <c:crosses val="autoZero"/>
        <c:crossBetween val="midCat"/>
        <c:majorUnit val="2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854060803701"/>
          <c:y val="0.111627906976744"/>
          <c:w val="0.874158262550767"/>
          <c:h val="0.702325581395348"/>
        </c:manualLayout>
      </c:layout>
      <c:lineChart>
        <c:grouping val="standard"/>
        <c:varyColors val="0"/>
        <c:ser>
          <c:idx val="0"/>
          <c:order val="0"/>
          <c:tx>
            <c:v>Bottom trawl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'Survey Components'!$F$17:$T$17</c:f>
              <c:numCache>
                <c:formatCode>0%</c:formatCode>
                <c:ptCount val="15"/>
                <c:pt idx="0">
                  <c:v>0.0999724413848091</c:v>
                </c:pt>
                <c:pt idx="1">
                  <c:v>0.0672648629819617</c:v>
                </c:pt>
                <c:pt idx="2">
                  <c:v>0.152382753653602</c:v>
                </c:pt>
                <c:pt idx="3">
                  <c:v>0.320464273833349</c:v>
                </c:pt>
                <c:pt idx="4">
                  <c:v>0.585439032468884</c:v>
                </c:pt>
                <c:pt idx="5">
                  <c:v>0.888014667264592</c:v>
                </c:pt>
                <c:pt idx="6">
                  <c:v>1.139132162894876</c:v>
                </c:pt>
                <c:pt idx="7">
                  <c:v>1.30312097926121</c:v>
                </c:pt>
                <c:pt idx="8">
                  <c:v>1.393921787811355</c:v>
                </c:pt>
                <c:pt idx="9">
                  <c:v>1.439135415406664</c:v>
                </c:pt>
                <c:pt idx="10">
                  <c:v>1.460346078141691</c:v>
                </c:pt>
                <c:pt idx="11">
                  <c:v>1.470015678665478</c:v>
                </c:pt>
                <c:pt idx="12">
                  <c:v>1.474375722536017</c:v>
                </c:pt>
                <c:pt idx="13">
                  <c:v>1.476337117841382</c:v>
                </c:pt>
                <c:pt idx="14">
                  <c:v>1.477221231074499</c:v>
                </c:pt>
              </c:numCache>
            </c:numRef>
          </c:val>
          <c:smooth val="0"/>
        </c:ser>
        <c:ser>
          <c:idx val="1"/>
          <c:order val="1"/>
          <c:tx>
            <c:v>EIT Survey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'Survey Components'!$F$18:$T$18</c:f>
              <c:numCache>
                <c:formatCode>0%</c:formatCode>
                <c:ptCount val="15"/>
                <c:pt idx="0">
                  <c:v>0.0</c:v>
                </c:pt>
                <c:pt idx="1">
                  <c:v>0.359066038371397</c:v>
                </c:pt>
                <c:pt idx="2">
                  <c:v>0.429022900611664</c:v>
                </c:pt>
                <c:pt idx="3">
                  <c:v>0.457799652806546</c:v>
                </c:pt>
                <c:pt idx="4">
                  <c:v>0.467938164340513</c:v>
                </c:pt>
                <c:pt idx="5">
                  <c:v>0.395341282913028</c:v>
                </c:pt>
                <c:pt idx="6">
                  <c:v>0.400269577326406</c:v>
                </c:pt>
                <c:pt idx="7">
                  <c:v>0.33586094465453</c:v>
                </c:pt>
                <c:pt idx="8">
                  <c:v>0.33586094465453</c:v>
                </c:pt>
                <c:pt idx="9">
                  <c:v>0.33586094465453</c:v>
                </c:pt>
                <c:pt idx="10">
                  <c:v>0.33586094465453</c:v>
                </c:pt>
                <c:pt idx="11">
                  <c:v>0.33586094465453</c:v>
                </c:pt>
                <c:pt idx="12">
                  <c:v>0.33586094465453</c:v>
                </c:pt>
                <c:pt idx="13">
                  <c:v>0.33586094465453</c:v>
                </c:pt>
                <c:pt idx="14">
                  <c:v>0.33586094465453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728048"/>
        <c:axId val="503730096"/>
      </c:lineChart>
      <c:catAx>
        <c:axId val="50372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73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373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7280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1573741484562"/>
          <c:y val="0.148837209302326"/>
          <c:w val="0.222472146037925"/>
          <c:h val="0.18604651162790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591928251122"/>
          <c:y val="0.111111613460347"/>
          <c:w val="0.856502242152466"/>
          <c:h val="0.703706885248867"/>
        </c:manualLayout>
      </c:layout>
      <c:areaChart>
        <c:grouping val="stacked"/>
        <c:varyColors val="0"/>
        <c:ser>
          <c:idx val="1"/>
          <c:order val="0"/>
          <c:tx>
            <c:v>EIT Survey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'Survey Components'!$F$18:$T$18</c:f>
              <c:numCache>
                <c:formatCode>0%</c:formatCode>
                <c:ptCount val="15"/>
                <c:pt idx="0">
                  <c:v>0.0</c:v>
                </c:pt>
                <c:pt idx="1">
                  <c:v>0.359066038371397</c:v>
                </c:pt>
                <c:pt idx="2">
                  <c:v>0.429022900611664</c:v>
                </c:pt>
                <c:pt idx="3">
                  <c:v>0.457799652806546</c:v>
                </c:pt>
                <c:pt idx="4">
                  <c:v>0.467938164340513</c:v>
                </c:pt>
                <c:pt idx="5">
                  <c:v>0.395341282913028</c:v>
                </c:pt>
                <c:pt idx="6">
                  <c:v>0.400269577326406</c:v>
                </c:pt>
                <c:pt idx="7">
                  <c:v>0.33586094465453</c:v>
                </c:pt>
                <c:pt idx="8">
                  <c:v>0.33586094465453</c:v>
                </c:pt>
                <c:pt idx="9">
                  <c:v>0.33586094465453</c:v>
                </c:pt>
                <c:pt idx="10">
                  <c:v>0.33586094465453</c:v>
                </c:pt>
                <c:pt idx="11">
                  <c:v>0.33586094465453</c:v>
                </c:pt>
                <c:pt idx="12">
                  <c:v>0.33586094465453</c:v>
                </c:pt>
                <c:pt idx="13">
                  <c:v>0.33586094465453</c:v>
                </c:pt>
                <c:pt idx="14">
                  <c:v>0.33586094465453</c:v>
                </c:pt>
              </c:numCache>
            </c:numRef>
          </c:val>
        </c:ser>
        <c:ser>
          <c:idx val="0"/>
          <c:order val="1"/>
          <c:tx>
            <c:v>Bottom trawl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'Survey Components'!$F$17:$T$17</c:f>
              <c:numCache>
                <c:formatCode>0%</c:formatCode>
                <c:ptCount val="15"/>
                <c:pt idx="0">
                  <c:v>0.0999724413848091</c:v>
                </c:pt>
                <c:pt idx="1">
                  <c:v>0.0672648629819617</c:v>
                </c:pt>
                <c:pt idx="2">
                  <c:v>0.152382753653602</c:v>
                </c:pt>
                <c:pt idx="3">
                  <c:v>0.320464273833349</c:v>
                </c:pt>
                <c:pt idx="4">
                  <c:v>0.585439032468884</c:v>
                </c:pt>
                <c:pt idx="5">
                  <c:v>0.888014667264592</c:v>
                </c:pt>
                <c:pt idx="6">
                  <c:v>1.139132162894876</c:v>
                </c:pt>
                <c:pt idx="7">
                  <c:v>1.30312097926121</c:v>
                </c:pt>
                <c:pt idx="8">
                  <c:v>1.393921787811355</c:v>
                </c:pt>
                <c:pt idx="9">
                  <c:v>1.439135415406664</c:v>
                </c:pt>
                <c:pt idx="10">
                  <c:v>1.460346078141691</c:v>
                </c:pt>
                <c:pt idx="11">
                  <c:v>1.470015678665478</c:v>
                </c:pt>
                <c:pt idx="12">
                  <c:v>1.474375722536017</c:v>
                </c:pt>
                <c:pt idx="13">
                  <c:v>1.476337117841382</c:v>
                </c:pt>
                <c:pt idx="14">
                  <c:v>1.477221231074499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52656"/>
        <c:axId val="503654976"/>
      </c:areaChart>
      <c:catAx>
        <c:axId val="50365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65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365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652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7488789237668"/>
          <c:y val="0.134259745309614"/>
          <c:w val="0.177130044843049"/>
          <c:h val="0.1851861572858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7"/>
      <c:hPercent val="33"/>
      <c:rotY val="360"/>
      <c:depthPercent val="500"/>
      <c:rAngAx val="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.115835860059353"/>
          <c:y val="0.0612499999999999"/>
          <c:w val="0.775660379384785"/>
          <c:h val="0.88625"/>
        </c:manualLayout>
      </c:layout>
      <c:area3DChart>
        <c:grouping val="standard"/>
        <c:varyColors val="0"/>
        <c:ser>
          <c:idx val="0"/>
          <c:order val="0"/>
          <c:tx>
            <c:strRef>
              <c:f>'Survey Components'!$E$232</c:f>
              <c:strCache>
                <c:ptCount val="1"/>
                <c:pt idx="0">
                  <c:v>1982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Components'!$F$232:$N$232</c:f>
              <c:numCache>
                <c:formatCode>General</c:formatCode>
                <c:ptCount val="9"/>
                <c:pt idx="0">
                  <c:v>1.0</c:v>
                </c:pt>
                <c:pt idx="1">
                  <c:v>0.991043442874252</c:v>
                </c:pt>
                <c:pt idx="2">
                  <c:v>0.957101714478229</c:v>
                </c:pt>
                <c:pt idx="3">
                  <c:v>0.865406856894262</c:v>
                </c:pt>
                <c:pt idx="4">
                  <c:v>0.420869732961107</c:v>
                </c:pt>
                <c:pt idx="5">
                  <c:v>0.241005277231937</c:v>
                </c:pt>
                <c:pt idx="6">
                  <c:v>0.154893583825526</c:v>
                </c:pt>
                <c:pt idx="7">
                  <c:v>0.0932655613025397</c:v>
                </c:pt>
                <c:pt idx="8">
                  <c:v>0.0498508463120441</c:v>
                </c:pt>
              </c:numCache>
            </c:numRef>
          </c:val>
        </c:ser>
        <c:ser>
          <c:idx val="1"/>
          <c:order val="1"/>
          <c:tx>
            <c:strRef>
              <c:f>'Survey Components'!$E$233</c:f>
              <c:strCache>
                <c:ptCount val="1"/>
                <c:pt idx="0">
                  <c:v>1983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Components'!$F$233:$N$233</c:f>
              <c:numCache>
                <c:formatCode>General</c:formatCode>
                <c:ptCount val="9"/>
                <c:pt idx="0">
                  <c:v>1.0</c:v>
                </c:pt>
                <c:pt idx="1">
                  <c:v>0.98934357967072</c:v>
                </c:pt>
                <c:pt idx="2">
                  <c:v>0.966434278080545</c:v>
                </c:pt>
                <c:pt idx="3">
                  <c:v>0.855468744777912</c:v>
                </c:pt>
                <c:pt idx="4">
                  <c:v>0.703528140579581</c:v>
                </c:pt>
                <c:pt idx="5">
                  <c:v>0.249831062081928</c:v>
                </c:pt>
                <c:pt idx="6">
                  <c:v>0.105195785352266</c:v>
                </c:pt>
                <c:pt idx="7">
                  <c:v>0.0598728308735855</c:v>
                </c:pt>
                <c:pt idx="8">
                  <c:v>0.0330847886859353</c:v>
                </c:pt>
              </c:numCache>
            </c:numRef>
          </c:val>
        </c:ser>
        <c:ser>
          <c:idx val="2"/>
          <c:order val="2"/>
          <c:tx>
            <c:strRef>
              <c:f>'Survey Components'!$E$234</c:f>
              <c:strCache>
                <c:ptCount val="1"/>
                <c:pt idx="0">
                  <c:v>1984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Components'!$F$234:$N$234</c:f>
              <c:numCache>
                <c:formatCode>General</c:formatCode>
                <c:ptCount val="9"/>
                <c:pt idx="0">
                  <c:v>1.0</c:v>
                </c:pt>
                <c:pt idx="1">
                  <c:v>0.998307073223363</c:v>
                </c:pt>
                <c:pt idx="2">
                  <c:v>0.988700803639012</c:v>
                </c:pt>
                <c:pt idx="3">
                  <c:v>0.96461420151808</c:v>
                </c:pt>
                <c:pt idx="4">
                  <c:v>0.856441403179779</c:v>
                </c:pt>
                <c:pt idx="5">
                  <c:v>0.674528027440457</c:v>
                </c:pt>
                <c:pt idx="6">
                  <c:v>0.223174816478354</c:v>
                </c:pt>
                <c:pt idx="7">
                  <c:v>0.090339857687734</c:v>
                </c:pt>
                <c:pt idx="8">
                  <c:v>0.0486292015872584</c:v>
                </c:pt>
              </c:numCache>
            </c:numRef>
          </c:val>
        </c:ser>
        <c:ser>
          <c:idx val="3"/>
          <c:order val="3"/>
          <c:tx>
            <c:strRef>
              <c:f>'Survey Components'!$E$235</c:f>
              <c:strCache>
                <c:ptCount val="1"/>
                <c:pt idx="0">
                  <c:v>1985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Components'!$F$235:$N$235</c:f>
              <c:numCache>
                <c:formatCode>General</c:formatCode>
                <c:ptCount val="9"/>
                <c:pt idx="0">
                  <c:v>1.0</c:v>
                </c:pt>
                <c:pt idx="1">
                  <c:v>0.98491809393546</c:v>
                </c:pt>
                <c:pt idx="2">
                  <c:v>0.979688417086002</c:v>
                </c:pt>
                <c:pt idx="3">
                  <c:v>0.894188632081309</c:v>
                </c:pt>
                <c:pt idx="4">
                  <c:v>0.836237533298865</c:v>
                </c:pt>
                <c:pt idx="5">
                  <c:v>0.682741280237765</c:v>
                </c:pt>
                <c:pt idx="6">
                  <c:v>0.501114607358143</c:v>
                </c:pt>
                <c:pt idx="7">
                  <c:v>0.145053959220342</c:v>
                </c:pt>
                <c:pt idx="8">
                  <c:v>0.054867774571201</c:v>
                </c:pt>
              </c:numCache>
            </c:numRef>
          </c:val>
        </c:ser>
        <c:ser>
          <c:idx val="4"/>
          <c:order val="4"/>
          <c:tx>
            <c:strRef>
              <c:f>'Survey Components'!$E$236</c:f>
              <c:strCache>
                <c:ptCount val="1"/>
                <c:pt idx="0">
                  <c:v>1986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Components'!$F$236:$N$236</c:f>
              <c:numCache>
                <c:formatCode>General</c:formatCode>
                <c:ptCount val="9"/>
                <c:pt idx="0">
                  <c:v>1.0</c:v>
                </c:pt>
                <c:pt idx="1">
                  <c:v>0.994593621345848</c:v>
                </c:pt>
                <c:pt idx="2">
                  <c:v>0.984855218251124</c:v>
                </c:pt>
                <c:pt idx="3">
                  <c:v>0.97513852685605</c:v>
                </c:pt>
                <c:pt idx="4">
                  <c:v>0.832403635337547</c:v>
                </c:pt>
                <c:pt idx="5">
                  <c:v>0.758476724249167</c:v>
                </c:pt>
                <c:pt idx="6">
                  <c:v>0.554596106749974</c:v>
                </c:pt>
                <c:pt idx="7">
                  <c:v>0.393276231490498</c:v>
                </c:pt>
                <c:pt idx="8">
                  <c:v>0.10581436655996</c:v>
                </c:pt>
              </c:numCache>
            </c:numRef>
          </c:val>
        </c:ser>
        <c:ser>
          <c:idx val="5"/>
          <c:order val="5"/>
          <c:tx>
            <c:strRef>
              <c:f>'Survey Components'!$E$237</c:f>
              <c:strCache>
                <c:ptCount val="1"/>
                <c:pt idx="0">
                  <c:v>1987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Components'!$F$237:$N$237</c:f>
              <c:numCache>
                <c:formatCode>General</c:formatCode>
                <c:ptCount val="9"/>
                <c:pt idx="0">
                  <c:v>1.0</c:v>
                </c:pt>
                <c:pt idx="1">
                  <c:v>0.997089702539346</c:v>
                </c:pt>
                <c:pt idx="2">
                  <c:v>0.990563923338484</c:v>
                </c:pt>
                <c:pt idx="3">
                  <c:v>0.942472549199227</c:v>
                </c:pt>
                <c:pt idx="4">
                  <c:v>0.899440429115647</c:v>
                </c:pt>
                <c:pt idx="5">
                  <c:v>0.64302058793856</c:v>
                </c:pt>
                <c:pt idx="6">
                  <c:v>0.539437797338734</c:v>
                </c:pt>
                <c:pt idx="7">
                  <c:v>0.353829193376453</c:v>
                </c:pt>
                <c:pt idx="8">
                  <c:v>0.235622512365722</c:v>
                </c:pt>
              </c:numCache>
            </c:numRef>
          </c:val>
        </c:ser>
        <c:ser>
          <c:idx val="6"/>
          <c:order val="6"/>
          <c:tx>
            <c:strRef>
              <c:f>'Survey Components'!$E$238</c:f>
              <c:strCache>
                <c:ptCount val="1"/>
                <c:pt idx="0">
                  <c:v>1988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Components'!$F$238:$N$238</c:f>
              <c:numCache>
                <c:formatCode>General</c:formatCode>
                <c:ptCount val="9"/>
                <c:pt idx="0">
                  <c:v>1.0</c:v>
                </c:pt>
                <c:pt idx="1">
                  <c:v>0.998487743645737</c:v>
                </c:pt>
                <c:pt idx="2">
                  <c:v>0.99444624044178</c:v>
                </c:pt>
                <c:pt idx="3">
                  <c:v>0.958643152969895</c:v>
                </c:pt>
                <c:pt idx="4">
                  <c:v>0.81258707558094</c:v>
                </c:pt>
                <c:pt idx="5">
                  <c:v>0.731726683400711</c:v>
                </c:pt>
                <c:pt idx="6">
                  <c:v>0.418186061902934</c:v>
                </c:pt>
                <c:pt idx="7">
                  <c:v>0.334686259657125</c:v>
                </c:pt>
                <c:pt idx="8">
                  <c:v>0.209580724183681</c:v>
                </c:pt>
              </c:numCache>
            </c:numRef>
          </c:val>
        </c:ser>
        <c:ser>
          <c:idx val="7"/>
          <c:order val="7"/>
          <c:tx>
            <c:strRef>
              <c:f>'Survey Components'!$E$239</c:f>
              <c:strCache>
                <c:ptCount val="1"/>
                <c:pt idx="0">
                  <c:v>1989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Components'!$F$239:$N$239</c:f>
              <c:numCache>
                <c:formatCode>General</c:formatCode>
                <c:ptCount val="9"/>
                <c:pt idx="0">
                  <c:v>1.0</c:v>
                </c:pt>
                <c:pt idx="1">
                  <c:v>0.997253554081276</c:v>
                </c:pt>
                <c:pt idx="2">
                  <c:v>0.994180518814972</c:v>
                </c:pt>
                <c:pt idx="3">
                  <c:v>0.981853878230419</c:v>
                </c:pt>
                <c:pt idx="4">
                  <c:v>0.916093188981011</c:v>
                </c:pt>
                <c:pt idx="5">
                  <c:v>0.694402886511352</c:v>
                </c:pt>
                <c:pt idx="6">
                  <c:v>0.605304250274301</c:v>
                </c:pt>
                <c:pt idx="7">
                  <c:v>0.317434511681183</c:v>
                </c:pt>
                <c:pt idx="8">
                  <c:v>0.251411014255262</c:v>
                </c:pt>
              </c:numCache>
            </c:numRef>
          </c:val>
        </c:ser>
        <c:ser>
          <c:idx val="8"/>
          <c:order val="8"/>
          <c:tx>
            <c:strRef>
              <c:f>'Survey Components'!$E$240</c:f>
              <c:strCache>
                <c:ptCount val="1"/>
                <c:pt idx="0">
                  <c:v>1990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Components'!$F$240:$N$240</c:f>
              <c:numCache>
                <c:formatCode>General</c:formatCode>
                <c:ptCount val="9"/>
                <c:pt idx="0">
                  <c:v>1.0</c:v>
                </c:pt>
                <c:pt idx="1">
                  <c:v>0.992865479950368</c:v>
                </c:pt>
                <c:pt idx="2">
                  <c:v>0.988135207001443</c:v>
                </c:pt>
                <c:pt idx="3">
                  <c:v>0.981231923189025</c:v>
                </c:pt>
                <c:pt idx="4">
                  <c:v>0.947954175001999</c:v>
                </c:pt>
                <c:pt idx="5">
                  <c:v>0.846607916859839</c:v>
                </c:pt>
                <c:pt idx="6">
                  <c:v>0.570695773153704</c:v>
                </c:pt>
                <c:pt idx="7">
                  <c:v>0.486900462152064</c:v>
                </c:pt>
                <c:pt idx="8">
                  <c:v>0.242126682805824</c:v>
                </c:pt>
              </c:numCache>
            </c:numRef>
          </c:val>
        </c:ser>
        <c:ser>
          <c:idx val="9"/>
          <c:order val="9"/>
          <c:tx>
            <c:strRef>
              <c:f>'Survey Components'!$E$241</c:f>
              <c:strCache>
                <c:ptCount val="1"/>
                <c:pt idx="0">
                  <c:v>1991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Components'!$F$241:$N$241</c:f>
              <c:numCache>
                <c:formatCode>General</c:formatCode>
                <c:ptCount val="9"/>
                <c:pt idx="0">
                  <c:v>1.0</c:v>
                </c:pt>
                <c:pt idx="1">
                  <c:v>0.99156134609265</c:v>
                </c:pt>
                <c:pt idx="2">
                  <c:v>0.982611346799557</c:v>
                </c:pt>
                <c:pt idx="3">
                  <c:v>0.973536720409532</c:v>
                </c:pt>
                <c:pt idx="4">
                  <c:v>0.951980669626603</c:v>
                </c:pt>
                <c:pt idx="5">
                  <c:v>0.894303215848231</c:v>
                </c:pt>
                <c:pt idx="6">
                  <c:v>0.77524020287865</c:v>
                </c:pt>
                <c:pt idx="7">
                  <c:v>0.503343402418305</c:v>
                </c:pt>
                <c:pt idx="8">
                  <c:v>0.426266998723619</c:v>
                </c:pt>
              </c:numCache>
            </c:numRef>
          </c:val>
        </c:ser>
        <c:ser>
          <c:idx val="10"/>
          <c:order val="10"/>
          <c:tx>
            <c:strRef>
              <c:f>'Survey Components'!$E$242</c:f>
              <c:strCache>
                <c:ptCount val="1"/>
                <c:pt idx="0">
                  <c:v>1992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Components'!$F$242:$N$242</c:f>
              <c:numCache>
                <c:formatCode>General</c:formatCode>
                <c:ptCount val="9"/>
                <c:pt idx="0">
                  <c:v>1.0</c:v>
                </c:pt>
                <c:pt idx="1">
                  <c:v>0.990529867472609</c:v>
                </c:pt>
                <c:pt idx="2">
                  <c:v>0.981978226658622</c:v>
                </c:pt>
                <c:pt idx="3">
                  <c:v>0.888684752513614</c:v>
                </c:pt>
                <c:pt idx="4">
                  <c:v>0.830605488454393</c:v>
                </c:pt>
                <c:pt idx="5">
                  <c:v>0.770346302060534</c:v>
                </c:pt>
                <c:pt idx="6">
                  <c:v>0.690245302000109</c:v>
                </c:pt>
                <c:pt idx="7">
                  <c:v>0.561184378326918</c:v>
                </c:pt>
                <c:pt idx="8">
                  <c:v>0.341653720644634</c:v>
                </c:pt>
              </c:numCache>
            </c:numRef>
          </c:val>
        </c:ser>
        <c:ser>
          <c:idx val="11"/>
          <c:order val="11"/>
          <c:tx>
            <c:strRef>
              <c:f>'Survey Components'!$E$243</c:f>
              <c:strCache>
                <c:ptCount val="1"/>
                <c:pt idx="0">
                  <c:v>1993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Components'!$F$243:$N$243</c:f>
              <c:numCache>
                <c:formatCode>General</c:formatCode>
                <c:ptCount val="9"/>
                <c:pt idx="0">
                  <c:v>1.0</c:v>
                </c:pt>
                <c:pt idx="1">
                  <c:v>0.988825821945079</c:v>
                </c:pt>
                <c:pt idx="2">
                  <c:v>0.979829400747531</c:v>
                </c:pt>
                <c:pt idx="3">
                  <c:v>0.917413788836439</c:v>
                </c:pt>
                <c:pt idx="4">
                  <c:v>0.613199628539338</c:v>
                </c:pt>
                <c:pt idx="5">
                  <c:v>0.499676931713824</c:v>
                </c:pt>
                <c:pt idx="6">
                  <c:v>0.443013925314984</c:v>
                </c:pt>
                <c:pt idx="7">
                  <c:v>0.385096752398262</c:v>
                </c:pt>
                <c:pt idx="8">
                  <c:v>0.315679011404008</c:v>
                </c:pt>
              </c:numCache>
            </c:numRef>
          </c:val>
        </c:ser>
        <c:ser>
          <c:idx val="12"/>
          <c:order val="12"/>
          <c:tx>
            <c:strRef>
              <c:f>'Survey Components'!$E$244</c:f>
              <c:strCache>
                <c:ptCount val="1"/>
                <c:pt idx="0">
                  <c:v>1994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Components'!$F$244:$N$244</c:f>
              <c:numCache>
                <c:formatCode>General</c:formatCode>
                <c:ptCount val="9"/>
                <c:pt idx="0">
                  <c:v>1.0</c:v>
                </c:pt>
                <c:pt idx="1">
                  <c:v>0.994907763315586</c:v>
                </c:pt>
                <c:pt idx="2">
                  <c:v>0.985619682396842</c:v>
                </c:pt>
                <c:pt idx="3">
                  <c:v>0.957316876726337</c:v>
                </c:pt>
                <c:pt idx="4">
                  <c:v>0.829744654069166</c:v>
                </c:pt>
                <c:pt idx="5">
                  <c:v>0.422347499843035</c:v>
                </c:pt>
                <c:pt idx="6">
                  <c:v>0.307605876442375</c:v>
                </c:pt>
                <c:pt idx="7">
                  <c:v>0.2656267526559</c:v>
                </c:pt>
                <c:pt idx="8">
                  <c:v>0.223090233816495</c:v>
                </c:pt>
              </c:numCache>
            </c:numRef>
          </c:val>
        </c:ser>
        <c:ser>
          <c:idx val="13"/>
          <c:order val="13"/>
          <c:tx>
            <c:strRef>
              <c:f>'Survey Components'!$E$245</c:f>
              <c:strCache>
                <c:ptCount val="1"/>
                <c:pt idx="0">
                  <c:v>1995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Components'!$F$245:$N$245</c:f>
              <c:numCache>
                <c:formatCode>General</c:formatCode>
                <c:ptCount val="9"/>
                <c:pt idx="0">
                  <c:v>1.0</c:v>
                </c:pt>
                <c:pt idx="1">
                  <c:v>0.996398991852564</c:v>
                </c:pt>
                <c:pt idx="2">
                  <c:v>0.994189440251818</c:v>
                </c:pt>
                <c:pt idx="3">
                  <c:v>0.967874318272165</c:v>
                </c:pt>
                <c:pt idx="4">
                  <c:v>0.90665513835375</c:v>
                </c:pt>
                <c:pt idx="5">
                  <c:v>0.728337833325819</c:v>
                </c:pt>
                <c:pt idx="6">
                  <c:v>0.335537882961584</c:v>
                </c:pt>
                <c:pt idx="7">
                  <c:v>0.237717140234814</c:v>
                </c:pt>
                <c:pt idx="8">
                  <c:v>0.1997164373009</c:v>
                </c:pt>
              </c:numCache>
            </c:numRef>
          </c:val>
        </c:ser>
        <c:ser>
          <c:idx val="14"/>
          <c:order val="14"/>
          <c:tx>
            <c:strRef>
              <c:f>'Survey Components'!$E$246</c:f>
              <c:strCache>
                <c:ptCount val="1"/>
                <c:pt idx="0">
                  <c:v>1996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Components'!$F$246:$N$246</c:f>
              <c:numCache>
                <c:formatCode>General</c:formatCode>
                <c:ptCount val="9"/>
                <c:pt idx="0">
                  <c:v>1.0</c:v>
                </c:pt>
                <c:pt idx="1">
                  <c:v>0.99159684293869</c:v>
                </c:pt>
                <c:pt idx="2">
                  <c:v>0.990337296012028</c:v>
                </c:pt>
                <c:pt idx="3">
                  <c:v>0.982962801445579</c:v>
                </c:pt>
                <c:pt idx="4">
                  <c:v>0.884712143337508</c:v>
                </c:pt>
                <c:pt idx="5">
                  <c:v>0.778304155473799</c:v>
                </c:pt>
                <c:pt idx="6">
                  <c:v>0.581868262633317</c:v>
                </c:pt>
                <c:pt idx="7">
                  <c:v>0.253442249010148</c:v>
                </c:pt>
                <c:pt idx="8">
                  <c:v>0.175533303983615</c:v>
                </c:pt>
              </c:numCache>
            </c:numRef>
          </c:val>
        </c:ser>
        <c:ser>
          <c:idx val="15"/>
          <c:order val="15"/>
          <c:tx>
            <c:strRef>
              <c:f>'Survey Components'!$E$247</c:f>
              <c:strCache>
                <c:ptCount val="1"/>
                <c:pt idx="0">
                  <c:v>1997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Components'!$F$247:$N$247</c:f>
              <c:numCache>
                <c:formatCode>General</c:formatCode>
                <c:ptCount val="9"/>
                <c:pt idx="0">
                  <c:v>1.0</c:v>
                </c:pt>
                <c:pt idx="1">
                  <c:v>0.988899260615372</c:v>
                </c:pt>
                <c:pt idx="2">
                  <c:v>0.983914230503057</c:v>
                </c:pt>
                <c:pt idx="3">
                  <c:v>0.974421184349574</c:v>
                </c:pt>
                <c:pt idx="4">
                  <c:v>0.940450896199409</c:v>
                </c:pt>
                <c:pt idx="5">
                  <c:v>0.721063401955206</c:v>
                </c:pt>
                <c:pt idx="6">
                  <c:v>0.523287833276118</c:v>
                </c:pt>
                <c:pt idx="7">
                  <c:v>0.335473332356784</c:v>
                </c:pt>
                <c:pt idx="8">
                  <c:v>0.128687984005833</c:v>
                </c:pt>
              </c:numCache>
            </c:numRef>
          </c:val>
        </c:ser>
        <c:ser>
          <c:idx val="16"/>
          <c:order val="16"/>
          <c:tx>
            <c:strRef>
              <c:f>'Survey Components'!$E$248</c:f>
              <c:strCache>
                <c:ptCount val="1"/>
                <c:pt idx="0">
                  <c:v>1998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Components'!$F$248:$N$248</c:f>
              <c:numCache>
                <c:formatCode>General</c:formatCode>
                <c:ptCount val="9"/>
                <c:pt idx="0">
                  <c:v>1.0</c:v>
                </c:pt>
                <c:pt idx="1">
                  <c:v>0.995656217799169</c:v>
                </c:pt>
                <c:pt idx="2">
                  <c:v>0.989302522225723</c:v>
                </c:pt>
                <c:pt idx="3">
                  <c:v>0.970709680305429</c:v>
                </c:pt>
                <c:pt idx="4">
                  <c:v>0.944590222437978</c:v>
                </c:pt>
                <c:pt idx="5">
                  <c:v>0.869085228885302</c:v>
                </c:pt>
                <c:pt idx="6">
                  <c:v>0.566440663628258</c:v>
                </c:pt>
                <c:pt idx="7">
                  <c:v>0.377654776086784</c:v>
                </c:pt>
                <c:pt idx="8">
                  <c:v>0.230774674767327</c:v>
                </c:pt>
              </c:numCache>
            </c:numRef>
          </c:val>
        </c:ser>
        <c:ser>
          <c:idx val="17"/>
          <c:order val="17"/>
          <c:tx>
            <c:strRef>
              <c:f>'Survey Components'!$E$249</c:f>
              <c:strCache>
                <c:ptCount val="1"/>
                <c:pt idx="0">
                  <c:v>1999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Components'!$F$249:$N$249</c:f>
              <c:numCache>
                <c:formatCode>General</c:formatCode>
                <c:ptCount val="9"/>
                <c:pt idx="0">
                  <c:v>1.0</c:v>
                </c:pt>
                <c:pt idx="1">
                  <c:v>0.997228482821907</c:v>
                </c:pt>
                <c:pt idx="2">
                  <c:v>0.993037622621006</c:v>
                </c:pt>
                <c:pt idx="3">
                  <c:v>0.955237490220407</c:v>
                </c:pt>
                <c:pt idx="4">
                  <c:v>0.882955242661823</c:v>
                </c:pt>
                <c:pt idx="5">
                  <c:v>0.826469352295588</c:v>
                </c:pt>
                <c:pt idx="6">
                  <c:v>0.720103169626327</c:v>
                </c:pt>
                <c:pt idx="7">
                  <c:v>0.360836587289897</c:v>
                </c:pt>
                <c:pt idx="8">
                  <c:v>0.204112908578871</c:v>
                </c:pt>
              </c:numCache>
            </c:numRef>
          </c:val>
        </c:ser>
        <c:ser>
          <c:idx val="18"/>
          <c:order val="18"/>
          <c:tx>
            <c:strRef>
              <c:f>'Survey Components'!$E$250</c:f>
              <c:strCache>
                <c:ptCount val="1"/>
                <c:pt idx="0">
                  <c:v>2000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Components'!$F$250:$N$250</c:f>
              <c:numCache>
                <c:formatCode>General</c:formatCode>
                <c:ptCount val="9"/>
                <c:pt idx="0">
                  <c:v>1.0</c:v>
                </c:pt>
                <c:pt idx="1">
                  <c:v>0.997136784377728</c:v>
                </c:pt>
                <c:pt idx="2">
                  <c:v>0.992253856986624</c:v>
                </c:pt>
                <c:pt idx="3">
                  <c:v>0.971945039644563</c:v>
                </c:pt>
                <c:pt idx="4">
                  <c:v>0.85846491220402</c:v>
                </c:pt>
                <c:pt idx="5">
                  <c:v>0.726894345251053</c:v>
                </c:pt>
                <c:pt idx="6">
                  <c:v>0.646027263236047</c:v>
                </c:pt>
                <c:pt idx="7">
                  <c:v>0.518083262038565</c:v>
                </c:pt>
                <c:pt idx="8">
                  <c:v>0.239998375396738</c:v>
                </c:pt>
              </c:numCache>
            </c:numRef>
          </c:val>
        </c:ser>
        <c:ser>
          <c:idx val="19"/>
          <c:order val="19"/>
          <c:tx>
            <c:strRef>
              <c:f>'Survey Components'!$E$251</c:f>
              <c:strCache>
                <c:ptCount val="1"/>
                <c:pt idx="0">
                  <c:v>2001</c:v>
                </c:pt>
              </c:strCache>
            </c:strRef>
          </c:tx>
          <c:spPr>
            <a:gradFill rotWithShape="0">
              <a:gsLst>
                <a:gs pos="0">
                  <a:srgbClr val="8080FF"/>
                </a:gs>
                <a:gs pos="100000">
                  <a:srgbClr val="FFFFFF"/>
                </a:gs>
              </a:gsLst>
              <a:lin ang="5400000" scaled="1"/>
            </a:gradFill>
            <a:ln w="3175">
              <a:solidFill>
                <a:srgbClr val="000000"/>
              </a:solidFill>
              <a:prstDash val="solid"/>
            </a:ln>
          </c:spPr>
          <c:cat>
            <c:strRef>
              <c:f>'Survey Components'!$F$231:$N$231</c:f>
              <c:strCache>
                <c:ptCount val="9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</c:strCache>
            </c:strRef>
          </c:cat>
          <c:val>
            <c:numRef>
              <c:f>'Survey Components'!$F$251:$N$251</c:f>
              <c:numCache>
                <c:formatCode>General</c:formatCode>
                <c:ptCount val="9"/>
                <c:pt idx="0">
                  <c:v>1.0</c:v>
                </c:pt>
                <c:pt idx="1">
                  <c:v>0.99313372132564</c:v>
                </c:pt>
                <c:pt idx="2">
                  <c:v>0.987019362146903</c:v>
                </c:pt>
                <c:pt idx="3">
                  <c:v>0.975318590916532</c:v>
                </c:pt>
                <c:pt idx="4">
                  <c:v>0.92303357253932</c:v>
                </c:pt>
                <c:pt idx="5">
                  <c:v>0.744681577444333</c:v>
                </c:pt>
                <c:pt idx="6">
                  <c:v>0.58565850396732</c:v>
                </c:pt>
                <c:pt idx="7">
                  <c:v>0.49913882620374</c:v>
                </c:pt>
                <c:pt idx="8">
                  <c:v>0.38496422552172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281504"/>
        <c:axId val="505265232"/>
        <c:axId val="505267280"/>
      </c:area3DChart>
      <c:catAx>
        <c:axId val="50528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265232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505265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281504"/>
        <c:crosses val="autoZero"/>
        <c:crossBetween val="midCat"/>
      </c:valAx>
      <c:serAx>
        <c:axId val="505267280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265232"/>
        <c:crosses val="autoZero"/>
        <c:tickLblSkip val="1"/>
        <c:tickMarkSkip val="1"/>
      </c:ser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02779002250166"/>
          <c:y val="0.0753768844221108"/>
          <c:w val="0.787501068116683"/>
          <c:h val="0.819095477386939"/>
        </c:manualLayout>
      </c:layout>
      <c:scatterChart>
        <c:scatterStyle val="lineMarker"/>
        <c:varyColors val="0"/>
        <c:ser>
          <c:idx val="0"/>
          <c:order val="0"/>
          <c:tx>
            <c:v>Model age 10+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'Survey Components'!$E$167:$E$190</c:f>
              <c:numCache>
                <c:formatCode>General</c:formatCode>
                <c:ptCount val="24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</c:numCache>
            </c:numRef>
          </c:xVal>
          <c:yVal>
            <c:numRef>
              <c:f>'Survey Components'!$O$167:$O$190</c:f>
              <c:numCache>
                <c:formatCode>General</c:formatCode>
                <c:ptCount val="24"/>
                <c:pt idx="0">
                  <c:v>89.64220209705779</c:v>
                </c:pt>
                <c:pt idx="1">
                  <c:v>90.42310783030243</c:v>
                </c:pt>
                <c:pt idx="2">
                  <c:v>146.097338328257</c:v>
                </c:pt>
                <c:pt idx="3">
                  <c:v>146.142012787288</c:v>
                </c:pt>
                <c:pt idx="4">
                  <c:v>214.8381738875661</c:v>
                </c:pt>
                <c:pt idx="5">
                  <c:v>361.6960816193076</c:v>
                </c:pt>
                <c:pt idx="6">
                  <c:v>1080.32431845734</c:v>
                </c:pt>
                <c:pt idx="7">
                  <c:v>1015.918229255003</c:v>
                </c:pt>
                <c:pt idx="8">
                  <c:v>1152.261875699441</c:v>
                </c:pt>
                <c:pt idx="9">
                  <c:v>894.3341021036467</c:v>
                </c:pt>
                <c:pt idx="10">
                  <c:v>1051.887147178373</c:v>
                </c:pt>
                <c:pt idx="11">
                  <c:v>715.9970701214173</c:v>
                </c:pt>
                <c:pt idx="12">
                  <c:v>721.5713946840737</c:v>
                </c:pt>
                <c:pt idx="13">
                  <c:v>565.1036415439146</c:v>
                </c:pt>
                <c:pt idx="14">
                  <c:v>400.1867501066931</c:v>
                </c:pt>
                <c:pt idx="15">
                  <c:v>263.9318791148224</c:v>
                </c:pt>
                <c:pt idx="16">
                  <c:v>230.2547743644963</c:v>
                </c:pt>
                <c:pt idx="17">
                  <c:v>475.1836543073016</c:v>
                </c:pt>
                <c:pt idx="18">
                  <c:v>555.7786634061455</c:v>
                </c:pt>
                <c:pt idx="19">
                  <c:v>638.2826337789495</c:v>
                </c:pt>
                <c:pt idx="20">
                  <c:v>922.7038032905862</c:v>
                </c:pt>
                <c:pt idx="21">
                  <c:v>749.8953454687137</c:v>
                </c:pt>
                <c:pt idx="22">
                  <c:v>587.1817695441195</c:v>
                </c:pt>
                <c:pt idx="23">
                  <c:v>549.9617761669246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'Survey Components'!$O$367</c:f>
              <c:strCache>
                <c:ptCount val="1"/>
                <c:pt idx="0">
                  <c:v>Survey age 10+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'Survey Components'!$E$368:$E$393</c:f>
              <c:numCache>
                <c:formatCode>General</c:formatCode>
                <c:ptCount val="26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</c:numCache>
            </c:numRef>
          </c:xVal>
          <c:yVal>
            <c:numRef>
              <c:f>'Survey Components'!$O$368:$O$393</c:f>
              <c:numCache>
                <c:formatCode>General</c:formatCode>
                <c:ptCount val="26"/>
                <c:pt idx="0">
                  <c:v>60.76572470785175</c:v>
                </c:pt>
                <c:pt idx="1">
                  <c:v>177.8558574874264</c:v>
                </c:pt>
                <c:pt idx="2">
                  <c:v>82.9611177651457</c:v>
                </c:pt>
                <c:pt idx="3">
                  <c:v>106.6899888254777</c:v>
                </c:pt>
                <c:pt idx="4">
                  <c:v>140.4168117898735</c:v>
                </c:pt>
                <c:pt idx="5">
                  <c:v>314.1490311362537</c:v>
                </c:pt>
                <c:pt idx="6">
                  <c:v>1537.851335907096</c:v>
                </c:pt>
                <c:pt idx="7">
                  <c:v>1236.217922185844</c:v>
                </c:pt>
                <c:pt idx="8">
                  <c:v>1316.499280521151</c:v>
                </c:pt>
                <c:pt idx="9">
                  <c:v>1381.116167581903</c:v>
                </c:pt>
                <c:pt idx="10">
                  <c:v>1677.586520787225</c:v>
                </c:pt>
                <c:pt idx="11">
                  <c:v>1543.521183501064</c:v>
                </c:pt>
                <c:pt idx="12">
                  <c:v>1314.02133695258</c:v>
                </c:pt>
                <c:pt idx="13">
                  <c:v>1064.936293681218</c:v>
                </c:pt>
                <c:pt idx="14">
                  <c:v>684.2129848220086</c:v>
                </c:pt>
                <c:pt idx="15">
                  <c:v>576.2562548419422</c:v>
                </c:pt>
                <c:pt idx="16">
                  <c:v>309.14584989208</c:v>
                </c:pt>
                <c:pt idx="17">
                  <c:v>652.8375546627465</c:v>
                </c:pt>
                <c:pt idx="18">
                  <c:v>967.294109877706</c:v>
                </c:pt>
                <c:pt idx="19">
                  <c:v>1170.741562560003</c:v>
                </c:pt>
                <c:pt idx="20">
                  <c:v>1662.87847283236</c:v>
                </c:pt>
                <c:pt idx="21">
                  <c:v>2685.590981138516</c:v>
                </c:pt>
                <c:pt idx="22">
                  <c:v>856.7985017131178</c:v>
                </c:pt>
                <c:pt idx="23">
                  <c:v>941.29404463843</c:v>
                </c:pt>
                <c:pt idx="24">
                  <c:v>697.265152290905</c:v>
                </c:pt>
                <c:pt idx="25">
                  <c:v>770.1838158182304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238832"/>
        <c:axId val="505240880"/>
      </c:scatterChart>
      <c:valAx>
        <c:axId val="505238832"/>
        <c:scaling>
          <c:orientation val="minMax"/>
          <c:max val="2005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240880"/>
        <c:crosses val="autoZero"/>
        <c:crossBetween val="midCat"/>
      </c:valAx>
      <c:valAx>
        <c:axId val="50524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5238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19444881889764"/>
          <c:y val="0.231155778894472"/>
          <c:w val="0.17916695829688"/>
          <c:h val="0.1105527638190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portrait"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301536003546"/>
          <c:y val="0.032626427406199"/>
          <c:w val="0.758872748382875"/>
          <c:h val="0.83069057208091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'Survey Components'!$AR$40:$AR$54</c:f>
              <c:numCache>
                <c:formatCode>General</c:formatCode>
                <c:ptCount val="15"/>
                <c:pt idx="0">
                  <c:v>1979.0</c:v>
                </c:pt>
                <c:pt idx="1">
                  <c:v>1982.0</c:v>
                </c:pt>
                <c:pt idx="2">
                  <c:v>1985.0</c:v>
                </c:pt>
                <c:pt idx="3">
                  <c:v>1988.0</c:v>
                </c:pt>
                <c:pt idx="4">
                  <c:v>1991.0</c:v>
                </c:pt>
                <c:pt idx="5">
                  <c:v>1994.0</c:v>
                </c:pt>
                <c:pt idx="6">
                  <c:v>1996.0</c:v>
                </c:pt>
                <c:pt idx="7">
                  <c:v>1997.0</c:v>
                </c:pt>
                <c:pt idx="8">
                  <c:v>1999.0</c:v>
                </c:pt>
                <c:pt idx="9">
                  <c:v>2000.0</c:v>
                </c:pt>
                <c:pt idx="10">
                  <c:v>2002.0</c:v>
                </c:pt>
                <c:pt idx="11">
                  <c:v>2004.0</c:v>
                </c:pt>
                <c:pt idx="12">
                  <c:v>2006.0</c:v>
                </c:pt>
                <c:pt idx="13">
                  <c:v>2007.0</c:v>
                </c:pt>
                <c:pt idx="14">
                  <c:v>2008.0</c:v>
                </c:pt>
              </c:numCache>
            </c:numRef>
          </c:xVal>
          <c:yVal>
            <c:numRef>
              <c:f>'Survey Components'!$AT$40:$AT$54</c:f>
              <c:numCache>
                <c:formatCode>#,##0</c:formatCode>
                <c:ptCount val="15"/>
                <c:pt idx="0">
                  <c:v>1175.653801208206</c:v>
                </c:pt>
                <c:pt idx="1">
                  <c:v>3245.662614367855</c:v>
                </c:pt>
                <c:pt idx="2">
                  <c:v>4205.555893266835</c:v>
                </c:pt>
                <c:pt idx="3">
                  <c:v>3224.325193985555</c:v>
                </c:pt>
                <c:pt idx="4">
                  <c:v>1101.218490019451</c:v>
                </c:pt>
                <c:pt idx="5">
                  <c:v>3762.594625266303</c:v>
                </c:pt>
                <c:pt idx="6">
                  <c:v>3491.783113020734</c:v>
                </c:pt>
                <c:pt idx="7">
                  <c:v>2520.161920980228</c:v>
                </c:pt>
                <c:pt idx="8">
                  <c:v>2986.972654994402</c:v>
                </c:pt>
                <c:pt idx="9">
                  <c:v>3074.431743020655</c:v>
                </c:pt>
                <c:pt idx="10">
                  <c:v>2900.80243647446</c:v>
                </c:pt>
                <c:pt idx="11">
                  <c:v>4022.924965063106</c:v>
                </c:pt>
                <c:pt idx="12">
                  <c:v>2367.159825804436</c:v>
                </c:pt>
                <c:pt idx="13">
                  <c:v>1711.836203527935</c:v>
                </c:pt>
                <c:pt idx="14">
                  <c:v>1046.12979774938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percentage"/>
            <c:noEndCap val="0"/>
            <c:val val="40.0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'Survey Components'!$AR$40:$AR$54</c:f>
              <c:numCache>
                <c:formatCode>General</c:formatCode>
                <c:ptCount val="15"/>
                <c:pt idx="0">
                  <c:v>1979.0</c:v>
                </c:pt>
                <c:pt idx="1">
                  <c:v>1982.0</c:v>
                </c:pt>
                <c:pt idx="2">
                  <c:v>1985.0</c:v>
                </c:pt>
                <c:pt idx="3">
                  <c:v>1988.0</c:v>
                </c:pt>
                <c:pt idx="4">
                  <c:v>1991.0</c:v>
                </c:pt>
                <c:pt idx="5">
                  <c:v>1994.0</c:v>
                </c:pt>
                <c:pt idx="6">
                  <c:v>1996.0</c:v>
                </c:pt>
                <c:pt idx="7">
                  <c:v>1997.0</c:v>
                </c:pt>
                <c:pt idx="8">
                  <c:v>1999.0</c:v>
                </c:pt>
                <c:pt idx="9">
                  <c:v>2000.0</c:v>
                </c:pt>
                <c:pt idx="10">
                  <c:v>2002.0</c:v>
                </c:pt>
                <c:pt idx="11">
                  <c:v>2004.0</c:v>
                </c:pt>
                <c:pt idx="12">
                  <c:v>2006.0</c:v>
                </c:pt>
                <c:pt idx="13">
                  <c:v>2007.0</c:v>
                </c:pt>
                <c:pt idx="14">
                  <c:v>2008.0</c:v>
                </c:pt>
              </c:numCache>
            </c:numRef>
          </c:xVal>
          <c:yVal>
            <c:numRef>
              <c:f>'Survey Components'!$AS$40:$AS$54</c:f>
              <c:numCache>
                <c:formatCode>#,##0</c:formatCode>
                <c:ptCount val="15"/>
                <c:pt idx="0">
                  <c:v>6539.511458982224</c:v>
                </c:pt>
                <c:pt idx="1">
                  <c:v>5329.44422250353</c:v>
                </c:pt>
                <c:pt idx="2">
                  <c:v>6052.578976863023</c:v>
                </c:pt>
                <c:pt idx="3">
                  <c:v>5280.940129650777</c:v>
                </c:pt>
                <c:pt idx="4">
                  <c:v>1013.657961644451</c:v>
                </c:pt>
                <c:pt idx="5">
                  <c:v>2969.165498598887</c:v>
                </c:pt>
                <c:pt idx="6">
                  <c:v>2313.130662587805</c:v>
                </c:pt>
                <c:pt idx="7">
                  <c:v>2173.246975885861</c:v>
                </c:pt>
                <c:pt idx="8">
                  <c:v>3397.662808351403</c:v>
                </c:pt>
                <c:pt idx="9">
                  <c:v>2944.601974962159</c:v>
                </c:pt>
                <c:pt idx="10">
                  <c:v>3488.711427225592</c:v>
                </c:pt>
                <c:pt idx="11">
                  <c:v>3323.218752952537</c:v>
                </c:pt>
                <c:pt idx="12">
                  <c:v>1603.611801264521</c:v>
                </c:pt>
                <c:pt idx="13">
                  <c:v>1919.076394130962</c:v>
                </c:pt>
                <c:pt idx="14">
                  <c:v>903.7494939855439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54928"/>
        <c:axId val="503557248"/>
      </c:scatterChart>
      <c:valAx>
        <c:axId val="503554928"/>
        <c:scaling>
          <c:orientation val="minMax"/>
          <c:max val="2008.0"/>
          <c:min val="1978.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557248"/>
        <c:crosses val="autoZero"/>
        <c:crossBetween val="midCat"/>
        <c:majorUnit val="2.0"/>
      </c:valAx>
      <c:valAx>
        <c:axId val="503557248"/>
        <c:scaling>
          <c:orientation val="minMax"/>
          <c:max val="80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 sz="2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Survey biomass (thousands of t)</a:t>
                </a:r>
              </a:p>
            </c:rich>
          </c:tx>
          <c:layout>
            <c:manualLayout>
              <c:xMode val="edge"/>
              <c:yMode val="edge"/>
              <c:x val="0.0"/>
              <c:y val="0.0456769689503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3554928"/>
        <c:crosses val="autoZero"/>
        <c:crossBetween val="midCat"/>
        <c:majorUnit val="2000.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4" l="0.700000000000001" r="0.700000000000001" t="0.750000000000004" header="0.3" footer="0.3"/>
    <c:pageSetup orientation="portrait"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788321167883"/>
          <c:y val="0.0417495029821074"/>
          <c:w val="0.855057351407716"/>
          <c:h val="0.7972166998011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'Effect of New EIT'!$C$1</c:f>
              <c:strCache>
                <c:ptCount val="1"/>
                <c:pt idx="0">
                  <c:v>2004 Model 1</c:v>
                </c:pt>
              </c:strCache>
            </c:strRef>
          </c:tx>
          <c:spPr>
            <a:ln w="28575">
              <a:noFill/>
            </a:ln>
          </c:spPr>
          <c:marker>
            <c:symbol val="dash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'Effect of New EIT'!$B$2:$B$13</c:f>
              <c:numCache>
                <c:formatCode>General</c:formatCode>
                <c:ptCount val="12"/>
                <c:pt idx="0">
                  <c:v>1992.0</c:v>
                </c:pt>
                <c:pt idx="1">
                  <c:v>1993.0</c:v>
                </c:pt>
                <c:pt idx="2">
                  <c:v>1994.0</c:v>
                </c:pt>
                <c:pt idx="3">
                  <c:v>1995.0</c:v>
                </c:pt>
                <c:pt idx="4">
                  <c:v>1996.0</c:v>
                </c:pt>
                <c:pt idx="5">
                  <c:v>1997.0</c:v>
                </c:pt>
                <c:pt idx="6">
                  <c:v>1998.0</c:v>
                </c:pt>
                <c:pt idx="7">
                  <c:v>1999.0</c:v>
                </c:pt>
                <c:pt idx="8">
                  <c:v>2000.0</c:v>
                </c:pt>
                <c:pt idx="9">
                  <c:v>2001.0</c:v>
                </c:pt>
                <c:pt idx="10">
                  <c:v>2002.0</c:v>
                </c:pt>
                <c:pt idx="11">
                  <c:v>2003.0</c:v>
                </c:pt>
              </c:numCache>
            </c:numRef>
          </c:xVal>
          <c:yVal>
            <c:numRef>
              <c:f>'Effect of New EIT'!$C$2:$C$13</c:f>
              <c:numCache>
                <c:formatCode>#,##0</c:formatCode>
                <c:ptCount val="12"/>
                <c:pt idx="0">
                  <c:v>51313.0</c:v>
                </c:pt>
                <c:pt idx="1">
                  <c:v>13341.0</c:v>
                </c:pt>
                <c:pt idx="2">
                  <c:v>10007.0</c:v>
                </c:pt>
                <c:pt idx="3">
                  <c:v>22444.0</c:v>
                </c:pt>
                <c:pt idx="4">
                  <c:v>31163.0</c:v>
                </c:pt>
                <c:pt idx="5">
                  <c:v>14419.0</c:v>
                </c:pt>
                <c:pt idx="6">
                  <c:v>16444.0</c:v>
                </c:pt>
                <c:pt idx="7">
                  <c:v>22552.0</c:v>
                </c:pt>
                <c:pt idx="8">
                  <c:v>38232.0</c:v>
                </c:pt>
                <c:pt idx="9">
                  <c:v>11509.0</c:v>
                </c:pt>
                <c:pt idx="10">
                  <c:v>11106.0</c:v>
                </c:pt>
                <c:pt idx="11">
                  <c:v>13532.0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'Effect of New EIT'!$K$1</c:f>
              <c:strCache>
                <c:ptCount val="1"/>
                <c:pt idx="0">
                  <c:v>2004 Model 1 with revised EIT age data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'Effect of New EIT'!$J$2:$J$13</c:f>
              <c:numCache>
                <c:formatCode>General</c:formatCode>
                <c:ptCount val="12"/>
                <c:pt idx="0">
                  <c:v>1992.0</c:v>
                </c:pt>
                <c:pt idx="1">
                  <c:v>1993.0</c:v>
                </c:pt>
                <c:pt idx="2">
                  <c:v>1994.0</c:v>
                </c:pt>
                <c:pt idx="3">
                  <c:v>1995.0</c:v>
                </c:pt>
                <c:pt idx="4">
                  <c:v>1996.0</c:v>
                </c:pt>
                <c:pt idx="5">
                  <c:v>1997.0</c:v>
                </c:pt>
                <c:pt idx="6">
                  <c:v>1998.0</c:v>
                </c:pt>
                <c:pt idx="7">
                  <c:v>1999.0</c:v>
                </c:pt>
                <c:pt idx="8">
                  <c:v>2000.0</c:v>
                </c:pt>
                <c:pt idx="9">
                  <c:v>2001.0</c:v>
                </c:pt>
                <c:pt idx="10">
                  <c:v>2002.0</c:v>
                </c:pt>
                <c:pt idx="11">
                  <c:v>2003.0</c:v>
                </c:pt>
              </c:numCache>
            </c:numRef>
          </c:xVal>
          <c:yVal>
            <c:numRef>
              <c:f>'Effect of New EIT'!$K$2:$K$13</c:f>
              <c:numCache>
                <c:formatCode>#,##0</c:formatCode>
                <c:ptCount val="12"/>
                <c:pt idx="0">
                  <c:v>51253.0</c:v>
                </c:pt>
                <c:pt idx="1">
                  <c:v>13332.0</c:v>
                </c:pt>
                <c:pt idx="2">
                  <c:v>10003.0</c:v>
                </c:pt>
                <c:pt idx="3">
                  <c:v>22468.0</c:v>
                </c:pt>
                <c:pt idx="4">
                  <c:v>31204.0</c:v>
                </c:pt>
                <c:pt idx="5">
                  <c:v>14516.0</c:v>
                </c:pt>
                <c:pt idx="6">
                  <c:v>16706.0</c:v>
                </c:pt>
                <c:pt idx="7">
                  <c:v>23525.0</c:v>
                </c:pt>
                <c:pt idx="8">
                  <c:v>40527.0</c:v>
                </c:pt>
                <c:pt idx="9">
                  <c:v>12863.0</c:v>
                </c:pt>
                <c:pt idx="10">
                  <c:v>8157.6</c:v>
                </c:pt>
                <c:pt idx="11">
                  <c:v>13321.0</c:v>
                </c:pt>
              </c:numCache>
            </c:numRef>
          </c:yVal>
          <c:smooth val="0"/>
        </c:ser>
        <c:ser>
          <c:idx val="2"/>
          <c:order val="2"/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'Effect of New EIT'!$B$2:$B$13</c:f>
              <c:numCache>
                <c:formatCode>General</c:formatCode>
                <c:ptCount val="12"/>
                <c:pt idx="0">
                  <c:v>1992.0</c:v>
                </c:pt>
                <c:pt idx="1">
                  <c:v>1993.0</c:v>
                </c:pt>
                <c:pt idx="2">
                  <c:v>1994.0</c:v>
                </c:pt>
                <c:pt idx="3">
                  <c:v>1995.0</c:v>
                </c:pt>
                <c:pt idx="4">
                  <c:v>1996.0</c:v>
                </c:pt>
                <c:pt idx="5">
                  <c:v>1997.0</c:v>
                </c:pt>
                <c:pt idx="6">
                  <c:v>1998.0</c:v>
                </c:pt>
                <c:pt idx="7">
                  <c:v>1999.0</c:v>
                </c:pt>
                <c:pt idx="8">
                  <c:v>2000.0</c:v>
                </c:pt>
                <c:pt idx="9">
                  <c:v>2001.0</c:v>
                </c:pt>
                <c:pt idx="10">
                  <c:v>2002.0</c:v>
                </c:pt>
                <c:pt idx="11">
                  <c:v>2003.0</c:v>
                </c:pt>
              </c:numCache>
            </c:numRef>
          </c:xVal>
          <c:yVal>
            <c:numRef>
              <c:f>'Effect of New EIT'!$F$2:$F$13</c:f>
              <c:numCache>
                <c:formatCode>#,##0</c:formatCode>
                <c:ptCount val="12"/>
                <c:pt idx="0">
                  <c:v>35817.0118563785</c:v>
                </c:pt>
                <c:pt idx="1">
                  <c:v>9241.885279574957</c:v>
                </c:pt>
                <c:pt idx="2">
                  <c:v>7103.847362690394</c:v>
                </c:pt>
                <c:pt idx="3">
                  <c:v>15920.99278824186</c:v>
                </c:pt>
                <c:pt idx="4">
                  <c:v>21499.38717446084</c:v>
                </c:pt>
                <c:pt idx="5">
                  <c:v>8279.347767700353</c:v>
                </c:pt>
                <c:pt idx="6">
                  <c:v>10213.23174014774</c:v>
                </c:pt>
                <c:pt idx="7">
                  <c:v>14720.65153222775</c:v>
                </c:pt>
                <c:pt idx="8">
                  <c:v>25871.93412226816</c:v>
                </c:pt>
                <c:pt idx="9">
                  <c:v>7873.963296306587</c:v>
                </c:pt>
                <c:pt idx="10">
                  <c:v>7309.260117232499</c:v>
                </c:pt>
                <c:pt idx="11">
                  <c:v>9146.934937956726</c:v>
                </c:pt>
              </c:numCache>
            </c:numRef>
          </c:yVal>
          <c:smooth val="0"/>
        </c:ser>
        <c:ser>
          <c:idx val="5"/>
          <c:order val="3"/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'Effect of New EIT'!$B$2:$B$13</c:f>
              <c:numCache>
                <c:formatCode>General</c:formatCode>
                <c:ptCount val="12"/>
                <c:pt idx="0">
                  <c:v>1992.0</c:v>
                </c:pt>
                <c:pt idx="1">
                  <c:v>1993.0</c:v>
                </c:pt>
                <c:pt idx="2">
                  <c:v>1994.0</c:v>
                </c:pt>
                <c:pt idx="3">
                  <c:v>1995.0</c:v>
                </c:pt>
                <c:pt idx="4">
                  <c:v>1996.0</c:v>
                </c:pt>
                <c:pt idx="5">
                  <c:v>1997.0</c:v>
                </c:pt>
                <c:pt idx="6">
                  <c:v>1998.0</c:v>
                </c:pt>
                <c:pt idx="7">
                  <c:v>1999.0</c:v>
                </c:pt>
                <c:pt idx="8">
                  <c:v>2000.0</c:v>
                </c:pt>
                <c:pt idx="9">
                  <c:v>2001.0</c:v>
                </c:pt>
                <c:pt idx="10">
                  <c:v>2002.0</c:v>
                </c:pt>
                <c:pt idx="11">
                  <c:v>2003.0</c:v>
                </c:pt>
              </c:numCache>
            </c:numRef>
          </c:xVal>
          <c:yVal>
            <c:numRef>
              <c:f>'Effect of New EIT'!$G$2:$G$13</c:f>
              <c:numCache>
                <c:formatCode>#,##0</c:formatCode>
                <c:ptCount val="12"/>
                <c:pt idx="0">
                  <c:v>73513.22269870192</c:v>
                </c:pt>
                <c:pt idx="1">
                  <c:v>19258.22227996598</c:v>
                </c:pt>
                <c:pt idx="2">
                  <c:v>14096.59356223479</c:v>
                </c:pt>
                <c:pt idx="3">
                  <c:v>31639.5555666618</c:v>
                </c:pt>
                <c:pt idx="4">
                  <c:v>45170.24420833772</c:v>
                </c:pt>
                <c:pt idx="5">
                  <c:v>25111.58690677246</c:v>
                </c:pt>
                <c:pt idx="6">
                  <c:v>26475.96205391579</c:v>
                </c:pt>
                <c:pt idx="7">
                  <c:v>34549.60555832356</c:v>
                </c:pt>
                <c:pt idx="8">
                  <c:v>56496.96760559994</c:v>
                </c:pt>
                <c:pt idx="9">
                  <c:v>16822.16134562517</c:v>
                </c:pt>
                <c:pt idx="10">
                  <c:v>16874.92769742902</c:v>
                </c:pt>
                <c:pt idx="11">
                  <c:v>20019.2769755182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598800"/>
        <c:axId val="503602704"/>
      </c:scatterChart>
      <c:valAx>
        <c:axId val="50359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Year class</a:t>
                </a:r>
              </a:p>
            </c:rich>
          </c:tx>
          <c:layout>
            <c:manualLayout>
              <c:xMode val="edge"/>
              <c:yMode val="edge"/>
              <c:x val="0.491136600625652"/>
              <c:y val="0.9264413518886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503602704"/>
        <c:crosses val="autoZero"/>
        <c:crossBetween val="midCat"/>
      </c:valAx>
      <c:valAx>
        <c:axId val="503602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Age 1 recruitment (millions)</a:t>
                </a:r>
              </a:p>
            </c:rich>
          </c:tx>
          <c:layout>
            <c:manualLayout>
              <c:xMode val="edge"/>
              <c:yMode val="edge"/>
              <c:x val="0.0104275286757039"/>
              <c:y val="0.16500994035785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en-US"/>
          </a:p>
        </c:txPr>
        <c:crossAx val="5035988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312825860271116"/>
          <c:y val="0.0536779324055666"/>
          <c:w val="0.411887382690302"/>
          <c:h val="0.1709741550695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en-US"/>
    </a:p>
  </c:txPr>
  <c:printSettings>
    <c:headerFooter alignWithMargins="0"/>
    <c:pageMargins b="1.0" l="0.750000000000004" r="0.750000000000004" t="1.0" header="0.5" footer="0.5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4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9"/>
  <sheetViews>
    <sheetView zoomScale="84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"/>
  <sheetViews>
    <sheetView zoomScale="160" workbookViewId="0" zoomToFit="1"/>
  </sheetViews>
  <pageMargins left="0.75" right="0.75" top="0.45" bottom="0.56999999999999995" header="0.5" footer="0.5"/>
  <pageSetup orientation="landscape" horizontalDpi="4294967292" verticalDpi="4294967292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48"/>
  <sheetViews>
    <sheetView zoomScale="84" workbookViewId="0"/>
  </sheetViews>
  <pageMargins left="0.7" right="0.7" top="0.75" bottom="0.75" header="0.3" footer="0.3"/>
  <pageSetup orientation="landscap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4"/>
  <sheetViews>
    <sheetView zoomScale="85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9"/>
  <sheetViews>
    <sheetView zoomScale="85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0"/>
  <sheetViews>
    <sheetView zoomScale="171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1"/>
  <sheetViews>
    <sheetView zoomScale="171" workbookViewId="0" zoomToFit="1"/>
  </sheetViews>
  <pageMargins left="0.7" right="0.7" top="0.75" bottom="0.75" header="0.3" footer="0.3"/>
  <pageSetup orientation="landscape" horizontalDpi="4294967292" verticalDpi="4294967292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67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49"/>
  <sheetViews>
    <sheetView zoomScale="9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4"/>
  <sheetViews>
    <sheetView zoomScale="93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5"/>
  <sheetViews>
    <sheetView zoomScale="93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zoomScale="16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zoomScale="9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6"/>
  <sheetViews>
    <sheetView zoomScale="9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22"/>
  <sheetViews>
    <sheetView workbookViewId="0" zoomToFit="1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7" Type="http://schemas.openxmlformats.org/officeDocument/2006/relationships/chart" Target="../charts/chart8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30.xml"/><Relationship Id="rId21" Type="http://schemas.openxmlformats.org/officeDocument/2006/relationships/chart" Target="../charts/chart31.xml"/><Relationship Id="rId22" Type="http://schemas.openxmlformats.org/officeDocument/2006/relationships/chart" Target="../charts/chart32.xml"/><Relationship Id="rId23" Type="http://schemas.openxmlformats.org/officeDocument/2006/relationships/chart" Target="../charts/chart33.xml"/><Relationship Id="rId24" Type="http://schemas.openxmlformats.org/officeDocument/2006/relationships/chart" Target="../charts/chart34.xml"/><Relationship Id="rId25" Type="http://schemas.openxmlformats.org/officeDocument/2006/relationships/chart" Target="../charts/chart35.xml"/><Relationship Id="rId26" Type="http://schemas.openxmlformats.org/officeDocument/2006/relationships/chart" Target="../charts/chart36.xml"/><Relationship Id="rId27" Type="http://schemas.openxmlformats.org/officeDocument/2006/relationships/chart" Target="../charts/chart37.xml"/><Relationship Id="rId28" Type="http://schemas.openxmlformats.org/officeDocument/2006/relationships/chart" Target="../charts/chart38.xml"/><Relationship Id="rId29" Type="http://schemas.openxmlformats.org/officeDocument/2006/relationships/chart" Target="../charts/chart39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30" Type="http://schemas.openxmlformats.org/officeDocument/2006/relationships/chart" Target="../charts/chart40.xml"/><Relationship Id="rId31" Type="http://schemas.openxmlformats.org/officeDocument/2006/relationships/chart" Target="../charts/chart41.xml"/><Relationship Id="rId32" Type="http://schemas.openxmlformats.org/officeDocument/2006/relationships/chart" Target="../charts/chart42.xml"/><Relationship Id="rId9" Type="http://schemas.openxmlformats.org/officeDocument/2006/relationships/chart" Target="../charts/chart19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33" Type="http://schemas.openxmlformats.org/officeDocument/2006/relationships/chart" Target="../charts/chart43.xml"/><Relationship Id="rId34" Type="http://schemas.openxmlformats.org/officeDocument/2006/relationships/chart" Target="../charts/chart44.xml"/><Relationship Id="rId35" Type="http://schemas.openxmlformats.org/officeDocument/2006/relationships/chart" Target="../charts/chart45.xml"/><Relationship Id="rId36" Type="http://schemas.openxmlformats.org/officeDocument/2006/relationships/chart" Target="../charts/chart46.xml"/><Relationship Id="rId10" Type="http://schemas.openxmlformats.org/officeDocument/2006/relationships/chart" Target="../charts/chart20.xml"/><Relationship Id="rId11" Type="http://schemas.openxmlformats.org/officeDocument/2006/relationships/chart" Target="../charts/chart21.xml"/><Relationship Id="rId12" Type="http://schemas.openxmlformats.org/officeDocument/2006/relationships/chart" Target="../charts/chart22.xml"/><Relationship Id="rId13" Type="http://schemas.openxmlformats.org/officeDocument/2006/relationships/chart" Target="../charts/chart23.xml"/><Relationship Id="rId14" Type="http://schemas.openxmlformats.org/officeDocument/2006/relationships/chart" Target="../charts/chart24.xml"/><Relationship Id="rId15" Type="http://schemas.openxmlformats.org/officeDocument/2006/relationships/chart" Target="../charts/chart25.xml"/><Relationship Id="rId16" Type="http://schemas.openxmlformats.org/officeDocument/2006/relationships/chart" Target="../charts/chart26.xml"/><Relationship Id="rId17" Type="http://schemas.openxmlformats.org/officeDocument/2006/relationships/chart" Target="../charts/chart27.xml"/><Relationship Id="rId18" Type="http://schemas.openxmlformats.org/officeDocument/2006/relationships/chart" Target="../charts/chart28.xml"/><Relationship Id="rId19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7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67.xml"/><Relationship Id="rId21" Type="http://schemas.openxmlformats.org/officeDocument/2006/relationships/chart" Target="../charts/chart68.xml"/><Relationship Id="rId22" Type="http://schemas.openxmlformats.org/officeDocument/2006/relationships/chart" Target="../charts/chart69.xml"/><Relationship Id="rId23" Type="http://schemas.openxmlformats.org/officeDocument/2006/relationships/chart" Target="../charts/chart70.xml"/><Relationship Id="rId24" Type="http://schemas.openxmlformats.org/officeDocument/2006/relationships/chart" Target="../charts/chart71.xml"/><Relationship Id="rId25" Type="http://schemas.openxmlformats.org/officeDocument/2006/relationships/chart" Target="../charts/chart72.xml"/><Relationship Id="rId26" Type="http://schemas.openxmlformats.org/officeDocument/2006/relationships/chart" Target="../charts/chart73.xml"/><Relationship Id="rId27" Type="http://schemas.openxmlformats.org/officeDocument/2006/relationships/chart" Target="../charts/chart74.xml"/><Relationship Id="rId28" Type="http://schemas.openxmlformats.org/officeDocument/2006/relationships/chart" Target="../charts/chart75.xml"/><Relationship Id="rId29" Type="http://schemas.openxmlformats.org/officeDocument/2006/relationships/chart" Target="../charts/chart76.xml"/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Relationship Id="rId4" Type="http://schemas.openxmlformats.org/officeDocument/2006/relationships/chart" Target="../charts/chart51.xml"/><Relationship Id="rId5" Type="http://schemas.openxmlformats.org/officeDocument/2006/relationships/chart" Target="../charts/chart52.xml"/><Relationship Id="rId30" Type="http://schemas.openxmlformats.org/officeDocument/2006/relationships/chart" Target="../charts/chart77.xml"/><Relationship Id="rId31" Type="http://schemas.openxmlformats.org/officeDocument/2006/relationships/chart" Target="../charts/chart78.xml"/><Relationship Id="rId32" Type="http://schemas.openxmlformats.org/officeDocument/2006/relationships/chart" Target="../charts/chart79.xml"/><Relationship Id="rId9" Type="http://schemas.openxmlformats.org/officeDocument/2006/relationships/chart" Target="../charts/chart56.xml"/><Relationship Id="rId6" Type="http://schemas.openxmlformats.org/officeDocument/2006/relationships/chart" Target="../charts/chart53.xml"/><Relationship Id="rId7" Type="http://schemas.openxmlformats.org/officeDocument/2006/relationships/chart" Target="../charts/chart54.xml"/><Relationship Id="rId8" Type="http://schemas.openxmlformats.org/officeDocument/2006/relationships/chart" Target="../charts/chart55.xml"/><Relationship Id="rId33" Type="http://schemas.openxmlformats.org/officeDocument/2006/relationships/chart" Target="../charts/chart80.xml"/><Relationship Id="rId34" Type="http://schemas.openxmlformats.org/officeDocument/2006/relationships/chart" Target="../charts/chart81.xml"/><Relationship Id="rId35" Type="http://schemas.openxmlformats.org/officeDocument/2006/relationships/chart" Target="../charts/chart82.xml"/><Relationship Id="rId36" Type="http://schemas.openxmlformats.org/officeDocument/2006/relationships/chart" Target="../charts/chart83.xml"/><Relationship Id="rId10" Type="http://schemas.openxmlformats.org/officeDocument/2006/relationships/chart" Target="../charts/chart57.xml"/><Relationship Id="rId11" Type="http://schemas.openxmlformats.org/officeDocument/2006/relationships/chart" Target="../charts/chart58.xml"/><Relationship Id="rId12" Type="http://schemas.openxmlformats.org/officeDocument/2006/relationships/chart" Target="../charts/chart59.xml"/><Relationship Id="rId13" Type="http://schemas.openxmlformats.org/officeDocument/2006/relationships/chart" Target="../charts/chart60.xml"/><Relationship Id="rId14" Type="http://schemas.openxmlformats.org/officeDocument/2006/relationships/chart" Target="../charts/chart61.xml"/><Relationship Id="rId15" Type="http://schemas.openxmlformats.org/officeDocument/2006/relationships/chart" Target="../charts/chart62.xml"/><Relationship Id="rId16" Type="http://schemas.openxmlformats.org/officeDocument/2006/relationships/chart" Target="../charts/chart63.xml"/><Relationship Id="rId17" Type="http://schemas.openxmlformats.org/officeDocument/2006/relationships/chart" Target="../charts/chart64.xml"/><Relationship Id="rId18" Type="http://schemas.openxmlformats.org/officeDocument/2006/relationships/chart" Target="../charts/chart65.xml"/><Relationship Id="rId19" Type="http://schemas.openxmlformats.org/officeDocument/2006/relationships/chart" Target="../charts/chart66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6.xml"/><Relationship Id="rId14" Type="http://schemas.openxmlformats.org/officeDocument/2006/relationships/chart" Target="../charts/chart97.xml"/><Relationship Id="rId15" Type="http://schemas.openxmlformats.org/officeDocument/2006/relationships/chart" Target="../charts/chart98.xml"/><Relationship Id="rId16" Type="http://schemas.openxmlformats.org/officeDocument/2006/relationships/chart" Target="../charts/chart99.xml"/><Relationship Id="rId17" Type="http://schemas.openxmlformats.org/officeDocument/2006/relationships/chart" Target="../charts/chart100.xml"/><Relationship Id="rId18" Type="http://schemas.openxmlformats.org/officeDocument/2006/relationships/chart" Target="../charts/chart101.xml"/><Relationship Id="rId19" Type="http://schemas.openxmlformats.org/officeDocument/2006/relationships/chart" Target="../charts/chart102.xml"/><Relationship Id="rId50" Type="http://schemas.openxmlformats.org/officeDocument/2006/relationships/chart" Target="../charts/chart133.xml"/><Relationship Id="rId51" Type="http://schemas.openxmlformats.org/officeDocument/2006/relationships/chart" Target="../charts/chart134.xml"/><Relationship Id="rId52" Type="http://schemas.openxmlformats.org/officeDocument/2006/relationships/chart" Target="../charts/chart135.xml"/><Relationship Id="rId53" Type="http://schemas.openxmlformats.org/officeDocument/2006/relationships/chart" Target="../charts/chart136.xml"/><Relationship Id="rId54" Type="http://schemas.openxmlformats.org/officeDocument/2006/relationships/chart" Target="../charts/chart137.xml"/><Relationship Id="rId55" Type="http://schemas.openxmlformats.org/officeDocument/2006/relationships/chart" Target="../charts/chart138.xml"/><Relationship Id="rId56" Type="http://schemas.openxmlformats.org/officeDocument/2006/relationships/chart" Target="../charts/chart139.xml"/><Relationship Id="rId57" Type="http://schemas.openxmlformats.org/officeDocument/2006/relationships/chart" Target="../charts/chart140.xml"/><Relationship Id="rId58" Type="http://schemas.openxmlformats.org/officeDocument/2006/relationships/chart" Target="../charts/chart141.xml"/><Relationship Id="rId59" Type="http://schemas.openxmlformats.org/officeDocument/2006/relationships/chart" Target="../charts/chart142.xml"/><Relationship Id="rId40" Type="http://schemas.openxmlformats.org/officeDocument/2006/relationships/chart" Target="../charts/chart123.xml"/><Relationship Id="rId41" Type="http://schemas.openxmlformats.org/officeDocument/2006/relationships/chart" Target="../charts/chart124.xml"/><Relationship Id="rId42" Type="http://schemas.openxmlformats.org/officeDocument/2006/relationships/chart" Target="../charts/chart125.xml"/><Relationship Id="rId43" Type="http://schemas.openxmlformats.org/officeDocument/2006/relationships/chart" Target="../charts/chart126.xml"/><Relationship Id="rId44" Type="http://schemas.openxmlformats.org/officeDocument/2006/relationships/chart" Target="../charts/chart127.xml"/><Relationship Id="rId45" Type="http://schemas.openxmlformats.org/officeDocument/2006/relationships/chart" Target="../charts/chart128.xml"/><Relationship Id="rId46" Type="http://schemas.openxmlformats.org/officeDocument/2006/relationships/chart" Target="../charts/chart129.xml"/><Relationship Id="rId47" Type="http://schemas.openxmlformats.org/officeDocument/2006/relationships/chart" Target="../charts/chart130.xml"/><Relationship Id="rId48" Type="http://schemas.openxmlformats.org/officeDocument/2006/relationships/chart" Target="../charts/chart131.xml"/><Relationship Id="rId49" Type="http://schemas.openxmlformats.org/officeDocument/2006/relationships/chart" Target="../charts/chart132.xml"/><Relationship Id="rId1" Type="http://schemas.openxmlformats.org/officeDocument/2006/relationships/chart" Target="../charts/chart84.xml"/><Relationship Id="rId2" Type="http://schemas.openxmlformats.org/officeDocument/2006/relationships/chart" Target="../charts/chart85.xml"/><Relationship Id="rId3" Type="http://schemas.openxmlformats.org/officeDocument/2006/relationships/chart" Target="../charts/chart86.xml"/><Relationship Id="rId4" Type="http://schemas.openxmlformats.org/officeDocument/2006/relationships/chart" Target="../charts/chart87.xml"/><Relationship Id="rId5" Type="http://schemas.openxmlformats.org/officeDocument/2006/relationships/chart" Target="../charts/chart88.xml"/><Relationship Id="rId6" Type="http://schemas.openxmlformats.org/officeDocument/2006/relationships/chart" Target="../charts/chart89.xml"/><Relationship Id="rId7" Type="http://schemas.openxmlformats.org/officeDocument/2006/relationships/chart" Target="../charts/chart90.xml"/><Relationship Id="rId8" Type="http://schemas.openxmlformats.org/officeDocument/2006/relationships/chart" Target="../charts/chart91.xml"/><Relationship Id="rId9" Type="http://schemas.openxmlformats.org/officeDocument/2006/relationships/chart" Target="../charts/chart92.xml"/><Relationship Id="rId30" Type="http://schemas.openxmlformats.org/officeDocument/2006/relationships/chart" Target="../charts/chart113.xml"/><Relationship Id="rId31" Type="http://schemas.openxmlformats.org/officeDocument/2006/relationships/chart" Target="../charts/chart114.xml"/><Relationship Id="rId32" Type="http://schemas.openxmlformats.org/officeDocument/2006/relationships/chart" Target="../charts/chart115.xml"/><Relationship Id="rId33" Type="http://schemas.openxmlformats.org/officeDocument/2006/relationships/chart" Target="../charts/chart116.xml"/><Relationship Id="rId34" Type="http://schemas.openxmlformats.org/officeDocument/2006/relationships/chart" Target="../charts/chart117.xml"/><Relationship Id="rId35" Type="http://schemas.openxmlformats.org/officeDocument/2006/relationships/chart" Target="../charts/chart118.xml"/><Relationship Id="rId36" Type="http://schemas.openxmlformats.org/officeDocument/2006/relationships/chart" Target="../charts/chart119.xml"/><Relationship Id="rId37" Type="http://schemas.openxmlformats.org/officeDocument/2006/relationships/chart" Target="../charts/chart120.xml"/><Relationship Id="rId38" Type="http://schemas.openxmlformats.org/officeDocument/2006/relationships/chart" Target="../charts/chart121.xml"/><Relationship Id="rId39" Type="http://schemas.openxmlformats.org/officeDocument/2006/relationships/chart" Target="../charts/chart122.xml"/><Relationship Id="rId20" Type="http://schemas.openxmlformats.org/officeDocument/2006/relationships/chart" Target="../charts/chart103.xml"/><Relationship Id="rId21" Type="http://schemas.openxmlformats.org/officeDocument/2006/relationships/chart" Target="../charts/chart104.xml"/><Relationship Id="rId22" Type="http://schemas.openxmlformats.org/officeDocument/2006/relationships/chart" Target="../charts/chart105.xml"/><Relationship Id="rId23" Type="http://schemas.openxmlformats.org/officeDocument/2006/relationships/chart" Target="../charts/chart106.xml"/><Relationship Id="rId24" Type="http://schemas.openxmlformats.org/officeDocument/2006/relationships/chart" Target="../charts/chart107.xml"/><Relationship Id="rId25" Type="http://schemas.openxmlformats.org/officeDocument/2006/relationships/chart" Target="../charts/chart108.xml"/><Relationship Id="rId26" Type="http://schemas.openxmlformats.org/officeDocument/2006/relationships/chart" Target="../charts/chart109.xml"/><Relationship Id="rId27" Type="http://schemas.openxmlformats.org/officeDocument/2006/relationships/chart" Target="../charts/chart110.xml"/><Relationship Id="rId28" Type="http://schemas.openxmlformats.org/officeDocument/2006/relationships/chart" Target="../charts/chart111.xml"/><Relationship Id="rId29" Type="http://schemas.openxmlformats.org/officeDocument/2006/relationships/chart" Target="../charts/chart112.xml"/><Relationship Id="rId60" Type="http://schemas.openxmlformats.org/officeDocument/2006/relationships/chart" Target="../charts/chart143.xml"/><Relationship Id="rId61" Type="http://schemas.openxmlformats.org/officeDocument/2006/relationships/chart" Target="../charts/chart144.xml"/><Relationship Id="rId62" Type="http://schemas.openxmlformats.org/officeDocument/2006/relationships/chart" Target="../charts/chart145.xml"/><Relationship Id="rId10" Type="http://schemas.openxmlformats.org/officeDocument/2006/relationships/chart" Target="../charts/chart93.xml"/><Relationship Id="rId11" Type="http://schemas.openxmlformats.org/officeDocument/2006/relationships/chart" Target="../charts/chart94.xml"/><Relationship Id="rId12" Type="http://schemas.openxmlformats.org/officeDocument/2006/relationships/chart" Target="../charts/chart95.xml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54.xml"/><Relationship Id="rId20" Type="http://schemas.openxmlformats.org/officeDocument/2006/relationships/chart" Target="../charts/chart165.xml"/><Relationship Id="rId21" Type="http://schemas.openxmlformats.org/officeDocument/2006/relationships/chart" Target="../charts/chart166.xml"/><Relationship Id="rId22" Type="http://schemas.openxmlformats.org/officeDocument/2006/relationships/chart" Target="../charts/chart167.xml"/><Relationship Id="rId23" Type="http://schemas.openxmlformats.org/officeDocument/2006/relationships/chart" Target="../charts/chart168.xml"/><Relationship Id="rId24" Type="http://schemas.openxmlformats.org/officeDocument/2006/relationships/chart" Target="../charts/chart169.xml"/><Relationship Id="rId10" Type="http://schemas.openxmlformats.org/officeDocument/2006/relationships/chart" Target="../charts/chart155.xml"/><Relationship Id="rId11" Type="http://schemas.openxmlformats.org/officeDocument/2006/relationships/chart" Target="../charts/chart156.xml"/><Relationship Id="rId12" Type="http://schemas.openxmlformats.org/officeDocument/2006/relationships/chart" Target="../charts/chart157.xml"/><Relationship Id="rId13" Type="http://schemas.openxmlformats.org/officeDocument/2006/relationships/chart" Target="../charts/chart158.xml"/><Relationship Id="rId14" Type="http://schemas.openxmlformats.org/officeDocument/2006/relationships/chart" Target="../charts/chart159.xml"/><Relationship Id="rId15" Type="http://schemas.openxmlformats.org/officeDocument/2006/relationships/chart" Target="../charts/chart160.xml"/><Relationship Id="rId16" Type="http://schemas.openxmlformats.org/officeDocument/2006/relationships/chart" Target="../charts/chart161.xml"/><Relationship Id="rId17" Type="http://schemas.openxmlformats.org/officeDocument/2006/relationships/chart" Target="../charts/chart162.xml"/><Relationship Id="rId18" Type="http://schemas.openxmlformats.org/officeDocument/2006/relationships/chart" Target="../charts/chart163.xml"/><Relationship Id="rId19" Type="http://schemas.openxmlformats.org/officeDocument/2006/relationships/chart" Target="../charts/chart164.xml"/><Relationship Id="rId1" Type="http://schemas.openxmlformats.org/officeDocument/2006/relationships/chart" Target="../charts/chart146.xml"/><Relationship Id="rId2" Type="http://schemas.openxmlformats.org/officeDocument/2006/relationships/chart" Target="../charts/chart147.xml"/><Relationship Id="rId3" Type="http://schemas.openxmlformats.org/officeDocument/2006/relationships/chart" Target="../charts/chart148.xml"/><Relationship Id="rId4" Type="http://schemas.openxmlformats.org/officeDocument/2006/relationships/chart" Target="../charts/chart149.xml"/><Relationship Id="rId5" Type="http://schemas.openxmlformats.org/officeDocument/2006/relationships/chart" Target="../charts/chart150.xml"/><Relationship Id="rId6" Type="http://schemas.openxmlformats.org/officeDocument/2006/relationships/chart" Target="../charts/chart151.xml"/><Relationship Id="rId7" Type="http://schemas.openxmlformats.org/officeDocument/2006/relationships/chart" Target="../charts/chart152.xml"/><Relationship Id="rId8" Type="http://schemas.openxmlformats.org/officeDocument/2006/relationships/chart" Target="../charts/chart15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2.xml"/><Relationship Id="rId4" Type="http://schemas.openxmlformats.org/officeDocument/2006/relationships/chart" Target="../charts/chart173.xml"/><Relationship Id="rId5" Type="http://schemas.openxmlformats.org/officeDocument/2006/relationships/chart" Target="../charts/chart174.xml"/><Relationship Id="rId6" Type="http://schemas.openxmlformats.org/officeDocument/2006/relationships/chart" Target="../charts/chart175.xml"/><Relationship Id="rId1" Type="http://schemas.openxmlformats.org/officeDocument/2006/relationships/chart" Target="../charts/chart170.xml"/><Relationship Id="rId2" Type="http://schemas.openxmlformats.org/officeDocument/2006/relationships/chart" Target="../charts/chart17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8.xml"/><Relationship Id="rId4" Type="http://schemas.openxmlformats.org/officeDocument/2006/relationships/chart" Target="../charts/chart179.xml"/><Relationship Id="rId5" Type="http://schemas.openxmlformats.org/officeDocument/2006/relationships/chart" Target="../charts/chart180.xml"/><Relationship Id="rId6" Type="http://schemas.openxmlformats.org/officeDocument/2006/relationships/chart" Target="../charts/chart181.xml"/><Relationship Id="rId7" Type="http://schemas.openxmlformats.org/officeDocument/2006/relationships/chart" Target="../charts/chart182.xml"/><Relationship Id="rId8" Type="http://schemas.openxmlformats.org/officeDocument/2006/relationships/chart" Target="../charts/chart183.xml"/><Relationship Id="rId1" Type="http://schemas.openxmlformats.org/officeDocument/2006/relationships/chart" Target="../charts/chart176.xml"/><Relationship Id="rId2" Type="http://schemas.openxmlformats.org/officeDocument/2006/relationships/chart" Target="../charts/chart177.xml"/></Relationships>
</file>

<file path=xl/drawings/_rels/drawing15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94.xml"/><Relationship Id="rId12" Type="http://schemas.openxmlformats.org/officeDocument/2006/relationships/chart" Target="../charts/chart195.xml"/><Relationship Id="rId13" Type="http://schemas.openxmlformats.org/officeDocument/2006/relationships/chart" Target="../charts/chart196.xml"/><Relationship Id="rId14" Type="http://schemas.openxmlformats.org/officeDocument/2006/relationships/chart" Target="../charts/chart197.xml"/><Relationship Id="rId15" Type="http://schemas.openxmlformats.org/officeDocument/2006/relationships/chart" Target="../charts/chart198.xml"/><Relationship Id="rId1" Type="http://schemas.openxmlformats.org/officeDocument/2006/relationships/chart" Target="../charts/chart184.xml"/><Relationship Id="rId2" Type="http://schemas.openxmlformats.org/officeDocument/2006/relationships/chart" Target="../charts/chart185.xml"/><Relationship Id="rId3" Type="http://schemas.openxmlformats.org/officeDocument/2006/relationships/chart" Target="../charts/chart186.xml"/><Relationship Id="rId4" Type="http://schemas.openxmlformats.org/officeDocument/2006/relationships/chart" Target="../charts/chart187.xml"/><Relationship Id="rId5" Type="http://schemas.openxmlformats.org/officeDocument/2006/relationships/chart" Target="../charts/chart188.xml"/><Relationship Id="rId6" Type="http://schemas.openxmlformats.org/officeDocument/2006/relationships/chart" Target="../charts/chart189.xml"/><Relationship Id="rId7" Type="http://schemas.openxmlformats.org/officeDocument/2006/relationships/chart" Target="../charts/chart190.xml"/><Relationship Id="rId8" Type="http://schemas.openxmlformats.org/officeDocument/2006/relationships/chart" Target="../charts/chart191.xml"/><Relationship Id="rId9" Type="http://schemas.openxmlformats.org/officeDocument/2006/relationships/chart" Target="../charts/chart192.xml"/><Relationship Id="rId10" Type="http://schemas.openxmlformats.org/officeDocument/2006/relationships/chart" Target="../charts/chart19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9.xml"/><Relationship Id="rId2" Type="http://schemas.openxmlformats.org/officeDocument/2006/relationships/chart" Target="../charts/chart20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3.xml"/><Relationship Id="rId2" Type="http://schemas.openxmlformats.org/officeDocument/2006/relationships/chart" Target="../charts/chart20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7.xml"/></Relationships>
</file>

<file path=xl/drawings/_rels/drawing26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18.xml"/><Relationship Id="rId12" Type="http://schemas.openxmlformats.org/officeDocument/2006/relationships/chart" Target="../charts/chart219.xml"/><Relationship Id="rId13" Type="http://schemas.openxmlformats.org/officeDocument/2006/relationships/chart" Target="../charts/chart220.xml"/><Relationship Id="rId14" Type="http://schemas.openxmlformats.org/officeDocument/2006/relationships/chart" Target="../charts/chart221.xml"/><Relationship Id="rId15" Type="http://schemas.openxmlformats.org/officeDocument/2006/relationships/chart" Target="../charts/chart222.xml"/><Relationship Id="rId16" Type="http://schemas.openxmlformats.org/officeDocument/2006/relationships/chart" Target="../charts/chart223.xml"/><Relationship Id="rId17" Type="http://schemas.openxmlformats.org/officeDocument/2006/relationships/chart" Target="../charts/chart224.xml"/><Relationship Id="rId1" Type="http://schemas.openxmlformats.org/officeDocument/2006/relationships/chart" Target="../charts/chart208.xml"/><Relationship Id="rId2" Type="http://schemas.openxmlformats.org/officeDocument/2006/relationships/chart" Target="../charts/chart209.xml"/><Relationship Id="rId3" Type="http://schemas.openxmlformats.org/officeDocument/2006/relationships/chart" Target="../charts/chart210.xml"/><Relationship Id="rId4" Type="http://schemas.openxmlformats.org/officeDocument/2006/relationships/chart" Target="../charts/chart211.xml"/><Relationship Id="rId5" Type="http://schemas.openxmlformats.org/officeDocument/2006/relationships/chart" Target="../charts/chart212.xml"/><Relationship Id="rId6" Type="http://schemas.openxmlformats.org/officeDocument/2006/relationships/chart" Target="../charts/chart213.xml"/><Relationship Id="rId7" Type="http://schemas.openxmlformats.org/officeDocument/2006/relationships/chart" Target="../charts/chart214.xml"/><Relationship Id="rId8" Type="http://schemas.openxmlformats.org/officeDocument/2006/relationships/chart" Target="../charts/chart215.xml"/><Relationship Id="rId9" Type="http://schemas.openxmlformats.org/officeDocument/2006/relationships/chart" Target="../charts/chart216.xml"/><Relationship Id="rId10" Type="http://schemas.openxmlformats.org/officeDocument/2006/relationships/chart" Target="../charts/chart21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7.xml"/><Relationship Id="rId4" Type="http://schemas.openxmlformats.org/officeDocument/2006/relationships/chart" Target="../charts/chart228.xml"/><Relationship Id="rId5" Type="http://schemas.openxmlformats.org/officeDocument/2006/relationships/chart" Target="../charts/chart229.xml"/><Relationship Id="rId1" Type="http://schemas.openxmlformats.org/officeDocument/2006/relationships/chart" Target="../charts/chart225.xml"/><Relationship Id="rId2" Type="http://schemas.openxmlformats.org/officeDocument/2006/relationships/chart" Target="../charts/chart226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2.xml"/><Relationship Id="rId4" Type="http://schemas.openxmlformats.org/officeDocument/2006/relationships/chart" Target="../charts/chart233.xml"/><Relationship Id="rId1" Type="http://schemas.openxmlformats.org/officeDocument/2006/relationships/chart" Target="../charts/chart230.xml"/><Relationship Id="rId2" Type="http://schemas.openxmlformats.org/officeDocument/2006/relationships/chart" Target="../charts/chart23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4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0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2.xml"/><Relationship Id="rId2" Type="http://schemas.openxmlformats.org/officeDocument/2006/relationships/chart" Target="../charts/chart24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5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6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7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8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9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0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2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4.xml"/><Relationship Id="rId2" Type="http://schemas.openxmlformats.org/officeDocument/2006/relationships/chart" Target="../charts/chart255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6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7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8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4" Type="http://schemas.openxmlformats.org/officeDocument/2006/relationships/chart" Target="../charts/chart262.xml"/><Relationship Id="rId5" Type="http://schemas.openxmlformats.org/officeDocument/2006/relationships/chart" Target="../charts/chart263.xml"/><Relationship Id="rId1" Type="http://schemas.openxmlformats.org/officeDocument/2006/relationships/chart" Target="../charts/chart259.xml"/><Relationship Id="rId2" Type="http://schemas.openxmlformats.org/officeDocument/2006/relationships/chart" Target="../charts/chart260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3046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32</xdr:row>
      <xdr:rowOff>38100</xdr:rowOff>
    </xdr:from>
    <xdr:to>
      <xdr:col>18</xdr:col>
      <xdr:colOff>561975</xdr:colOff>
      <xdr:row>58</xdr:row>
      <xdr:rowOff>66675</xdr:rowOff>
    </xdr:to>
    <xdr:graphicFrame macro="">
      <xdr:nvGraphicFramePr>
        <xdr:cNvPr id="19479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171450</xdr:colOff>
      <xdr:row>30</xdr:row>
      <xdr:rowOff>19050</xdr:rowOff>
    </xdr:from>
    <xdr:to>
      <xdr:col>22</xdr:col>
      <xdr:colOff>333375</xdr:colOff>
      <xdr:row>54</xdr:row>
      <xdr:rowOff>47625</xdr:rowOff>
    </xdr:to>
    <xdr:graphicFrame macro="">
      <xdr:nvGraphicFramePr>
        <xdr:cNvPr id="19479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561975</xdr:colOff>
      <xdr:row>49</xdr:row>
      <xdr:rowOff>104775</xdr:rowOff>
    </xdr:from>
    <xdr:to>
      <xdr:col>13</xdr:col>
      <xdr:colOff>76200</xdr:colOff>
      <xdr:row>73</xdr:row>
      <xdr:rowOff>133350</xdr:rowOff>
    </xdr:to>
    <xdr:graphicFrame macro="">
      <xdr:nvGraphicFramePr>
        <xdr:cNvPr id="19479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561975</xdr:colOff>
      <xdr:row>51</xdr:row>
      <xdr:rowOff>19050</xdr:rowOff>
    </xdr:from>
    <xdr:to>
      <xdr:col>28</xdr:col>
      <xdr:colOff>104775</xdr:colOff>
      <xdr:row>77</xdr:row>
      <xdr:rowOff>47625</xdr:rowOff>
    </xdr:to>
    <xdr:graphicFrame macro="">
      <xdr:nvGraphicFramePr>
        <xdr:cNvPr id="19479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533400</xdr:colOff>
      <xdr:row>2</xdr:row>
      <xdr:rowOff>57150</xdr:rowOff>
    </xdr:from>
    <xdr:to>
      <xdr:col>41</xdr:col>
      <xdr:colOff>28575</xdr:colOff>
      <xdr:row>28</xdr:row>
      <xdr:rowOff>114300</xdr:rowOff>
    </xdr:to>
    <xdr:graphicFrame macro="">
      <xdr:nvGraphicFramePr>
        <xdr:cNvPr id="19479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85725</xdr:colOff>
      <xdr:row>57</xdr:row>
      <xdr:rowOff>104775</xdr:rowOff>
    </xdr:from>
    <xdr:to>
      <xdr:col>35</xdr:col>
      <xdr:colOff>247650</xdr:colOff>
      <xdr:row>82</xdr:row>
      <xdr:rowOff>66675</xdr:rowOff>
    </xdr:to>
    <xdr:graphicFrame macro="">
      <xdr:nvGraphicFramePr>
        <xdr:cNvPr id="19479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342900</xdr:colOff>
      <xdr:row>7</xdr:row>
      <xdr:rowOff>76200</xdr:rowOff>
    </xdr:from>
    <xdr:to>
      <xdr:col>18</xdr:col>
      <xdr:colOff>390525</xdr:colOff>
      <xdr:row>26</xdr:row>
      <xdr:rowOff>28575</xdr:rowOff>
    </xdr:to>
    <xdr:graphicFrame macro="">
      <xdr:nvGraphicFramePr>
        <xdr:cNvPr id="19479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11</xdr:row>
      <xdr:rowOff>123825</xdr:rowOff>
    </xdr:from>
    <xdr:to>
      <xdr:col>16</xdr:col>
      <xdr:colOff>552450</xdr:colOff>
      <xdr:row>35</xdr:row>
      <xdr:rowOff>28575</xdr:rowOff>
    </xdr:to>
    <xdr:graphicFrame macro="">
      <xdr:nvGraphicFramePr>
        <xdr:cNvPr id="20998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21</xdr:row>
      <xdr:rowOff>114300</xdr:rowOff>
    </xdr:from>
    <xdr:to>
      <xdr:col>17</xdr:col>
      <xdr:colOff>123825</xdr:colOff>
      <xdr:row>45</xdr:row>
      <xdr:rowOff>19050</xdr:rowOff>
    </xdr:to>
    <xdr:graphicFrame macro="">
      <xdr:nvGraphicFramePr>
        <xdr:cNvPr id="20998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700227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70022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2</xdr:row>
      <xdr:rowOff>0</xdr:rowOff>
    </xdr:to>
    <xdr:graphicFrame macro="">
      <xdr:nvGraphicFramePr>
        <xdr:cNvPr id="700227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0</xdr:colOff>
      <xdr:row>3</xdr:row>
      <xdr:rowOff>0</xdr:rowOff>
    </xdr:to>
    <xdr:graphicFrame macro="">
      <xdr:nvGraphicFramePr>
        <xdr:cNvPr id="700228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0</xdr:col>
      <xdr:colOff>0</xdr:colOff>
      <xdr:row>4</xdr:row>
      <xdr:rowOff>0</xdr:rowOff>
    </xdr:to>
    <xdr:graphicFrame macro="">
      <xdr:nvGraphicFramePr>
        <xdr:cNvPr id="700228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0</xdr:col>
      <xdr:colOff>0</xdr:colOff>
      <xdr:row>5</xdr:row>
      <xdr:rowOff>0</xdr:rowOff>
    </xdr:to>
    <xdr:graphicFrame macro="">
      <xdr:nvGraphicFramePr>
        <xdr:cNvPr id="700228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700228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700228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2</xdr:row>
      <xdr:rowOff>0</xdr:rowOff>
    </xdr:to>
    <xdr:graphicFrame macro="">
      <xdr:nvGraphicFramePr>
        <xdr:cNvPr id="700228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0</xdr:colOff>
      <xdr:row>3</xdr:row>
      <xdr:rowOff>0</xdr:rowOff>
    </xdr:to>
    <xdr:graphicFrame macro="">
      <xdr:nvGraphicFramePr>
        <xdr:cNvPr id="700228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0</xdr:col>
      <xdr:colOff>0</xdr:colOff>
      <xdr:row>4</xdr:row>
      <xdr:rowOff>0</xdr:rowOff>
    </xdr:to>
    <xdr:graphicFrame macro="">
      <xdr:nvGraphicFramePr>
        <xdr:cNvPr id="700228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0</xdr:col>
      <xdr:colOff>0</xdr:colOff>
      <xdr:row>5</xdr:row>
      <xdr:rowOff>0</xdr:rowOff>
    </xdr:to>
    <xdr:graphicFrame macro="">
      <xdr:nvGraphicFramePr>
        <xdr:cNvPr id="700228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700228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700229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700229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700229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graphicFrame macro="">
      <xdr:nvGraphicFramePr>
        <xdr:cNvPr id="7002293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graphicFrame macro="">
      <xdr:nvGraphicFramePr>
        <xdr:cNvPr id="7002294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graphicFrame macro="">
      <xdr:nvGraphicFramePr>
        <xdr:cNvPr id="7002295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7002296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7002297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graphicFrame macro="">
      <xdr:nvGraphicFramePr>
        <xdr:cNvPr id="7002298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graphicFrame macro="">
      <xdr:nvGraphicFramePr>
        <xdr:cNvPr id="7002299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graphicFrame macro="">
      <xdr:nvGraphicFramePr>
        <xdr:cNvPr id="7002300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graphicFrame macro="">
      <xdr:nvGraphicFramePr>
        <xdr:cNvPr id="700230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70023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graphicFrame macro="">
      <xdr:nvGraphicFramePr>
        <xdr:cNvPr id="700230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graphicFrame macro="">
      <xdr:nvGraphicFramePr>
        <xdr:cNvPr id="700230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graphicFrame macro="">
      <xdr:nvGraphicFramePr>
        <xdr:cNvPr id="70023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3</xdr:col>
      <xdr:colOff>0</xdr:colOff>
      <xdr:row>2</xdr:row>
      <xdr:rowOff>0</xdr:rowOff>
    </xdr:to>
    <xdr:graphicFrame macro="">
      <xdr:nvGraphicFramePr>
        <xdr:cNvPr id="700230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700230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</xdr:col>
      <xdr:colOff>0</xdr:colOff>
      <xdr:row>3</xdr:row>
      <xdr:rowOff>0</xdr:rowOff>
    </xdr:from>
    <xdr:to>
      <xdr:col>3</xdr:col>
      <xdr:colOff>0</xdr:colOff>
      <xdr:row>4</xdr:row>
      <xdr:rowOff>0</xdr:rowOff>
    </xdr:to>
    <xdr:graphicFrame macro="">
      <xdr:nvGraphicFramePr>
        <xdr:cNvPr id="7002308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</xdr:col>
      <xdr:colOff>0</xdr:colOff>
      <xdr:row>4</xdr:row>
      <xdr:rowOff>0</xdr:rowOff>
    </xdr:from>
    <xdr:to>
      <xdr:col>3</xdr:col>
      <xdr:colOff>0</xdr:colOff>
      <xdr:row>5</xdr:row>
      <xdr:rowOff>0</xdr:rowOff>
    </xdr:to>
    <xdr:graphicFrame macro="">
      <xdr:nvGraphicFramePr>
        <xdr:cNvPr id="7002309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5</xdr:row>
      <xdr:rowOff>0</xdr:rowOff>
    </xdr:from>
    <xdr:to>
      <xdr:col>3</xdr:col>
      <xdr:colOff>0</xdr:colOff>
      <xdr:row>6</xdr:row>
      <xdr:rowOff>0</xdr:rowOff>
    </xdr:to>
    <xdr:graphicFrame macro="">
      <xdr:nvGraphicFramePr>
        <xdr:cNvPr id="7002310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</xdr:col>
      <xdr:colOff>0</xdr:colOff>
      <xdr:row>6</xdr:row>
      <xdr:rowOff>0</xdr:rowOff>
    </xdr:from>
    <xdr:to>
      <xdr:col>3</xdr:col>
      <xdr:colOff>0</xdr:colOff>
      <xdr:row>7</xdr:row>
      <xdr:rowOff>0</xdr:rowOff>
    </xdr:to>
    <xdr:graphicFrame macro="">
      <xdr:nvGraphicFramePr>
        <xdr:cNvPr id="7002311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7002312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0.49094</cdr:x>
      <cdr:y>0.48867</cdr:y>
    </cdr:from>
    <cdr:to>
      <cdr:x>0.52074</cdr:x>
      <cdr:y>0.60869</cdr:y>
    </cdr:to>
    <cdr:sp macro="" textlink="">
      <cdr:nvSpPr>
        <cdr:cNvPr id="142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8270" y="668068"/>
          <a:ext cx="65466" cy="1640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0174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27129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27129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graphicFrame macro="">
      <xdr:nvGraphicFramePr>
        <xdr:cNvPr id="27129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graphicFrame macro="">
      <xdr:nvGraphicFramePr>
        <xdr:cNvPr id="27129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graphicFrame macro="">
      <xdr:nvGraphicFramePr>
        <xdr:cNvPr id="27129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graphicFrame macro="">
      <xdr:nvGraphicFramePr>
        <xdr:cNvPr id="27129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graphicFrame macro="">
      <xdr:nvGraphicFramePr>
        <xdr:cNvPr id="27130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graphicFrame macro="">
      <xdr:nvGraphicFramePr>
        <xdr:cNvPr id="27130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graphicFrame macro="">
      <xdr:nvGraphicFramePr>
        <xdr:cNvPr id="27130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27130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27130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graphicFrame macro="">
      <xdr:nvGraphicFramePr>
        <xdr:cNvPr id="27130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graphicFrame macro="">
      <xdr:nvGraphicFramePr>
        <xdr:cNvPr id="27130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graphicFrame macro="">
      <xdr:nvGraphicFramePr>
        <xdr:cNvPr id="27130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graphicFrame macro="">
      <xdr:nvGraphicFramePr>
        <xdr:cNvPr id="27130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4</xdr:col>
      <xdr:colOff>0</xdr:colOff>
      <xdr:row>11</xdr:row>
      <xdr:rowOff>2028825</xdr:rowOff>
    </xdr:to>
    <xdr:graphicFrame macro="">
      <xdr:nvGraphicFramePr>
        <xdr:cNvPr id="271309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graphicFrame macro="">
      <xdr:nvGraphicFramePr>
        <xdr:cNvPr id="271310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graphicFrame macro="">
      <xdr:nvGraphicFramePr>
        <xdr:cNvPr id="271311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graphicFrame macro="">
      <xdr:nvGraphicFramePr>
        <xdr:cNvPr id="271312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27131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graphicFrame macro="">
      <xdr:nvGraphicFramePr>
        <xdr:cNvPr id="271314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graphicFrame macro="">
      <xdr:nvGraphicFramePr>
        <xdr:cNvPr id="271315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graphicFrame macro="">
      <xdr:nvGraphicFramePr>
        <xdr:cNvPr id="271316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graphicFrame macro="">
      <xdr:nvGraphicFramePr>
        <xdr:cNvPr id="271317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graphicFrame macro="">
      <xdr:nvGraphicFramePr>
        <xdr:cNvPr id="271318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graphicFrame macro="">
      <xdr:nvGraphicFramePr>
        <xdr:cNvPr id="27131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graphicFrame macro="">
      <xdr:nvGraphicFramePr>
        <xdr:cNvPr id="27132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graphicFrame macro="">
      <xdr:nvGraphicFramePr>
        <xdr:cNvPr id="271321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graphicFrame macro="">
      <xdr:nvGraphicFramePr>
        <xdr:cNvPr id="271322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graphicFrame macro="">
      <xdr:nvGraphicFramePr>
        <xdr:cNvPr id="31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graphicFrame macro="">
      <xdr:nvGraphicFramePr>
        <xdr:cNvPr id="33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graphicFrame macro="">
      <xdr:nvGraphicFramePr>
        <xdr:cNvPr id="34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graphicFrame macro="">
      <xdr:nvGraphicFramePr>
        <xdr:cNvPr id="35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graphicFrame macro="">
      <xdr:nvGraphicFramePr>
        <xdr:cNvPr id="36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graphicFrame macro="">
      <xdr:nvGraphicFramePr>
        <xdr:cNvPr id="3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graphicFrame macro="">
      <xdr:nvGraphicFramePr>
        <xdr:cNvPr id="38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0.49688</cdr:x>
      <cdr:y>0.48574</cdr:y>
    </cdr:from>
    <cdr:to>
      <cdr:x>0.52931</cdr:x>
      <cdr:y>0.60473</cdr:y>
    </cdr:to>
    <cdr:sp macro="" textlink="">
      <cdr:nvSpPr>
        <cdr:cNvPr id="1171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9491" y="625434"/>
          <a:ext cx="79403" cy="1496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  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53878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53878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53878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2</xdr:row>
      <xdr:rowOff>0</xdr:rowOff>
    </xdr:to>
    <xdr:graphicFrame macro="">
      <xdr:nvGraphicFramePr>
        <xdr:cNvPr id="53878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0</xdr:colOff>
      <xdr:row>3</xdr:row>
      <xdr:rowOff>0</xdr:rowOff>
    </xdr:to>
    <xdr:graphicFrame macro="">
      <xdr:nvGraphicFramePr>
        <xdr:cNvPr id="53878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0</xdr:col>
      <xdr:colOff>0</xdr:colOff>
      <xdr:row>4</xdr:row>
      <xdr:rowOff>0</xdr:rowOff>
    </xdr:to>
    <xdr:graphicFrame macro="">
      <xdr:nvGraphicFramePr>
        <xdr:cNvPr id="53878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53878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53878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53878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0</xdr:colOff>
      <xdr:row>2</xdr:row>
      <xdr:rowOff>0</xdr:rowOff>
    </xdr:to>
    <xdr:graphicFrame macro="">
      <xdr:nvGraphicFramePr>
        <xdr:cNvPr id="53878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0</xdr:colOff>
      <xdr:row>3</xdr:row>
      <xdr:rowOff>0</xdr:rowOff>
    </xdr:to>
    <xdr:graphicFrame macro="">
      <xdr:nvGraphicFramePr>
        <xdr:cNvPr id="538783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0</xdr:col>
      <xdr:colOff>0</xdr:colOff>
      <xdr:row>4</xdr:row>
      <xdr:rowOff>0</xdr:rowOff>
    </xdr:to>
    <xdr:graphicFrame macro="">
      <xdr:nvGraphicFramePr>
        <xdr:cNvPr id="53878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53878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53878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53878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538784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5387841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graphicFrame macro="">
      <xdr:nvGraphicFramePr>
        <xdr:cNvPr id="5387842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graphicFrame macro="">
      <xdr:nvGraphicFramePr>
        <xdr:cNvPr id="5387843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graphicFrame macro="">
      <xdr:nvGraphicFramePr>
        <xdr:cNvPr id="5387844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graphicFrame macro="">
      <xdr:nvGraphicFramePr>
        <xdr:cNvPr id="5387845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graphicFrame macro="">
      <xdr:nvGraphicFramePr>
        <xdr:cNvPr id="5387846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graphicFrame macro="">
      <xdr:nvGraphicFramePr>
        <xdr:cNvPr id="53878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graphicFrame macro="">
      <xdr:nvGraphicFramePr>
        <xdr:cNvPr id="5387848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538784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53878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graphicFrame macro="">
      <xdr:nvGraphicFramePr>
        <xdr:cNvPr id="538785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graphicFrame macro="">
      <xdr:nvGraphicFramePr>
        <xdr:cNvPr id="538785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graphicFrame macro="">
      <xdr:nvGraphicFramePr>
        <xdr:cNvPr id="53878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graphicFrame macro="">
      <xdr:nvGraphicFramePr>
        <xdr:cNvPr id="5387854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graphicFrame macro="">
      <xdr:nvGraphicFramePr>
        <xdr:cNvPr id="5387855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graphicFrame macro="">
      <xdr:nvGraphicFramePr>
        <xdr:cNvPr id="5387856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graphicFrame macro="">
      <xdr:nvGraphicFramePr>
        <xdr:cNvPr id="5387857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graphicFrame macro="">
      <xdr:nvGraphicFramePr>
        <xdr:cNvPr id="5387858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5387859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4</xdr:col>
      <xdr:colOff>0</xdr:colOff>
      <xdr:row>2</xdr:row>
      <xdr:rowOff>0</xdr:rowOff>
    </xdr:to>
    <xdr:graphicFrame macro="">
      <xdr:nvGraphicFramePr>
        <xdr:cNvPr id="5387860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graphicFrame macro="">
      <xdr:nvGraphicFramePr>
        <xdr:cNvPr id="5387861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graphicFrame macro="">
      <xdr:nvGraphicFramePr>
        <xdr:cNvPr id="5387862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graphicFrame macro="">
      <xdr:nvGraphicFramePr>
        <xdr:cNvPr id="5387863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graphicFrame macro="">
      <xdr:nvGraphicFramePr>
        <xdr:cNvPr id="5387864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graphicFrame macro="">
      <xdr:nvGraphicFramePr>
        <xdr:cNvPr id="5387865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graphicFrame macro="">
      <xdr:nvGraphicFramePr>
        <xdr:cNvPr id="5387866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graphicFrame macro="">
      <xdr:nvGraphicFramePr>
        <xdr:cNvPr id="5387867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graphicFrame macro="">
      <xdr:nvGraphicFramePr>
        <xdr:cNvPr id="5387868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0</xdr:colOff>
      <xdr:row>12</xdr:row>
      <xdr:rowOff>123825</xdr:rowOff>
    </xdr:from>
    <xdr:to>
      <xdr:col>4</xdr:col>
      <xdr:colOff>0</xdr:colOff>
      <xdr:row>14</xdr:row>
      <xdr:rowOff>0</xdr:rowOff>
    </xdr:to>
    <xdr:graphicFrame macro="">
      <xdr:nvGraphicFramePr>
        <xdr:cNvPr id="5387869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911679</xdr:colOff>
      <xdr:row>9</xdr:row>
      <xdr:rowOff>530677</xdr:rowOff>
    </xdr:from>
    <xdr:to>
      <xdr:col>3</xdr:col>
      <xdr:colOff>1877786</xdr:colOff>
      <xdr:row>12</xdr:row>
      <xdr:rowOff>481691</xdr:rowOff>
    </xdr:to>
    <xdr:sp macro="" textlink="">
      <xdr:nvSpPr>
        <xdr:cNvPr id="288814" name="Text Box 49"/>
        <xdr:cNvSpPr txBox="1">
          <a:spLocks noChangeArrowheads="1"/>
        </xdr:cNvSpPr>
      </xdr:nvSpPr>
      <xdr:spPr bwMode="auto">
        <a:xfrm>
          <a:off x="911679" y="11865427"/>
          <a:ext cx="7579178" cy="23186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54864" tIns="45720" rIns="54864" bIns="0" anchor="ctr" upright="1"/>
        <a:lstStyle/>
        <a:p>
          <a:pPr algn="ctr" rtl="0">
            <a:defRPr sz="1000"/>
          </a:pPr>
          <a:r>
            <a:rPr lang="en-US" sz="2800" b="1" i="0" strike="noStrike">
              <a:solidFill>
                <a:srgbClr val="000000"/>
              </a:solidFill>
              <a:latin typeface="Tahoma"/>
              <a:ea typeface="Tahoma"/>
              <a:cs typeface="Tahoma"/>
            </a:rPr>
            <a:t>A g e</a:t>
          </a:r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graphicFrame macro="">
      <xdr:nvGraphicFramePr>
        <xdr:cNvPr id="5387871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graphicFrame macro="">
      <xdr:nvGraphicFramePr>
        <xdr:cNvPr id="5387872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graphicFrame macro="">
      <xdr:nvGraphicFramePr>
        <xdr:cNvPr id="50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graphicFrame macro="">
      <xdr:nvGraphicFramePr>
        <xdr:cNvPr id="51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graphicFrame macro="">
      <xdr:nvGraphicFramePr>
        <xdr:cNvPr id="52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graphicFrame macro="">
      <xdr:nvGraphicFramePr>
        <xdr:cNvPr id="53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graphicFrame macro="">
      <xdr:nvGraphicFramePr>
        <xdr:cNvPr id="54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graphicFrame macro="">
      <xdr:nvGraphicFramePr>
        <xdr:cNvPr id="55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6</xdr:col>
      <xdr:colOff>0</xdr:colOff>
      <xdr:row>2</xdr:row>
      <xdr:rowOff>0</xdr:rowOff>
    </xdr:from>
    <xdr:to>
      <xdr:col>7</xdr:col>
      <xdr:colOff>0</xdr:colOff>
      <xdr:row>3</xdr:row>
      <xdr:rowOff>0</xdr:rowOff>
    </xdr:to>
    <xdr:graphicFrame macro="">
      <xdr:nvGraphicFramePr>
        <xdr:cNvPr id="56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graphicFrame macro="">
      <xdr:nvGraphicFramePr>
        <xdr:cNvPr id="58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graphicFrame macro="">
      <xdr:nvGraphicFramePr>
        <xdr:cNvPr id="59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60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61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7</xdr:col>
      <xdr:colOff>0</xdr:colOff>
      <xdr:row>5</xdr:row>
      <xdr:rowOff>0</xdr:rowOff>
    </xdr:to>
    <xdr:graphicFrame macro="">
      <xdr:nvGraphicFramePr>
        <xdr:cNvPr id="62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0</xdr:colOff>
      <xdr:row>5</xdr:row>
      <xdr:rowOff>0</xdr:rowOff>
    </xdr:from>
    <xdr:to>
      <xdr:col>7</xdr:col>
      <xdr:colOff>0</xdr:colOff>
      <xdr:row>6</xdr:row>
      <xdr:rowOff>0</xdr:rowOff>
    </xdr:to>
    <xdr:graphicFrame macro="">
      <xdr:nvGraphicFramePr>
        <xdr:cNvPr id="63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graphicFrame macro="">
      <xdr:nvGraphicFramePr>
        <xdr:cNvPr id="65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0.47618</cdr:x>
      <cdr:y>0.51696</cdr:y>
    </cdr:from>
    <cdr:to>
      <cdr:x>0.50593</cdr:x>
      <cdr:y>0.63743</cdr:y>
    </cdr:to>
    <cdr:sp macro="" textlink="">
      <cdr:nvSpPr>
        <cdr:cNvPr id="153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47723" y="704140"/>
          <a:ext cx="65466" cy="1640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18907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1890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graphicFrame macro="">
      <xdr:nvGraphicFramePr>
        <xdr:cNvPr id="18907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graphicFrame macro="">
      <xdr:nvGraphicFramePr>
        <xdr:cNvPr id="18908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graphicFrame macro="">
      <xdr:nvGraphicFramePr>
        <xdr:cNvPr id="18908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graphicFrame macro="">
      <xdr:nvGraphicFramePr>
        <xdr:cNvPr id="18908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graphicFrame macro="">
      <xdr:nvGraphicFramePr>
        <xdr:cNvPr id="18908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18908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18908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3</xdr:row>
      <xdr:rowOff>0</xdr:rowOff>
    </xdr:from>
    <xdr:to>
      <xdr:col>3</xdr:col>
      <xdr:colOff>0</xdr:colOff>
      <xdr:row>4</xdr:row>
      <xdr:rowOff>0</xdr:rowOff>
    </xdr:to>
    <xdr:graphicFrame macro="">
      <xdr:nvGraphicFramePr>
        <xdr:cNvPr id="18908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graphicFrame macro="">
      <xdr:nvGraphicFramePr>
        <xdr:cNvPr id="18908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graphicFrame macro="">
      <xdr:nvGraphicFramePr>
        <xdr:cNvPr id="18908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graphicFrame macro="">
      <xdr:nvGraphicFramePr>
        <xdr:cNvPr id="18908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graphicFrame macro="">
      <xdr:nvGraphicFramePr>
        <xdr:cNvPr id="18909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3</xdr:col>
      <xdr:colOff>0</xdr:colOff>
      <xdr:row>11</xdr:row>
      <xdr:rowOff>0</xdr:rowOff>
    </xdr:to>
    <xdr:graphicFrame macro="">
      <xdr:nvGraphicFramePr>
        <xdr:cNvPr id="18909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7</xdr:row>
      <xdr:rowOff>2171700</xdr:rowOff>
    </xdr:to>
    <xdr:graphicFrame macro="">
      <xdr:nvGraphicFramePr>
        <xdr:cNvPr id="18909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3</xdr:col>
      <xdr:colOff>0</xdr:colOff>
      <xdr:row>10</xdr:row>
      <xdr:rowOff>0</xdr:rowOff>
    </xdr:to>
    <xdr:graphicFrame macro="">
      <xdr:nvGraphicFramePr>
        <xdr:cNvPr id="189093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189094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graphicFrame macro="">
      <xdr:nvGraphicFramePr>
        <xdr:cNvPr id="189095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1857375</xdr:colOff>
      <xdr:row>14</xdr:row>
      <xdr:rowOff>133350</xdr:rowOff>
    </xdr:from>
    <xdr:to>
      <xdr:col>15</xdr:col>
      <xdr:colOff>1971675</xdr:colOff>
      <xdr:row>17</xdr:row>
      <xdr:rowOff>123825</xdr:rowOff>
    </xdr:to>
    <xdr:graphicFrame macro="">
      <xdr:nvGraphicFramePr>
        <xdr:cNvPr id="189096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graphicFrame macro="">
      <xdr:nvGraphicFramePr>
        <xdr:cNvPr id="2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graphicFrame macro="">
      <xdr:nvGraphicFramePr>
        <xdr:cNvPr id="23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graphicFrame macro="">
      <xdr:nvGraphicFramePr>
        <xdr:cNvPr id="24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graphicFrame macro="">
      <xdr:nvGraphicFramePr>
        <xdr:cNvPr id="25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37293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37293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37293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37293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37293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19050</xdr:colOff>
      <xdr:row>0</xdr:row>
      <xdr:rowOff>19050</xdr:rowOff>
    </xdr:from>
    <xdr:to>
      <xdr:col>2</xdr:col>
      <xdr:colOff>0</xdr:colOff>
      <xdr:row>1</xdr:row>
      <xdr:rowOff>0</xdr:rowOff>
    </xdr:to>
    <xdr:graphicFrame macro="">
      <xdr:nvGraphicFramePr>
        <xdr:cNvPr id="372940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0</xdr:colOff>
      <xdr:row>1</xdr:row>
      <xdr:rowOff>0</xdr:rowOff>
    </xdr:to>
    <xdr:graphicFrame macro="">
      <xdr:nvGraphicFramePr>
        <xdr:cNvPr id="38238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1</xdr:row>
      <xdr:rowOff>0</xdr:rowOff>
    </xdr:to>
    <xdr:graphicFrame macro="">
      <xdr:nvGraphicFramePr>
        <xdr:cNvPr id="38238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38238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382389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38239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3823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graphicFrame macro="">
      <xdr:nvGraphicFramePr>
        <xdr:cNvPr id="382394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0.2334</cdr:x>
      <cdr:y>0.01188</cdr:y>
    </cdr:from>
    <cdr:to>
      <cdr:x>0.43913</cdr:x>
      <cdr:y>0.10032</cdr:y>
    </cdr:to>
    <cdr:sp macro="" textlink="pm.rep!$A$4">
      <cdr:nvSpPr>
        <cdr:cNvPr id="91137" name="Text Box 102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487478" y="50859"/>
          <a:ext cx="1311139" cy="37863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1D97C1A-0601-4566-897A-9B20AAF6FA73}" type="TxLink">
            <a:rPr lang="en-US" sz="1400" b="0" i="0" strike="noStrike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Model_16.1</a:t>
          </a:fld>
          <a:endParaRPr lang="en-US" sz="14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3</xdr:col>
      <xdr:colOff>0</xdr:colOff>
      <xdr:row>1</xdr:row>
      <xdr:rowOff>0</xdr:rowOff>
    </xdr:to>
    <xdr:graphicFrame macro="">
      <xdr:nvGraphicFramePr>
        <xdr:cNvPr id="3968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409575</xdr:colOff>
      <xdr:row>1</xdr:row>
      <xdr:rowOff>790575</xdr:rowOff>
    </xdr:from>
    <xdr:to>
      <xdr:col>4</xdr:col>
      <xdr:colOff>409575</xdr:colOff>
      <xdr:row>2</xdr:row>
      <xdr:rowOff>790575</xdr:rowOff>
    </xdr:to>
    <xdr:graphicFrame macro="">
      <xdr:nvGraphicFramePr>
        <xdr:cNvPr id="3968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graphicFrame macro="">
      <xdr:nvGraphicFramePr>
        <xdr:cNvPr id="3968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666750</xdr:colOff>
      <xdr:row>2</xdr:row>
      <xdr:rowOff>1971675</xdr:rowOff>
    </xdr:from>
    <xdr:to>
      <xdr:col>4</xdr:col>
      <xdr:colOff>666750</xdr:colOff>
      <xdr:row>3</xdr:row>
      <xdr:rowOff>1971675</xdr:rowOff>
    </xdr:to>
    <xdr:graphicFrame macro="">
      <xdr:nvGraphicFramePr>
        <xdr:cNvPr id="39682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3968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1</xdr:row>
      <xdr:rowOff>0</xdr:rowOff>
    </xdr:to>
    <xdr:graphicFrame macro="">
      <xdr:nvGraphicFramePr>
        <xdr:cNvPr id="39682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396823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graphicFrame macro="">
      <xdr:nvGraphicFramePr>
        <xdr:cNvPr id="39682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396826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396827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graphicFrame macro="">
      <xdr:nvGraphicFramePr>
        <xdr:cNvPr id="396828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graphicFrame macro="">
      <xdr:nvGraphicFramePr>
        <xdr:cNvPr id="396829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4</xdr:col>
      <xdr:colOff>0</xdr:colOff>
      <xdr:row>1</xdr:row>
      <xdr:rowOff>0</xdr:rowOff>
    </xdr:to>
    <xdr:graphicFrame macro="">
      <xdr:nvGraphicFramePr>
        <xdr:cNvPr id="396830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39683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9525</xdr:rowOff>
    </xdr:to>
    <xdr:graphicFrame macro="">
      <xdr:nvGraphicFramePr>
        <xdr:cNvPr id="3968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0.16878</cdr:x>
      <cdr:y>0.04536</cdr:y>
    </cdr:from>
    <cdr:to>
      <cdr:x>0.74833</cdr:x>
      <cdr:y>0.14323</cdr:y>
    </cdr:to>
    <cdr:sp macro="" textlink="">
      <cdr:nvSpPr>
        <cdr:cNvPr id="7169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87095" y="157268"/>
          <a:ext cx="3389389" cy="339324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36576" tIns="36576" rIns="36576" bIns="36576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800" b="1" i="0" strike="noStrike">
              <a:solidFill>
                <a:srgbClr val="000000"/>
              </a:solidFill>
              <a:latin typeface="Arial"/>
              <a:cs typeface="Arial"/>
            </a:rPr>
            <a:t>Age 3+ Biomass (thousands t)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0.16989</cdr:x>
      <cdr:y>0.04572</cdr:y>
    </cdr:from>
    <cdr:to>
      <cdr:x>0.74944</cdr:x>
      <cdr:y>0.14358</cdr:y>
    </cdr:to>
    <cdr:sp macro="" textlink="">
      <cdr:nvSpPr>
        <cdr:cNvPr id="186369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93587" y="158499"/>
          <a:ext cx="3389389" cy="339324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36576" tIns="36576" rIns="36576" bIns="36576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800" b="1" i="0" strike="noStrike">
              <a:solidFill>
                <a:srgbClr val="000000"/>
              </a:solidFill>
              <a:latin typeface="Arial"/>
              <a:cs typeface="Arial"/>
            </a:rPr>
            <a:t>Age 3+ Biomass (thousands t)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0.29442</cdr:x>
      <cdr:y>0.08125</cdr:y>
    </cdr:from>
    <cdr:to>
      <cdr:x>0.40362</cdr:x>
      <cdr:y>0.16659</cdr:y>
    </cdr:to>
    <cdr:sp macro="" textlink="StdDev!$E$172">
      <cdr:nvSpPr>
        <cdr:cNvPr id="2344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1721871" y="281702"/>
          <a:ext cx="638640" cy="295882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7424CC3-EE99-4255-A07F-86EB9810C8D6}" type="TxLink">
            <a:rPr lang="en-US" sz="1800" b="1" i="0" strike="noStrike">
              <a:solidFill>
                <a:srgbClr val="800080"/>
              </a:solidFill>
              <a:latin typeface="Arial"/>
              <a:cs typeface="Arial"/>
            </a:rPr>
            <a:pPr algn="ctr" rtl="0">
              <a:defRPr sz="1000"/>
            </a:pPr>
            <a:t>2015</a:t>
          </a:fld>
          <a:endParaRPr lang="en-US" sz="1800" b="1" i="0" strike="noStrike">
            <a:solidFill>
              <a:srgbClr val="80008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127000</xdr:rowOff>
    </xdr:from>
    <xdr:to>
      <xdr:col>22</xdr:col>
      <xdr:colOff>609600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16</xdr:col>
      <xdr:colOff>533400</xdr:colOff>
      <xdr:row>37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3046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1057275</xdr:colOff>
      <xdr:row>69</xdr:row>
      <xdr:rowOff>123825</xdr:rowOff>
    </xdr:from>
    <xdr:to>
      <xdr:col>13</xdr:col>
      <xdr:colOff>542925</xdr:colOff>
      <xdr:row>93</xdr:row>
      <xdr:rowOff>66675</xdr:rowOff>
    </xdr:to>
    <xdr:graphicFrame macro="">
      <xdr:nvGraphicFramePr>
        <xdr:cNvPr id="439439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219075</xdr:colOff>
      <xdr:row>531</xdr:row>
      <xdr:rowOff>85725</xdr:rowOff>
    </xdr:from>
    <xdr:to>
      <xdr:col>17</xdr:col>
      <xdr:colOff>600075</xdr:colOff>
      <xdr:row>542</xdr:row>
      <xdr:rowOff>28575</xdr:rowOff>
    </xdr:to>
    <xdr:sp macro="" textlink="">
      <xdr:nvSpPr>
        <xdr:cNvPr id="411656" name="Text Box 8"/>
        <xdr:cNvSpPr txBox="1">
          <a:spLocks noChangeArrowheads="1"/>
        </xdr:cNvSpPr>
      </xdr:nvSpPr>
      <xdr:spPr bwMode="auto">
        <a:xfrm>
          <a:off x="8782050" y="125939550"/>
          <a:ext cx="3524250" cy="1724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Results from fitting grid of catches to current year ABC levels.</a:t>
          </a:r>
        </a:p>
        <a:p>
          <a:pPr algn="l" rtl="0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                   a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  x =         ------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                 (1-b)</a:t>
          </a:r>
        </a:p>
      </xdr:txBody>
    </xdr:sp>
    <xdr:clientData/>
  </xdr:twoCellAnchor>
  <xdr:twoCellAnchor>
    <xdr:from>
      <xdr:col>3</xdr:col>
      <xdr:colOff>1219200</xdr:colOff>
      <xdr:row>645</xdr:row>
      <xdr:rowOff>47625</xdr:rowOff>
    </xdr:from>
    <xdr:to>
      <xdr:col>12</xdr:col>
      <xdr:colOff>333375</xdr:colOff>
      <xdr:row>661</xdr:row>
      <xdr:rowOff>76200</xdr:rowOff>
    </xdr:to>
    <xdr:graphicFrame macro="">
      <xdr:nvGraphicFramePr>
        <xdr:cNvPr id="43944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405765</xdr:colOff>
      <xdr:row>177</xdr:row>
      <xdr:rowOff>64770</xdr:rowOff>
    </xdr:from>
    <xdr:to>
      <xdr:col>14</xdr:col>
      <xdr:colOff>942975</xdr:colOff>
      <xdr:row>195</xdr:row>
      <xdr:rowOff>64770</xdr:rowOff>
    </xdr:to>
    <xdr:graphicFrame macro="">
      <xdr:nvGraphicFramePr>
        <xdr:cNvPr id="4608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0438" cy="6723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0</xdr:colOff>
      <xdr:row>1</xdr:row>
      <xdr:rowOff>0</xdr:rowOff>
    </xdr:to>
    <xdr:graphicFrame macro="">
      <xdr:nvGraphicFramePr>
        <xdr:cNvPr id="42106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graphicFrame macro="">
      <xdr:nvGraphicFramePr>
        <xdr:cNvPr id="9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5</xdr:row>
      <xdr:rowOff>0</xdr:rowOff>
    </xdr:from>
    <xdr:to>
      <xdr:col>5</xdr:col>
      <xdr:colOff>0</xdr:colOff>
      <xdr:row>6</xdr:row>
      <xdr:rowOff>0</xdr:rowOff>
    </xdr:to>
    <xdr:graphicFrame macro="">
      <xdr:nvGraphicFramePr>
        <xdr:cNvPr id="1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graphicFrame macro="">
      <xdr:nvGraphicFramePr>
        <xdr:cNvPr id="15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graphicFrame macro="">
      <xdr:nvGraphicFramePr>
        <xdr:cNvPr id="1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graphicFrame macro="">
      <xdr:nvGraphicFramePr>
        <xdr:cNvPr id="18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graphicFrame macro="">
      <xdr:nvGraphicFramePr>
        <xdr:cNvPr id="23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graphicFrame macro="">
      <xdr:nvGraphicFramePr>
        <xdr:cNvPr id="24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graphicFrame macro="">
      <xdr:nvGraphicFramePr>
        <xdr:cNvPr id="25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graphicFrame macro="">
      <xdr:nvGraphicFramePr>
        <xdr:cNvPr id="26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graphicFrame macro="">
      <xdr:nvGraphicFramePr>
        <xdr:cNvPr id="29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graphicFrame macro="">
      <xdr:nvGraphicFramePr>
        <xdr:cNvPr id="19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graphicFrame macro="">
      <xdr:nvGraphicFramePr>
        <xdr:cNvPr id="20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graphicFrame macro="">
      <xdr:nvGraphicFramePr>
        <xdr:cNvPr id="2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graphicFrame macro="">
      <xdr:nvGraphicFramePr>
        <xdr:cNvPr id="22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graphicFrame macro="">
      <xdr:nvGraphicFramePr>
        <xdr:cNvPr id="2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graphicFrame macro="">
      <xdr:nvGraphicFramePr>
        <xdr:cNvPr id="3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194582</xdr:colOff>
      <xdr:row>32</xdr:row>
      <xdr:rowOff>88446</xdr:rowOff>
    </xdr:from>
    <xdr:to>
      <xdr:col>40</xdr:col>
      <xdr:colOff>527957</xdr:colOff>
      <xdr:row>45</xdr:row>
      <xdr:rowOff>50358</xdr:rowOff>
    </xdr:to>
    <xdr:sp macro="" textlink="">
      <xdr:nvSpPr>
        <xdr:cNvPr id="67733" name="Text Box 149"/>
        <xdr:cNvSpPr txBox="1">
          <a:spLocks noChangeArrowheads="1"/>
        </xdr:cNvSpPr>
      </xdr:nvSpPr>
      <xdr:spPr bwMode="auto">
        <a:xfrm>
          <a:off x="24007082" y="3844017"/>
          <a:ext cx="2945946" cy="220709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R = s exp(a - bS)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ln(r/s) = a - bS</a:t>
          </a:r>
        </a:p>
        <a:p>
          <a:pPr algn="l" rtl="0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6</xdr:col>
      <xdr:colOff>619125</xdr:colOff>
      <xdr:row>228</xdr:row>
      <xdr:rowOff>152400</xdr:rowOff>
    </xdr:from>
    <xdr:to>
      <xdr:col>18</xdr:col>
      <xdr:colOff>533400</xdr:colOff>
      <xdr:row>254</xdr:row>
      <xdr:rowOff>142875</xdr:rowOff>
    </xdr:to>
    <xdr:graphicFrame macro="">
      <xdr:nvGraphicFramePr>
        <xdr:cNvPr id="444550" name="Chart 6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185</xdr:row>
      <xdr:rowOff>104775</xdr:rowOff>
    </xdr:from>
    <xdr:to>
      <xdr:col>41</xdr:col>
      <xdr:colOff>0</xdr:colOff>
      <xdr:row>202</xdr:row>
      <xdr:rowOff>85725</xdr:rowOff>
    </xdr:to>
    <xdr:graphicFrame macro="">
      <xdr:nvGraphicFramePr>
        <xdr:cNvPr id="4445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38100</xdr:colOff>
      <xdr:row>141</xdr:row>
      <xdr:rowOff>9525</xdr:rowOff>
    </xdr:from>
    <xdr:to>
      <xdr:col>29</xdr:col>
      <xdr:colOff>38100</xdr:colOff>
      <xdr:row>166</xdr:row>
      <xdr:rowOff>152400</xdr:rowOff>
    </xdr:to>
    <xdr:graphicFrame macro="">
      <xdr:nvGraphicFramePr>
        <xdr:cNvPr id="44455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34925</xdr:colOff>
      <xdr:row>12</xdr:row>
      <xdr:rowOff>144462</xdr:rowOff>
    </xdr:from>
    <xdr:to>
      <xdr:col>8</xdr:col>
      <xdr:colOff>441325</xdr:colOff>
      <xdr:row>29</xdr:row>
      <xdr:rowOff>134937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257175</xdr:colOff>
      <xdr:row>120</xdr:row>
      <xdr:rowOff>101600</xdr:rowOff>
    </xdr:from>
    <xdr:to>
      <xdr:col>19</xdr:col>
      <xdr:colOff>117475</xdr:colOff>
      <xdr:row>137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778</xdr:row>
      <xdr:rowOff>47625</xdr:rowOff>
    </xdr:from>
    <xdr:to>
      <xdr:col>19</xdr:col>
      <xdr:colOff>428625</xdr:colOff>
      <xdr:row>818</xdr:row>
      <xdr:rowOff>123825</xdr:rowOff>
    </xdr:to>
    <xdr:graphicFrame macro="">
      <xdr:nvGraphicFramePr>
        <xdr:cNvPr id="4302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95250</xdr:colOff>
      <xdr:row>355</xdr:row>
      <xdr:rowOff>28575</xdr:rowOff>
    </xdr:from>
    <xdr:to>
      <xdr:col>22</xdr:col>
      <xdr:colOff>400050</xdr:colOff>
      <xdr:row>371</xdr:row>
      <xdr:rowOff>95250</xdr:rowOff>
    </xdr:to>
    <xdr:graphicFrame macro="">
      <xdr:nvGraphicFramePr>
        <xdr:cNvPr id="430281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381000</xdr:colOff>
      <xdr:row>778</xdr:row>
      <xdr:rowOff>47625</xdr:rowOff>
    </xdr:from>
    <xdr:to>
      <xdr:col>19</xdr:col>
      <xdr:colOff>428625</xdr:colOff>
      <xdr:row>818</xdr:row>
      <xdr:rowOff>123825</xdr:rowOff>
    </xdr:to>
    <xdr:graphicFrame macro="">
      <xdr:nvGraphicFramePr>
        <xdr:cNvPr id="4302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95250</xdr:colOff>
      <xdr:row>355</xdr:row>
      <xdr:rowOff>28575</xdr:rowOff>
    </xdr:from>
    <xdr:to>
      <xdr:col>22</xdr:col>
      <xdr:colOff>400050</xdr:colOff>
      <xdr:row>371</xdr:row>
      <xdr:rowOff>95250</xdr:rowOff>
    </xdr:to>
    <xdr:graphicFrame macro="">
      <xdr:nvGraphicFramePr>
        <xdr:cNvPr id="430284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169</xdr:row>
      <xdr:rowOff>95250</xdr:rowOff>
    </xdr:from>
    <xdr:to>
      <xdr:col>13</xdr:col>
      <xdr:colOff>388620</xdr:colOff>
      <xdr:row>185</xdr:row>
      <xdr:rowOff>156210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8591176" cy="582705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0.56837</cdr:x>
      <cdr:y>0.03106</cdr:y>
    </cdr:from>
    <cdr:to>
      <cdr:x>0.69787</cdr:x>
      <cdr:y>0.12981</cdr:y>
    </cdr:to>
    <cdr:sp macro="" textlink="StdDev!$E$172">
      <cdr:nvSpPr>
        <cdr:cNvPr id="2580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4882963" y="181450"/>
          <a:ext cx="1112557" cy="5768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64008" tIns="50292" rIns="64008" bIns="5029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8B36AAC-78AB-49F1-8DD5-46D8074D3BE9}" type="TxLink">
            <a:rPr lang="en-US" sz="2800" b="1" i="0" strike="noStrike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2015</a:t>
          </a:fld>
          <a:endParaRPr lang="en-US" sz="2800" b="1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8591176" cy="582705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68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200025</xdr:colOff>
      <xdr:row>0</xdr:row>
      <xdr:rowOff>157162</xdr:rowOff>
    </xdr:from>
    <xdr:to>
      <xdr:col>29</xdr:col>
      <xdr:colOff>504825</xdr:colOff>
      <xdr:row>17</xdr:row>
      <xdr:rowOff>147637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77</xdr:row>
      <xdr:rowOff>147637</xdr:rowOff>
    </xdr:from>
    <xdr:to>
      <xdr:col>11</xdr:col>
      <xdr:colOff>552450</xdr:colOff>
      <xdr:row>94</xdr:row>
      <xdr:rowOff>138112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12</xdr:row>
      <xdr:rowOff>9525</xdr:rowOff>
    </xdr:from>
    <xdr:to>
      <xdr:col>13</xdr:col>
      <xdr:colOff>190500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438149</xdr:colOff>
      <xdr:row>6</xdr:row>
      <xdr:rowOff>133350</xdr:rowOff>
    </xdr:from>
    <xdr:to>
      <xdr:col>23</xdr:col>
      <xdr:colOff>238124</xdr:colOff>
      <xdr:row>32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0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37</xdr:row>
      <xdr:rowOff>109537</xdr:rowOff>
    </xdr:from>
    <xdr:to>
      <xdr:col>17</xdr:col>
      <xdr:colOff>390525</xdr:colOff>
      <xdr:row>54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459792</xdr:colOff>
      <xdr:row>42</xdr:row>
      <xdr:rowOff>69488</xdr:rowOff>
    </xdr:from>
    <xdr:to>
      <xdr:col>40</xdr:col>
      <xdr:colOff>174042</xdr:colOff>
      <xdr:row>75</xdr:row>
      <xdr:rowOff>93980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1409700</xdr:colOff>
      <xdr:row>19</xdr:row>
      <xdr:rowOff>114299</xdr:rowOff>
    </xdr:from>
    <xdr:to>
      <xdr:col>32</xdr:col>
      <xdr:colOff>314325</xdr:colOff>
      <xdr:row>41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81643</xdr:colOff>
      <xdr:row>152</xdr:row>
      <xdr:rowOff>50346</xdr:rowOff>
    </xdr:from>
    <xdr:to>
      <xdr:col>20</xdr:col>
      <xdr:colOff>1034143</xdr:colOff>
      <xdr:row>169</xdr:row>
      <xdr:rowOff>17689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0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0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0.646</cdr:x>
      <cdr:y>0.03325</cdr:y>
    </cdr:from>
    <cdr:to>
      <cdr:x>0.896</cdr:x>
      <cdr:y>0.09275</cdr:y>
    </cdr:to>
    <cdr:sp macro="" textlink="pm.rep!$A$4">
      <cdr:nvSpPr>
        <cdr:cNvPr id="235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5737084" y="192681"/>
          <a:ext cx="2010339" cy="3430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54864" tIns="41148" rIns="54864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AD8114E-0763-413E-83A6-12D2829BC64D}" type="TxLink">
            <a:rPr lang="en-US" sz="2400" b="0" i="0" strike="noStrike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Model_16.1</a:t>
          </a:fld>
          <a:endParaRPr lang="en-US" sz="24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21</xdr:row>
      <xdr:rowOff>123825</xdr:rowOff>
    </xdr:from>
    <xdr:to>
      <xdr:col>13</xdr:col>
      <xdr:colOff>171450</xdr:colOff>
      <xdr:row>34</xdr:row>
      <xdr:rowOff>114300</xdr:rowOff>
    </xdr:to>
    <xdr:sp macro="" textlink="">
      <xdr:nvSpPr>
        <xdr:cNvPr id="184321" name="Text Box 1"/>
        <xdr:cNvSpPr txBox="1">
          <a:spLocks noChangeArrowheads="1"/>
        </xdr:cNvSpPr>
      </xdr:nvSpPr>
      <xdr:spPr bwMode="auto">
        <a:xfrm>
          <a:off x="3562350" y="3524250"/>
          <a:ext cx="4533900" cy="2095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"/>
              <a:cs typeface="Arial"/>
            </a:rPr>
            <a:t>Goal of this sheet is to present relative proportions observed by both surveys.  On bottom component (I.e., BTS survey) relative to pelagic...</a:t>
          </a:r>
        </a:p>
      </xdr:txBody>
    </xdr:sp>
    <xdr:clientData/>
  </xdr:twoCellAnchor>
  <xdr:twoCellAnchor>
    <xdr:from>
      <xdr:col>8</xdr:col>
      <xdr:colOff>285750</xdr:colOff>
      <xdr:row>7</xdr:row>
      <xdr:rowOff>133350</xdr:rowOff>
    </xdr:from>
    <xdr:to>
      <xdr:col>15</xdr:col>
      <xdr:colOff>257175</xdr:colOff>
      <xdr:row>20</xdr:row>
      <xdr:rowOff>76200</xdr:rowOff>
    </xdr:to>
    <xdr:graphicFrame macro="">
      <xdr:nvGraphicFramePr>
        <xdr:cNvPr id="18453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381000</xdr:colOff>
      <xdr:row>21</xdr:row>
      <xdr:rowOff>152400</xdr:rowOff>
    </xdr:from>
    <xdr:to>
      <xdr:col>13</xdr:col>
      <xdr:colOff>361950</xdr:colOff>
      <xdr:row>34</xdr:row>
      <xdr:rowOff>104775</xdr:rowOff>
    </xdr:to>
    <xdr:graphicFrame macro="">
      <xdr:nvGraphicFramePr>
        <xdr:cNvPr id="184540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295275</xdr:colOff>
      <xdr:row>210</xdr:row>
      <xdr:rowOff>66675</xdr:rowOff>
    </xdr:from>
    <xdr:to>
      <xdr:col>34</xdr:col>
      <xdr:colOff>85725</xdr:colOff>
      <xdr:row>269</xdr:row>
      <xdr:rowOff>76200</xdr:rowOff>
    </xdr:to>
    <xdr:graphicFrame macro="">
      <xdr:nvGraphicFramePr>
        <xdr:cNvPr id="184541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495300</xdr:colOff>
      <xdr:row>433</xdr:row>
      <xdr:rowOff>85725</xdr:rowOff>
    </xdr:from>
    <xdr:to>
      <xdr:col>26</xdr:col>
      <xdr:colOff>38100</xdr:colOff>
      <xdr:row>456</xdr:row>
      <xdr:rowOff>152400</xdr:rowOff>
    </xdr:to>
    <xdr:graphicFrame macro="">
      <xdr:nvGraphicFramePr>
        <xdr:cNvPr id="184542" name="Chart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142875</xdr:colOff>
      <xdr:row>1</xdr:row>
      <xdr:rowOff>152400</xdr:rowOff>
    </xdr:from>
    <xdr:to>
      <xdr:col>57</xdr:col>
      <xdr:colOff>342900</xdr:colOff>
      <xdr:row>36</xdr:row>
      <xdr:rowOff>85725</xdr:rowOff>
    </xdr:to>
    <xdr:graphicFrame macro="">
      <xdr:nvGraphicFramePr>
        <xdr:cNvPr id="18454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3</xdr:row>
      <xdr:rowOff>114300</xdr:rowOff>
    </xdr:from>
    <xdr:to>
      <xdr:col>18</xdr:col>
      <xdr:colOff>304800</xdr:colOff>
      <xdr:row>33</xdr:row>
      <xdr:rowOff>47625</xdr:rowOff>
    </xdr:to>
    <xdr:graphicFrame macro="">
      <xdr:nvGraphicFramePr>
        <xdr:cNvPr id="46902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jianelli/AppData/Roaming/Microsoft/Excel/ReportRes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home/_mymods/ebswp/2005/prg/ReportRes20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home/_mymods/ebswp/2006/prg/extra%20fig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47bb14cbf469152/ebswp/prg/pm_data_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CProjections"/>
      <sheetName val="Sheet1"/>
      <sheetName val="ParmCount"/>
      <sheetName val="Residuals"/>
      <sheetName val="Selectivity Comparison"/>
      <sheetName val="Hydro-acoustic srvy"/>
      <sheetName val="TimeSeries Comparison"/>
      <sheetName val="ProjectFigs (2)"/>
      <sheetName val="Chart2"/>
      <sheetName val="FishSelEarly"/>
      <sheetName val="Fishery Early"/>
      <sheetName val="Past BiomEst"/>
      <sheetName val="Retrospect"/>
      <sheetName val="BTrwl Srvy"/>
      <sheetName val="Fishery(shrt)"/>
      <sheetName val="FshSel (shrt)"/>
      <sheetName val="EIT AgeCompFit 2+"/>
      <sheetName val="Survey Figs"/>
      <sheetName val="ProjectFigs"/>
      <sheetName val="Figures"/>
      <sheetName val="pm.rep"/>
      <sheetName val="Tables"/>
      <sheetName val="Chart5"/>
      <sheetName val="YC Fig"/>
      <sheetName val="3+Biomass"/>
      <sheetName val="StdDev"/>
      <sheetName val="Stock Rec (2)"/>
      <sheetName val="Stock Rec"/>
      <sheetName val="SPR Yields"/>
      <sheetName val="Chart4"/>
      <sheetName val="Summary"/>
      <sheetName val="Chart1"/>
      <sheetName val="Sheet2"/>
      <sheetName val="Age Comps"/>
      <sheetName val="BTS Biom Fit"/>
      <sheetName val="EIT Biom"/>
      <sheetName val="Survey Components"/>
      <sheetName val="Effect of New EIT"/>
      <sheetName val="Module1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mCount 2005"/>
      <sheetName val="ParmCount"/>
      <sheetName val="LarvRec"/>
      <sheetName val="Selectivity Comparison"/>
      <sheetName val="TimeSeries Comparison"/>
      <sheetName val="Retrospect"/>
      <sheetName val="Past BiomEst"/>
      <sheetName val="BTrwl Srvy"/>
      <sheetName val="Hydro-acoustic srvy"/>
      <sheetName val="Fishery Early"/>
      <sheetName val="Fishery(shrt)"/>
      <sheetName val="FishSelEarly"/>
      <sheetName val="FshSel (shrt)"/>
      <sheetName val="Survey Figs"/>
      <sheetName val="ProjectFigs"/>
      <sheetName val="Residuals"/>
      <sheetName val="SPR Data"/>
      <sheetName val="Figures"/>
      <sheetName val="pm.rep"/>
      <sheetName val="Tables"/>
      <sheetName val="Chart3"/>
      <sheetName val="For Document"/>
      <sheetName val="Fmsy PDF"/>
      <sheetName val="Chart1"/>
      <sheetName val="YC Fig"/>
      <sheetName val="StdDev"/>
      <sheetName val="Summary"/>
      <sheetName val="SPR Yields"/>
      <sheetName val="Stock Rec (2)"/>
      <sheetName val="Stock Rec"/>
      <sheetName val="FutSpawners"/>
      <sheetName val="Fut_Stock SizePDF"/>
      <sheetName val="Chart6"/>
      <sheetName val="Chart7"/>
      <sheetName val="Age Comps"/>
      <sheetName val="Chart11"/>
      <sheetName val="Chart4"/>
      <sheetName val="Chart2"/>
      <sheetName val="Survey Components"/>
      <sheetName val="Effect of New EIT"/>
      <sheetName val="Module1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hart11"/>
      <sheetName val="Chart2"/>
    </sheetNames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's 2014 Data"/>
      <sheetName val="PM2014.dat"/>
      <sheetName val="Chart1"/>
      <sheetName val="Chart4"/>
      <sheetName val="PM2015_stan_fshSSB.dat"/>
      <sheetName val="PM2015_stan.dat"/>
      <sheetName val="PM2015.dat"/>
      <sheetName val="New AVO"/>
      <sheetName val="WtAgeAnal"/>
      <sheetName val="Chart5"/>
      <sheetName val="Chart6"/>
      <sheetName val="Sheet2"/>
      <sheetName val="Chart7"/>
      <sheetName val="Chart10"/>
      <sheetName val="AgeData"/>
      <sheetName val="Model layout"/>
      <sheetName val="BTS Table"/>
      <sheetName val="Chart11"/>
      <sheetName val="Chart14"/>
      <sheetName val="Sheet1"/>
      <sheetName val="A-season wts"/>
      <sheetName val="ToDo"/>
      <sheetName val="Sheet3"/>
    </sheetNames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m Ianelli" refreshedDate="41583.627244097224" createdVersion="5" refreshedVersion="5" minRefreshableVersion="3" recordCount="841">
  <cacheSource type="worksheet">
    <worksheetSource ref="B1:F842" sheet="ParmCount"/>
  </cacheSource>
  <cacheFields count="5">
    <cacheField name="index" numFmtId="0">
      <sharedItems containsSemiMixedTypes="0" containsString="0" containsNumber="1" containsInteger="1" minValue="1" maxValue="841"/>
    </cacheField>
    <cacheField name="name" numFmtId="0">
      <sharedItems/>
    </cacheField>
    <cacheField name="value" numFmtId="0">
      <sharedItems containsSemiMixedTypes="0" containsString="0" containsNumber="1" minValue="-9.5355000000000008" maxValue="9.8309999999999995"/>
    </cacheField>
    <cacheField name="std.dev" numFmtId="0">
      <sharedItems containsSemiMixedTypes="0" containsString="0" containsNumber="1" minValue="3.9982999999999998E-2" maxValue="2.2650999999999999"/>
    </cacheField>
    <cacheField name="Type" numFmtId="0">
      <sharedItems count="6">
        <s v="Rec"/>
        <s v="F"/>
        <s v="Scale"/>
        <s v="Output"/>
        <s v="SelFsh"/>
        <s v="SelI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1">
  <r>
    <n v="1"/>
    <s v="log_avgrec"/>
    <n v="9.8309999999999995"/>
    <n v="9.9592E-2"/>
    <x v="0"/>
  </r>
  <r>
    <n v="2"/>
    <s v="log_avginit"/>
    <n v="4.5500999999999996"/>
    <n v="0.68127000000000004"/>
    <x v="0"/>
  </r>
  <r>
    <n v="3"/>
    <s v="log_avg_F"/>
    <n v="-1.4608000000000001"/>
    <n v="8.4127999999999994E-2"/>
    <x v="1"/>
  </r>
  <r>
    <n v="4"/>
    <s v="log_q_bts"/>
    <n v="0.38695000000000002"/>
    <n v="8.0845E-2"/>
    <x v="2"/>
  </r>
  <r>
    <n v="5"/>
    <s v="log_q_std_area"/>
    <n v="-0.25473000000000001"/>
    <n v="0.16308"/>
    <x v="2"/>
  </r>
  <r>
    <n v="6"/>
    <s v="log_q_eit"/>
    <n v="-1.0317000000000001"/>
    <n v="9.1829999999999995E-2"/>
    <x v="2"/>
  </r>
  <r>
    <n v="7"/>
    <s v="log_Rzero"/>
    <n v="9.7347000000000001"/>
    <n v="0.10609"/>
    <x v="0"/>
  </r>
  <r>
    <n v="8"/>
    <s v="steepness"/>
    <n v="0.67776999999999998"/>
    <n v="6.2207999999999999E-2"/>
    <x v="0"/>
  </r>
  <r>
    <n v="9"/>
    <s v="log_q_cpue"/>
    <n v="5.5861000000000001E-2"/>
    <n v="0.19017999999999999"/>
    <x v="2"/>
  </r>
  <r>
    <n v="10"/>
    <s v="log_q_avo"/>
    <n v="-9.5355000000000008"/>
    <n v="0.13177"/>
    <x v="2"/>
  </r>
  <r>
    <n v="11"/>
    <s v="log_initdevs"/>
    <n v="3.6311"/>
    <n v="0.72772999999999999"/>
    <x v="0"/>
  </r>
  <r>
    <n v="12"/>
    <s v="log_initdevs"/>
    <n v="3.1701999999999999"/>
    <n v="0.71987000000000001"/>
    <x v="0"/>
  </r>
  <r>
    <n v="13"/>
    <s v="log_initdevs"/>
    <n v="1.5960000000000001"/>
    <n v="0.86007"/>
    <x v="0"/>
  </r>
  <r>
    <n v="14"/>
    <s v="log_initdevs"/>
    <n v="0.79779999999999995"/>
    <n v="0.96994999999999998"/>
    <x v="0"/>
  </r>
  <r>
    <n v="15"/>
    <s v="log_initdevs"/>
    <n v="1.2555000000000001"/>
    <n v="0.84360000000000002"/>
    <x v="0"/>
  </r>
  <r>
    <n v="16"/>
    <s v="log_initdevs"/>
    <n v="0.34758"/>
    <n v="1.1002000000000001"/>
    <x v="0"/>
  </r>
  <r>
    <n v="17"/>
    <s v="log_initdevs"/>
    <n v="-0.65500999999999998"/>
    <n v="1.2785"/>
    <x v="0"/>
  </r>
  <r>
    <n v="18"/>
    <s v="log_initdevs"/>
    <n v="-1.4455"/>
    <n v="1.2285999999999999"/>
    <x v="0"/>
  </r>
  <r>
    <n v="19"/>
    <s v="log_initdevs"/>
    <n v="-1.4202999999999999"/>
    <n v="1.2339"/>
    <x v="0"/>
  </r>
  <r>
    <n v="20"/>
    <s v="log_initdevs"/>
    <n v="-1.4225000000000001"/>
    <n v="1.2343999999999999"/>
    <x v="0"/>
  </r>
  <r>
    <n v="21"/>
    <s v="log_initdevs"/>
    <n v="-1.4291"/>
    <n v="1.2358"/>
    <x v="0"/>
  </r>
  <r>
    <n v="22"/>
    <s v="log_initdevs"/>
    <n v="-1.4489000000000001"/>
    <n v="1.2403999999999999"/>
    <x v="0"/>
  </r>
  <r>
    <n v="23"/>
    <s v="log_initdevs"/>
    <n v="-1.4881"/>
    <n v="1.2505999999999999"/>
    <x v="0"/>
  </r>
  <r>
    <n v="24"/>
    <s v="log_initdevs"/>
    <n v="-1.4886999999999999"/>
    <n v="1.2506999999999999"/>
    <x v="0"/>
  </r>
  <r>
    <n v="25"/>
    <s v="log_rec_devs"/>
    <n v="-1.2713000000000001"/>
    <n v="0.34619"/>
    <x v="0"/>
  </r>
  <r>
    <n v="26"/>
    <s v="log_rec_devs"/>
    <n v="9.0091000000000004E-2"/>
    <n v="0.22861999999999999"/>
    <x v="0"/>
  </r>
  <r>
    <n v="27"/>
    <s v="log_rec_devs"/>
    <n v="-0.26374999999999998"/>
    <n v="0.32730999999999999"/>
    <x v="0"/>
  </r>
  <r>
    <n v="28"/>
    <s v="log_rec_devs"/>
    <n v="0.43153000000000002"/>
    <n v="0.25672"/>
    <x v="0"/>
  </r>
  <r>
    <n v="29"/>
    <s v="log_rec_devs"/>
    <n v="0.35794999999999999"/>
    <n v="0.26680999999999999"/>
    <x v="0"/>
  </r>
  <r>
    <n v="30"/>
    <s v="log_rec_devs"/>
    <n v="0.45084999999999997"/>
    <n v="0.25380000000000003"/>
    <x v="0"/>
  </r>
  <r>
    <n v="31"/>
    <s v="log_rec_devs"/>
    <n v="7.5657000000000002E-2"/>
    <n v="0.28910999999999998"/>
    <x v="0"/>
  </r>
  <r>
    <n v="32"/>
    <s v="log_rec_devs"/>
    <n v="-0.65615000000000001"/>
    <n v="0.34811999999999999"/>
    <x v="0"/>
  </r>
  <r>
    <n v="33"/>
    <s v="log_rec_devs"/>
    <n v="-0.55708000000000002"/>
    <n v="0.31856000000000001"/>
    <x v="0"/>
  </r>
  <r>
    <n v="34"/>
    <s v="log_rec_devs"/>
    <n v="0.44119999999999998"/>
    <n v="0.18856000000000001"/>
    <x v="0"/>
  </r>
  <r>
    <n v="35"/>
    <s v="log_rec_devs"/>
    <n v="0.13813"/>
    <n v="0.1961"/>
    <x v="0"/>
  </r>
  <r>
    <n v="36"/>
    <s v="log_rec_devs"/>
    <n v="-2.7646E-2"/>
    <n v="0.18129999999999999"/>
    <x v="0"/>
  </r>
  <r>
    <n v="37"/>
    <s v="log_rec_devs"/>
    <n v="-0.28850999999999999"/>
    <n v="0.18040999999999999"/>
    <x v="0"/>
  </r>
  <r>
    <n v="38"/>
    <s v="log_rec_devs"/>
    <n v="-0.29005999999999998"/>
    <n v="0.16136"/>
    <x v="0"/>
  </r>
  <r>
    <n v="39"/>
    <s v="log_rec_devs"/>
    <n v="0.36371999999999999"/>
    <n v="0.13116"/>
    <x v="0"/>
  </r>
  <r>
    <n v="40"/>
    <s v="log_rec_devs"/>
    <n v="1.2670999999999999"/>
    <n v="0.11796"/>
    <x v="0"/>
  </r>
  <r>
    <n v="41"/>
    <s v="log_rec_devs"/>
    <n v="0.34000999999999998"/>
    <n v="0.12470000000000001"/>
    <x v="0"/>
  </r>
  <r>
    <n v="42"/>
    <s v="log_rec_devs"/>
    <n v="0.46450000000000002"/>
    <n v="0.12489"/>
    <x v="0"/>
  </r>
  <r>
    <n v="43"/>
    <s v="log_rec_devs"/>
    <n v="-0.17621999999999999"/>
    <n v="0.14457999999999999"/>
    <x v="0"/>
  </r>
  <r>
    <n v="44"/>
    <s v="log_rec_devs"/>
    <n v="1.0333000000000001"/>
    <n v="0.11219"/>
    <x v="0"/>
  </r>
  <r>
    <n v="45"/>
    <s v="log_rec_devs"/>
    <n v="-0.35521000000000003"/>
    <n v="0.14606"/>
    <x v="0"/>
  </r>
  <r>
    <n v="46"/>
    <s v="log_rec_devs"/>
    <n v="0.63627999999999996"/>
    <n v="0.11441999999999999"/>
    <x v="0"/>
  </r>
  <r>
    <n v="47"/>
    <s v="log_rec_devs"/>
    <n v="-0.25045000000000001"/>
    <n v="0.12992999999999999"/>
    <x v="0"/>
  </r>
  <r>
    <n v="48"/>
    <s v="log_rec_devs"/>
    <n v="-0.78049000000000002"/>
    <n v="0.14618999999999999"/>
    <x v="0"/>
  </r>
  <r>
    <n v="49"/>
    <s v="log_rec_devs"/>
    <n v="-1.208"/>
    <n v="0.15952"/>
    <x v="0"/>
  </r>
  <r>
    <n v="50"/>
    <s v="log_rec_devs"/>
    <n v="-0.58428999999999998"/>
    <n v="0.14024"/>
    <x v="0"/>
  </r>
  <r>
    <n v="51"/>
    <s v="log_rec_devs"/>
    <n v="0.98934999999999995"/>
    <n v="0.10514"/>
    <x v="0"/>
  </r>
  <r>
    <n v="52"/>
    <s v="log_rec_devs"/>
    <n v="0.31551000000000001"/>
    <n v="0.11269"/>
    <x v="0"/>
  </r>
  <r>
    <n v="53"/>
    <s v="log_rec_devs"/>
    <n v="0.16769999999999999"/>
    <n v="0.11684"/>
    <x v="0"/>
  </r>
  <r>
    <n v="54"/>
    <s v="log_rec_devs"/>
    <n v="0.94088000000000005"/>
    <n v="0.10648000000000001"/>
    <x v="0"/>
  </r>
  <r>
    <n v="55"/>
    <s v="log_rec_devs"/>
    <n v="-0.2306"/>
    <n v="0.12212000000000001"/>
    <x v="0"/>
  </r>
  <r>
    <n v="56"/>
    <s v="log_rec_devs"/>
    <n v="-0.54273000000000005"/>
    <n v="0.12529999999999999"/>
    <x v="0"/>
  </r>
  <r>
    <n v="57"/>
    <s v="log_rec_devs"/>
    <n v="0.21945000000000001"/>
    <n v="0.10961"/>
    <x v="0"/>
  </r>
  <r>
    <n v="58"/>
    <s v="log_rec_devs"/>
    <n v="0.52424000000000004"/>
    <n v="0.10643"/>
    <x v="0"/>
  </r>
  <r>
    <n v="59"/>
    <s v="log_rec_devs"/>
    <n v="-0.16844999999999999"/>
    <n v="0.1144"/>
    <x v="0"/>
  </r>
  <r>
    <n v="60"/>
    <s v="log_rec_devs"/>
    <n v="-7.8586000000000003E-2"/>
    <n v="0.11284"/>
    <x v="0"/>
  </r>
  <r>
    <n v="61"/>
    <s v="log_rec_devs"/>
    <n v="0.34971000000000002"/>
    <n v="0.10749"/>
    <x v="0"/>
  </r>
  <r>
    <n v="62"/>
    <s v="log_rec_devs"/>
    <n v="0.65493999999999997"/>
    <n v="0.10432"/>
    <x v="0"/>
  </r>
  <r>
    <n v="63"/>
    <s v="log_rec_devs"/>
    <n v="0.21765000000000001"/>
    <n v="0.10718"/>
    <x v="0"/>
  </r>
  <r>
    <n v="64"/>
    <s v="log_rec_devs"/>
    <n v="-0.29236000000000001"/>
    <n v="0.11124000000000001"/>
    <x v="0"/>
  </r>
  <r>
    <n v="65"/>
    <s v="log_rec_devs"/>
    <n v="-1.0960000000000001"/>
    <n v="0.12536"/>
    <x v="0"/>
  </r>
  <r>
    <n v="66"/>
    <s v="log_rec_devs"/>
    <n v="-1.4814000000000001"/>
    <n v="0.13733999999999999"/>
    <x v="0"/>
  </r>
  <r>
    <n v="67"/>
    <s v="log_rec_devs"/>
    <n v="-0.56013000000000002"/>
    <n v="0.11853"/>
    <x v="0"/>
  </r>
  <r>
    <n v="68"/>
    <s v="log_rec_devs"/>
    <n v="0.29258000000000001"/>
    <n v="0.11638999999999999"/>
    <x v="0"/>
  </r>
  <r>
    <n v="69"/>
    <s v="log_rec_devs"/>
    <n v="-0.73736000000000002"/>
    <n v="0.16191"/>
    <x v="0"/>
  </r>
  <r>
    <n v="70"/>
    <s v="log_rec_devs"/>
    <n v="0.92686999999999997"/>
    <n v="0.15057999999999999"/>
    <x v="0"/>
  </r>
  <r>
    <n v="71"/>
    <s v="log_rec_devs"/>
    <n v="0.10278"/>
    <n v="0.20587"/>
    <x v="0"/>
  </r>
  <r>
    <n v="72"/>
    <s v="log_rec_devs"/>
    <n v="4.8044999999999997E-2"/>
    <n v="0.15737000000000001"/>
    <x v="0"/>
  </r>
  <r>
    <n v="73"/>
    <s v="log_rec_devs"/>
    <n v="-3.6699000000000002E-2"/>
    <n v="0.18611"/>
    <x v="0"/>
  </r>
  <r>
    <n v="74"/>
    <s v="log_rec_devs"/>
    <n v="-2.6611999999999999E-3"/>
    <n v="0.19456000000000001"/>
    <x v="0"/>
  </r>
  <r>
    <n v="75"/>
    <s v="repl_F"/>
    <n v="0.26596999999999998"/>
    <n v="0.14752000000000001"/>
    <x v="3"/>
  </r>
  <r>
    <n v="76"/>
    <s v="log_F_devs"/>
    <n v="-0.41215000000000002"/>
    <n v="0.29687000000000002"/>
    <x v="1"/>
  </r>
  <r>
    <n v="77"/>
    <s v="log_F_devs"/>
    <n v="-0.57620000000000005"/>
    <n v="0.21676999999999999"/>
    <x v="1"/>
  </r>
  <r>
    <n v="78"/>
    <s v="log_F_devs"/>
    <n v="-0.67756000000000005"/>
    <n v="0.20585000000000001"/>
    <x v="1"/>
  </r>
  <r>
    <n v="79"/>
    <s v="log_F_devs"/>
    <n v="-0.16108"/>
    <n v="0.20235"/>
    <x v="1"/>
  </r>
  <r>
    <n v="80"/>
    <s v="log_F_devs"/>
    <n v="-0.16428999999999999"/>
    <n v="0.19464000000000001"/>
    <x v="1"/>
  </r>
  <r>
    <n v="81"/>
    <s v="log_F_devs"/>
    <n v="-0.21063999999999999"/>
    <n v="0.21429000000000001"/>
    <x v="1"/>
  </r>
  <r>
    <n v="82"/>
    <s v="log_F_devs"/>
    <n v="0.22331999999999999"/>
    <n v="0.21535000000000001"/>
    <x v="1"/>
  </r>
  <r>
    <n v="83"/>
    <s v="log_F_devs"/>
    <n v="0.61417999999999995"/>
    <n v="0.21601999999999999"/>
    <x v="1"/>
  </r>
  <r>
    <n v="84"/>
    <s v="log_F_devs"/>
    <n v="0.67374999999999996"/>
    <n v="0.21465999999999999"/>
    <x v="1"/>
  </r>
  <r>
    <n v="85"/>
    <s v="log_F_devs"/>
    <n v="0.82240999999999997"/>
    <n v="0.21456"/>
    <x v="1"/>
  </r>
  <r>
    <n v="86"/>
    <s v="log_F_devs"/>
    <n v="0.80896999999999997"/>
    <n v="0.21489"/>
    <x v="1"/>
  </r>
  <r>
    <n v="87"/>
    <s v="log_F_devs"/>
    <n v="0.66088000000000002"/>
    <n v="0.20729"/>
    <x v="1"/>
  </r>
  <r>
    <n v="88"/>
    <s v="log_F_devs"/>
    <n v="0.51534999999999997"/>
    <n v="0.19647000000000001"/>
    <x v="1"/>
  </r>
  <r>
    <n v="89"/>
    <s v="log_F_devs"/>
    <n v="0.31528"/>
    <n v="0.23630999999999999"/>
    <x v="1"/>
  </r>
  <r>
    <n v="90"/>
    <s v="log_F_devs"/>
    <n v="0.34538999999999997"/>
    <n v="0.26113999999999998"/>
    <x v="1"/>
  </r>
  <r>
    <n v="91"/>
    <s v="log_F_devs"/>
    <n v="0.379"/>
    <n v="0.25979999999999998"/>
    <x v="1"/>
  </r>
  <r>
    <n v="92"/>
    <s v="log_F_devs"/>
    <n v="0.33348"/>
    <n v="0.22622999999999999"/>
    <x v="1"/>
  </r>
  <r>
    <n v="93"/>
    <s v="log_F_devs"/>
    <n v="0.10585"/>
    <n v="0.31685000000000002"/>
    <x v="1"/>
  </r>
  <r>
    <n v="94"/>
    <s v="log_F_devs"/>
    <n v="-0.17324999999999999"/>
    <n v="0.36395"/>
    <x v="1"/>
  </r>
  <r>
    <n v="95"/>
    <s v="log_F_devs"/>
    <n v="-0.18028"/>
    <n v="0.37685999999999997"/>
    <x v="1"/>
  </r>
  <r>
    <n v="96"/>
    <s v="log_F_devs"/>
    <n v="-0.15315000000000001"/>
    <n v="0.37111"/>
    <x v="1"/>
  </r>
  <r>
    <n v="97"/>
    <s v="log_F_devs"/>
    <n v="-0.11779000000000001"/>
    <n v="0.37864999999999999"/>
    <x v="1"/>
  </r>
  <r>
    <n v="98"/>
    <s v="log_F_devs"/>
    <n v="-0.25634000000000001"/>
    <n v="0.33511999999999997"/>
    <x v="1"/>
  </r>
  <r>
    <n v="99"/>
    <s v="log_F_devs"/>
    <n v="-0.56572"/>
    <n v="0.30297000000000002"/>
    <x v="1"/>
  </r>
  <r>
    <n v="100"/>
    <s v="log_F_devs"/>
    <n v="-0.49913999999999997"/>
    <n v="0.14940999999999999"/>
    <x v="1"/>
  </r>
  <r>
    <n v="101"/>
    <s v="log_F_devs"/>
    <n v="-0.45101000000000002"/>
    <n v="0.13672000000000001"/>
    <x v="1"/>
  </r>
  <r>
    <n v="102"/>
    <s v="log_F_devs"/>
    <n v="-0.13694999999999999"/>
    <n v="0.12426"/>
    <x v="1"/>
  </r>
  <r>
    <n v="103"/>
    <s v="log_F_devs"/>
    <n v="4.4980999999999997E-3"/>
    <n v="0.11575000000000001"/>
    <x v="1"/>
  </r>
  <r>
    <n v="104"/>
    <s v="log_F_devs"/>
    <n v="0.33906999999999998"/>
    <n v="0.12148"/>
    <x v="1"/>
  </r>
  <r>
    <n v="105"/>
    <s v="log_F_devs"/>
    <n v="-0.17774000000000001"/>
    <n v="0.13577"/>
    <x v="1"/>
  </r>
  <r>
    <n v="106"/>
    <s v="log_F_devs"/>
    <n v="-0.36098000000000002"/>
    <n v="0.15093999999999999"/>
    <x v="1"/>
  </r>
  <r>
    <n v="107"/>
    <s v="log_F_devs"/>
    <n v="-0.28448000000000001"/>
    <n v="0.15015000000000001"/>
    <x v="1"/>
  </r>
  <r>
    <n v="108"/>
    <s v="log_F_devs"/>
    <n v="-3.7540999999999998E-2"/>
    <n v="0.15239"/>
    <x v="1"/>
  </r>
  <r>
    <n v="109"/>
    <s v="log_F_devs"/>
    <n v="-4.2493999999999997E-2"/>
    <n v="0.18468999999999999"/>
    <x v="1"/>
  </r>
  <r>
    <n v="110"/>
    <s v="log_F_devs"/>
    <n v="-0.14207"/>
    <n v="0.16320000000000001"/>
    <x v="1"/>
  </r>
  <r>
    <n v="111"/>
    <s v="log_F_devs"/>
    <n v="-0.51061999999999996"/>
    <n v="0.12778999999999999"/>
    <x v="1"/>
  </r>
  <r>
    <n v="112"/>
    <s v="log_F_devs"/>
    <n v="-0.36813000000000001"/>
    <n v="0.12003999999999999"/>
    <x v="1"/>
  </r>
  <r>
    <n v="113"/>
    <s v="log_F_devs"/>
    <n v="-0.21154000000000001"/>
    <n v="0.11917999999999999"/>
    <x v="1"/>
  </r>
  <r>
    <n v="114"/>
    <s v="log_F_devs"/>
    <n v="-6.9929000000000005E-2"/>
    <n v="0.1089"/>
    <x v="1"/>
  </r>
  <r>
    <n v="115"/>
    <s v="log_F_devs"/>
    <n v="-6.547E-2"/>
    <n v="0.11432"/>
    <x v="1"/>
  </r>
  <r>
    <n v="116"/>
    <s v="log_F_devs"/>
    <n v="-0.12703999999999999"/>
    <n v="0.12672"/>
    <x v="1"/>
  </r>
  <r>
    <n v="117"/>
    <s v="log_F_devs"/>
    <n v="-0.22877"/>
    <n v="0.12200999999999999"/>
    <x v="1"/>
  </r>
  <r>
    <n v="118"/>
    <s v="log_F_devs"/>
    <n v="-7.5066000000000004E-3"/>
    <n v="0.1197"/>
    <x v="1"/>
  </r>
  <r>
    <n v="119"/>
    <s v="log_F_devs"/>
    <n v="5.3349000000000001E-2"/>
    <n v="0.11423"/>
    <x v="1"/>
  </r>
  <r>
    <n v="120"/>
    <s v="log_F_devs"/>
    <n v="0.13643"/>
    <n v="0.11230999999999999"/>
    <x v="1"/>
  </r>
  <r>
    <n v="121"/>
    <s v="log_F_devs"/>
    <n v="0.13628999999999999"/>
    <n v="0.12945999999999999"/>
    <x v="1"/>
  </r>
  <r>
    <n v="122"/>
    <s v="log_F_devs"/>
    <n v="-4.5517000000000002E-2"/>
    <n v="0.13099"/>
    <x v="1"/>
  </r>
  <r>
    <n v="123"/>
    <s v="log_F_devs"/>
    <n v="0.33079999999999998"/>
    <n v="0.14759"/>
    <x v="1"/>
  </r>
  <r>
    <n v="124"/>
    <s v="log_F_devs"/>
    <n v="0.36348000000000003"/>
    <n v="0.19114999999999999"/>
    <x v="1"/>
  </r>
  <r>
    <n v="125"/>
    <s v="log_F_devs"/>
    <n v="0.25362000000000001"/>
    <n v="0.35996"/>
    <x v="1"/>
  </r>
  <r>
    <n v="126"/>
    <s v="sel_devs_fsh"/>
    <n v="-6.9688E-2"/>
    <n v="0.70650000000000002"/>
    <x v="4"/>
  </r>
  <r>
    <n v="127"/>
    <s v="sel_devs_fsh"/>
    <n v="2.5496E-3"/>
    <n v="0.61173"/>
    <x v="4"/>
  </r>
  <r>
    <n v="128"/>
    <s v="sel_devs_fsh"/>
    <n v="0.31546000000000002"/>
    <n v="0.57116"/>
    <x v="4"/>
  </r>
  <r>
    <n v="129"/>
    <s v="sel_devs_fsh"/>
    <n v="0.10759000000000001"/>
    <n v="0.58538000000000001"/>
    <x v="4"/>
  </r>
  <r>
    <n v="130"/>
    <s v="sel_devs_fsh"/>
    <n v="1.2552E-4"/>
    <n v="0.38168999999999997"/>
    <x v="4"/>
  </r>
  <r>
    <n v="131"/>
    <s v="sel_devs_fsh"/>
    <n v="-6.1238000000000001E-2"/>
    <n v="0.34700999999999999"/>
    <x v="4"/>
  </r>
  <r>
    <n v="132"/>
    <s v="sel_devs_fsh"/>
    <n v="-7.7684000000000003E-2"/>
    <n v="0.33417000000000002"/>
    <x v="4"/>
  </r>
  <r>
    <n v="133"/>
    <s v="sel_devs_fsh"/>
    <n v="-7.5503000000000001E-2"/>
    <n v="0.33449000000000001"/>
    <x v="4"/>
  </r>
  <r>
    <n v="134"/>
    <s v="sel_devs_fsh"/>
    <n v="-7.1363999999999997E-2"/>
    <n v="0.34723999999999999"/>
    <x v="4"/>
  </r>
  <r>
    <n v="135"/>
    <s v="sel_devs_fsh"/>
    <n v="-7.0244000000000001E-2"/>
    <n v="0.38191999999999998"/>
    <x v="4"/>
  </r>
  <r>
    <n v="136"/>
    <s v="sel_devs_fsh"/>
    <n v="1.3799000000000001E-2"/>
    <n v="0.66685000000000005"/>
    <x v="4"/>
  </r>
  <r>
    <n v="137"/>
    <s v="sel_devs_fsh"/>
    <n v="0.25390000000000001"/>
    <n v="0.58548999999999995"/>
    <x v="4"/>
  </r>
  <r>
    <n v="138"/>
    <s v="sel_devs_fsh"/>
    <n v="0.1477"/>
    <n v="0.55052000000000001"/>
    <x v="4"/>
  </r>
  <r>
    <n v="139"/>
    <s v="sel_devs_fsh"/>
    <n v="-7.6273999999999995E-2"/>
    <n v="0.36013000000000001"/>
    <x v="4"/>
  </r>
  <r>
    <n v="140"/>
    <s v="sel_devs_fsh"/>
    <n v="-6.0738E-2"/>
    <n v="0.33069999999999999"/>
    <x v="4"/>
  </r>
  <r>
    <n v="141"/>
    <s v="sel_devs_fsh"/>
    <n v="-6.5758999999999998E-2"/>
    <n v="0.32285999999999998"/>
    <x v="4"/>
  </r>
  <r>
    <n v="142"/>
    <s v="sel_devs_fsh"/>
    <n v="-6.1474000000000001E-2"/>
    <n v="0.32006000000000001"/>
    <x v="4"/>
  </r>
  <r>
    <n v="143"/>
    <s v="sel_devs_fsh"/>
    <n v="-5.9456000000000002E-2"/>
    <n v="0.32173000000000002"/>
    <x v="4"/>
  </r>
  <r>
    <n v="144"/>
    <s v="sel_devs_fsh"/>
    <n v="-5.1135E-2"/>
    <n v="0.33169999999999999"/>
    <x v="4"/>
  </r>
  <r>
    <n v="145"/>
    <s v="sel_devs_fsh"/>
    <n v="-4.0565999999999998E-2"/>
    <n v="0.36003000000000002"/>
    <x v="4"/>
  </r>
  <r>
    <n v="146"/>
    <s v="sel_devs_fsh"/>
    <n v="-2.3040000000000001E-2"/>
    <n v="0.66681000000000001"/>
    <x v="4"/>
  </r>
  <r>
    <n v="147"/>
    <s v="sel_devs_fsh"/>
    <n v="0.15804000000000001"/>
    <n v="0.57864000000000004"/>
    <x v="4"/>
  </r>
  <r>
    <n v="148"/>
    <s v="sel_devs_fsh"/>
    <n v="0.51946000000000003"/>
    <n v="0.52171000000000001"/>
    <x v="4"/>
  </r>
  <r>
    <n v="149"/>
    <s v="sel_devs_fsh"/>
    <n v="-0.20677999999999999"/>
    <n v="0.36587999999999998"/>
    <x v="4"/>
  </r>
  <r>
    <n v="150"/>
    <s v="sel_devs_fsh"/>
    <n v="-0.1691"/>
    <n v="0.33055000000000001"/>
    <x v="4"/>
  </r>
  <r>
    <n v="151"/>
    <s v="sel_devs_fsh"/>
    <n v="-0.13028999999999999"/>
    <n v="0.32007999999999998"/>
    <x v="4"/>
  </r>
  <r>
    <n v="152"/>
    <s v="sel_devs_fsh"/>
    <n v="-8.4644999999999998E-2"/>
    <n v="0.31911"/>
    <x v="4"/>
  </r>
  <r>
    <n v="153"/>
    <s v="sel_devs_fsh"/>
    <n v="-4.7482999999999997E-2"/>
    <n v="0.31981999999999999"/>
    <x v="4"/>
  </r>
  <r>
    <n v="154"/>
    <s v="sel_devs_fsh"/>
    <n v="-2.1189E-2"/>
    <n v="0.32795000000000002"/>
    <x v="4"/>
  </r>
  <r>
    <n v="155"/>
    <s v="sel_devs_fsh"/>
    <n v="5.0268999999999999E-3"/>
    <n v="0.35466999999999999"/>
    <x v="4"/>
  </r>
  <r>
    <n v="156"/>
    <s v="sel_devs_fsh"/>
    <n v="7.5008000000000005E-2"/>
    <n v="0.68174999999999997"/>
    <x v="4"/>
  </r>
  <r>
    <n v="157"/>
    <s v="sel_devs_fsh"/>
    <n v="0.1084"/>
    <n v="0.57701999999999998"/>
    <x v="4"/>
  </r>
  <r>
    <n v="158"/>
    <s v="sel_devs_fsh"/>
    <n v="-0.24143999999999999"/>
    <n v="0.50446000000000002"/>
    <x v="4"/>
  </r>
  <r>
    <n v="159"/>
    <s v="sel_devs_fsh"/>
    <n v="0.10014000000000001"/>
    <n v="0.36498000000000003"/>
    <x v="4"/>
  </r>
  <r>
    <n v="160"/>
    <s v="sel_devs_fsh"/>
    <n v="4.4435000000000002E-2"/>
    <n v="0.33361000000000002"/>
    <x v="4"/>
  </r>
  <r>
    <n v="161"/>
    <s v="sel_devs_fsh"/>
    <n v="1.4682000000000001E-2"/>
    <n v="0.32028000000000001"/>
    <x v="4"/>
  </r>
  <r>
    <n v="162"/>
    <s v="sel_devs_fsh"/>
    <n v="-8.6148000000000006E-3"/>
    <n v="0.31911"/>
    <x v="4"/>
  </r>
  <r>
    <n v="163"/>
    <s v="sel_devs_fsh"/>
    <n v="-2.2772000000000001E-2"/>
    <n v="0.31983"/>
    <x v="4"/>
  </r>
  <r>
    <n v="164"/>
    <s v="sel_devs_fsh"/>
    <n v="-2.8649999999999998E-2"/>
    <n v="0.32668000000000003"/>
    <x v="4"/>
  </r>
  <r>
    <n v="165"/>
    <s v="sel_devs_fsh"/>
    <n v="-4.1188000000000002E-2"/>
    <n v="0.35225000000000001"/>
    <x v="4"/>
  </r>
  <r>
    <n v="166"/>
    <s v="sel_devs_fsh"/>
    <n v="3.1688000000000001E-2"/>
    <n v="0.68194999999999995"/>
    <x v="4"/>
  </r>
  <r>
    <n v="167"/>
    <s v="sel_devs_fsh"/>
    <n v="6.2593999999999997E-2"/>
    <n v="0.55774999999999997"/>
    <x v="4"/>
  </r>
  <r>
    <n v="168"/>
    <s v="sel_devs_fsh"/>
    <n v="0.37669999999999998"/>
    <n v="0.50104000000000004"/>
    <x v="4"/>
  </r>
  <r>
    <n v="169"/>
    <s v="sel_devs_fsh"/>
    <n v="-0.13025"/>
    <n v="0.36204999999999998"/>
    <x v="4"/>
  </r>
  <r>
    <n v="170"/>
    <s v="sel_devs_fsh"/>
    <n v="-0.11816"/>
    <n v="0.33056000000000002"/>
    <x v="4"/>
  </r>
  <r>
    <n v="171"/>
    <s v="sel_devs_fsh"/>
    <n v="-0.10460999999999999"/>
    <n v="0.32113999999999998"/>
    <x v="4"/>
  </r>
  <r>
    <n v="172"/>
    <s v="sel_devs_fsh"/>
    <n v="-7.8809000000000004E-2"/>
    <n v="0.32618000000000003"/>
    <x v="4"/>
  </r>
  <r>
    <n v="173"/>
    <s v="sel_devs_fsh"/>
    <n v="-5.4991999999999999E-2"/>
    <n v="0.34172000000000002"/>
    <x v="4"/>
  </r>
  <r>
    <n v="174"/>
    <s v="sel_devs_fsh"/>
    <n v="-3.5706000000000002E-2"/>
    <n v="0.37647999999999998"/>
    <x v="4"/>
  </r>
  <r>
    <n v="175"/>
    <s v="sel_devs_fsh"/>
    <n v="5.1539000000000001E-2"/>
    <n v="0.46155000000000002"/>
    <x v="4"/>
  </r>
  <r>
    <n v="176"/>
    <s v="sel_devs_fsh"/>
    <n v="2.2110000000000001E-2"/>
    <n v="0.69069000000000003"/>
    <x v="4"/>
  </r>
  <r>
    <n v="177"/>
    <s v="sel_devs_fsh"/>
    <n v="0.40043000000000001"/>
    <n v="0.56167"/>
    <x v="4"/>
  </r>
  <r>
    <n v="178"/>
    <s v="sel_devs_fsh"/>
    <n v="3.1205E-2"/>
    <n v="0.45121"/>
    <x v="4"/>
  </r>
  <r>
    <n v="179"/>
    <s v="sel_devs_fsh"/>
    <n v="-0.25646999999999998"/>
    <n v="0.37079000000000001"/>
    <x v="4"/>
  </r>
  <r>
    <n v="180"/>
    <s v="sel_devs_fsh"/>
    <n v="-0.2316"/>
    <n v="0.34628999999999999"/>
    <x v="4"/>
  </r>
  <r>
    <n v="181"/>
    <s v="sel_devs_fsh"/>
    <n v="-0.21259"/>
    <n v="0.36347000000000002"/>
    <x v="4"/>
  </r>
  <r>
    <n v="182"/>
    <s v="sel_devs_fsh"/>
    <n v="-4.5227000000000003E-2"/>
    <n v="0.39001999999999998"/>
    <x v="4"/>
  </r>
  <r>
    <n v="183"/>
    <s v="sel_devs_fsh"/>
    <n v="-3.9660000000000001E-2"/>
    <n v="0.37967000000000001"/>
    <x v="4"/>
  </r>
  <r>
    <n v="184"/>
    <s v="sel_devs_fsh"/>
    <n v="-3.5969000000000001E-2"/>
    <n v="0.41225000000000001"/>
    <x v="4"/>
  </r>
  <r>
    <n v="185"/>
    <s v="sel_devs_fsh"/>
    <n v="0.36778"/>
    <n v="0.46671000000000001"/>
    <x v="4"/>
  </r>
  <r>
    <n v="186"/>
    <s v="sel_devs_fsh"/>
    <n v="-4.4246000000000001E-2"/>
    <n v="0.6835"/>
    <x v="4"/>
  </r>
  <r>
    <n v="187"/>
    <s v="sel_devs_fsh"/>
    <n v="-0.17745"/>
    <n v="0.56542000000000003"/>
    <x v="4"/>
  </r>
  <r>
    <n v="188"/>
    <s v="sel_devs_fsh"/>
    <n v="-0.14288999999999999"/>
    <n v="0.45517999999999997"/>
    <x v="4"/>
  </r>
  <r>
    <n v="189"/>
    <s v="sel_devs_fsh"/>
    <n v="1.0194999999999999E-2"/>
    <n v="0.45408999999999999"/>
    <x v="4"/>
  </r>
  <r>
    <n v="190"/>
    <s v="sel_devs_fsh"/>
    <n v="0.13350000000000001"/>
    <n v="0.38002999999999998"/>
    <x v="4"/>
  </r>
  <r>
    <n v="191"/>
    <s v="sel_devs_fsh"/>
    <n v="0.12959000000000001"/>
    <n v="0.38163000000000002"/>
    <x v="4"/>
  </r>
  <r>
    <n v="192"/>
    <s v="sel_devs_fsh"/>
    <n v="-3.7208999999999999E-2"/>
    <n v="0.45910000000000001"/>
    <x v="4"/>
  </r>
  <r>
    <n v="193"/>
    <s v="sel_devs_fsh"/>
    <n v="-2.6571000000000001E-2"/>
    <n v="0.56103000000000003"/>
    <x v="4"/>
  </r>
  <r>
    <n v="194"/>
    <s v="sel_devs_fsh"/>
    <n v="-1.6216999999999999E-2"/>
    <n v="0.63078000000000001"/>
    <x v="4"/>
  </r>
  <r>
    <n v="195"/>
    <s v="sel_devs_fsh"/>
    <n v="0.17129"/>
    <n v="0.42988999999999999"/>
    <x v="4"/>
  </r>
  <r>
    <n v="196"/>
    <s v="sel_devs_fsh"/>
    <n v="-8.0655000000000004E-2"/>
    <n v="0.68632000000000004"/>
    <x v="4"/>
  </r>
  <r>
    <n v="197"/>
    <s v="sel_devs_fsh"/>
    <n v="0.38306000000000001"/>
    <n v="0.59347000000000005"/>
    <x v="4"/>
  </r>
  <r>
    <n v="198"/>
    <s v="sel_devs_fsh"/>
    <n v="0.13718"/>
    <n v="0.50143000000000004"/>
    <x v="4"/>
  </r>
  <r>
    <n v="199"/>
    <s v="sel_devs_fsh"/>
    <n v="4.0797E-2"/>
    <n v="0.46655000000000002"/>
    <x v="4"/>
  </r>
  <r>
    <n v="200"/>
    <s v="sel_devs_fsh"/>
    <n v="-7.7221999999999999E-2"/>
    <n v="0.37397000000000002"/>
    <x v="4"/>
  </r>
  <r>
    <n v="201"/>
    <s v="sel_devs_fsh"/>
    <n v="-6.0479999999999999E-2"/>
    <n v="0.35476000000000002"/>
    <x v="4"/>
  </r>
  <r>
    <n v="202"/>
    <s v="sel_devs_fsh"/>
    <n v="-5.2698000000000002E-2"/>
    <n v="0.37833"/>
    <x v="4"/>
  </r>
  <r>
    <n v="203"/>
    <s v="sel_devs_fsh"/>
    <n v="-6.5388000000000002E-2"/>
    <n v="0.56310000000000004"/>
    <x v="4"/>
  </r>
  <r>
    <n v="204"/>
    <s v="sel_devs_fsh"/>
    <n v="-1.0763E-2"/>
    <n v="0.64320999999999995"/>
    <x v="4"/>
  </r>
  <r>
    <n v="205"/>
    <s v="sel_devs_fsh"/>
    <n v="-0.21382000000000001"/>
    <n v="0.43025000000000002"/>
    <x v="4"/>
  </r>
  <r>
    <n v="206"/>
    <s v="sel_devs_fsh"/>
    <n v="-0.10604"/>
    <n v="0.69045999999999996"/>
    <x v="4"/>
  </r>
  <r>
    <n v="207"/>
    <s v="sel_devs_fsh"/>
    <n v="1.528E-2"/>
    <n v="0.59933000000000003"/>
    <x v="4"/>
  </r>
  <r>
    <n v="208"/>
    <s v="sel_devs_fsh"/>
    <n v="-7.2588E-2"/>
    <n v="0.52358000000000005"/>
    <x v="4"/>
  </r>
  <r>
    <n v="209"/>
    <s v="sel_devs_fsh"/>
    <n v="5.6764000000000002E-2"/>
    <n v="0.36387000000000003"/>
    <x v="4"/>
  </r>
  <r>
    <n v="210"/>
    <s v="sel_devs_fsh"/>
    <n v="6.7115999999999995E-2"/>
    <n v="0.33062000000000002"/>
    <x v="4"/>
  </r>
  <r>
    <n v="211"/>
    <s v="sel_devs_fsh"/>
    <n v="7.5524999999999995E-2"/>
    <n v="0.32795999999999997"/>
    <x v="4"/>
  </r>
  <r>
    <n v="212"/>
    <s v="sel_devs_fsh"/>
    <n v="6.7218E-2"/>
    <n v="0.34500999999999998"/>
    <x v="4"/>
  </r>
  <r>
    <n v="213"/>
    <s v="sel_devs_fsh"/>
    <n v="6.6464999999999996E-2"/>
    <n v="0.39007999999999998"/>
    <x v="4"/>
  </r>
  <r>
    <n v="214"/>
    <s v="sel_devs_fsh"/>
    <n v="7.9699000000000002E-3"/>
    <n v="0.64644999999999997"/>
    <x v="4"/>
  </r>
  <r>
    <n v="215"/>
    <s v="sel_devs_fsh"/>
    <n v="-0.17771999999999999"/>
    <n v="0.43740000000000001"/>
    <x v="4"/>
  </r>
  <r>
    <n v="216"/>
    <s v="sel_devs_fsh"/>
    <n v="-6.4396999999999996E-2"/>
    <n v="0.67256000000000005"/>
    <x v="4"/>
  </r>
  <r>
    <n v="217"/>
    <s v="sel_devs_fsh"/>
    <n v="0.24385000000000001"/>
    <n v="0.5323"/>
    <x v="4"/>
  </r>
  <r>
    <n v="218"/>
    <s v="sel_devs_fsh"/>
    <n v="0.15859999999999999"/>
    <n v="0.48008000000000001"/>
    <x v="4"/>
  </r>
  <r>
    <n v="219"/>
    <s v="sel_devs_fsh"/>
    <n v="-1.5689999999999999E-2"/>
    <n v="0.35574"/>
    <x v="4"/>
  </r>
  <r>
    <n v="220"/>
    <s v="sel_devs_fsh"/>
    <n v="-2.3435000000000001E-2"/>
    <n v="0.33089000000000002"/>
    <x v="4"/>
  </r>
  <r>
    <n v="221"/>
    <s v="sel_devs_fsh"/>
    <n v="-2.9437000000000001E-2"/>
    <n v="0.33595000000000003"/>
    <x v="4"/>
  </r>
  <r>
    <n v="222"/>
    <s v="sel_devs_fsh"/>
    <n v="-2.3394000000000002E-2"/>
    <n v="0.37026999999999999"/>
    <x v="4"/>
  </r>
  <r>
    <n v="223"/>
    <s v="sel_devs_fsh"/>
    <n v="-8.2874000000000003E-3"/>
    <n v="0.53713"/>
    <x v="4"/>
  </r>
  <r>
    <n v="224"/>
    <s v="sel_devs_fsh"/>
    <n v="-7.4168999999999997E-3"/>
    <n v="0.64598999999999995"/>
    <x v="4"/>
  </r>
  <r>
    <n v="225"/>
    <s v="sel_devs_fsh"/>
    <n v="-0.23039000000000001"/>
    <n v="0.45926"/>
    <x v="4"/>
  </r>
  <r>
    <n v="226"/>
    <s v="sel_devs_fsh"/>
    <n v="-9.1488E-2"/>
    <n v="0.67259000000000002"/>
    <x v="4"/>
  </r>
  <r>
    <n v="227"/>
    <s v="sel_devs_fsh"/>
    <n v="-0.52744000000000002"/>
    <n v="0.49864999999999998"/>
    <x v="4"/>
  </r>
  <r>
    <n v="228"/>
    <s v="sel_devs_fsh"/>
    <n v="0.16131999999999999"/>
    <n v="0.35926999999999998"/>
    <x v="4"/>
  </r>
  <r>
    <n v="229"/>
    <s v="sel_devs_fsh"/>
    <n v="9.8773E-2"/>
    <n v="0.32958999999999999"/>
    <x v="4"/>
  </r>
  <r>
    <n v="230"/>
    <s v="sel_devs_fsh"/>
    <n v="6.6941000000000001E-2"/>
    <n v="0.32382"/>
    <x v="4"/>
  </r>
  <r>
    <n v="231"/>
    <s v="sel_devs_fsh"/>
    <n v="5.756E-2"/>
    <n v="0.33378999999999998"/>
    <x v="4"/>
  </r>
  <r>
    <n v="232"/>
    <s v="sel_devs_fsh"/>
    <n v="4.9078999999999998E-2"/>
    <n v="0.36765999999999999"/>
    <x v="4"/>
  </r>
  <r>
    <n v="233"/>
    <s v="sel_devs_fsh"/>
    <n v="3.4605999999999998E-2"/>
    <n v="0.53847999999999996"/>
    <x v="4"/>
  </r>
  <r>
    <n v="234"/>
    <s v="sel_devs_fsh"/>
    <n v="2.8611999999999999E-2"/>
    <n v="0.64049"/>
    <x v="4"/>
  </r>
  <r>
    <n v="235"/>
    <s v="sel_devs_fsh"/>
    <n v="0.12204"/>
    <n v="0.47361999999999999"/>
    <x v="4"/>
  </r>
  <r>
    <n v="236"/>
    <s v="sel_devs_fsh"/>
    <n v="-8.6798E-2"/>
    <n v="0.66937999999999998"/>
    <x v="4"/>
  </r>
  <r>
    <n v="237"/>
    <s v="sel_devs_fsh"/>
    <n v="-3.2849999999999997E-2"/>
    <n v="0.51924000000000003"/>
    <x v="4"/>
  </r>
  <r>
    <n v="238"/>
    <s v="sel_devs_fsh"/>
    <n v="-0.20437"/>
    <n v="0.4042"/>
    <x v="4"/>
  </r>
  <r>
    <n v="239"/>
    <s v="sel_devs_fsh"/>
    <n v="8.2344000000000001E-2"/>
    <n v="0.34678999999999999"/>
    <x v="4"/>
  </r>
  <r>
    <n v="240"/>
    <s v="sel_devs_fsh"/>
    <n v="7.5122999999999995E-2"/>
    <n v="0.32946999999999999"/>
    <x v="4"/>
  </r>
  <r>
    <n v="241"/>
    <s v="sel_devs_fsh"/>
    <n v="6.6368999999999997E-2"/>
    <n v="0.32916000000000001"/>
    <x v="4"/>
  </r>
  <r>
    <n v="242"/>
    <s v="sel_devs_fsh"/>
    <n v="5.7475999999999999E-2"/>
    <n v="0.34287000000000001"/>
    <x v="4"/>
  </r>
  <r>
    <n v="243"/>
    <s v="sel_devs_fsh"/>
    <n v="5.0074E-2"/>
    <n v="0.38125999999999999"/>
    <x v="4"/>
  </r>
  <r>
    <n v="244"/>
    <s v="sel_devs_fsh"/>
    <n v="4.5161E-2"/>
    <n v="0.62948000000000004"/>
    <x v="4"/>
  </r>
  <r>
    <n v="245"/>
    <s v="sel_devs_fsh"/>
    <n v="-5.2532000000000002E-2"/>
    <n v="0.47838999999999998"/>
    <x v="4"/>
  </r>
  <r>
    <n v="246"/>
    <s v="sel_devs_fsh"/>
    <n v="-3.4243000000000003E-2"/>
    <n v="0.66208"/>
    <x v="4"/>
  </r>
  <r>
    <n v="247"/>
    <s v="sel_devs_fsh"/>
    <n v="0.32377"/>
    <n v="0.54459000000000002"/>
    <x v="4"/>
  </r>
  <r>
    <n v="248"/>
    <s v="sel_devs_fsh"/>
    <n v="-0.12912000000000001"/>
    <n v="0.47376000000000001"/>
    <x v="4"/>
  </r>
  <r>
    <n v="249"/>
    <s v="sel_devs_fsh"/>
    <n v="-0.11695999999999999"/>
    <n v="0.45185999999999998"/>
    <x v="4"/>
  </r>
  <r>
    <n v="250"/>
    <s v="sel_devs_fsh"/>
    <n v="-1.2463999999999999E-2"/>
    <n v="0.35919000000000001"/>
    <x v="4"/>
  </r>
  <r>
    <n v="251"/>
    <s v="sel_devs_fsh"/>
    <n v="-2.1465E-3"/>
    <n v="0.33471000000000001"/>
    <x v="4"/>
  </r>
  <r>
    <n v="252"/>
    <s v="sel_devs_fsh"/>
    <n v="4.6876000000000001E-3"/>
    <n v="0.33082"/>
    <x v="4"/>
  </r>
  <r>
    <n v="253"/>
    <s v="sel_devs_fsh"/>
    <n v="6.4819999999999999E-3"/>
    <n v="0.34377000000000002"/>
    <x v="4"/>
  </r>
  <r>
    <n v="254"/>
    <s v="sel_devs_fsh"/>
    <n v="4.6455999999999997E-3"/>
    <n v="0.38303999999999999"/>
    <x v="4"/>
  </r>
  <r>
    <n v="255"/>
    <s v="sel_devs_fsh"/>
    <n v="-4.4657000000000002E-2"/>
    <n v="0.52183999999999997"/>
    <x v="4"/>
  </r>
  <r>
    <n v="256"/>
    <s v="sel_devs_fsh"/>
    <n v="-6.2105E-2"/>
    <n v="0.66452"/>
    <x v="4"/>
  </r>
  <r>
    <n v="257"/>
    <s v="sel_devs_fsh"/>
    <n v="-0.10375"/>
    <n v="0.52788000000000002"/>
    <x v="4"/>
  </r>
  <r>
    <n v="258"/>
    <s v="sel_devs_fsh"/>
    <n v="7.5473999999999999E-2"/>
    <n v="0.45582"/>
    <x v="4"/>
  </r>
  <r>
    <n v="259"/>
    <s v="sel_devs_fsh"/>
    <n v="2.9218999999999998E-3"/>
    <n v="0.47175"/>
    <x v="4"/>
  </r>
  <r>
    <n v="260"/>
    <s v="sel_devs_fsh"/>
    <n v="-2.4871000000000001E-2"/>
    <n v="0.38399"/>
    <x v="4"/>
  </r>
  <r>
    <n v="261"/>
    <s v="sel_devs_fsh"/>
    <n v="-3.1652E-2"/>
    <n v="0.37680999999999998"/>
    <x v="4"/>
  </r>
  <r>
    <n v="262"/>
    <s v="sel_devs_fsh"/>
    <n v="2.0208E-2"/>
    <n v="0.52359999999999995"/>
    <x v="4"/>
  </r>
  <r>
    <n v="263"/>
    <s v="sel_devs_fsh"/>
    <n v="3.9455999999999998E-2"/>
    <n v="0.39183000000000001"/>
    <x v="4"/>
  </r>
  <r>
    <n v="264"/>
    <s v="sel_devs_fsh"/>
    <n v="4.2685000000000001E-2"/>
    <n v="0.37557000000000001"/>
    <x v="4"/>
  </r>
  <r>
    <n v="265"/>
    <s v="sel_devs_fsh"/>
    <n v="4.1628999999999999E-2"/>
    <n v="0.40194999999999997"/>
    <x v="4"/>
  </r>
  <r>
    <n v="266"/>
    <s v="sel_devs_fsh"/>
    <n v="-6.3252000000000003E-2"/>
    <n v="0.64012000000000002"/>
    <x v="4"/>
  </r>
  <r>
    <n v="267"/>
    <s v="sel_devs_fsh"/>
    <n v="-0.49693999999999999"/>
    <n v="0.43742999999999999"/>
    <x v="4"/>
  </r>
  <r>
    <n v="268"/>
    <s v="sel_devs_fsh"/>
    <n v="-0.10865"/>
    <n v="0.41019"/>
    <x v="4"/>
  </r>
  <r>
    <n v="269"/>
    <s v="sel_devs_fsh"/>
    <n v="-7.1229000000000001E-2"/>
    <n v="0.43245"/>
    <x v="4"/>
  </r>
  <r>
    <n v="270"/>
    <s v="sel_devs_fsh"/>
    <n v="0.13815"/>
    <n v="0.37340000000000001"/>
    <x v="4"/>
  </r>
  <r>
    <n v="271"/>
    <s v="sel_devs_fsh"/>
    <n v="0.15776999999999999"/>
    <n v="0.36867"/>
    <x v="4"/>
  </r>
  <r>
    <n v="272"/>
    <s v="sel_devs_fsh"/>
    <n v="9.2355999999999994E-2"/>
    <n v="0.52671000000000001"/>
    <x v="4"/>
  </r>
  <r>
    <n v="273"/>
    <s v="sel_devs_fsh"/>
    <n v="0.11703"/>
    <n v="0.4073"/>
    <x v="4"/>
  </r>
  <r>
    <n v="274"/>
    <s v="sel_devs_fsh"/>
    <n v="0.11742"/>
    <n v="0.38191000000000003"/>
    <x v="4"/>
  </r>
  <r>
    <n v="275"/>
    <s v="sel_devs_fsh"/>
    <n v="0.11734"/>
    <n v="0.40409"/>
    <x v="4"/>
  </r>
  <r>
    <n v="276"/>
    <s v="sel_devs_fsh"/>
    <n v="-0.28338000000000002"/>
    <n v="0.63624000000000003"/>
    <x v="4"/>
  </r>
  <r>
    <n v="277"/>
    <s v="sel_devs_fsh"/>
    <n v="-0.70850000000000002"/>
    <n v="0.41996"/>
    <x v="4"/>
  </r>
  <r>
    <n v="278"/>
    <s v="sel_devs_fsh"/>
    <n v="-0.33043"/>
    <n v="0.39650999999999997"/>
    <x v="4"/>
  </r>
  <r>
    <n v="279"/>
    <s v="sel_devs_fsh"/>
    <n v="0.20702000000000001"/>
    <n v="0.43411"/>
    <x v="4"/>
  </r>
  <r>
    <n v="280"/>
    <s v="sel_devs_fsh"/>
    <n v="0.15379000000000001"/>
    <n v="0.42993999999999999"/>
    <x v="4"/>
  </r>
  <r>
    <n v="281"/>
    <s v="sel_devs_fsh"/>
    <n v="0.22203000000000001"/>
    <n v="0.36587999999999998"/>
    <x v="4"/>
  </r>
  <r>
    <n v="282"/>
    <s v="sel_devs_fsh"/>
    <n v="0.22262000000000001"/>
    <n v="0.36992999999999998"/>
    <x v="4"/>
  </r>
  <r>
    <n v="283"/>
    <s v="sel_devs_fsh"/>
    <n v="0.17291999999999999"/>
    <n v="0.39345000000000002"/>
    <x v="4"/>
  </r>
  <r>
    <n v="284"/>
    <s v="sel_devs_fsh"/>
    <n v="0.1701"/>
    <n v="0.37809999999999999"/>
    <x v="4"/>
  </r>
  <r>
    <n v="285"/>
    <s v="sel_devs_fsh"/>
    <n v="0.17383000000000001"/>
    <n v="0.40505000000000002"/>
    <x v="4"/>
  </r>
  <r>
    <n v="286"/>
    <s v="sel_devs_fsh"/>
    <n v="-0.23017000000000001"/>
    <n v="0.64422000000000001"/>
    <x v="4"/>
  </r>
  <r>
    <n v="287"/>
    <s v="sel_devs_fsh"/>
    <n v="-0.40636"/>
    <n v="0.49545"/>
    <x v="4"/>
  </r>
  <r>
    <n v="288"/>
    <s v="sel_devs_fsh"/>
    <n v="-0.31111"/>
    <n v="0.38186999999999999"/>
    <x v="4"/>
  </r>
  <r>
    <n v="289"/>
    <s v="sel_devs_fsh"/>
    <n v="-5.3343000000000002E-2"/>
    <n v="0.41370000000000001"/>
    <x v="4"/>
  </r>
  <r>
    <n v="290"/>
    <s v="sel_devs_fsh"/>
    <n v="0.19481999999999999"/>
    <n v="0.42521999999999999"/>
    <x v="4"/>
  </r>
  <r>
    <n v="291"/>
    <s v="sel_devs_fsh"/>
    <n v="0.1229"/>
    <n v="0.34950999999999999"/>
    <x v="4"/>
  </r>
  <r>
    <n v="292"/>
    <s v="sel_devs_fsh"/>
    <n v="0.13589999999999999"/>
    <n v="0.33034999999999998"/>
    <x v="4"/>
  </r>
  <r>
    <n v="293"/>
    <s v="sel_devs_fsh"/>
    <n v="0.14521000000000001"/>
    <n v="0.34197"/>
    <x v="4"/>
  </r>
  <r>
    <n v="294"/>
    <s v="sel_devs_fsh"/>
    <n v="0.14948"/>
    <n v="0.38106000000000001"/>
    <x v="4"/>
  </r>
  <r>
    <n v="295"/>
    <s v="sel_devs_fsh"/>
    <n v="0.25268000000000002"/>
    <n v="0.56657999999999997"/>
    <x v="4"/>
  </r>
  <r>
    <n v="296"/>
    <s v="sel_devs_fsh"/>
    <n v="-0.12073"/>
    <n v="0.66991000000000001"/>
    <x v="4"/>
  </r>
  <r>
    <n v="297"/>
    <s v="sel_devs_fsh"/>
    <n v="-0.27634999999999998"/>
    <n v="0.53978000000000004"/>
    <x v="4"/>
  </r>
  <r>
    <n v="298"/>
    <s v="sel_devs_fsh"/>
    <n v="-0.39441999999999999"/>
    <n v="0.43256"/>
    <x v="4"/>
  </r>
  <r>
    <n v="299"/>
    <s v="sel_devs_fsh"/>
    <n v="-5.2121000000000001E-2"/>
    <n v="0.39221"/>
    <x v="4"/>
  </r>
  <r>
    <n v="300"/>
    <s v="sel_devs_fsh"/>
    <n v="3.1108E-2"/>
    <n v="0.40288000000000002"/>
    <x v="4"/>
  </r>
  <r>
    <n v="301"/>
    <s v="sel_devs_fsh"/>
    <n v="0.10022"/>
    <n v="0.39795999999999998"/>
    <x v="4"/>
  </r>
  <r>
    <n v="302"/>
    <s v="sel_devs_fsh"/>
    <n v="0.10095999999999999"/>
    <n v="0.40182000000000001"/>
    <x v="4"/>
  </r>
  <r>
    <n v="303"/>
    <s v="sel_devs_fsh"/>
    <n v="0.14202999999999999"/>
    <n v="0.58423000000000003"/>
    <x v="4"/>
  </r>
  <r>
    <n v="304"/>
    <s v="sel_devs_fsh"/>
    <n v="0.16256000000000001"/>
    <n v="0.61892999999999998"/>
    <x v="4"/>
  </r>
  <r>
    <n v="305"/>
    <s v="sel_devs_fsh"/>
    <n v="0.30674000000000001"/>
    <n v="0.59330000000000005"/>
    <x v="4"/>
  </r>
  <r>
    <n v="306"/>
    <s v="sel_devs_fsh"/>
    <n v="-0.12698000000000001"/>
    <n v="0.67029000000000005"/>
    <x v="4"/>
  </r>
  <r>
    <n v="307"/>
    <s v="sel_devs_fsh"/>
    <n v="0.13464000000000001"/>
    <n v="0.62114000000000003"/>
    <x v="4"/>
  </r>
  <r>
    <n v="308"/>
    <s v="sel_devs_fsh"/>
    <n v="-4.3251999999999999E-2"/>
    <n v="0.47032000000000002"/>
    <x v="4"/>
  </r>
  <r>
    <n v="309"/>
    <s v="sel_devs_fsh"/>
    <n v="-0.16350999999999999"/>
    <n v="0.40228999999999998"/>
    <x v="4"/>
  </r>
  <r>
    <n v="310"/>
    <s v="sel_devs_fsh"/>
    <n v="-0.22858999999999999"/>
    <n v="0.40847"/>
    <x v="4"/>
  </r>
  <r>
    <n v="311"/>
    <s v="sel_devs_fsh"/>
    <n v="3.099E-2"/>
    <n v="0.40620000000000001"/>
    <x v="4"/>
  </r>
  <r>
    <n v="312"/>
    <s v="sel_devs_fsh"/>
    <n v="3.5944999999999998E-2"/>
    <n v="0.41558"/>
    <x v="4"/>
  </r>
  <r>
    <n v="313"/>
    <s v="sel_devs_fsh"/>
    <n v="3.3195000000000002E-2"/>
    <n v="0.60111999999999999"/>
    <x v="4"/>
  </r>
  <r>
    <n v="314"/>
    <s v="sel_devs_fsh"/>
    <n v="0.10612000000000001"/>
    <n v="0.62888999999999995"/>
    <x v="4"/>
  </r>
  <r>
    <n v="315"/>
    <s v="sel_devs_fsh"/>
    <n v="0.22142999999999999"/>
    <n v="0.59599999999999997"/>
    <x v="4"/>
  </r>
  <r>
    <n v="316"/>
    <s v="sel_devs_fsh"/>
    <n v="-0.11599"/>
    <n v="0.68045"/>
    <x v="4"/>
  </r>
  <r>
    <n v="317"/>
    <s v="sel_devs_fsh"/>
    <n v="-0.16452"/>
    <n v="0.62173999999999996"/>
    <x v="4"/>
  </r>
  <r>
    <n v="318"/>
    <s v="sel_devs_fsh"/>
    <n v="3.0655000000000002E-2"/>
    <n v="0.49484"/>
    <x v="4"/>
  </r>
  <r>
    <n v="319"/>
    <s v="sel_devs_fsh"/>
    <n v="-3.3632000000000002E-2"/>
    <n v="0.42152000000000001"/>
    <x v="4"/>
  </r>
  <r>
    <n v="320"/>
    <s v="sel_devs_fsh"/>
    <n v="0.22283"/>
    <n v="0.37282999999999999"/>
    <x v="4"/>
  </r>
  <r>
    <n v="321"/>
    <s v="sel_devs_fsh"/>
    <n v="-0.12958"/>
    <n v="0.38496000000000002"/>
    <x v="4"/>
  </r>
  <r>
    <n v="322"/>
    <s v="sel_devs_fsh"/>
    <n v="1.5507999999999999E-2"/>
    <n v="0.45734999999999998"/>
    <x v="4"/>
  </r>
  <r>
    <n v="323"/>
    <s v="sel_devs_fsh"/>
    <n v="2.9097999999999999E-2"/>
    <n v="0.60250999999999999"/>
    <x v="4"/>
  </r>
  <r>
    <n v="324"/>
    <s v="sel_devs_fsh"/>
    <n v="4.3375999999999998E-2"/>
    <n v="0.63371"/>
    <x v="4"/>
  </r>
  <r>
    <n v="325"/>
    <s v="sel_devs_fsh"/>
    <n v="0.10224999999999999"/>
    <n v="0.58808000000000005"/>
    <x v="4"/>
  </r>
  <r>
    <n v="326"/>
    <s v="sel_devs_fsh"/>
    <n v="-0.11736000000000001"/>
    <n v="0.68081000000000003"/>
    <x v="4"/>
  </r>
  <r>
    <n v="327"/>
    <s v="sel_devs_fsh"/>
    <n v="0.29875000000000002"/>
    <n v="0.61470999999999998"/>
    <x v="4"/>
  </r>
  <r>
    <n v="328"/>
    <s v="sel_devs_fsh"/>
    <n v="0.15062"/>
    <n v="0.48104999999999998"/>
    <x v="4"/>
  </r>
  <r>
    <n v="329"/>
    <s v="sel_devs_fsh"/>
    <n v="-0.30170000000000002"/>
    <n v="0.44107000000000002"/>
    <x v="4"/>
  </r>
  <r>
    <n v="330"/>
    <s v="sel_devs_fsh"/>
    <n v="-0.32053999999999999"/>
    <n v="0.39254"/>
    <x v="4"/>
  </r>
  <r>
    <n v="331"/>
    <s v="sel_devs_fsh"/>
    <n v="0.19241"/>
    <n v="0.36592000000000002"/>
    <x v="4"/>
  </r>
  <r>
    <n v="332"/>
    <s v="sel_devs_fsh"/>
    <n v="-2.4558000000000002E-3"/>
    <n v="0.44255"/>
    <x v="4"/>
  </r>
  <r>
    <n v="333"/>
    <s v="sel_devs_fsh"/>
    <n v="3.8945E-2"/>
    <n v="0.58335999999999999"/>
    <x v="4"/>
  </r>
  <r>
    <n v="334"/>
    <s v="sel_devs_fsh"/>
    <n v="1.8113000000000001E-2"/>
    <n v="0.63117000000000001"/>
    <x v="4"/>
  </r>
  <r>
    <n v="335"/>
    <s v="sel_devs_fsh"/>
    <n v="4.3215000000000003E-2"/>
    <n v="0.58882999999999996"/>
    <x v="4"/>
  </r>
  <r>
    <n v="336"/>
    <s v="sel_devs_fsh"/>
    <n v="-0.11328000000000001"/>
    <n v="0.68369000000000002"/>
    <x v="4"/>
  </r>
  <r>
    <n v="337"/>
    <s v="sel_devs_fsh"/>
    <n v="0.13108"/>
    <n v="0.61231999999999998"/>
    <x v="4"/>
  </r>
  <r>
    <n v="338"/>
    <s v="sel_devs_fsh"/>
    <n v="-3.6576999999999998E-2"/>
    <n v="0.4909"/>
    <x v="4"/>
  </r>
  <r>
    <n v="339"/>
    <s v="sel_devs_fsh"/>
    <n v="0.30724000000000001"/>
    <n v="0.42408000000000001"/>
    <x v="4"/>
  </r>
  <r>
    <n v="340"/>
    <s v="sel_devs_fsh"/>
    <n v="-4.6711999999999997E-2"/>
    <n v="0.44313999999999998"/>
    <x v="4"/>
  </r>
  <r>
    <n v="341"/>
    <s v="sel_devs_fsh"/>
    <n v="-2.2100000000000002E-2"/>
    <n v="0.39372000000000001"/>
    <x v="4"/>
  </r>
  <r>
    <n v="342"/>
    <s v="sel_devs_fsh"/>
    <n v="4.5766000000000001E-2"/>
    <n v="0.38035999999999998"/>
    <x v="4"/>
  </r>
  <r>
    <n v="343"/>
    <s v="sel_devs_fsh"/>
    <n v="-0.14831"/>
    <n v="0.50510999999999995"/>
    <x v="4"/>
  </r>
  <r>
    <n v="344"/>
    <s v="sel_devs_fsh"/>
    <n v="-2.0656000000000001E-2"/>
    <n v="0.61853000000000002"/>
    <x v="4"/>
  </r>
  <r>
    <n v="345"/>
    <s v="sel_devs_fsh"/>
    <n v="-9.6438999999999997E-2"/>
    <n v="0.57425999999999999"/>
    <x v="4"/>
  </r>
  <r>
    <n v="346"/>
    <s v="sel_devs_fsh"/>
    <n v="-0.11645999999999999"/>
    <n v="0.68362999999999996"/>
    <x v="4"/>
  </r>
  <r>
    <n v="347"/>
    <s v="sel_devs_fsh"/>
    <n v="-3.3904999999999999E-3"/>
    <n v="0.60650000000000004"/>
    <x v="4"/>
  </r>
  <r>
    <n v="348"/>
    <s v="sel_devs_fsh"/>
    <n v="-3.0863999999999999E-2"/>
    <n v="0.4894"/>
    <x v="4"/>
  </r>
  <r>
    <n v="349"/>
    <s v="sel_devs_fsh"/>
    <n v="-0.21912000000000001"/>
    <n v="0.43197000000000002"/>
    <x v="4"/>
  </r>
  <r>
    <n v="350"/>
    <s v="sel_devs_fsh"/>
    <n v="-2.6626E-2"/>
    <n v="0.43113000000000001"/>
    <x v="4"/>
  </r>
  <r>
    <n v="351"/>
    <s v="sel_devs_fsh"/>
    <n v="-9.1478000000000004E-2"/>
    <n v="0.39799000000000001"/>
    <x v="4"/>
  </r>
  <r>
    <n v="352"/>
    <s v="sel_devs_fsh"/>
    <n v="-0.11261"/>
    <n v="0.38389000000000001"/>
    <x v="4"/>
  </r>
  <r>
    <n v="353"/>
    <s v="sel_devs_fsh"/>
    <n v="0.39871000000000001"/>
    <n v="0.38977000000000001"/>
    <x v="4"/>
  </r>
  <r>
    <n v="354"/>
    <s v="sel_devs_fsh"/>
    <n v="0.18142"/>
    <n v="0.51912000000000003"/>
    <x v="4"/>
  </r>
  <r>
    <n v="355"/>
    <s v="sel_devs_fsh"/>
    <n v="2.0417000000000001E-2"/>
    <n v="0.56938999999999995"/>
    <x v="4"/>
  </r>
  <r>
    <n v="356"/>
    <s v="sel_devs_fsh"/>
    <n v="-0.11665"/>
    <n v="0.68366000000000005"/>
    <x v="4"/>
  </r>
  <r>
    <n v="357"/>
    <s v="sel_devs_fsh"/>
    <n v="-4.8121999999999998E-2"/>
    <n v="0.61373999999999995"/>
    <x v="4"/>
  </r>
  <r>
    <n v="358"/>
    <s v="sel_devs_fsh"/>
    <n v="1.0184"/>
    <n v="0.40804000000000001"/>
    <x v="4"/>
  </r>
  <r>
    <n v="359"/>
    <s v="sel_devs_fsh"/>
    <n v="0.12781999999999999"/>
    <n v="0.42274"/>
    <x v="4"/>
  </r>
  <r>
    <n v="360"/>
    <s v="sel_devs_fsh"/>
    <n v="0.23921999999999999"/>
    <n v="0.37075000000000002"/>
    <x v="4"/>
  </r>
  <r>
    <n v="361"/>
    <s v="sel_devs_fsh"/>
    <n v="-0.19908000000000001"/>
    <n v="0.36523"/>
    <x v="4"/>
  </r>
  <r>
    <n v="362"/>
    <s v="sel_devs_fsh"/>
    <n v="0.15112"/>
    <n v="0.39041999999999999"/>
    <x v="4"/>
  </r>
  <r>
    <n v="363"/>
    <s v="sel_devs_fsh"/>
    <n v="-0.32377"/>
    <n v="0.38973999999999998"/>
    <x v="4"/>
  </r>
  <r>
    <n v="364"/>
    <s v="sel_devs_fsh"/>
    <n v="-0.30538999999999999"/>
    <n v="0.40099000000000001"/>
    <x v="4"/>
  </r>
  <r>
    <n v="365"/>
    <s v="sel_devs_fsh"/>
    <n v="-0.54354000000000002"/>
    <n v="0.52819000000000005"/>
    <x v="4"/>
  </r>
  <r>
    <n v="366"/>
    <s v="sel_devs_fsh"/>
    <n v="-0.11706999999999999"/>
    <n v="0.68366000000000005"/>
    <x v="4"/>
  </r>
  <r>
    <n v="367"/>
    <s v="sel_devs_fsh"/>
    <n v="1.6331999999999999E-2"/>
    <n v="0.61539999999999995"/>
    <x v="4"/>
  </r>
  <r>
    <n v="368"/>
    <s v="sel_devs_fsh"/>
    <n v="-0.63371999999999995"/>
    <n v="0.46106000000000003"/>
    <x v="4"/>
  </r>
  <r>
    <n v="369"/>
    <s v="sel_devs_fsh"/>
    <n v="0.19853999999999999"/>
    <n v="0.40614"/>
    <x v="4"/>
  </r>
  <r>
    <n v="370"/>
    <s v="sel_devs_fsh"/>
    <n v="-0.11897000000000001"/>
    <n v="0.37480999999999998"/>
    <x v="4"/>
  </r>
  <r>
    <n v="371"/>
    <s v="sel_devs_fsh"/>
    <n v="0.17774000000000001"/>
    <n v="0.42986999999999997"/>
    <x v="4"/>
  </r>
  <r>
    <n v="372"/>
    <s v="sel_devs_fsh"/>
    <n v="0.13533999999999999"/>
    <n v="0.36562"/>
    <x v="4"/>
  </r>
  <r>
    <n v="373"/>
    <s v="sel_devs_fsh"/>
    <n v="0.15508"/>
    <n v="0.35396"/>
    <x v="4"/>
  </r>
  <r>
    <n v="374"/>
    <s v="sel_devs_fsh"/>
    <n v="8.0729999999999996E-2"/>
    <n v="0.36348000000000003"/>
    <x v="4"/>
  </r>
  <r>
    <n v="375"/>
    <s v="sel_devs_fsh"/>
    <n v="0.10599"/>
    <n v="0.37441000000000002"/>
    <x v="4"/>
  </r>
  <r>
    <n v="376"/>
    <s v="sel_devs_fsh"/>
    <n v="-0.11642"/>
    <n v="0.68354000000000004"/>
    <x v="4"/>
  </r>
  <r>
    <n v="377"/>
    <s v="sel_devs_fsh"/>
    <n v="7.9141000000000003E-2"/>
    <n v="0.60911000000000004"/>
    <x v="4"/>
  </r>
  <r>
    <n v="378"/>
    <s v="sel_devs_fsh"/>
    <n v="-0.25024000000000002"/>
    <n v="0.54013999999999995"/>
    <x v="4"/>
  </r>
  <r>
    <n v="379"/>
    <s v="sel_devs_fsh"/>
    <n v="0.30174000000000001"/>
    <n v="0.45649000000000001"/>
    <x v="4"/>
  </r>
  <r>
    <n v="380"/>
    <s v="sel_devs_fsh"/>
    <n v="0.28294999999999998"/>
    <n v="0.39304"/>
    <x v="4"/>
  </r>
  <r>
    <n v="381"/>
    <s v="sel_devs_fsh"/>
    <n v="6.5833000000000003E-2"/>
    <n v="0.43447000000000002"/>
    <x v="4"/>
  </r>
  <r>
    <n v="382"/>
    <s v="sel_devs_fsh"/>
    <n v="-0.13722999999999999"/>
    <n v="0.41061999999999999"/>
    <x v="4"/>
  </r>
  <r>
    <n v="383"/>
    <s v="sel_devs_fsh"/>
    <n v="-5.4293000000000001E-2"/>
    <n v="0.33833000000000002"/>
    <x v="4"/>
  </r>
  <r>
    <n v="384"/>
    <s v="sel_devs_fsh"/>
    <n v="-4.5477999999999998E-2"/>
    <n v="0.33694000000000002"/>
    <x v="4"/>
  </r>
  <r>
    <n v="385"/>
    <s v="sel_devs_fsh"/>
    <n v="-0.126"/>
    <n v="0.35958000000000001"/>
    <x v="4"/>
  </r>
  <r>
    <n v="386"/>
    <s v="sel_devs_fsh"/>
    <n v="-0.10345"/>
    <n v="0.68093000000000004"/>
    <x v="4"/>
  </r>
  <r>
    <n v="387"/>
    <s v="sel_devs_fsh"/>
    <n v="-2.002E-2"/>
    <n v="0.58726999999999996"/>
    <x v="4"/>
  </r>
  <r>
    <n v="388"/>
    <s v="sel_devs_fsh"/>
    <n v="-0.44411"/>
    <n v="0.52966000000000002"/>
    <x v="4"/>
  </r>
  <r>
    <n v="389"/>
    <s v="sel_devs_fsh"/>
    <n v="-0.30492999999999998"/>
    <n v="0.44650000000000001"/>
    <x v="4"/>
  </r>
  <r>
    <n v="390"/>
    <s v="sel_devs_fsh"/>
    <n v="-5.2623000000000003E-2"/>
    <n v="0.38974999999999999"/>
    <x v="4"/>
  </r>
  <r>
    <n v="391"/>
    <s v="sel_devs_fsh"/>
    <n v="4.5203E-2"/>
    <n v="0.3594"/>
    <x v="4"/>
  </r>
  <r>
    <n v="392"/>
    <s v="sel_devs_fsh"/>
    <n v="0.25666"/>
    <n v="0.40237000000000001"/>
    <x v="4"/>
  </r>
  <r>
    <n v="393"/>
    <s v="sel_devs_fsh"/>
    <n v="4.8221E-2"/>
    <n v="0.34375"/>
    <x v="4"/>
  </r>
  <r>
    <n v="394"/>
    <s v="sel_devs_fsh"/>
    <n v="0.27062999999999998"/>
    <n v="0.32645000000000002"/>
    <x v="4"/>
  </r>
  <r>
    <n v="395"/>
    <s v="sel_devs_fsh"/>
    <n v="0.30442000000000002"/>
    <n v="0.34448000000000001"/>
    <x v="4"/>
  </r>
  <r>
    <n v="396"/>
    <s v="sel_devs_fsh"/>
    <n v="-9.7393999999999994E-2"/>
    <n v="0.67956000000000005"/>
    <x v="4"/>
  </r>
  <r>
    <n v="397"/>
    <s v="sel_devs_fsh"/>
    <n v="-4.9738999999999998E-2"/>
    <n v="0.43063000000000001"/>
    <x v="4"/>
  </r>
  <r>
    <n v="398"/>
    <s v="sel_devs_fsh"/>
    <n v="0.63034000000000001"/>
    <n v="0.36201"/>
    <x v="4"/>
  </r>
  <r>
    <n v="399"/>
    <s v="sel_devs_fsh"/>
    <n v="-0.40609000000000001"/>
    <n v="0.38645000000000002"/>
    <x v="4"/>
  </r>
  <r>
    <n v="400"/>
    <s v="sel_devs_fsh"/>
    <n v="-0.42131000000000002"/>
    <n v="0.39058999999999999"/>
    <x v="4"/>
  </r>
  <r>
    <n v="401"/>
    <s v="sel_devs_fsh"/>
    <n v="-5.4688000000000001E-2"/>
    <n v="0.36729000000000001"/>
    <x v="4"/>
  </r>
  <r>
    <n v="402"/>
    <s v="sel_devs_fsh"/>
    <n v="-0.10323"/>
    <n v="0.33523999999999998"/>
    <x v="4"/>
  </r>
  <r>
    <n v="403"/>
    <s v="sel_devs_fsh"/>
    <n v="0.22933999999999999"/>
    <n v="0.32796999999999998"/>
    <x v="4"/>
  </r>
  <r>
    <n v="404"/>
    <s v="sel_devs_fsh"/>
    <n v="0.11521000000000001"/>
    <n v="0.33300999999999997"/>
    <x v="4"/>
  </r>
  <r>
    <n v="405"/>
    <s v="sel_devs_fsh"/>
    <n v="0.15755"/>
    <n v="0.32275999999999999"/>
    <x v="4"/>
  </r>
  <r>
    <n v="406"/>
    <s v="sel_devs_fsh"/>
    <n v="-7.8566999999999998E-2"/>
    <n v="0.67891999999999997"/>
    <x v="4"/>
  </r>
  <r>
    <n v="407"/>
    <s v="sel_devs_fsh"/>
    <n v="-0.86943000000000004"/>
    <n v="0.46751999999999999"/>
    <x v="4"/>
  </r>
  <r>
    <n v="408"/>
    <s v="sel_devs_fsh"/>
    <n v="6.9278999999999993E-2"/>
    <n v="0.31009999999999999"/>
    <x v="4"/>
  </r>
  <r>
    <n v="409"/>
    <s v="sel_devs_fsh"/>
    <n v="0.88582000000000005"/>
    <n v="0.32336999999999999"/>
    <x v="4"/>
  </r>
  <r>
    <n v="410"/>
    <s v="sel_devs_fsh"/>
    <n v="0.13381000000000001"/>
    <n v="0.37231999999999998"/>
    <x v="4"/>
  </r>
  <r>
    <n v="411"/>
    <s v="sel_devs_fsh"/>
    <n v="7.3019000000000001E-2"/>
    <n v="0.40965000000000001"/>
    <x v="4"/>
  </r>
  <r>
    <n v="412"/>
    <s v="sel_devs_fsh"/>
    <n v="0.10587000000000001"/>
    <n v="0.35619000000000001"/>
    <x v="4"/>
  </r>
  <r>
    <n v="413"/>
    <s v="sel_devs_fsh"/>
    <n v="-5.4593000000000003E-2"/>
    <n v="0.34888999999999998"/>
    <x v="4"/>
  </r>
  <r>
    <n v="414"/>
    <s v="sel_devs_fsh"/>
    <n v="-0.10503"/>
    <n v="0.34619"/>
    <x v="4"/>
  </r>
  <r>
    <n v="415"/>
    <s v="sel_devs_fsh"/>
    <n v="-0.16017999999999999"/>
    <n v="0.32147999999999999"/>
    <x v="4"/>
  </r>
  <r>
    <n v="416"/>
    <s v="sel_devs_fsh"/>
    <n v="-2.8986999999999999E-2"/>
    <n v="0.68752000000000002"/>
    <x v="4"/>
  </r>
  <r>
    <n v="417"/>
    <s v="sel_devs_fsh"/>
    <n v="7.8576999999999994E-2"/>
    <n v="0.51810999999999996"/>
    <x v="4"/>
  </r>
  <r>
    <n v="418"/>
    <s v="sel_devs_fsh"/>
    <n v="-0.89798"/>
    <n v="0.40700999999999998"/>
    <x v="4"/>
  </r>
  <r>
    <n v="419"/>
    <s v="sel_devs_fsh"/>
    <n v="-0.33357999999999999"/>
    <n v="0.32341999999999999"/>
    <x v="4"/>
  </r>
  <r>
    <n v="420"/>
    <s v="sel_devs_fsh"/>
    <n v="0.87143000000000004"/>
    <n v="0.30552000000000001"/>
    <x v="4"/>
  </r>
  <r>
    <n v="421"/>
    <s v="sel_devs_fsh"/>
    <n v="0.32544000000000001"/>
    <n v="0.38044"/>
    <x v="4"/>
  </r>
  <r>
    <n v="422"/>
    <s v="sel_devs_fsh"/>
    <n v="3.1394999999999999E-2"/>
    <n v="0.33751999999999999"/>
    <x v="4"/>
  </r>
  <r>
    <n v="423"/>
    <s v="sel_devs_fsh"/>
    <n v="3.1205E-3"/>
    <n v="0.33764"/>
    <x v="4"/>
  </r>
  <r>
    <n v="424"/>
    <s v="sel_devs_fsh"/>
    <n v="-3.9616999999999999E-2"/>
    <n v="0.33545999999999998"/>
    <x v="4"/>
  </r>
  <r>
    <n v="425"/>
    <s v="sel_devs_fsh"/>
    <n v="-9.7932000000000002E-3"/>
    <n v="0.34227000000000002"/>
    <x v="4"/>
  </r>
  <r>
    <n v="426"/>
    <s v="sel_devs_fsh"/>
    <n v="-3.1295999999999997E-2"/>
    <n v="0.68732000000000004"/>
    <x v="4"/>
  </r>
  <r>
    <n v="427"/>
    <s v="sel_devs_fsh"/>
    <n v="5.7801999999999999E-2"/>
    <n v="0.53478999999999999"/>
    <x v="4"/>
  </r>
  <r>
    <n v="428"/>
    <s v="sel_devs_fsh"/>
    <n v="-0.36137000000000002"/>
    <n v="0.43152000000000001"/>
    <x v="4"/>
  </r>
  <r>
    <n v="429"/>
    <s v="sel_devs_fsh"/>
    <n v="-0.71528000000000003"/>
    <n v="0.38313999999999998"/>
    <x v="4"/>
  </r>
  <r>
    <n v="430"/>
    <s v="sel_devs_fsh"/>
    <n v="-0.33710000000000001"/>
    <n v="0.31143999999999999"/>
    <x v="4"/>
  </r>
  <r>
    <n v="431"/>
    <s v="sel_devs_fsh"/>
    <n v="0.41949999999999998"/>
    <n v="0.29712"/>
    <x v="4"/>
  </r>
  <r>
    <n v="432"/>
    <s v="sel_devs_fsh"/>
    <n v="0.29537999999999998"/>
    <n v="0.30787999999999999"/>
    <x v="4"/>
  </r>
  <r>
    <n v="433"/>
    <s v="sel_devs_fsh"/>
    <n v="0.24995000000000001"/>
    <n v="0.31292999999999999"/>
    <x v="4"/>
  </r>
  <r>
    <n v="434"/>
    <s v="sel_devs_fsh"/>
    <n v="0.21523"/>
    <n v="0.31917000000000001"/>
    <x v="4"/>
  </r>
  <r>
    <n v="435"/>
    <s v="sel_devs_fsh"/>
    <n v="0.20718"/>
    <n v="0.34014"/>
    <x v="4"/>
  </r>
  <r>
    <n v="436"/>
    <s v="sel_devs_fsh"/>
    <n v="-3.0641999999999999E-2"/>
    <n v="0.68749000000000005"/>
    <x v="4"/>
  </r>
  <r>
    <n v="437"/>
    <s v="sel_devs_fsh"/>
    <n v="0.75221000000000005"/>
    <n v="0.55581999999999998"/>
    <x v="4"/>
  </r>
  <r>
    <n v="438"/>
    <s v="sel_devs_fsh"/>
    <n v="0.40587000000000001"/>
    <n v="0.38777"/>
    <x v="4"/>
  </r>
  <r>
    <n v="439"/>
    <s v="sel_devs_fsh"/>
    <n v="-1.0693999999999999"/>
    <n v="0.37361"/>
    <x v="4"/>
  </r>
  <r>
    <n v="440"/>
    <s v="sel_devs_fsh"/>
    <n v="-0.81206"/>
    <n v="0.34125"/>
    <x v="4"/>
  </r>
  <r>
    <n v="441"/>
    <s v="sel_devs_fsh"/>
    <n v="-0.27804000000000001"/>
    <n v="0.30418000000000001"/>
    <x v="4"/>
  </r>
  <r>
    <n v="442"/>
    <s v="sel_devs_fsh"/>
    <n v="0.27732000000000001"/>
    <n v="0.29651"/>
    <x v="4"/>
  </r>
  <r>
    <n v="443"/>
    <s v="sel_devs_fsh"/>
    <n v="0.28144999999999998"/>
    <n v="0.31797999999999998"/>
    <x v="4"/>
  </r>
  <r>
    <n v="444"/>
    <s v="sel_devs_fsh"/>
    <n v="0.25749"/>
    <n v="0.32322000000000001"/>
    <x v="4"/>
  </r>
  <r>
    <n v="445"/>
    <s v="sel_devs_fsh"/>
    <n v="0.21581"/>
    <n v="0.33821000000000001"/>
    <x v="4"/>
  </r>
  <r>
    <n v="446"/>
    <s v="sel_devs_fsh"/>
    <n v="-2.8032000000000001E-2"/>
    <n v="0.68822000000000005"/>
    <x v="4"/>
  </r>
  <r>
    <n v="447"/>
    <s v="sel_devs_fsh"/>
    <n v="0.48420999999999997"/>
    <n v="0.54486999999999997"/>
    <x v="4"/>
  </r>
  <r>
    <n v="448"/>
    <s v="sel_devs_fsh"/>
    <n v="-1.5671999999999998E-2"/>
    <n v="0.40617999999999999"/>
    <x v="4"/>
  </r>
  <r>
    <n v="449"/>
    <s v="sel_devs_fsh"/>
    <n v="0.90044999999999997"/>
    <n v="0.36138999999999999"/>
    <x v="4"/>
  </r>
  <r>
    <n v="450"/>
    <s v="sel_devs_fsh"/>
    <n v="-1.4002000000000001E-2"/>
    <n v="0.32501999999999998"/>
    <x v="4"/>
  </r>
  <r>
    <n v="451"/>
    <s v="sel_devs_fsh"/>
    <n v="-0.51248000000000005"/>
    <n v="0.31537999999999999"/>
    <x v="4"/>
  </r>
  <r>
    <n v="452"/>
    <s v="sel_devs_fsh"/>
    <n v="-0.41886000000000001"/>
    <n v="0.30635000000000001"/>
    <x v="4"/>
  </r>
  <r>
    <n v="453"/>
    <s v="sel_devs_fsh"/>
    <n v="-0.28362999999999999"/>
    <n v="0.32361000000000001"/>
    <x v="4"/>
  </r>
  <r>
    <n v="454"/>
    <s v="sel_devs_fsh"/>
    <n v="-6.7960000000000007E-2"/>
    <n v="0.35654000000000002"/>
    <x v="4"/>
  </r>
  <r>
    <n v="455"/>
    <s v="sel_devs_fsh"/>
    <n v="-4.4021999999999999E-2"/>
    <n v="0.34704000000000002"/>
    <x v="4"/>
  </r>
  <r>
    <n v="456"/>
    <s v="sel_devs_fsh"/>
    <n v="-4.4594000000000002E-2"/>
    <n v="0.68815000000000004"/>
    <x v="4"/>
  </r>
  <r>
    <n v="457"/>
    <s v="sel_devs_fsh"/>
    <n v="-0.4869"/>
    <n v="0.42986000000000002"/>
    <x v="4"/>
  </r>
  <r>
    <n v="458"/>
    <s v="sel_devs_fsh"/>
    <n v="0.24340999999999999"/>
    <n v="0.40207999999999999"/>
    <x v="4"/>
  </r>
  <r>
    <n v="459"/>
    <s v="sel_devs_fsh"/>
    <n v="0.15642"/>
    <n v="0.38400000000000001"/>
    <x v="4"/>
  </r>
  <r>
    <n v="460"/>
    <s v="sel_devs_fsh"/>
    <n v="0.19739000000000001"/>
    <n v="0.31784000000000001"/>
    <x v="4"/>
  </r>
  <r>
    <n v="461"/>
    <s v="sel_devs_fsh"/>
    <n v="0.20063"/>
    <n v="0.29358000000000001"/>
    <x v="4"/>
  </r>
  <r>
    <n v="462"/>
    <s v="sel_devs_fsh"/>
    <n v="-0.29197000000000001"/>
    <n v="0.32081999999999999"/>
    <x v="4"/>
  </r>
  <r>
    <n v="463"/>
    <s v="sel_devs_fsh"/>
    <n v="-3.7711000000000001E-2"/>
    <n v="0.3392"/>
    <x v="4"/>
  </r>
  <r>
    <n v="464"/>
    <s v="sel_devs_fsh"/>
    <n v="3.8222999999999998E-3"/>
    <n v="0.35826999999999998"/>
    <x v="4"/>
  </r>
  <r>
    <n v="465"/>
    <s v="sel_devs_fsh"/>
    <n v="5.9506000000000003E-2"/>
    <n v="0.36016999999999999"/>
    <x v="4"/>
  </r>
  <r>
    <n v="466"/>
    <s v="sel_devs_fsh"/>
    <n v="-4.5629000000000003E-2"/>
    <n v="0.68818000000000001"/>
    <x v="4"/>
  </r>
  <r>
    <n v="467"/>
    <s v="sel_devs_fsh"/>
    <n v="-0.49807000000000001"/>
    <n v="0.45684999999999998"/>
    <x v="4"/>
  </r>
  <r>
    <n v="468"/>
    <s v="sel_devs_fsh"/>
    <n v="0.88675000000000004"/>
    <n v="0.32386999999999999"/>
    <x v="4"/>
  </r>
  <r>
    <n v="469"/>
    <s v="sel_devs_fsh"/>
    <n v="0.46616000000000002"/>
    <n v="0.34422999999999998"/>
    <x v="4"/>
  </r>
  <r>
    <n v="470"/>
    <s v="sel_devs_fsh"/>
    <n v="6.2964000000000006E-2"/>
    <n v="0.33587"/>
    <x v="4"/>
  </r>
  <r>
    <n v="471"/>
    <s v="sel_devs_fsh"/>
    <n v="-0.20699000000000001"/>
    <n v="0.29561999999999999"/>
    <x v="4"/>
  </r>
  <r>
    <n v="472"/>
    <s v="sel_devs_fsh"/>
    <n v="0.20927000000000001"/>
    <n v="0.29751"/>
    <x v="4"/>
  </r>
  <r>
    <n v="473"/>
    <s v="sel_devs_fsh"/>
    <n v="-0.13986000000000001"/>
    <n v="0.32052999999999998"/>
    <x v="4"/>
  </r>
  <r>
    <n v="474"/>
    <s v="sel_devs_fsh"/>
    <n v="-0.33787"/>
    <n v="0.31079000000000001"/>
    <x v="4"/>
  </r>
  <r>
    <n v="475"/>
    <s v="sel_devs_fsh"/>
    <n v="-0.39672000000000002"/>
    <n v="0.33204"/>
    <x v="4"/>
  </r>
  <r>
    <n v="476"/>
    <s v="sel_devs_fsh"/>
    <n v="-4.4753000000000001E-2"/>
    <n v="0.68808000000000002"/>
    <x v="4"/>
  </r>
  <r>
    <n v="477"/>
    <s v="sel_devs_fsh"/>
    <n v="-0.17876"/>
    <n v="0.51349"/>
    <x v="4"/>
  </r>
  <r>
    <n v="478"/>
    <s v="sel_devs_fsh"/>
    <n v="-0.64742"/>
    <n v="0.31696000000000002"/>
    <x v="4"/>
  </r>
  <r>
    <n v="479"/>
    <s v="sel_devs_fsh"/>
    <n v="0.27301999999999998"/>
    <n v="0.28272000000000003"/>
    <x v="4"/>
  </r>
  <r>
    <n v="480"/>
    <s v="sel_devs_fsh"/>
    <n v="0.38474999999999998"/>
    <n v="0.30352000000000001"/>
    <x v="4"/>
  </r>
  <r>
    <n v="481"/>
    <s v="sel_devs_fsh"/>
    <n v="-9.4559000000000004E-2"/>
    <n v="0.30965999999999999"/>
    <x v="4"/>
  </r>
  <r>
    <n v="482"/>
    <s v="sel_devs_fsh"/>
    <n v="2.1250999999999999E-2"/>
    <n v="0.29776999999999998"/>
    <x v="4"/>
  </r>
  <r>
    <n v="483"/>
    <s v="sel_devs_fsh"/>
    <n v="0.20180000000000001"/>
    <n v="0.27804000000000001"/>
    <x v="4"/>
  </r>
  <r>
    <n v="484"/>
    <s v="sel_devs_fsh"/>
    <n v="6.2706999999999999E-2"/>
    <n v="0.29192000000000001"/>
    <x v="4"/>
  </r>
  <r>
    <n v="485"/>
    <s v="sel_devs_fsh"/>
    <n v="2.1961999999999999E-2"/>
    <n v="0.31194"/>
    <x v="4"/>
  </r>
  <r>
    <n v="486"/>
    <s v="sel_devs_fsh"/>
    <n v="-3.1392999999999997E-2"/>
    <n v="0.68806"/>
    <x v="4"/>
  </r>
  <r>
    <n v="487"/>
    <s v="sel_devs_fsh"/>
    <n v="-0.46804000000000001"/>
    <n v="0.50939999999999996"/>
    <x v="4"/>
  </r>
  <r>
    <n v="488"/>
    <s v="sel_devs_fsh"/>
    <n v="-0.38646999999999998"/>
    <n v="0.37342999999999998"/>
    <x v="4"/>
  </r>
  <r>
    <n v="489"/>
    <s v="sel_devs_fsh"/>
    <n v="-0.28148000000000001"/>
    <n v="0.30610999999999999"/>
    <x v="4"/>
  </r>
  <r>
    <n v="490"/>
    <s v="sel_devs_fsh"/>
    <n v="0.29710999999999999"/>
    <n v="0.27776000000000001"/>
    <x v="4"/>
  </r>
  <r>
    <n v="491"/>
    <s v="sel_devs_fsh"/>
    <n v="0.68598000000000003"/>
    <n v="0.29066999999999998"/>
    <x v="4"/>
  </r>
  <r>
    <n v="492"/>
    <s v="sel_devs_fsh"/>
    <n v="9.4097E-2"/>
    <n v="0.30654999999999999"/>
    <x v="4"/>
  </r>
  <r>
    <n v="493"/>
    <s v="sel_devs_fsh"/>
    <n v="-6.8748000000000004E-2"/>
    <n v="0.28572999999999998"/>
    <x v="4"/>
  </r>
  <r>
    <n v="494"/>
    <s v="sel_devs_fsh"/>
    <n v="3.9059999999999997E-2"/>
    <n v="0.28838999999999998"/>
    <x v="4"/>
  </r>
  <r>
    <n v="495"/>
    <s v="sel_devs_fsh"/>
    <n v="0.11988"/>
    <n v="0.31813000000000002"/>
    <x v="4"/>
  </r>
  <r>
    <n v="496"/>
    <s v="sel_devs_fsh"/>
    <n v="-1.9323E-2"/>
    <n v="0.68918999999999997"/>
    <x v="4"/>
  </r>
  <r>
    <n v="497"/>
    <s v="sel_devs_fsh"/>
    <n v="0.63829000000000002"/>
    <n v="0.46494000000000002"/>
    <x v="4"/>
  </r>
  <r>
    <n v="498"/>
    <s v="sel_devs_fsh"/>
    <n v="-1.6947E-2"/>
    <n v="0.36534"/>
    <x v="4"/>
  </r>
  <r>
    <n v="499"/>
    <s v="sel_devs_fsh"/>
    <n v="-7.5301000000000007E-2"/>
    <n v="0.317"/>
    <x v="4"/>
  </r>
  <r>
    <n v="500"/>
    <s v="sel_devs_fsh"/>
    <n v="-0.31508000000000003"/>
    <n v="0.28566999999999998"/>
    <x v="4"/>
  </r>
  <r>
    <n v="501"/>
    <s v="sel_devs_fsh"/>
    <n v="-1.3117999999999999E-2"/>
    <n v="0.27365"/>
    <x v="4"/>
  </r>
  <r>
    <n v="502"/>
    <s v="sel_devs_fsh"/>
    <n v="-8.5719999999999998E-3"/>
    <n v="0.28144999999999998"/>
    <x v="4"/>
  </r>
  <r>
    <n v="503"/>
    <s v="sel_devs_fsh"/>
    <n v="-2.4117E-2"/>
    <n v="0.29247000000000001"/>
    <x v="4"/>
  </r>
  <r>
    <n v="504"/>
    <s v="sel_devs_fsh"/>
    <n v="-3.2121999999999998E-2"/>
    <n v="0.29032999999999998"/>
    <x v="4"/>
  </r>
  <r>
    <n v="505"/>
    <s v="sel_devs_fsh"/>
    <n v="-0.13371"/>
    <n v="0.30475999999999998"/>
    <x v="4"/>
  </r>
  <r>
    <n v="506"/>
    <s v="sel_devs_fsh"/>
    <n v="-2.2001E-2"/>
    <n v="0.68962999999999997"/>
    <x v="4"/>
  </r>
  <r>
    <n v="507"/>
    <s v="sel_devs_fsh"/>
    <n v="-0.44607999999999998"/>
    <n v="0.48429"/>
    <x v="4"/>
  </r>
  <r>
    <n v="508"/>
    <s v="sel_devs_fsh"/>
    <n v="0.81847000000000003"/>
    <n v="0.30701000000000001"/>
    <x v="4"/>
  </r>
  <r>
    <n v="509"/>
    <s v="sel_devs_fsh"/>
    <n v="-7.1141999999999997E-2"/>
    <n v="0.29605999999999999"/>
    <x v="4"/>
  </r>
  <r>
    <n v="510"/>
    <s v="sel_devs_fsh"/>
    <n v="0.10087"/>
    <n v="0.29149999999999998"/>
    <x v="4"/>
  </r>
  <r>
    <n v="511"/>
    <s v="sel_devs_fsh"/>
    <n v="-0.14857000000000001"/>
    <n v="0.28481000000000001"/>
    <x v="4"/>
  </r>
  <r>
    <n v="512"/>
    <s v="sel_devs_fsh"/>
    <n v="6.2306000000000002E-3"/>
    <n v="0.27651999999999999"/>
    <x v="4"/>
  </r>
  <r>
    <n v="513"/>
    <s v="sel_devs_fsh"/>
    <n v="-1.7118000000000001E-2"/>
    <n v="0.28859000000000001"/>
    <x v="4"/>
  </r>
  <r>
    <n v="514"/>
    <s v="sel_devs_fsh"/>
    <n v="-8.3690000000000001E-2"/>
    <n v="0.30014000000000002"/>
    <x v="4"/>
  </r>
  <r>
    <n v="515"/>
    <s v="sel_devs_fsh"/>
    <n v="-0.13696"/>
    <n v="0.29543999999999998"/>
    <x v="4"/>
  </r>
  <r>
    <n v="516"/>
    <s v="sel_devs_fsh"/>
    <n v="-1.9016999999999999E-2"/>
    <n v="0.68991999999999998"/>
    <x v="4"/>
  </r>
  <r>
    <n v="517"/>
    <s v="sel_devs_fsh"/>
    <n v="-0.26001999999999997"/>
    <n v="0.53081"/>
    <x v="4"/>
  </r>
  <r>
    <n v="518"/>
    <s v="sel_devs_fsh"/>
    <n v="-0.77849000000000002"/>
    <n v="0.33066000000000001"/>
    <x v="4"/>
  </r>
  <r>
    <n v="519"/>
    <s v="sel_devs_fsh"/>
    <n v="0.85223000000000004"/>
    <n v="0.28315000000000001"/>
    <x v="4"/>
  </r>
  <r>
    <n v="520"/>
    <s v="sel_devs_fsh"/>
    <n v="2.3695000000000001E-2"/>
    <n v="0.28986000000000001"/>
    <x v="4"/>
  </r>
  <r>
    <n v="521"/>
    <s v="sel_devs_fsh"/>
    <n v="-0.12948999999999999"/>
    <n v="0.30896000000000001"/>
    <x v="4"/>
  </r>
  <r>
    <n v="522"/>
    <s v="sel_devs_fsh"/>
    <n v="1.9134000000000002E-2"/>
    <n v="0.29530000000000001"/>
    <x v="4"/>
  </r>
  <r>
    <n v="523"/>
    <s v="sel_devs_fsh"/>
    <n v="4.7757000000000001E-2"/>
    <n v="0.28958"/>
    <x v="4"/>
  </r>
  <r>
    <n v="524"/>
    <s v="sel_devs_fsh"/>
    <n v="8.3098000000000005E-2"/>
    <n v="0.30319000000000002"/>
    <x v="4"/>
  </r>
  <r>
    <n v="525"/>
    <s v="sel_devs_fsh"/>
    <n v="0.16111"/>
    <n v="0.31467000000000001"/>
    <x v="4"/>
  </r>
  <r>
    <n v="526"/>
    <s v="sel_devs_fsh"/>
    <n v="-1.8758E-2"/>
    <n v="0.68994"/>
    <x v="4"/>
  </r>
  <r>
    <n v="527"/>
    <s v="sel_devs_fsh"/>
    <n v="0.21795999999999999"/>
    <n v="0.60311999999999999"/>
    <x v="4"/>
  </r>
  <r>
    <n v="528"/>
    <s v="sel_devs_fsh"/>
    <n v="2.9807E-2"/>
    <n v="0.37990000000000002"/>
    <x v="4"/>
  </r>
  <r>
    <n v="529"/>
    <s v="sel_devs_fsh"/>
    <n v="-0.36492000000000002"/>
    <n v="0.28682000000000002"/>
    <x v="4"/>
  </r>
  <r>
    <n v="530"/>
    <s v="sel_devs_fsh"/>
    <n v="0.45889999999999997"/>
    <n v="0.28370000000000001"/>
    <x v="4"/>
  </r>
  <r>
    <n v="531"/>
    <s v="sel_devs_fsh"/>
    <n v="0.28349000000000002"/>
    <n v="0.30104999999999998"/>
    <x v="4"/>
  </r>
  <r>
    <n v="532"/>
    <s v="sel_devs_fsh"/>
    <n v="-0.11262"/>
    <n v="0.29957"/>
    <x v="4"/>
  </r>
  <r>
    <n v="533"/>
    <s v="sel_devs_fsh"/>
    <n v="-0.18457999999999999"/>
    <n v="0.29518"/>
    <x v="4"/>
  </r>
  <r>
    <n v="534"/>
    <s v="sel_devs_fsh"/>
    <n v="-0.14524000000000001"/>
    <n v="0.30475999999999998"/>
    <x v="4"/>
  </r>
  <r>
    <n v="535"/>
    <s v="sel_devs_fsh"/>
    <n v="-0.16402"/>
    <n v="0.32262000000000002"/>
    <x v="4"/>
  </r>
  <r>
    <n v="536"/>
    <s v="sel_devs_fsh"/>
    <n v="-1.8768E-2"/>
    <n v="0.68993000000000004"/>
    <x v="4"/>
  </r>
  <r>
    <n v="537"/>
    <s v="sel_devs_fsh"/>
    <n v="0.25372"/>
    <n v="0.62097000000000002"/>
    <x v="4"/>
  </r>
  <r>
    <n v="538"/>
    <s v="sel_devs_fsh"/>
    <n v="0.70035999999999998"/>
    <n v="0.40992000000000001"/>
    <x v="4"/>
  </r>
  <r>
    <n v="539"/>
    <s v="sel_devs_fsh"/>
    <n v="-0.13808999999999999"/>
    <n v="0.30488999999999999"/>
    <x v="4"/>
  </r>
  <r>
    <n v="540"/>
    <s v="sel_devs_fsh"/>
    <n v="-0.36076999999999998"/>
    <n v="0.28153"/>
    <x v="4"/>
  </r>
  <r>
    <n v="541"/>
    <s v="sel_devs_fsh"/>
    <n v="-0.15074000000000001"/>
    <n v="0.28100000000000003"/>
    <x v="4"/>
  </r>
  <r>
    <n v="542"/>
    <s v="sel_devs_fsh"/>
    <n v="-8.7169999999999997E-2"/>
    <n v="0.28634999999999999"/>
    <x v="4"/>
  </r>
  <r>
    <n v="543"/>
    <s v="sel_devs_fsh"/>
    <n v="-5.4123999999999999E-2"/>
    <n v="0.29709000000000002"/>
    <x v="4"/>
  </r>
  <r>
    <n v="544"/>
    <s v="sel_devs_fsh"/>
    <n v="-8.6874000000000007E-2"/>
    <n v="0.30686999999999998"/>
    <x v="4"/>
  </r>
  <r>
    <n v="545"/>
    <s v="sel_devs_fsh"/>
    <n v="-5.7551999999999999E-2"/>
    <n v="0.32423000000000002"/>
    <x v="4"/>
  </r>
  <r>
    <n v="546"/>
    <s v="sel_devs_fsh"/>
    <n v="-1.7262E-2"/>
    <n v="0.68976999999999999"/>
    <x v="4"/>
  </r>
  <r>
    <n v="547"/>
    <s v="sel_devs_fsh"/>
    <n v="9.9363000000000007E-2"/>
    <n v="0.62419999999999998"/>
    <x v="4"/>
  </r>
  <r>
    <n v="548"/>
    <s v="sel_devs_fsh"/>
    <n v="-3.1206999999999999E-2"/>
    <n v="0.41815999999999998"/>
    <x v="4"/>
  </r>
  <r>
    <n v="549"/>
    <s v="sel_devs_fsh"/>
    <n v="-2.5752000000000001E-2"/>
    <n v="0.3241"/>
    <x v="4"/>
  </r>
  <r>
    <n v="550"/>
    <s v="sel_devs_fsh"/>
    <n v="-5.1174999999999998E-2"/>
    <n v="0.28691"/>
    <x v="4"/>
  </r>
  <r>
    <n v="551"/>
    <s v="sel_devs_fsh"/>
    <n v="6.4896999999999996E-2"/>
    <n v="0.27822999999999998"/>
    <x v="4"/>
  </r>
  <r>
    <n v="552"/>
    <s v="sel_devs_fsh"/>
    <n v="4.4488000000000002E-3"/>
    <n v="0.28038000000000002"/>
    <x v="4"/>
  </r>
  <r>
    <n v="553"/>
    <s v="sel_devs_fsh"/>
    <n v="-4.1640999999999997E-2"/>
    <n v="0.29037000000000002"/>
    <x v="4"/>
  </r>
  <r>
    <n v="554"/>
    <s v="sel_devs_fsh"/>
    <n v="-1.5633999999999999E-2"/>
    <n v="0.30375999999999997"/>
    <x v="4"/>
  </r>
  <r>
    <n v="555"/>
    <s v="sel_devs_fsh"/>
    <n v="1.3962E-2"/>
    <n v="0.31874999999999998"/>
    <x v="4"/>
  </r>
  <r>
    <n v="556"/>
    <s v="sel_devs_fsh"/>
    <n v="-3.0962E-2"/>
    <n v="0.68949000000000005"/>
    <x v="4"/>
  </r>
  <r>
    <n v="557"/>
    <s v="sel_devs_fsh"/>
    <n v="-0.22241"/>
    <n v="0.53373000000000004"/>
    <x v="4"/>
  </r>
  <r>
    <n v="558"/>
    <s v="sel_devs_fsh"/>
    <n v="-0.64276999999999995"/>
    <n v="0.38577"/>
    <x v="4"/>
  </r>
  <r>
    <n v="559"/>
    <s v="sel_devs_fsh"/>
    <n v="2.6311000000000001E-2"/>
    <n v="0.34210000000000002"/>
    <x v="4"/>
  </r>
  <r>
    <n v="560"/>
    <s v="sel_devs_fsh"/>
    <n v="3.8099000000000001E-2"/>
    <n v="0.30270999999999998"/>
    <x v="4"/>
  </r>
  <r>
    <n v="561"/>
    <s v="sel_devs_fsh"/>
    <n v="0.11762"/>
    <n v="0.27622000000000002"/>
    <x v="4"/>
  </r>
  <r>
    <n v="562"/>
    <s v="sel_devs_fsh"/>
    <n v="0.17172999999999999"/>
    <n v="0.27528000000000002"/>
    <x v="4"/>
  </r>
  <r>
    <n v="563"/>
    <s v="sel_devs_fsh"/>
    <n v="0.16546"/>
    <n v="0.28055000000000002"/>
    <x v="4"/>
  </r>
  <r>
    <n v="564"/>
    <s v="sel_devs_fsh"/>
    <n v="0.20705999999999999"/>
    <n v="0.29410999999999998"/>
    <x v="4"/>
  </r>
  <r>
    <n v="565"/>
    <s v="sel_devs_fsh"/>
    <n v="0.16986000000000001"/>
    <n v="0.31269000000000002"/>
    <x v="4"/>
  </r>
  <r>
    <n v="566"/>
    <s v="sel_devs_fsh"/>
    <n v="-2.7258000000000001E-2"/>
    <n v="0.68876000000000004"/>
    <x v="4"/>
  </r>
  <r>
    <n v="567"/>
    <s v="sel_devs_fsh"/>
    <n v="-0.32745000000000002"/>
    <n v="0.48277999999999999"/>
    <x v="4"/>
  </r>
  <r>
    <n v="568"/>
    <s v="sel_devs_fsh"/>
    <n v="0.11409"/>
    <n v="0.32805000000000001"/>
    <x v="4"/>
  </r>
  <r>
    <n v="569"/>
    <s v="sel_devs_fsh"/>
    <n v="2.077E-2"/>
    <n v="0.32490999999999998"/>
    <x v="4"/>
  </r>
  <r>
    <n v="570"/>
    <s v="sel_devs_fsh"/>
    <n v="-0.21207000000000001"/>
    <n v="0.33148"/>
    <x v="4"/>
  </r>
  <r>
    <n v="571"/>
    <s v="sel_devs_fsh"/>
    <n v="-0.15786"/>
    <n v="0.31008000000000002"/>
    <x v="4"/>
  </r>
  <r>
    <n v="572"/>
    <s v="sel_devs_fsh"/>
    <n v="1.2949E-2"/>
    <n v="0.28421999999999997"/>
    <x v="4"/>
  </r>
  <r>
    <n v="573"/>
    <s v="sel_devs_fsh"/>
    <n v="0.11121"/>
    <n v="0.29126999999999997"/>
    <x v="4"/>
  </r>
  <r>
    <n v="574"/>
    <s v="sel_devs_fsh"/>
    <n v="0.17338999999999999"/>
    <n v="0.31723000000000001"/>
    <x v="4"/>
  </r>
  <r>
    <n v="575"/>
    <s v="sel_devs_fsh"/>
    <n v="0.29222999999999999"/>
    <n v="0.32371"/>
    <x v="4"/>
  </r>
  <r>
    <n v="576"/>
    <s v="sel_devs_fsh"/>
    <n v="2.3237000000000001E-2"/>
    <n v="0.70704999999999996"/>
    <x v="4"/>
  </r>
  <r>
    <n v="577"/>
    <s v="sel_devs_fsh"/>
    <n v="0.12157999999999999"/>
    <n v="0.4768"/>
    <x v="4"/>
  </r>
  <r>
    <n v="578"/>
    <s v="sel_devs_fsh"/>
    <n v="-0.32507000000000003"/>
    <n v="0.36947000000000002"/>
    <x v="4"/>
  </r>
  <r>
    <n v="579"/>
    <s v="sel_devs_fsh"/>
    <n v="0.40426000000000001"/>
    <n v="0.28688999999999998"/>
    <x v="4"/>
  </r>
  <r>
    <n v="580"/>
    <s v="sel_devs_fsh"/>
    <n v="0.27090999999999998"/>
    <n v="0.32624999999999998"/>
    <x v="4"/>
  </r>
  <r>
    <n v="581"/>
    <s v="sel_devs_fsh"/>
    <n v="-0.19056999999999999"/>
    <n v="0.36087999999999998"/>
    <x v="4"/>
  </r>
  <r>
    <n v="582"/>
    <s v="sel_devs_fsh"/>
    <n v="-0.13222"/>
    <n v="0.35988999999999999"/>
    <x v="4"/>
  </r>
  <r>
    <n v="583"/>
    <s v="sel_devs_fsh"/>
    <n v="-7.9641E-3"/>
    <n v="0.31225000000000003"/>
    <x v="4"/>
  </r>
  <r>
    <n v="584"/>
    <s v="sel_devs_fsh"/>
    <n v="-5.7334999999999997E-2"/>
    <n v="0.32574999999999998"/>
    <x v="4"/>
  </r>
  <r>
    <n v="585"/>
    <s v="sel_devs_fsh"/>
    <n v="-0.10682"/>
    <n v="0.33027000000000001"/>
    <x v="4"/>
  </r>
  <r>
    <n v="586"/>
    <s v="sel_devs_fsh"/>
    <n v="-3.2265000000000002E-3"/>
    <n v="0.70123999999999997"/>
    <x v="4"/>
  </r>
  <r>
    <n v="587"/>
    <s v="sel_devs_fsh"/>
    <n v="-1.1724E-2"/>
    <n v="0.47360999999999998"/>
    <x v="4"/>
  </r>
  <r>
    <n v="588"/>
    <s v="sel_devs_fsh"/>
    <n v="-0.18744"/>
    <n v="0.37938"/>
    <x v="4"/>
  </r>
  <r>
    <n v="589"/>
    <s v="sel_devs_fsh"/>
    <n v="-0.78052999999999995"/>
    <n v="0.32374000000000003"/>
    <x v="4"/>
  </r>
  <r>
    <n v="590"/>
    <s v="sel_devs_fsh"/>
    <n v="0.27589000000000002"/>
    <n v="0.29894999999999999"/>
    <x v="4"/>
  </r>
  <r>
    <n v="591"/>
    <s v="sel_devs_fsh"/>
    <n v="0.41847000000000001"/>
    <n v="0.34315000000000001"/>
    <x v="4"/>
  </r>
  <r>
    <n v="592"/>
    <s v="sel_devs_fsh"/>
    <n v="0.19783000000000001"/>
    <n v="0.35560999999999998"/>
    <x v="4"/>
  </r>
  <r>
    <n v="593"/>
    <s v="sel_devs_fsh"/>
    <n v="4.9322999999999999E-2"/>
    <n v="0.31796000000000002"/>
    <x v="4"/>
  </r>
  <r>
    <n v="594"/>
    <s v="sel_devs_fsh"/>
    <n v="2.6138000000000002E-2"/>
    <n v="0.30839"/>
    <x v="4"/>
  </r>
  <r>
    <n v="595"/>
    <s v="sel_devs_fsh"/>
    <n v="1.5284000000000001E-2"/>
    <n v="0.32096999999999998"/>
    <x v="4"/>
  </r>
  <r>
    <n v="596"/>
    <s v="sel_devs_fsh"/>
    <n v="-6.4301999999999996E-3"/>
    <n v="0.70281000000000005"/>
    <x v="4"/>
  </r>
  <r>
    <n v="597"/>
    <s v="sel_devs_fsh"/>
    <n v="0.27361999999999997"/>
    <n v="0.54210000000000003"/>
    <x v="4"/>
  </r>
  <r>
    <n v="598"/>
    <s v="sel_devs_fsh"/>
    <n v="0.24632999999999999"/>
    <n v="0.37607000000000002"/>
    <x v="4"/>
  </r>
  <r>
    <n v="599"/>
    <s v="sel_devs_fsh"/>
    <n v="0.26752999999999999"/>
    <n v="0.33606999999999998"/>
    <x v="4"/>
  </r>
  <r>
    <n v="600"/>
    <s v="sel_devs_fsh"/>
    <n v="-0.70386000000000004"/>
    <n v="0.33750999999999998"/>
    <x v="4"/>
  </r>
  <r>
    <n v="601"/>
    <s v="sel_devs_fsh"/>
    <n v="-0.20738999999999999"/>
    <n v="0.32812999999999998"/>
    <x v="4"/>
  </r>
  <r>
    <n v="602"/>
    <s v="sel_devs_fsh"/>
    <n v="5.219E-2"/>
    <n v="0.31546000000000002"/>
    <x v="4"/>
  </r>
  <r>
    <n v="603"/>
    <s v="sel_devs_fsh"/>
    <n v="4.6247999999999997E-2"/>
    <n v="0.31413999999999997"/>
    <x v="4"/>
  </r>
  <r>
    <n v="604"/>
    <s v="sel_devs_fsh"/>
    <n v="2.2114000000000002E-2"/>
    <n v="0.31713999999999998"/>
    <x v="4"/>
  </r>
  <r>
    <n v="605"/>
    <s v="sel_devs_fsh"/>
    <n v="9.6507999999999993E-3"/>
    <n v="0.33511000000000002"/>
    <x v="4"/>
  </r>
  <r>
    <n v="606"/>
    <s v="sel_devs_fsh"/>
    <n v="6.8563999999999999E-7"/>
    <n v="0.70711000000000002"/>
    <x v="4"/>
  </r>
  <r>
    <n v="607"/>
    <s v="sel_devs_fsh"/>
    <n v="6.4760999999999996E-4"/>
    <n v="0.70733000000000001"/>
    <x v="4"/>
  </r>
  <r>
    <n v="608"/>
    <s v="sel_devs_fsh"/>
    <n v="1.3270000000000001E-2"/>
    <n v="0.71145999999999998"/>
    <x v="4"/>
  </r>
  <r>
    <n v="609"/>
    <s v="sel_devs_fsh"/>
    <n v="9.0500999999999998E-2"/>
    <n v="0.72287999999999997"/>
    <x v="4"/>
  </r>
  <r>
    <n v="610"/>
    <s v="sel_devs_fsh"/>
    <n v="0.12511"/>
    <n v="0.64285000000000003"/>
    <x v="4"/>
  </r>
  <r>
    <n v="611"/>
    <s v="sel_devs_fsh"/>
    <n v="-0.19958000000000001"/>
    <n v="0.64422000000000001"/>
    <x v="4"/>
  </r>
  <r>
    <n v="612"/>
    <s v="sel_devs_fsh"/>
    <n v="-5.2266E-2"/>
    <n v="0.41021000000000002"/>
    <x v="4"/>
  </r>
  <r>
    <n v="613"/>
    <s v="sel_devs_fsh"/>
    <n v="-3.1165000000000002E-2"/>
    <n v="0.37724000000000002"/>
    <x v="4"/>
  </r>
  <r>
    <n v="614"/>
    <s v="sel_devs_fsh"/>
    <n v="1.0776000000000001E-2"/>
    <n v="0.37397999999999998"/>
    <x v="4"/>
  </r>
  <r>
    <n v="615"/>
    <s v="sel_devs_fsh"/>
    <n v="4.2708999999999997E-2"/>
    <n v="0.40055000000000002"/>
    <x v="4"/>
  </r>
  <r>
    <n v="616"/>
    <s v="sel_devs_eit"/>
    <n v="-1.2897000000000001"/>
    <n v="0.81364000000000003"/>
    <x v="5"/>
  </r>
  <r>
    <n v="617"/>
    <s v="sel_devs_eit"/>
    <n v="0.34638000000000002"/>
    <n v="1.3606"/>
    <x v="5"/>
  </r>
  <r>
    <n v="618"/>
    <s v="sel_devs_eit"/>
    <n v="1.1549"/>
    <n v="1.5085"/>
    <x v="5"/>
  </r>
  <r>
    <n v="619"/>
    <s v="sel_devs_eit"/>
    <n v="0.97138999999999998"/>
    <n v="1.5215000000000001"/>
    <x v="5"/>
  </r>
  <r>
    <n v="620"/>
    <s v="sel_devs_eit"/>
    <n v="0.98565000000000003"/>
    <n v="2.2650999999999999"/>
    <x v="5"/>
  </r>
  <r>
    <n v="621"/>
    <s v="sel_devs_eit"/>
    <n v="0.85758999999999996"/>
    <n v="1.1288"/>
    <x v="5"/>
  </r>
  <r>
    <n v="622"/>
    <s v="sel_devs_eit"/>
    <n v="0.72382000000000002"/>
    <n v="0.93715999999999999"/>
    <x v="5"/>
  </r>
  <r>
    <n v="623"/>
    <s v="sel_devs_eit"/>
    <n v="0.16073999999999999"/>
    <n v="0.62124000000000001"/>
    <x v="5"/>
  </r>
  <r>
    <n v="624"/>
    <s v="sel_devs_eit"/>
    <n v="0.10649"/>
    <n v="0.62258000000000002"/>
    <x v="5"/>
  </r>
  <r>
    <n v="625"/>
    <s v="sel_devs_eit"/>
    <n v="0.15709000000000001"/>
    <n v="0.62280000000000002"/>
    <x v="5"/>
  </r>
  <r>
    <n v="626"/>
    <s v="sel_devs_eit"/>
    <n v="0.15354000000000001"/>
    <n v="0.629"/>
    <x v="5"/>
  </r>
  <r>
    <n v="627"/>
    <s v="sel_devs_eit"/>
    <n v="0.21038999999999999"/>
    <n v="0.63082000000000005"/>
    <x v="5"/>
  </r>
  <r>
    <n v="628"/>
    <s v="sel_devs_eit"/>
    <n v="0.24393999999999999"/>
    <n v="0.63183"/>
    <x v="5"/>
  </r>
  <r>
    <n v="629"/>
    <s v="sel_devs_eit"/>
    <n v="0.28426000000000001"/>
    <n v="0.60846"/>
    <x v="5"/>
  </r>
  <r>
    <n v="630"/>
    <s v="sel_devs_eit"/>
    <n v="-3.7088999999999998E-3"/>
    <n v="0.65947"/>
    <x v="5"/>
  </r>
  <r>
    <n v="631"/>
    <s v="sel_devs_eit"/>
    <n v="-8.4378999999999996E-2"/>
    <n v="0.65798000000000001"/>
    <x v="5"/>
  </r>
  <r>
    <n v="632"/>
    <s v="sel_devs_eit"/>
    <n v="-7.5644000000000003E-2"/>
    <n v="0.65786"/>
    <x v="5"/>
  </r>
  <r>
    <n v="633"/>
    <s v="sel_devs_eit"/>
    <n v="7.3593000000000006E-2"/>
    <n v="0.66320000000000001"/>
    <x v="5"/>
  </r>
  <r>
    <n v="634"/>
    <s v="sel_devs_eit"/>
    <n v="6.3493999999999995E-2"/>
    <n v="0.66508999999999996"/>
    <x v="5"/>
  </r>
  <r>
    <n v="635"/>
    <s v="sel_devs_eit"/>
    <n v="0.17432"/>
    <n v="0.66529000000000005"/>
    <x v="5"/>
  </r>
  <r>
    <n v="636"/>
    <s v="sel_devs_eit"/>
    <n v="0.23132"/>
    <n v="0.64534000000000002"/>
    <x v="5"/>
  </r>
  <r>
    <n v="637"/>
    <s v="sel_devs_eit"/>
    <n v="4.922E-2"/>
    <n v="0.64966000000000002"/>
    <x v="5"/>
  </r>
  <r>
    <n v="638"/>
    <s v="sel_devs_eit"/>
    <n v="5.4008E-2"/>
    <n v="0.65078999999999998"/>
    <x v="5"/>
  </r>
  <r>
    <n v="639"/>
    <s v="sel_devs_eit"/>
    <n v="6.8428000000000003E-2"/>
    <n v="0.65036000000000005"/>
    <x v="5"/>
  </r>
  <r>
    <n v="640"/>
    <s v="sel_devs_eit"/>
    <n v="9.7185999999999995E-2"/>
    <n v="0.65112000000000003"/>
    <x v="5"/>
  </r>
  <r>
    <n v="641"/>
    <s v="sel_devs_eit"/>
    <n v="9.9181000000000005E-2"/>
    <n v="0.65146000000000004"/>
    <x v="5"/>
  </r>
  <r>
    <n v="642"/>
    <s v="sel_devs_eit"/>
    <n v="0.13375999999999999"/>
    <n v="0.65144999999999997"/>
    <x v="5"/>
  </r>
  <r>
    <n v="643"/>
    <s v="sel_devs_eit"/>
    <n v="0.13546"/>
    <n v="0.64559999999999995"/>
    <x v="5"/>
  </r>
  <r>
    <n v="644"/>
    <s v="sel_devs_eit"/>
    <n v="7.7395000000000005E-2"/>
    <n v="0.65329000000000004"/>
    <x v="5"/>
  </r>
  <r>
    <n v="645"/>
    <s v="sel_devs_eit"/>
    <n v="7.1152999999999994E-2"/>
    <n v="0.65481999999999996"/>
    <x v="5"/>
  </r>
  <r>
    <n v="646"/>
    <s v="sel_devs_eit"/>
    <n v="4.9354000000000002E-2"/>
    <n v="0.65427999999999997"/>
    <x v="5"/>
  </r>
  <r>
    <n v="647"/>
    <s v="sel_devs_eit"/>
    <n v="7.1395E-2"/>
    <n v="0.65515999999999996"/>
    <x v="5"/>
  </r>
  <r>
    <n v="648"/>
    <s v="sel_devs_eit"/>
    <n v="7.7457999999999999E-2"/>
    <n v="0.65556000000000003"/>
    <x v="5"/>
  </r>
  <r>
    <n v="649"/>
    <s v="sel_devs_eit"/>
    <n v="0.11432"/>
    <n v="0.65539999999999998"/>
    <x v="5"/>
  </r>
  <r>
    <n v="650"/>
    <s v="sel_devs_eit"/>
    <n v="0.11667"/>
    <n v="0.64964999999999995"/>
    <x v="5"/>
  </r>
  <r>
    <n v="651"/>
    <s v="sel_devs_eit"/>
    <n v="0.11713999999999999"/>
    <n v="0.65007000000000004"/>
    <x v="5"/>
  </r>
  <r>
    <n v="652"/>
    <s v="sel_devs_eit"/>
    <n v="0.11606"/>
    <n v="0.64975000000000005"/>
    <x v="5"/>
  </r>
  <r>
    <n v="653"/>
    <s v="sel_devs_eit"/>
    <n v="0.10452"/>
    <n v="0.64997000000000005"/>
    <x v="5"/>
  </r>
  <r>
    <n v="654"/>
    <s v="sel_devs_eit"/>
    <n v="8.0246999999999999E-2"/>
    <n v="0.65027000000000001"/>
    <x v="5"/>
  </r>
  <r>
    <n v="655"/>
    <s v="sel_devs_eit"/>
    <n v="7.3866000000000001E-2"/>
    <n v="0.65085999999999999"/>
    <x v="5"/>
  </r>
  <r>
    <n v="656"/>
    <s v="sel_devs_eit"/>
    <n v="0.10753"/>
    <n v="0.65068000000000004"/>
    <x v="5"/>
  </r>
  <r>
    <n v="657"/>
    <s v="sel_devs_eit"/>
    <n v="0.10224999999999999"/>
    <n v="0.64441999999999999"/>
    <x v="5"/>
  </r>
  <r>
    <n v="658"/>
    <s v="sel_devs_eit"/>
    <n v="9.8716999999999999E-2"/>
    <n v="0.64007999999999998"/>
    <x v="5"/>
  </r>
  <r>
    <n v="659"/>
    <s v="sel_devs_eit"/>
    <n v="0.16520000000000001"/>
    <n v="0.63976"/>
    <x v="5"/>
  </r>
  <r>
    <n v="660"/>
    <s v="sel_devs_eit"/>
    <n v="0.14943999999999999"/>
    <n v="0.63995000000000002"/>
    <x v="5"/>
  </r>
  <r>
    <n v="661"/>
    <s v="sel_devs_eit"/>
    <n v="0.1134"/>
    <n v="0.64056999999999997"/>
    <x v="5"/>
  </r>
  <r>
    <n v="662"/>
    <s v="sel_devs_eit"/>
    <n v="9.4407000000000005E-2"/>
    <n v="0.64105000000000001"/>
    <x v="5"/>
  </r>
  <r>
    <n v="663"/>
    <s v="sel_devs_eit"/>
    <n v="0.11837"/>
    <n v="0.64080000000000004"/>
    <x v="5"/>
  </r>
  <r>
    <n v="664"/>
    <s v="sel_devs_eit"/>
    <n v="0.10407"/>
    <n v="0.63431000000000004"/>
    <x v="5"/>
  </r>
  <r>
    <n v="665"/>
    <s v="sel_devs_eit"/>
    <n v="0.11498"/>
    <n v="0.63541999999999998"/>
    <x v="5"/>
  </r>
  <r>
    <n v="666"/>
    <s v="sel_devs_eit"/>
    <n v="0.1235"/>
    <n v="0.63473000000000002"/>
    <x v="5"/>
  </r>
  <r>
    <n v="667"/>
    <s v="sel_devs_eit"/>
    <n v="0.15748000000000001"/>
    <n v="0.63485000000000003"/>
    <x v="5"/>
  </r>
  <r>
    <n v="668"/>
    <s v="sel_devs_eit"/>
    <n v="0.12046"/>
    <n v="0.63553000000000004"/>
    <x v="5"/>
  </r>
  <r>
    <n v="669"/>
    <s v="sel_devs_eit"/>
    <n v="0.11713"/>
    <n v="0.63590999999999998"/>
    <x v="5"/>
  </r>
  <r>
    <n v="670"/>
    <s v="sel_devs_eit"/>
    <n v="0.10606"/>
    <n v="0.63619999999999999"/>
    <x v="5"/>
  </r>
  <r>
    <n v="671"/>
    <s v="sel_devs_eit"/>
    <n v="0.11438"/>
    <n v="0.62966"/>
    <x v="5"/>
  </r>
  <r>
    <n v="672"/>
    <s v="sel_devs_eit"/>
    <n v="0.15654999999999999"/>
    <n v="0.63214000000000004"/>
    <x v="5"/>
  </r>
  <r>
    <n v="673"/>
    <s v="sel_devs_eit"/>
    <n v="0.14971999999999999"/>
    <n v="0.63180000000000003"/>
    <x v="5"/>
  </r>
  <r>
    <n v="674"/>
    <s v="sel_devs_eit"/>
    <n v="0.11813"/>
    <n v="0.63185999999999998"/>
    <x v="5"/>
  </r>
  <r>
    <n v="675"/>
    <s v="sel_devs_eit"/>
    <n v="0.13109000000000001"/>
    <n v="0.63253000000000004"/>
    <x v="5"/>
  </r>
  <r>
    <n v="676"/>
    <s v="sel_devs_eit"/>
    <n v="0.12684999999999999"/>
    <n v="0.63282000000000005"/>
    <x v="5"/>
  </r>
  <r>
    <n v="677"/>
    <s v="sel_devs_eit"/>
    <n v="0.11307"/>
    <n v="0.63314999999999999"/>
    <x v="5"/>
  </r>
  <r>
    <n v="678"/>
    <s v="sel_devs_eit"/>
    <n v="0.11550000000000001"/>
    <n v="0.62685999999999997"/>
    <x v="5"/>
  </r>
  <r>
    <n v="679"/>
    <s v="sel_devs_eit"/>
    <n v="6.3767000000000004E-2"/>
    <n v="0.64034000000000002"/>
    <x v="5"/>
  </r>
  <r>
    <n v="680"/>
    <s v="sel_devs_eit"/>
    <n v="2.9606E-2"/>
    <n v="0.64080000000000004"/>
    <x v="5"/>
  </r>
  <r>
    <n v="681"/>
    <s v="sel_devs_eit"/>
    <n v="0.10355"/>
    <n v="0.64087000000000005"/>
    <x v="5"/>
  </r>
  <r>
    <n v="682"/>
    <s v="sel_devs_eit"/>
    <n v="0.12709000000000001"/>
    <n v="0.64171"/>
    <x v="5"/>
  </r>
  <r>
    <n v="683"/>
    <s v="sel_devs_eit"/>
    <n v="0.12581999999999999"/>
    <n v="0.64200000000000002"/>
    <x v="5"/>
  </r>
  <r>
    <n v="684"/>
    <s v="sel_devs_eit"/>
    <n v="0.11548"/>
    <n v="0.64253000000000005"/>
    <x v="5"/>
  </r>
  <r>
    <n v="685"/>
    <s v="sel_devs_eit"/>
    <n v="0.11858"/>
    <n v="0.63690999999999998"/>
    <x v="5"/>
  </r>
  <r>
    <n v="686"/>
    <s v="sel_devs_eit"/>
    <n v="0.12604000000000001"/>
    <n v="0.63843000000000005"/>
    <x v="5"/>
  </r>
  <r>
    <n v="687"/>
    <s v="sel_devs_eit"/>
    <n v="0.10680000000000001"/>
    <n v="0.63863999999999999"/>
    <x v="5"/>
  </r>
  <r>
    <n v="688"/>
    <s v="sel_devs_eit"/>
    <n v="8.2290000000000002E-2"/>
    <n v="0.63851999999999998"/>
    <x v="5"/>
  </r>
  <r>
    <n v="689"/>
    <s v="sel_devs_eit"/>
    <n v="9.8414000000000001E-2"/>
    <n v="0.63859999999999995"/>
    <x v="5"/>
  </r>
  <r>
    <n v="690"/>
    <s v="sel_devs_eit"/>
    <n v="0.10816000000000001"/>
    <n v="0.63863000000000003"/>
    <x v="5"/>
  </r>
  <r>
    <n v="691"/>
    <s v="sel_devs_eit"/>
    <n v="0.10642"/>
    <n v="0.63871999999999995"/>
    <x v="5"/>
  </r>
  <r>
    <n v="692"/>
    <s v="sel_devs_eit"/>
    <n v="0.10786"/>
    <n v="0.63719000000000003"/>
    <x v="5"/>
  </r>
  <r>
    <n v="693"/>
    <s v="sel_devs_eit"/>
    <n v="0.13597000000000001"/>
    <n v="0.63885000000000003"/>
    <x v="5"/>
  </r>
  <r>
    <n v="694"/>
    <s v="sel_devs_eit"/>
    <n v="0.11685"/>
    <n v="0.63934000000000002"/>
    <x v="5"/>
  </r>
  <r>
    <n v="695"/>
    <s v="sel_devs_eit"/>
    <n v="9.1847999999999999E-2"/>
    <n v="0.63924000000000003"/>
    <x v="5"/>
  </r>
  <r>
    <n v="696"/>
    <s v="sel_devs_eit"/>
    <n v="9.7240999999999994E-2"/>
    <n v="0.63941000000000003"/>
    <x v="5"/>
  </r>
  <r>
    <n v="697"/>
    <s v="sel_devs_eit"/>
    <n v="9.9804000000000004E-2"/>
    <n v="0.63941999999999999"/>
    <x v="5"/>
  </r>
  <r>
    <n v="698"/>
    <s v="sel_devs_eit"/>
    <n v="0.10145999999999999"/>
    <n v="0.63953000000000004"/>
    <x v="5"/>
  </r>
  <r>
    <n v="699"/>
    <s v="sel_devs_eit"/>
    <n v="0.10544000000000001"/>
    <n v="0.63780999999999999"/>
    <x v="5"/>
  </r>
  <r>
    <n v="700"/>
    <s v="sel_devs_eit"/>
    <n v="0.12512000000000001"/>
    <n v="0.63973000000000002"/>
    <x v="5"/>
  </r>
  <r>
    <n v="701"/>
    <s v="sel_devs_eit"/>
    <n v="0.11169"/>
    <n v="0.64029000000000003"/>
    <x v="5"/>
  </r>
  <r>
    <n v="702"/>
    <s v="sel_devs_eit"/>
    <n v="9.5419000000000004E-2"/>
    <n v="0.64012999999999998"/>
    <x v="5"/>
  </r>
  <r>
    <n v="703"/>
    <s v="sel_devs_eit"/>
    <n v="0.10063"/>
    <n v="0.64034999999999997"/>
    <x v="5"/>
  </r>
  <r>
    <n v="704"/>
    <s v="sel_devs_eit"/>
    <n v="0.10203"/>
    <n v="0.64039999999999997"/>
    <x v="5"/>
  </r>
  <r>
    <n v="705"/>
    <s v="sel_devs_eit"/>
    <n v="0.10362"/>
    <n v="0.64051000000000002"/>
    <x v="5"/>
  </r>
  <r>
    <n v="706"/>
    <s v="sel_devs_eit"/>
    <n v="0.10556"/>
    <n v="0.63871"/>
    <x v="5"/>
  </r>
  <r>
    <n v="707"/>
    <s v="sel_devs_eit"/>
    <n v="0.12027"/>
    <n v="0.64093"/>
    <x v="5"/>
  </r>
  <r>
    <n v="708"/>
    <s v="sel_devs_eit"/>
    <n v="0.10707"/>
    <n v="0.64115999999999995"/>
    <x v="5"/>
  </r>
  <r>
    <n v="709"/>
    <s v="sel_devs_eit"/>
    <n v="0.10802"/>
    <n v="0.64093999999999995"/>
    <x v="5"/>
  </r>
  <r>
    <n v="710"/>
    <s v="sel_devs_eit"/>
    <n v="0.10334"/>
    <n v="0.64127999999999996"/>
    <x v="5"/>
  </r>
  <r>
    <n v="711"/>
    <s v="sel_devs_eit"/>
    <n v="0.10316"/>
    <n v="0.64132999999999996"/>
    <x v="5"/>
  </r>
  <r>
    <n v="712"/>
    <s v="sel_devs_eit"/>
    <n v="0.10453999999999999"/>
    <n v="0.64139999999999997"/>
    <x v="5"/>
  </r>
  <r>
    <n v="713"/>
    <s v="sel_devs_eit"/>
    <n v="0.10507"/>
    <n v="0.63963999999999999"/>
    <x v="5"/>
  </r>
  <r>
    <n v="714"/>
    <s v="sel_devs_eit"/>
    <n v="0.10664999999999999"/>
    <n v="0.6431"/>
    <x v="5"/>
  </r>
  <r>
    <n v="715"/>
    <s v="sel_devs_eit"/>
    <n v="0.10662000000000001"/>
    <n v="0.64317999999999997"/>
    <x v="5"/>
  </r>
  <r>
    <n v="716"/>
    <s v="sel_devs_eit"/>
    <n v="0.10173"/>
    <n v="0.64288999999999996"/>
    <x v="5"/>
  </r>
  <r>
    <n v="717"/>
    <s v="sel_devs_eit"/>
    <n v="0.10502"/>
    <n v="0.64324999999999999"/>
    <x v="5"/>
  </r>
  <r>
    <n v="718"/>
    <s v="sel_devs_eit"/>
    <n v="0.10432"/>
    <n v="0.64329999999999998"/>
    <x v="5"/>
  </r>
  <r>
    <n v="719"/>
    <s v="sel_devs_eit"/>
    <n v="0.10579"/>
    <n v="0.64336000000000004"/>
    <x v="5"/>
  </r>
  <r>
    <n v="720"/>
    <s v="sel_devs_eit"/>
    <n v="0.10580000000000001"/>
    <n v="0.64165000000000005"/>
    <x v="5"/>
  </r>
  <r>
    <n v="721"/>
    <s v="sel_coffs_fsh"/>
    <n v="-4.8228"/>
    <n v="1.3179000000000001"/>
    <x v="4"/>
  </r>
  <r>
    <n v="722"/>
    <s v="sel_coffs_fsh"/>
    <n v="-2.3752"/>
    <n v="0.75634999999999997"/>
    <x v="4"/>
  </r>
  <r>
    <n v="723"/>
    <s v="sel_coffs_fsh"/>
    <n v="-1.2419"/>
    <n v="0.58889000000000002"/>
    <x v="4"/>
  </r>
  <r>
    <n v="724"/>
    <s v="sel_coffs_fsh"/>
    <n v="0.34564"/>
    <n v="0.58772000000000002"/>
    <x v="4"/>
  </r>
  <r>
    <n v="725"/>
    <s v="sel_coffs_fsh"/>
    <n v="0.39751999999999998"/>
    <n v="0.32205"/>
    <x v="4"/>
  </r>
  <r>
    <n v="726"/>
    <s v="sel_coffs_fsh"/>
    <n v="0.39282"/>
    <n v="0.29114000000000001"/>
    <x v="4"/>
  </r>
  <r>
    <n v="727"/>
    <s v="sel_coffs_fsh"/>
    <n v="0.34809000000000001"/>
    <n v="0.28059000000000001"/>
    <x v="4"/>
  </r>
  <r>
    <n v="728"/>
    <s v="sel_coffs_fsh"/>
    <n v="0.29083999999999999"/>
    <n v="0.28487000000000001"/>
    <x v="4"/>
  </r>
  <r>
    <n v="729"/>
    <s v="sel_coffs_fsh"/>
    <n v="0.23433000000000001"/>
    <n v="0.30246000000000001"/>
    <x v="4"/>
  </r>
  <r>
    <n v="730"/>
    <s v="sel_coffs_fsh"/>
    <n v="0.19061"/>
    <n v="0.33400999999999997"/>
    <x v="4"/>
  </r>
  <r>
    <n v="731"/>
    <s v="sel_coffs_eit"/>
    <n v="1.3746"/>
    <n v="0.46283999999999997"/>
    <x v="5"/>
  </r>
  <r>
    <n v="732"/>
    <s v="sel_coffs_eit"/>
    <n v="2.1322000000000001E-2"/>
    <n v="1.1748000000000001"/>
    <x v="5"/>
  </r>
  <r>
    <n v="733"/>
    <s v="sel_coffs_eit"/>
    <n v="-0.74933000000000005"/>
    <n v="1.3514999999999999"/>
    <x v="5"/>
  </r>
  <r>
    <n v="734"/>
    <s v="sel_coffs_eit"/>
    <n v="-0.74448000000000003"/>
    <n v="1.3609"/>
    <x v="5"/>
  </r>
  <r>
    <n v="735"/>
    <s v="sel_coffs_eit"/>
    <n v="-0.87331999999999999"/>
    <n v="2.1694"/>
    <x v="5"/>
  </r>
  <r>
    <n v="736"/>
    <s v="sel_coffs_eit"/>
    <n v="-1.0078"/>
    <n v="1.1074999999999999"/>
    <x v="5"/>
  </r>
  <r>
    <n v="737"/>
    <s v="sel_coffs_eit"/>
    <n v="-1.0069999999999999"/>
    <n v="0.95631999999999995"/>
    <x v="5"/>
  </r>
  <r>
    <n v="738"/>
    <s v="sel_slp_bts"/>
    <n v="1.0790999999999999"/>
    <n v="4.9209000000000003E-2"/>
    <x v="5"/>
  </r>
  <r>
    <n v="739"/>
    <s v="sel_a50_bts"/>
    <n v="5.3186999999999998"/>
    <n v="0.15024999999999999"/>
    <x v="5"/>
  </r>
  <r>
    <n v="740"/>
    <s v="sel_age_one"/>
    <n v="-2.7385000000000002"/>
    <n v="8.6914000000000005E-2"/>
    <x v="5"/>
  </r>
  <r>
    <n v="741"/>
    <s v="sel_slp_bts_dev"/>
    <n v="-0.53908"/>
    <n v="0.18171000000000001"/>
    <x v="5"/>
  </r>
  <r>
    <n v="742"/>
    <s v="sel_slp_bts_dev"/>
    <n v="-0.1288"/>
    <n v="0.15418999999999999"/>
    <x v="5"/>
  </r>
  <r>
    <n v="743"/>
    <s v="sel_slp_bts_dev"/>
    <n v="0.10392"/>
    <n v="0.10893"/>
    <x v="5"/>
  </r>
  <r>
    <n v="744"/>
    <s v="sel_slp_bts_dev"/>
    <n v="-0.10903"/>
    <n v="0.15992999999999999"/>
    <x v="5"/>
  </r>
  <r>
    <n v="745"/>
    <s v="sel_slp_bts_dev"/>
    <n v="-0.15365999999999999"/>
    <n v="0.14152999999999999"/>
    <x v="5"/>
  </r>
  <r>
    <n v="746"/>
    <s v="sel_slp_bts_dev"/>
    <n v="-0.22578999999999999"/>
    <n v="0.14680000000000001"/>
    <x v="5"/>
  </r>
  <r>
    <n v="747"/>
    <s v="sel_slp_bts_dev"/>
    <n v="-0.31809999999999999"/>
    <n v="0.15489"/>
    <x v="5"/>
  </r>
  <r>
    <n v="748"/>
    <s v="sel_slp_bts_dev"/>
    <n v="-0.20376"/>
    <n v="0.16194"/>
    <x v="5"/>
  </r>
  <r>
    <n v="749"/>
    <s v="sel_slp_bts_dev"/>
    <n v="-3.0339999999999998E-3"/>
    <n v="0.13747000000000001"/>
    <x v="5"/>
  </r>
  <r>
    <n v="750"/>
    <s v="sel_slp_bts_dev"/>
    <n v="-8.4264000000000006E-2"/>
    <n v="0.11139"/>
    <x v="5"/>
  </r>
  <r>
    <n v="751"/>
    <s v="sel_slp_bts_dev"/>
    <n v="-5.3406000000000002E-2"/>
    <n v="0.12125"/>
    <x v="5"/>
  </r>
  <r>
    <n v="752"/>
    <s v="sel_slp_bts_dev"/>
    <n v="4.4003E-2"/>
    <n v="0.12409000000000001"/>
    <x v="5"/>
  </r>
  <r>
    <n v="753"/>
    <s v="sel_slp_bts_dev"/>
    <n v="6.8848999999999994E-2"/>
    <n v="0.10612000000000001"/>
    <x v="5"/>
  </r>
  <r>
    <n v="754"/>
    <s v="sel_slp_bts_dev"/>
    <n v="-2.6209E-2"/>
    <n v="0.11923"/>
    <x v="5"/>
  </r>
  <r>
    <n v="755"/>
    <s v="sel_slp_bts_dev"/>
    <n v="-0.13747999999999999"/>
    <n v="0.13338"/>
    <x v="5"/>
  </r>
  <r>
    <n v="756"/>
    <s v="sel_slp_bts_dev"/>
    <n v="-0.23993999999999999"/>
    <n v="0.12719"/>
    <x v="5"/>
  </r>
  <r>
    <n v="757"/>
    <s v="sel_slp_bts_dev"/>
    <n v="-0.37247999999999998"/>
    <n v="0.1134"/>
    <x v="5"/>
  </r>
  <r>
    <n v="758"/>
    <s v="sel_slp_bts_dev"/>
    <n v="-0.39449000000000001"/>
    <n v="0.12078999999999999"/>
    <x v="5"/>
  </r>
  <r>
    <n v="759"/>
    <s v="sel_slp_bts_dev"/>
    <n v="-0.28438999999999998"/>
    <n v="0.11768000000000001"/>
    <x v="5"/>
  </r>
  <r>
    <n v="760"/>
    <s v="sel_slp_bts_dev"/>
    <n v="-0.32621"/>
    <n v="0.12773999999999999"/>
    <x v="5"/>
  </r>
  <r>
    <n v="761"/>
    <s v="sel_slp_bts_dev"/>
    <n v="-0.10274999999999999"/>
    <n v="0.10296"/>
    <x v="5"/>
  </r>
  <r>
    <n v="762"/>
    <s v="sel_slp_bts_dev"/>
    <n v="9.0883000000000005E-2"/>
    <n v="0.10836"/>
    <x v="5"/>
  </r>
  <r>
    <n v="763"/>
    <s v="sel_slp_bts_dev"/>
    <n v="9.1885999999999995E-2"/>
    <n v="0.11433"/>
    <x v="5"/>
  </r>
  <r>
    <n v="764"/>
    <s v="sel_slp_bts_dev"/>
    <n v="0.14699999999999999"/>
    <n v="0.12820999999999999"/>
    <x v="5"/>
  </r>
  <r>
    <n v="765"/>
    <s v="sel_slp_bts_dev"/>
    <n v="4.8585999999999997E-2"/>
    <n v="0.13974"/>
    <x v="5"/>
  </r>
  <r>
    <n v="766"/>
    <s v="sel_slp_bts_dev"/>
    <n v="0.22192999999999999"/>
    <n v="0.13350000000000001"/>
    <x v="5"/>
  </r>
  <r>
    <n v="767"/>
    <s v="sel_slp_bts_dev"/>
    <n v="0.38479000000000002"/>
    <n v="0.121"/>
    <x v="5"/>
  </r>
  <r>
    <n v="768"/>
    <s v="sel_slp_bts_dev"/>
    <n v="0.40761999999999998"/>
    <n v="0.12947"/>
    <x v="5"/>
  </r>
  <r>
    <n v="769"/>
    <s v="sel_slp_bts_dev"/>
    <n v="0.62219000000000002"/>
    <n v="9.9264000000000005E-2"/>
    <x v="5"/>
  </r>
  <r>
    <n v="770"/>
    <s v="sel_slp_bts_dev"/>
    <n v="0.58321999999999996"/>
    <n v="0.10188"/>
    <x v="5"/>
  </r>
  <r>
    <n v="771"/>
    <s v="sel_slp_bts_dev"/>
    <n v="0.39992"/>
    <n v="0.1547"/>
    <x v="5"/>
  </r>
  <r>
    <n v="772"/>
    <s v="sel_slp_bts_dev"/>
    <n v="0.48807"/>
    <n v="0.16120000000000001"/>
    <x v="5"/>
  </r>
  <r>
    <n v="773"/>
    <s v="sel_a50_bts_dev"/>
    <n v="-0.17607999999999999"/>
    <n v="0.12966"/>
    <x v="5"/>
  </r>
  <r>
    <n v="774"/>
    <s v="sel_a50_bts_dev"/>
    <n v="-0.20438999999999999"/>
    <n v="8.3703E-2"/>
    <x v="5"/>
  </r>
  <r>
    <n v="775"/>
    <s v="sel_a50_bts_dev"/>
    <n v="-5.0673000000000003E-2"/>
    <n v="6.1090999999999999E-2"/>
    <x v="5"/>
  </r>
  <r>
    <n v="776"/>
    <s v="sel_a50_bts_dev"/>
    <n v="-8.3746000000000001E-2"/>
    <n v="7.6540999999999998E-2"/>
    <x v="5"/>
  </r>
  <r>
    <n v="777"/>
    <s v="sel_a50_bts_dev"/>
    <n v="5.9181999999999998E-2"/>
    <n v="6.8877999999999995E-2"/>
    <x v="5"/>
  </r>
  <r>
    <n v="778"/>
    <s v="sel_a50_bts_dev"/>
    <n v="3.9419000000000003E-2"/>
    <n v="5.7880000000000001E-2"/>
    <x v="5"/>
  </r>
  <r>
    <n v="779"/>
    <s v="sel_a50_bts_dev"/>
    <n v="-6.7782999999999996E-2"/>
    <n v="7.0823999999999998E-2"/>
    <x v="5"/>
  </r>
  <r>
    <n v="780"/>
    <s v="sel_a50_bts_dev"/>
    <n v="-0.13677"/>
    <n v="6.7357E-2"/>
    <x v="5"/>
  </r>
  <r>
    <n v="781"/>
    <s v="sel_a50_bts_dev"/>
    <n v="-0.10745"/>
    <n v="6.1150999999999997E-2"/>
    <x v="5"/>
  </r>
  <r>
    <n v="782"/>
    <s v="sel_a50_bts_dev"/>
    <n v="8.2346000000000003E-2"/>
    <n v="6.6765000000000005E-2"/>
    <x v="5"/>
  </r>
  <r>
    <n v="783"/>
    <s v="sel_a50_bts_dev"/>
    <n v="-1.4016000000000001E-2"/>
    <n v="6.3315999999999997E-2"/>
    <x v="5"/>
  </r>
  <r>
    <n v="784"/>
    <s v="sel_a50_bts_dev"/>
    <n v="-8.8376999999999997E-2"/>
    <n v="5.1664000000000002E-2"/>
    <x v="5"/>
  </r>
  <r>
    <n v="785"/>
    <s v="sel_a50_bts_dev"/>
    <n v="-2.4326E-2"/>
    <n v="4.7420999999999998E-2"/>
    <x v="5"/>
  </r>
  <r>
    <n v="786"/>
    <s v="sel_a50_bts_dev"/>
    <n v="5.9168999999999999E-2"/>
    <n v="6.8473000000000006E-2"/>
    <x v="5"/>
  </r>
  <r>
    <n v="787"/>
    <s v="sel_a50_bts_dev"/>
    <n v="0.18934999999999999"/>
    <n v="4.5830999999999997E-2"/>
    <x v="5"/>
  </r>
  <r>
    <n v="788"/>
    <s v="sel_a50_bts_dev"/>
    <n v="0.19914000000000001"/>
    <n v="6.2342000000000002E-2"/>
    <x v="5"/>
  </r>
  <r>
    <n v="789"/>
    <s v="sel_a50_bts_dev"/>
    <n v="0.2571"/>
    <n v="5.1278999999999998E-2"/>
    <x v="5"/>
  </r>
  <r>
    <n v="790"/>
    <s v="sel_a50_bts_dev"/>
    <n v="0.18107000000000001"/>
    <n v="6.0475000000000001E-2"/>
    <x v="5"/>
  </r>
  <r>
    <n v="791"/>
    <s v="sel_a50_bts_dev"/>
    <n v="0.11905"/>
    <n v="6.1425E-2"/>
    <x v="5"/>
  </r>
  <r>
    <n v="792"/>
    <s v="sel_a50_bts_dev"/>
    <n v="0.13500000000000001"/>
    <n v="5.5107999999999997E-2"/>
    <x v="5"/>
  </r>
  <r>
    <n v="793"/>
    <s v="sel_a50_bts_dev"/>
    <n v="5.9084999999999999E-2"/>
    <n v="5.7069000000000002E-2"/>
    <x v="5"/>
  </r>
  <r>
    <n v="794"/>
    <s v="sel_a50_bts_dev"/>
    <n v="6.4860000000000001E-2"/>
    <n v="6.5389000000000003E-2"/>
    <x v="5"/>
  </r>
  <r>
    <n v="795"/>
    <s v="sel_a50_bts_dev"/>
    <n v="8.0267000000000005E-2"/>
    <n v="4.1239999999999999E-2"/>
    <x v="5"/>
  </r>
  <r>
    <n v="796"/>
    <s v="sel_a50_bts_dev"/>
    <n v="-1.9754000000000001E-2"/>
    <n v="4.1848999999999997E-2"/>
    <x v="5"/>
  </r>
  <r>
    <n v="797"/>
    <s v="sel_a50_bts_dev"/>
    <n v="0.12342"/>
    <n v="3.9982999999999998E-2"/>
    <x v="5"/>
  </r>
  <r>
    <n v="798"/>
    <s v="sel_a50_bts_dev"/>
    <n v="-6.5164E-2"/>
    <n v="5.8193000000000002E-2"/>
    <x v="5"/>
  </r>
  <r>
    <n v="799"/>
    <s v="sel_a50_bts_dev"/>
    <n v="-5.3751E-2"/>
    <n v="5.0827999999999998E-2"/>
    <x v="5"/>
  </r>
  <r>
    <n v="800"/>
    <s v="sel_a50_bts_dev"/>
    <n v="-8.1893999999999995E-2"/>
    <n v="4.8257000000000001E-2"/>
    <x v="5"/>
  </r>
  <r>
    <n v="801"/>
    <s v="sel_a50_bts_dev"/>
    <n v="-0.20618"/>
    <n v="4.2165000000000001E-2"/>
    <x v="5"/>
  </r>
  <r>
    <n v="802"/>
    <s v="sel_a50_bts_dev"/>
    <n v="-5.1868999999999998E-2"/>
    <n v="4.1016999999999998E-2"/>
    <x v="5"/>
  </r>
  <r>
    <n v="803"/>
    <s v="sel_a50_bts_dev"/>
    <n v="-0.12064999999999999"/>
    <n v="4.9971000000000002E-2"/>
    <x v="5"/>
  </r>
  <r>
    <n v="804"/>
    <s v="sel_a50_bts_dev"/>
    <n v="-9.5604999999999996E-2"/>
    <n v="4.6080000000000003E-2"/>
    <x v="5"/>
  </r>
  <r>
    <n v="805"/>
    <s v="sel_one_bts_dev"/>
    <n v="-0.17682999999999999"/>
    <n v="0.14651"/>
    <x v="5"/>
  </r>
  <r>
    <n v="806"/>
    <s v="sel_one_bts_dev"/>
    <n v="-0.13538"/>
    <n v="0.10276"/>
    <x v="5"/>
  </r>
  <r>
    <n v="807"/>
    <s v="sel_one_bts_dev"/>
    <n v="3.0065999999999999E-2"/>
    <n v="0.11124000000000001"/>
    <x v="5"/>
  </r>
  <r>
    <n v="808"/>
    <s v="sel_one_bts_dev"/>
    <n v="-0.34239000000000003"/>
    <n v="0.12825"/>
    <x v="5"/>
  </r>
  <r>
    <n v="809"/>
    <s v="sel_one_bts_dev"/>
    <n v="-0.44792999999999999"/>
    <n v="0.12166"/>
    <x v="5"/>
  </r>
  <r>
    <n v="810"/>
    <s v="sel_one_bts_dev"/>
    <n v="-9.5398999999999998E-2"/>
    <n v="0.1154"/>
    <x v="5"/>
  </r>
  <r>
    <n v="811"/>
    <s v="sel_one_bts_dev"/>
    <n v="-0.25117"/>
    <n v="0.16697000000000001"/>
    <x v="5"/>
  </r>
  <r>
    <n v="812"/>
    <s v="sel_one_bts_dev"/>
    <n v="-8.9334999999999998E-2"/>
    <n v="0.12759000000000001"/>
    <x v="5"/>
  </r>
  <r>
    <n v="813"/>
    <s v="sel_one_bts_dev"/>
    <n v="0.16209000000000001"/>
    <n v="7.1939000000000003E-2"/>
    <x v="5"/>
  </r>
  <r>
    <n v="814"/>
    <s v="sel_one_bts_dev"/>
    <n v="-0.11463"/>
    <n v="8.6752999999999997E-2"/>
    <x v="5"/>
  </r>
  <r>
    <n v="815"/>
    <s v="sel_one_bts_dev"/>
    <n v="-9.7109999999999991E-3"/>
    <n v="8.6329000000000003E-2"/>
    <x v="5"/>
  </r>
  <r>
    <n v="816"/>
    <s v="sel_one_bts_dev"/>
    <n v="5.8026000000000001E-2"/>
    <n v="7.7024999999999996E-2"/>
    <x v="5"/>
  </r>
  <r>
    <n v="817"/>
    <s v="sel_one_bts_dev"/>
    <n v="-0.11806999999999999"/>
    <n v="0.10269"/>
    <x v="5"/>
  </r>
  <r>
    <n v="818"/>
    <s v="sel_one_bts_dev"/>
    <n v="-0.15490999999999999"/>
    <n v="0.11872000000000001"/>
    <x v="5"/>
  </r>
  <r>
    <n v="819"/>
    <s v="sel_one_bts_dev"/>
    <n v="-9.4556999999999992E-3"/>
    <n v="8.3415000000000003E-2"/>
    <x v="5"/>
  </r>
  <r>
    <n v="820"/>
    <s v="sel_one_bts_dev"/>
    <n v="-3.4139999999999997E-2"/>
    <n v="8.7695999999999996E-2"/>
    <x v="5"/>
  </r>
  <r>
    <n v="821"/>
    <s v="sel_one_bts_dev"/>
    <n v="8.6986999999999995E-2"/>
    <n v="8.9132000000000003E-2"/>
    <x v="5"/>
  </r>
  <r>
    <n v="822"/>
    <s v="sel_one_bts_dev"/>
    <n v="7.7362E-2"/>
    <n v="9.4626000000000002E-2"/>
    <x v="5"/>
  </r>
  <r>
    <n v="823"/>
    <s v="sel_one_bts_dev"/>
    <n v="0.19023000000000001"/>
    <n v="8.4782999999999997E-2"/>
    <x v="5"/>
  </r>
  <r>
    <n v="824"/>
    <s v="sel_one_bts_dev"/>
    <n v="0.11376"/>
    <n v="7.6433000000000001E-2"/>
    <x v="5"/>
  </r>
  <r>
    <n v="825"/>
    <s v="sel_one_bts_dev"/>
    <n v="0.23032"/>
    <n v="8.7400000000000005E-2"/>
    <x v="5"/>
  </r>
  <r>
    <n v="826"/>
    <s v="sel_one_bts_dev"/>
    <n v="0.32562999999999998"/>
    <n v="9.5017000000000004E-2"/>
    <x v="5"/>
  </r>
  <r>
    <n v="827"/>
    <s v="sel_one_bts_dev"/>
    <n v="6.7616999999999997E-2"/>
    <n v="0.12314"/>
    <x v="5"/>
  </r>
  <r>
    <n v="828"/>
    <s v="sel_one_bts_dev"/>
    <n v="-5.4654000000000001E-2"/>
    <n v="0.1419"/>
    <x v="5"/>
  </r>
  <r>
    <n v="829"/>
    <s v="sel_one_bts_dev"/>
    <n v="-9.5362000000000002E-2"/>
    <n v="9.5494999999999997E-2"/>
    <x v="5"/>
  </r>
  <r>
    <n v="830"/>
    <s v="sel_one_bts_dev"/>
    <n v="-0.1053"/>
    <n v="8.2730999999999999E-2"/>
    <x v="5"/>
  </r>
  <r>
    <n v="831"/>
    <s v="sel_one_bts_dev"/>
    <n v="6.7517999999999995E-2"/>
    <n v="0.10052"/>
    <x v="5"/>
  </r>
  <r>
    <n v="832"/>
    <s v="sel_one_bts_dev"/>
    <n v="0.36912"/>
    <n v="6.5370999999999999E-2"/>
    <x v="5"/>
  </r>
  <r>
    <n v="833"/>
    <s v="sel_one_bts_dev"/>
    <n v="0.31640000000000001"/>
    <n v="9.2723E-2"/>
    <x v="5"/>
  </r>
  <r>
    <n v="834"/>
    <s v="sel_one_bts_dev"/>
    <n v="9.2108999999999996E-2"/>
    <n v="8.9855000000000004E-2"/>
    <x v="5"/>
  </r>
  <r>
    <n v="835"/>
    <s v="sel_one_bts_dev"/>
    <n v="1.0784E-2"/>
    <n v="0.10537000000000001"/>
    <x v="5"/>
  </r>
  <r>
    <n v="836"/>
    <s v="sel_one_bts_dev"/>
    <n v="3.6671000000000002E-2"/>
    <n v="0.11481"/>
    <x v="5"/>
  </r>
  <r>
    <n v="837"/>
    <s v="rec_dev_future"/>
    <n v="0"/>
    <n v="0.65932999999999997"/>
    <x v="3"/>
  </r>
  <r>
    <n v="838"/>
    <s v="rec_dev_future"/>
    <n v="0"/>
    <n v="0.65932999999999997"/>
    <x v="3"/>
  </r>
  <r>
    <n v="839"/>
    <s v="rec_dev_future"/>
    <n v="0"/>
    <n v="0.65932999999999997"/>
    <x v="3"/>
  </r>
  <r>
    <n v="840"/>
    <s v="rec_dev_future"/>
    <n v="0"/>
    <n v="0.65932999999999997"/>
    <x v="3"/>
  </r>
  <r>
    <n v="841"/>
    <s v="rec_dev_future"/>
    <n v="0"/>
    <n v="0.6593299999999999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2:I9" firstHeaderRow="1" firstDataRow="1" firstDataCol="1"/>
  <pivotFields count="5">
    <pivotField showAll="0"/>
    <pivotField dataField="1" showAll="0"/>
    <pivotField showAll="0"/>
    <pivotField showAll="0"/>
    <pivotField axis="axisRow" showAll="0">
      <items count="7">
        <item x="1"/>
        <item x="3"/>
        <item x="0"/>
        <item x="2"/>
        <item x="4"/>
        <item x="5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eme1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mailto:B@age" TargetMode="External"/><Relationship Id="rId4" Type="http://schemas.openxmlformats.org/officeDocument/2006/relationships/hyperlink" Target="mailto:FB@age" TargetMode="External"/><Relationship Id="rId5" Type="http://schemas.openxmlformats.org/officeDocument/2006/relationships/hyperlink" Target="mailto:FB@age" TargetMode="External"/><Relationship Id="rId6" Type="http://schemas.openxmlformats.org/officeDocument/2006/relationships/hyperlink" Target="mailto:B@age" TargetMode="External"/><Relationship Id="rId7" Type="http://schemas.openxmlformats.org/officeDocument/2006/relationships/printerSettings" Target="../printerSettings/printerSettings1.bin"/><Relationship Id="rId8" Type="http://schemas.openxmlformats.org/officeDocument/2006/relationships/drawing" Target="../drawings/drawing27.xml"/><Relationship Id="rId1" Type="http://schemas.openxmlformats.org/officeDocument/2006/relationships/hyperlink" Target="mailto:B@age" TargetMode="External"/><Relationship Id="rId2" Type="http://schemas.openxmlformats.org/officeDocument/2006/relationships/hyperlink" Target="mailto:FB@age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E50"/>
  <sheetViews>
    <sheetView workbookViewId="0">
      <selection activeCell="S26" sqref="S26"/>
    </sheetView>
  </sheetViews>
  <sheetFormatPr baseColWidth="10" defaultColWidth="9.1640625" defaultRowHeight="15" x14ac:dyDescent="0.2"/>
  <cols>
    <col min="1" max="1" width="24" style="176" customWidth="1"/>
    <col min="2" max="16384" width="9.1640625" style="176"/>
  </cols>
  <sheetData>
    <row r="1" spans="1:5" x14ac:dyDescent="0.2">
      <c r="A1" s="176" t="s">
        <v>102</v>
      </c>
      <c r="B1" s="185" t="s">
        <v>6</v>
      </c>
      <c r="C1" s="185" t="s">
        <v>766</v>
      </c>
    </row>
    <row r="2" spans="1:5" x14ac:dyDescent="0.2">
      <c r="A2" s="176" t="s">
        <v>295</v>
      </c>
      <c r="B2" s="182">
        <v>1.50169</v>
      </c>
      <c r="C2" s="182">
        <v>1.5217400000000001</v>
      </c>
      <c r="E2" s="176">
        <f t="shared" ref="E2:E7" si="0">C2-B2</f>
        <v>2.0050000000000123E-2</v>
      </c>
    </row>
    <row r="3" spans="1:5" x14ac:dyDescent="0.2">
      <c r="A3" s="176" t="s">
        <v>118</v>
      </c>
      <c r="B3" s="182">
        <v>8.53749</v>
      </c>
      <c r="C3" s="182">
        <v>7.3386800000000001</v>
      </c>
      <c r="E3" s="176">
        <f t="shared" si="0"/>
        <v>-1.1988099999999999</v>
      </c>
    </row>
    <row r="4" spans="1:5" x14ac:dyDescent="0.2">
      <c r="A4" s="176" t="s">
        <v>119</v>
      </c>
      <c r="B4" s="182">
        <v>23.506</v>
      </c>
      <c r="C4" s="182">
        <v>22.847100000000001</v>
      </c>
      <c r="E4" s="176">
        <f t="shared" si="0"/>
        <v>-0.65889999999999915</v>
      </c>
    </row>
    <row r="5" spans="1:5" x14ac:dyDescent="0.2">
      <c r="A5" s="176" t="s">
        <v>15</v>
      </c>
      <c r="B5" s="184">
        <v>25.2926</v>
      </c>
      <c r="C5" s="184">
        <v>23.345800000000001</v>
      </c>
      <c r="E5" s="176">
        <f t="shared" si="0"/>
        <v>-1.9467999999999996</v>
      </c>
    </row>
    <row r="6" spans="1:5" x14ac:dyDescent="0.2">
      <c r="A6" s="176" t="s">
        <v>17</v>
      </c>
      <c r="B6" s="183">
        <v>20.980799999999999</v>
      </c>
      <c r="C6" s="183">
        <v>21.005500000000001</v>
      </c>
      <c r="E6" s="176">
        <f t="shared" si="0"/>
        <v>2.4700000000002831E-2</v>
      </c>
    </row>
    <row r="7" spans="1:5" x14ac:dyDescent="0.2">
      <c r="A7" s="176" t="s">
        <v>16</v>
      </c>
      <c r="B7" s="182">
        <v>9.8205600000000003E-4</v>
      </c>
      <c r="C7" s="182">
        <v>1.2172999999999999E-3</v>
      </c>
      <c r="E7" s="176">
        <f t="shared" si="0"/>
        <v>2.352439999999999E-4</v>
      </c>
    </row>
    <row r="8" spans="1:5" x14ac:dyDescent="0.2">
      <c r="B8" s="181" t="s">
        <v>280</v>
      </c>
      <c r="C8" s="181" t="s">
        <v>280</v>
      </c>
    </row>
    <row r="9" spans="1:5" x14ac:dyDescent="0.2">
      <c r="B9" s="181" t="s">
        <v>280</v>
      </c>
      <c r="C9" s="181" t="s">
        <v>280</v>
      </c>
    </row>
    <row r="10" spans="1:5" x14ac:dyDescent="0.2">
      <c r="A10" s="176" t="s">
        <v>539</v>
      </c>
      <c r="B10" s="180" t="s">
        <v>280</v>
      </c>
      <c r="C10" s="180" t="s">
        <v>280</v>
      </c>
    </row>
    <row r="11" spans="1:5" x14ac:dyDescent="0.2">
      <c r="A11" s="176" t="s">
        <v>540</v>
      </c>
      <c r="B11" s="178">
        <v>0.60406499999999996</v>
      </c>
      <c r="C11" s="178">
        <v>0.62862899999999999</v>
      </c>
      <c r="E11" s="176">
        <f>C11-B11</f>
        <v>2.456400000000003E-2</v>
      </c>
    </row>
    <row r="12" spans="1:5" x14ac:dyDescent="0.2">
      <c r="A12" s="176" t="s">
        <v>295</v>
      </c>
      <c r="B12" s="179">
        <v>1.50169</v>
      </c>
      <c r="C12" s="179">
        <v>1.5217400000000001</v>
      </c>
      <c r="E12" s="176">
        <f>C12-B12</f>
        <v>2.0050000000000123E-2</v>
      </c>
    </row>
    <row r="13" spans="1:5" x14ac:dyDescent="0.2">
      <c r="A13" s="176" t="s">
        <v>541</v>
      </c>
      <c r="B13" s="179">
        <v>8.53749</v>
      </c>
      <c r="C13" s="179">
        <v>7.3386800000000001</v>
      </c>
      <c r="E13" s="176">
        <f>C13-B13</f>
        <v>-1.1988099999999999</v>
      </c>
    </row>
    <row r="14" spans="1:5" x14ac:dyDescent="0.2">
      <c r="A14" s="176" t="s">
        <v>542</v>
      </c>
      <c r="B14" s="179">
        <v>23.506</v>
      </c>
      <c r="C14" s="179">
        <v>22.847100000000001</v>
      </c>
      <c r="E14" s="176">
        <f>C14-B14</f>
        <v>-0.65889999999999915</v>
      </c>
    </row>
    <row r="15" spans="1:5" x14ac:dyDescent="0.2">
      <c r="A15" s="176" t="s">
        <v>543</v>
      </c>
      <c r="B15" s="179">
        <v>25.2926</v>
      </c>
      <c r="C15" s="179">
        <v>23.345800000000001</v>
      </c>
      <c r="E15" s="176">
        <f>C15-B15</f>
        <v>-1.9467999999999996</v>
      </c>
    </row>
    <row r="16" spans="1:5" x14ac:dyDescent="0.2">
      <c r="A16" s="176" t="s">
        <v>280</v>
      </c>
      <c r="B16" s="177" t="s">
        <v>280</v>
      </c>
      <c r="C16" s="177" t="s">
        <v>280</v>
      </c>
    </row>
    <row r="17" spans="1:5" x14ac:dyDescent="0.2">
      <c r="A17" s="176" t="s">
        <v>794</v>
      </c>
      <c r="B17" s="178">
        <v>1.35231E-2</v>
      </c>
      <c r="C17" s="178">
        <v>1.2997999999999999E-2</v>
      </c>
      <c r="E17" s="176">
        <f>C17-B17</f>
        <v>-5.2510000000000057E-4</v>
      </c>
    </row>
    <row r="18" spans="1:5" x14ac:dyDescent="0.2">
      <c r="A18" s="176">
        <v>0</v>
      </c>
      <c r="B18" s="177" t="s">
        <v>280</v>
      </c>
      <c r="C18" s="177" t="s">
        <v>280</v>
      </c>
    </row>
    <row r="21" spans="1:5" x14ac:dyDescent="0.2">
      <c r="A21" s="176" t="s">
        <v>545</v>
      </c>
      <c r="B21" s="178">
        <v>-1000.62</v>
      </c>
      <c r="C21" s="178">
        <v>-984.47900000000004</v>
      </c>
      <c r="E21" s="176">
        <f>C21-B21</f>
        <v>16.140999999999963</v>
      </c>
    </row>
    <row r="22" spans="1:5" x14ac:dyDescent="0.2">
      <c r="A22" s="176" t="s">
        <v>546</v>
      </c>
      <c r="B22" s="178">
        <v>15.7484</v>
      </c>
      <c r="C22" s="178">
        <v>15.6729</v>
      </c>
      <c r="E22" s="176">
        <f>C22-B22</f>
        <v>-7.5499999999999901E-2</v>
      </c>
    </row>
    <row r="23" spans="1:5" x14ac:dyDescent="0.2">
      <c r="A23" s="176" t="s">
        <v>547</v>
      </c>
      <c r="B23" s="179">
        <v>-478.154</v>
      </c>
      <c r="C23" s="179">
        <v>-473.13400000000001</v>
      </c>
      <c r="E23" s="176">
        <f>C23-B23</f>
        <v>5.0199999999999818</v>
      </c>
    </row>
    <row r="24" spans="1:5" x14ac:dyDescent="0.2">
      <c r="A24" s="176" t="s">
        <v>548</v>
      </c>
      <c r="B24" s="178">
        <v>1363.8</v>
      </c>
      <c r="C24" s="178">
        <v>1362.49</v>
      </c>
      <c r="E24" s="176">
        <f>C24-B24</f>
        <v>-1.3099999999999454</v>
      </c>
    </row>
    <row r="25" spans="1:5" x14ac:dyDescent="0.2">
      <c r="A25" s="176">
        <v>0</v>
      </c>
      <c r="B25" s="177" t="s">
        <v>280</v>
      </c>
      <c r="C25" s="177" t="s">
        <v>280</v>
      </c>
    </row>
    <row r="26" spans="1:5" x14ac:dyDescent="0.2">
      <c r="A26" s="176" t="s">
        <v>549</v>
      </c>
      <c r="B26" s="177" t="s">
        <v>280</v>
      </c>
      <c r="C26" s="177" t="s">
        <v>280</v>
      </c>
    </row>
    <row r="27" spans="1:5" x14ac:dyDescent="0.2">
      <c r="A27" s="176" t="s">
        <v>551</v>
      </c>
      <c r="B27" s="178">
        <v>7.2324400000000004</v>
      </c>
      <c r="C27" s="178">
        <v>7.3259100000000004</v>
      </c>
      <c r="E27" s="176">
        <f t="shared" ref="E27:E44" si="1">C27-B27</f>
        <v>9.3469999999999942E-2</v>
      </c>
    </row>
    <row r="28" spans="1:5" x14ac:dyDescent="0.2">
      <c r="A28" s="176" t="s">
        <v>552</v>
      </c>
      <c r="B28" s="178">
        <v>7.0125500000000001</v>
      </c>
      <c r="C28" s="178">
        <v>10.442399999999999</v>
      </c>
      <c r="E28" s="176">
        <f t="shared" si="1"/>
        <v>3.4298499999999992</v>
      </c>
    </row>
    <row r="29" spans="1:5" x14ac:dyDescent="0.2">
      <c r="A29" s="176" t="s">
        <v>553</v>
      </c>
      <c r="B29" s="178">
        <v>3.12907</v>
      </c>
      <c r="C29" s="178">
        <v>3.8793700000000002</v>
      </c>
      <c r="E29" s="176">
        <f t="shared" si="1"/>
        <v>0.75030000000000019</v>
      </c>
    </row>
    <row r="30" spans="1:5" x14ac:dyDescent="0.2">
      <c r="A30" s="176" t="s">
        <v>554</v>
      </c>
      <c r="B30" s="178">
        <v>0</v>
      </c>
      <c r="C30" s="178">
        <v>0</v>
      </c>
      <c r="E30" s="176">
        <f t="shared" si="1"/>
        <v>0</v>
      </c>
    </row>
    <row r="31" spans="1:5" x14ac:dyDescent="0.2">
      <c r="A31" s="176" t="s">
        <v>555</v>
      </c>
      <c r="B31" s="178">
        <v>4.1252300000000002</v>
      </c>
      <c r="C31" s="178">
        <v>4.2111900000000002</v>
      </c>
      <c r="E31" s="176">
        <f t="shared" si="1"/>
        <v>8.5960000000000036E-2</v>
      </c>
    </row>
    <row r="32" spans="1:5" x14ac:dyDescent="0.2">
      <c r="A32" s="176" t="s">
        <v>556</v>
      </c>
      <c r="B32" s="178">
        <v>4.2606900000000003</v>
      </c>
      <c r="C32" s="178">
        <v>4.3753399999999996</v>
      </c>
      <c r="E32" s="176">
        <f t="shared" si="1"/>
        <v>0.11464999999999925</v>
      </c>
    </row>
    <row r="33" spans="1:5" x14ac:dyDescent="0.2">
      <c r="A33" s="176" t="s">
        <v>557</v>
      </c>
      <c r="B33" s="178">
        <v>0</v>
      </c>
      <c r="C33" s="178">
        <v>0</v>
      </c>
      <c r="E33" s="176">
        <f t="shared" si="1"/>
        <v>0</v>
      </c>
    </row>
    <row r="34" spans="1:5" x14ac:dyDescent="0.2">
      <c r="A34" s="176" t="s">
        <v>558</v>
      </c>
      <c r="B34" s="178">
        <v>5.2337899999999999</v>
      </c>
      <c r="C34" s="178">
        <v>4.7920699999999998</v>
      </c>
      <c r="E34" s="176">
        <f t="shared" si="1"/>
        <v>-0.44172000000000011</v>
      </c>
    </row>
    <row r="35" spans="1:5" x14ac:dyDescent="0.2">
      <c r="A35" s="176" t="s">
        <v>559</v>
      </c>
      <c r="B35" s="178">
        <v>0</v>
      </c>
      <c r="C35" s="178">
        <v>0</v>
      </c>
      <c r="E35" s="176">
        <f t="shared" si="1"/>
        <v>0</v>
      </c>
    </row>
    <row r="36" spans="1:5" x14ac:dyDescent="0.2">
      <c r="A36" s="176" t="s">
        <v>560</v>
      </c>
      <c r="B36" s="178">
        <v>1.89805</v>
      </c>
      <c r="C36" s="178">
        <v>2.0612699999999999</v>
      </c>
      <c r="E36" s="176">
        <f t="shared" si="1"/>
        <v>0.16321999999999992</v>
      </c>
    </row>
    <row r="37" spans="1:5" x14ac:dyDescent="0.2">
      <c r="A37" s="176" t="s">
        <v>561</v>
      </c>
      <c r="B37" s="178">
        <v>44.737499999999997</v>
      </c>
      <c r="C37" s="178">
        <v>36.851399999999998</v>
      </c>
      <c r="E37" s="176">
        <f t="shared" si="1"/>
        <v>-7.886099999999999</v>
      </c>
    </row>
    <row r="38" spans="1:5" x14ac:dyDescent="0.2">
      <c r="A38" s="176" t="s">
        <v>562</v>
      </c>
      <c r="B38" s="178">
        <v>18.125</v>
      </c>
      <c r="C38" s="178">
        <v>20.6601</v>
      </c>
      <c r="E38" s="176">
        <f t="shared" si="1"/>
        <v>2.5350999999999999</v>
      </c>
    </row>
    <row r="39" spans="1:5" x14ac:dyDescent="0.2">
      <c r="A39" s="176" t="s">
        <v>563</v>
      </c>
      <c r="B39" s="178">
        <v>6.44</v>
      </c>
      <c r="C39" s="178">
        <v>6.7361599999999999</v>
      </c>
      <c r="E39" s="176">
        <f t="shared" si="1"/>
        <v>0.29615999999999953</v>
      </c>
    </row>
    <row r="40" spans="1:5" x14ac:dyDescent="0.2">
      <c r="A40" s="176" t="s">
        <v>564</v>
      </c>
      <c r="B40" s="178">
        <v>2.33411E-16</v>
      </c>
      <c r="C40" s="178">
        <v>5.3738400000000004E-18</v>
      </c>
      <c r="E40" s="176">
        <f t="shared" si="1"/>
        <v>-2.2803715999999997E-16</v>
      </c>
    </row>
    <row r="41" spans="1:5" x14ac:dyDescent="0.2">
      <c r="A41" s="176" t="s">
        <v>565</v>
      </c>
      <c r="B41" s="178">
        <v>0</v>
      </c>
      <c r="C41" s="178">
        <v>0</v>
      </c>
      <c r="E41" s="176">
        <f t="shared" si="1"/>
        <v>0</v>
      </c>
    </row>
    <row r="42" spans="1:5" x14ac:dyDescent="0.2">
      <c r="A42" s="176" t="s">
        <v>566</v>
      </c>
      <c r="B42" s="178">
        <v>9.8205600000000003E-4</v>
      </c>
      <c r="C42" s="178">
        <v>1.2172999999999999E-3</v>
      </c>
      <c r="E42" s="176">
        <f t="shared" si="1"/>
        <v>2.352439999999999E-4</v>
      </c>
    </row>
    <row r="43" spans="1:5" x14ac:dyDescent="0.2">
      <c r="A43" s="176" t="s">
        <v>528</v>
      </c>
      <c r="B43" s="178">
        <v>20.980799999999999</v>
      </c>
      <c r="C43" s="178">
        <v>21.005500000000001</v>
      </c>
      <c r="E43" s="176">
        <f t="shared" si="1"/>
        <v>2.4700000000002831E-2</v>
      </c>
    </row>
    <row r="44" spans="1:5" x14ac:dyDescent="0.2">
      <c r="A44" s="176" t="s">
        <v>529</v>
      </c>
      <c r="B44" s="178">
        <v>0</v>
      </c>
      <c r="C44" s="178">
        <v>0</v>
      </c>
      <c r="E44" s="176">
        <f t="shared" si="1"/>
        <v>0</v>
      </c>
    </row>
    <row r="45" spans="1:5" x14ac:dyDescent="0.2">
      <c r="A45" s="176">
        <v>0</v>
      </c>
      <c r="B45" s="177" t="s">
        <v>280</v>
      </c>
      <c r="C45" s="177" t="s">
        <v>280</v>
      </c>
    </row>
    <row r="46" spans="1:5" x14ac:dyDescent="0.2">
      <c r="A46" s="176" t="s">
        <v>567</v>
      </c>
      <c r="B46" s="177" t="s">
        <v>280</v>
      </c>
      <c r="C46" s="177" t="s">
        <v>280</v>
      </c>
    </row>
    <row r="47" spans="1:5" x14ac:dyDescent="0.2">
      <c r="A47" s="176" t="s">
        <v>568</v>
      </c>
      <c r="B47" s="177">
        <v>-48.279000000000003</v>
      </c>
      <c r="C47" s="177">
        <v>-32.104300000000002</v>
      </c>
      <c r="E47" s="176">
        <f>C47-B47</f>
        <v>16.174700000000001</v>
      </c>
    </row>
    <row r="48" spans="1:5" x14ac:dyDescent="0.2">
      <c r="A48" s="177" t="s">
        <v>569</v>
      </c>
      <c r="B48" s="177">
        <v>67.663600000000002</v>
      </c>
      <c r="C48" s="177">
        <v>82.910499999999999</v>
      </c>
      <c r="E48" s="176">
        <f>C48-B48</f>
        <v>15.246899999999997</v>
      </c>
    </row>
    <row r="49" spans="5:5" x14ac:dyDescent="0.2">
      <c r="E49" s="176">
        <f>SUM(E47:E48)</f>
        <v>31.421599999999998</v>
      </c>
    </row>
    <row r="50" spans="5:5" x14ac:dyDescent="0.2">
      <c r="E50" s="176">
        <f>SUM(E21:E44)</f>
        <v>18.941325244000002</v>
      </c>
    </row>
  </sheetData>
  <conditionalFormatting sqref="E1:E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 enableFormatConditionsCalculation="0"/>
  <dimension ref="C2:G33"/>
  <sheetViews>
    <sheetView workbookViewId="0"/>
  </sheetViews>
  <sheetFormatPr baseColWidth="10" defaultColWidth="9.1640625" defaultRowHeight="15" x14ac:dyDescent="0.2"/>
  <cols>
    <col min="1" max="16384" width="9.1640625" style="146"/>
  </cols>
  <sheetData>
    <row r="2" spans="3:7" x14ac:dyDescent="0.2">
      <c r="C2" s="146">
        <v>3206.2</v>
      </c>
      <c r="D2" s="146">
        <v>3378.82</v>
      </c>
      <c r="F2" s="146">
        <v>3206.2</v>
      </c>
      <c r="G2" s="148"/>
    </row>
    <row r="3" spans="3:7" x14ac:dyDescent="0.2">
      <c r="C3" s="146">
        <v>3865.5</v>
      </c>
      <c r="D3" s="146">
        <v>5048.97</v>
      </c>
      <c r="F3" s="146">
        <v>3865.5</v>
      </c>
      <c r="G3" s="148"/>
    </row>
    <row r="4" spans="3:7" x14ac:dyDescent="0.2">
      <c r="C4" s="146">
        <v>3160.2</v>
      </c>
      <c r="D4" s="146">
        <v>5417.14</v>
      </c>
      <c r="F4" s="146">
        <v>3160.2</v>
      </c>
      <c r="G4" s="148"/>
    </row>
    <row r="5" spans="3:7" x14ac:dyDescent="0.2">
      <c r="C5" s="146">
        <v>3730.8</v>
      </c>
      <c r="D5" s="146">
        <v>7980.71</v>
      </c>
      <c r="F5" s="146">
        <v>3730.8</v>
      </c>
      <c r="G5" s="148"/>
    </row>
    <row r="6" spans="3:7" x14ac:dyDescent="0.2">
      <c r="C6" s="146">
        <v>2878.7</v>
      </c>
      <c r="D6" s="146">
        <v>8256.2199999999993</v>
      </c>
      <c r="F6" s="146">
        <v>2878.7</v>
      </c>
      <c r="G6" s="148"/>
    </row>
    <row r="7" spans="3:7" x14ac:dyDescent="0.2">
      <c r="C7" s="146">
        <v>3872.7</v>
      </c>
      <c r="D7" s="146">
        <v>9520.26</v>
      </c>
      <c r="F7" s="146">
        <v>3872.7</v>
      </c>
      <c r="G7" s="148"/>
    </row>
    <row r="8" spans="3:7" x14ac:dyDescent="0.2">
      <c r="C8" s="146">
        <v>1825.6</v>
      </c>
      <c r="D8" s="146">
        <v>9800.19</v>
      </c>
      <c r="F8" s="146">
        <v>1825.6</v>
      </c>
      <c r="G8" s="148"/>
    </row>
    <row r="9" spans="3:7" x14ac:dyDescent="0.2">
      <c r="C9" s="146">
        <v>3463.1</v>
      </c>
      <c r="D9" s="146">
        <v>10413.799999999999</v>
      </c>
      <c r="F9" s="146">
        <v>3463.1</v>
      </c>
      <c r="G9" s="148"/>
    </row>
    <row r="10" spans="3:7" x14ac:dyDescent="0.2">
      <c r="C10" s="146">
        <v>3029.7</v>
      </c>
      <c r="D10" s="146">
        <v>12613.2</v>
      </c>
      <c r="F10" s="146">
        <v>3029.7</v>
      </c>
      <c r="G10" s="148"/>
    </row>
    <row r="11" spans="3:7" x14ac:dyDescent="0.2">
      <c r="C11" s="146">
        <v>3082.7</v>
      </c>
      <c r="D11" s="146">
        <v>12624.8</v>
      </c>
      <c r="F11" s="146">
        <v>3082.7</v>
      </c>
      <c r="G11" s="148"/>
    </row>
    <row r="12" spans="3:7" x14ac:dyDescent="0.2">
      <c r="C12" s="146">
        <v>3506.6</v>
      </c>
      <c r="D12" s="146">
        <v>13503.4</v>
      </c>
      <c r="F12" s="146">
        <v>3506.6</v>
      </c>
      <c r="G12" s="148"/>
    </row>
    <row r="13" spans="3:7" x14ac:dyDescent="0.2">
      <c r="C13" s="146">
        <v>3124</v>
      </c>
      <c r="D13" s="146">
        <v>14668.1</v>
      </c>
      <c r="F13" s="146">
        <v>3124</v>
      </c>
      <c r="G13" s="148"/>
    </row>
    <row r="14" spans="3:7" x14ac:dyDescent="0.2">
      <c r="C14" s="146">
        <v>3475</v>
      </c>
      <c r="D14" s="146">
        <v>14907.7</v>
      </c>
      <c r="F14" s="146">
        <v>3475</v>
      </c>
      <c r="G14" s="148"/>
    </row>
    <row r="15" spans="3:7" x14ac:dyDescent="0.2">
      <c r="C15" s="146">
        <v>1645.7</v>
      </c>
      <c r="D15" s="146">
        <v>15200.5</v>
      </c>
      <c r="F15" s="146">
        <v>1645.7</v>
      </c>
      <c r="G15" s="148"/>
    </row>
    <row r="16" spans="3:7" x14ac:dyDescent="0.2">
      <c r="C16" s="146">
        <v>3218.5</v>
      </c>
      <c r="D16" s="146">
        <v>16068.6</v>
      </c>
      <c r="F16" s="146">
        <v>3218.5</v>
      </c>
      <c r="G16" s="148"/>
    </row>
    <row r="17" spans="3:7" x14ac:dyDescent="0.2">
      <c r="C17" s="146">
        <v>3241</v>
      </c>
      <c r="D17" s="146">
        <v>21336.1</v>
      </c>
      <c r="F17" s="146">
        <v>3241</v>
      </c>
      <c r="G17" s="148"/>
    </row>
    <row r="18" spans="3:7" x14ac:dyDescent="0.2">
      <c r="C18" s="146">
        <v>2085.5</v>
      </c>
      <c r="D18" s="146">
        <v>22107.5</v>
      </c>
      <c r="F18" s="146">
        <v>2085.5</v>
      </c>
      <c r="G18" s="148"/>
    </row>
    <row r="19" spans="3:7" x14ac:dyDescent="0.2">
      <c r="C19" s="146">
        <v>1132.4000000000001</v>
      </c>
      <c r="D19" s="146">
        <v>22270.1</v>
      </c>
      <c r="F19" s="146">
        <v>1132.4000000000001</v>
      </c>
      <c r="G19" s="148"/>
    </row>
    <row r="20" spans="3:7" x14ac:dyDescent="0.2">
      <c r="C20" s="146">
        <v>3682.6</v>
      </c>
      <c r="D20" s="146">
        <v>22601</v>
      </c>
      <c r="F20" s="146">
        <v>3682.6</v>
      </c>
      <c r="G20" s="148"/>
    </row>
    <row r="21" spans="3:7" x14ac:dyDescent="0.2">
      <c r="C21" s="146">
        <v>2296.6999999999998</v>
      </c>
      <c r="D21" s="146">
        <v>23656.6</v>
      </c>
      <c r="F21" s="146">
        <v>2296.6999999999998</v>
      </c>
      <c r="G21" s="148"/>
    </row>
    <row r="22" spans="3:7" x14ac:dyDescent="0.2">
      <c r="C22" s="146">
        <v>3214.8</v>
      </c>
      <c r="D22" s="146">
        <v>24732.400000000001</v>
      </c>
      <c r="F22" s="146">
        <v>3214.8</v>
      </c>
      <c r="G22" s="148"/>
    </row>
    <row r="23" spans="3:7" x14ac:dyDescent="0.2">
      <c r="C23" s="146">
        <v>872.34</v>
      </c>
      <c r="D23" s="146">
        <v>25069</v>
      </c>
      <c r="F23" s="146">
        <v>872.34</v>
      </c>
      <c r="G23" s="147">
        <v>25069</v>
      </c>
    </row>
    <row r="24" spans="3:7" x14ac:dyDescent="0.2">
      <c r="C24" s="146">
        <v>2806.5</v>
      </c>
      <c r="D24" s="146">
        <v>26159.599999999999</v>
      </c>
      <c r="F24" s="146">
        <v>2806.5</v>
      </c>
      <c r="G24" s="148"/>
    </row>
    <row r="25" spans="3:7" x14ac:dyDescent="0.2">
      <c r="C25" s="146">
        <v>986.28</v>
      </c>
      <c r="D25" s="146">
        <v>27873.3</v>
      </c>
      <c r="F25" s="146">
        <v>986.28</v>
      </c>
      <c r="G25" s="147">
        <v>27873.3</v>
      </c>
    </row>
    <row r="26" spans="3:7" x14ac:dyDescent="0.2">
      <c r="C26" s="146">
        <v>1240.3</v>
      </c>
      <c r="D26" s="146">
        <v>29860.6</v>
      </c>
      <c r="F26" s="146">
        <v>1240.3</v>
      </c>
      <c r="G26" s="147">
        <v>29860.6</v>
      </c>
    </row>
    <row r="27" spans="3:7" x14ac:dyDescent="0.2">
      <c r="C27" s="146">
        <v>3686.3</v>
      </c>
      <c r="D27" s="146">
        <v>30832.7</v>
      </c>
      <c r="F27" s="146">
        <v>3686.3</v>
      </c>
      <c r="G27" s="148"/>
    </row>
    <row r="28" spans="3:7" x14ac:dyDescent="0.2">
      <c r="C28" s="146">
        <v>3234.2</v>
      </c>
      <c r="D28" s="146">
        <v>33948.400000000001</v>
      </c>
      <c r="F28" s="146">
        <v>3234.2</v>
      </c>
      <c r="G28" s="148"/>
    </row>
    <row r="29" spans="3:7" x14ac:dyDescent="0.2">
      <c r="C29" s="146">
        <v>3265.1</v>
      </c>
      <c r="D29" s="146">
        <v>34827.300000000003</v>
      </c>
      <c r="F29" s="146">
        <v>3265.1</v>
      </c>
      <c r="G29" s="148"/>
    </row>
    <row r="30" spans="3:7" x14ac:dyDescent="0.2">
      <c r="C30" s="146">
        <v>2211.8000000000002</v>
      </c>
      <c r="D30" s="146">
        <v>47551.8</v>
      </c>
      <c r="F30" s="146">
        <v>2211.8000000000002</v>
      </c>
      <c r="G30" s="147"/>
    </row>
    <row r="31" spans="3:7" x14ac:dyDescent="0.2">
      <c r="C31" s="146">
        <v>3490</v>
      </c>
      <c r="D31" s="146">
        <v>50906.5</v>
      </c>
      <c r="F31" s="146">
        <v>3490</v>
      </c>
      <c r="G31" s="148"/>
    </row>
    <row r="32" spans="3:7" x14ac:dyDescent="0.2">
      <c r="C32" s="146">
        <v>2510.4</v>
      </c>
      <c r="D32" s="146">
        <v>51128</v>
      </c>
      <c r="F32" s="146">
        <v>2510.4</v>
      </c>
      <c r="G32" s="147"/>
    </row>
    <row r="33" spans="3:6" x14ac:dyDescent="0.2">
      <c r="C33" s="146">
        <v>895.83</v>
      </c>
      <c r="D33" s="146">
        <v>62633</v>
      </c>
      <c r="F33" s="146">
        <v>895.83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Z49"/>
  <sheetViews>
    <sheetView workbookViewId="0"/>
  </sheetViews>
  <sheetFormatPr baseColWidth="10" defaultColWidth="12.5" defaultRowHeight="18" x14ac:dyDescent="0.2"/>
  <cols>
    <col min="1" max="16384" width="12.5" style="118"/>
  </cols>
  <sheetData>
    <row r="1" spans="1:26" x14ac:dyDescent="0.2">
      <c r="A1" s="118" t="s">
        <v>477</v>
      </c>
      <c r="B1" s="118" t="s">
        <v>494</v>
      </c>
      <c r="C1" s="118" t="s">
        <v>478</v>
      </c>
      <c r="D1" s="118" t="s">
        <v>479</v>
      </c>
      <c r="E1" s="118" t="s">
        <v>498</v>
      </c>
      <c r="F1" s="118" t="s">
        <v>480</v>
      </c>
      <c r="G1" s="118" t="s">
        <v>481</v>
      </c>
      <c r="H1" s="118" t="s">
        <v>482</v>
      </c>
      <c r="I1" s="118" t="s">
        <v>483</v>
      </c>
      <c r="J1" s="118" t="s">
        <v>484</v>
      </c>
      <c r="K1" s="118" t="s">
        <v>485</v>
      </c>
      <c r="L1" s="118" t="s">
        <v>495</v>
      </c>
      <c r="M1" s="118" t="s">
        <v>496</v>
      </c>
      <c r="N1" s="118" t="s">
        <v>500</v>
      </c>
      <c r="O1" s="118" t="s">
        <v>501</v>
      </c>
      <c r="P1" s="118" t="s">
        <v>7</v>
      </c>
      <c r="Q1" s="118" t="s">
        <v>8</v>
      </c>
      <c r="R1" s="118" t="s">
        <v>486</v>
      </c>
      <c r="S1" s="118" t="s">
        <v>487</v>
      </c>
      <c r="T1" s="118" t="s">
        <v>488</v>
      </c>
      <c r="U1" s="118" t="s">
        <v>489</v>
      </c>
      <c r="V1" s="118" t="s">
        <v>490</v>
      </c>
      <c r="W1" s="118" t="s">
        <v>491</v>
      </c>
      <c r="X1" s="118" t="s">
        <v>492</v>
      </c>
      <c r="Y1" s="118" t="s">
        <v>493</v>
      </c>
      <c r="Z1" s="118" t="s">
        <v>514</v>
      </c>
    </row>
    <row r="2" spans="1:26" x14ac:dyDescent="0.2">
      <c r="A2" s="119">
        <v>4945.71</v>
      </c>
      <c r="B2" s="119">
        <v>6583.04</v>
      </c>
      <c r="C2" s="119">
        <v>0.471192</v>
      </c>
      <c r="D2" s="119">
        <v>0.48658000000000001</v>
      </c>
      <c r="E2" s="119">
        <v>939.36500000000001</v>
      </c>
      <c r="F2" s="119">
        <v>1657.43</v>
      </c>
      <c r="G2" s="119">
        <v>2037.66</v>
      </c>
      <c r="H2" s="119">
        <v>3079.39</v>
      </c>
      <c r="I2" s="119">
        <v>3029.71</v>
      </c>
      <c r="J2" s="119">
        <v>2330.38</v>
      </c>
      <c r="K2" s="119">
        <v>2406.48</v>
      </c>
      <c r="L2" s="119">
        <v>3101.88</v>
      </c>
      <c r="M2" s="119">
        <v>3203.18</v>
      </c>
      <c r="N2" s="119">
        <v>1</v>
      </c>
      <c r="O2" s="119">
        <v>1</v>
      </c>
      <c r="P2" s="119">
        <v>0.34271299999999999</v>
      </c>
      <c r="Q2" s="119">
        <v>0.331874</v>
      </c>
      <c r="R2" s="119">
        <v>50358.3</v>
      </c>
      <c r="S2" s="119">
        <v>1853.15</v>
      </c>
      <c r="T2" s="119">
        <v>47159</v>
      </c>
      <c r="U2" s="119">
        <v>2040.03</v>
      </c>
      <c r="V2" s="119">
        <v>31600.2</v>
      </c>
      <c r="W2" s="119">
        <v>1338.75</v>
      </c>
      <c r="X2" s="119">
        <v>35560.6</v>
      </c>
      <c r="Y2" s="119">
        <v>1348.06</v>
      </c>
      <c r="Z2" s="119"/>
    </row>
    <row r="3" spans="1:26" x14ac:dyDescent="0.2">
      <c r="A3" s="118" t="s">
        <v>704</v>
      </c>
      <c r="B3" s="118" t="s">
        <v>705</v>
      </c>
    </row>
    <row r="4" spans="1:26" x14ac:dyDescent="0.2">
      <c r="B4" s="118">
        <v>1110</v>
      </c>
      <c r="C4" s="118">
        <v>1054.5</v>
      </c>
      <c r="D4" s="118">
        <v>1001.78</v>
      </c>
      <c r="E4" s="118">
        <v>951.68600000000004</v>
      </c>
      <c r="F4" s="118">
        <v>904.10199999999998</v>
      </c>
      <c r="G4" s="118">
        <v>858.89700000000005</v>
      </c>
      <c r="H4" s="118">
        <v>815.952</v>
      </c>
      <c r="I4" s="118">
        <v>775.154</v>
      </c>
      <c r="J4" s="118">
        <v>736.39700000000005</v>
      </c>
      <c r="K4" s="118">
        <v>699.577</v>
      </c>
    </row>
    <row r="5" spans="1:26" x14ac:dyDescent="0.2">
      <c r="A5" s="118" t="s">
        <v>155</v>
      </c>
      <c r="B5" s="119" t="s">
        <v>706</v>
      </c>
      <c r="C5" s="119" t="s">
        <v>707</v>
      </c>
      <c r="D5" s="119" t="s">
        <v>708</v>
      </c>
      <c r="E5" s="118" t="s">
        <v>709</v>
      </c>
      <c r="F5" s="118" t="s">
        <v>710</v>
      </c>
      <c r="G5" s="118" t="s">
        <v>711</v>
      </c>
      <c r="H5" s="118" t="s">
        <v>712</v>
      </c>
      <c r="I5" s="118" t="s">
        <v>713</v>
      </c>
    </row>
    <row r="6" spans="1:26" x14ac:dyDescent="0.2">
      <c r="A6" s="118">
        <v>1110</v>
      </c>
      <c r="B6" s="119">
        <v>3151.68</v>
      </c>
      <c r="C6" s="119">
        <v>1</v>
      </c>
      <c r="D6" s="119">
        <v>2330.38</v>
      </c>
      <c r="E6" s="118">
        <v>2406.48</v>
      </c>
      <c r="F6" s="118">
        <v>3953.22</v>
      </c>
      <c r="G6" s="118">
        <v>1</v>
      </c>
      <c r="H6" s="118">
        <v>3101.88</v>
      </c>
      <c r="I6" s="118">
        <v>3203.18</v>
      </c>
    </row>
    <row r="7" spans="1:26" x14ac:dyDescent="0.2">
      <c r="A7" s="118">
        <v>1054.5</v>
      </c>
      <c r="B7" s="120">
        <v>3158.23</v>
      </c>
      <c r="C7" s="120">
        <v>1</v>
      </c>
      <c r="D7" s="120">
        <v>2330.38</v>
      </c>
      <c r="E7" s="118">
        <v>2406.48</v>
      </c>
      <c r="F7" s="118">
        <v>3983.13</v>
      </c>
      <c r="G7" s="118">
        <v>1</v>
      </c>
      <c r="H7" s="118">
        <v>3124.53</v>
      </c>
      <c r="I7" s="118">
        <v>3226.57</v>
      </c>
    </row>
    <row r="8" spans="1:26" x14ac:dyDescent="0.2">
      <c r="A8" s="118">
        <v>1001.78</v>
      </c>
      <c r="B8" s="120">
        <v>3164.4</v>
      </c>
      <c r="C8" s="120">
        <v>1</v>
      </c>
      <c r="D8" s="120">
        <v>2330.38</v>
      </c>
      <c r="E8" s="118">
        <v>2406.48</v>
      </c>
      <c r="F8" s="118">
        <v>4011.54</v>
      </c>
      <c r="G8" s="118">
        <v>1</v>
      </c>
      <c r="H8" s="118">
        <v>3146.08</v>
      </c>
      <c r="I8" s="118">
        <v>3248.82</v>
      </c>
    </row>
    <row r="9" spans="1:26" x14ac:dyDescent="0.2">
      <c r="A9" s="118">
        <v>951.68600000000004</v>
      </c>
      <c r="B9" s="119">
        <v>3170.24</v>
      </c>
      <c r="C9" s="119">
        <v>1</v>
      </c>
      <c r="D9" s="119">
        <v>2330.38</v>
      </c>
      <c r="E9" s="118">
        <v>2406.48</v>
      </c>
      <c r="F9" s="118">
        <v>4038.53</v>
      </c>
      <c r="G9" s="118">
        <v>1</v>
      </c>
      <c r="H9" s="118">
        <v>3166.57</v>
      </c>
      <c r="I9" s="118">
        <v>3269.99</v>
      </c>
    </row>
    <row r="10" spans="1:26" x14ac:dyDescent="0.2">
      <c r="A10" s="118">
        <v>904.10199999999998</v>
      </c>
      <c r="B10" s="119">
        <v>3175.75</v>
      </c>
      <c r="C10" s="119">
        <v>1</v>
      </c>
      <c r="D10" s="119">
        <v>2330.38</v>
      </c>
      <c r="E10" s="118">
        <v>2406.48</v>
      </c>
      <c r="F10" s="118">
        <v>4064.16</v>
      </c>
      <c r="G10" s="118">
        <v>1</v>
      </c>
      <c r="H10" s="118">
        <v>3186.07</v>
      </c>
      <c r="I10" s="118">
        <v>3290.11</v>
      </c>
    </row>
    <row r="11" spans="1:26" x14ac:dyDescent="0.2">
      <c r="A11" s="118">
        <v>858.89700000000005</v>
      </c>
      <c r="B11" s="119">
        <v>3180.96</v>
      </c>
      <c r="C11" s="119">
        <v>1</v>
      </c>
      <c r="D11" s="119">
        <v>2330.38</v>
      </c>
      <c r="E11" s="118">
        <v>2406.48</v>
      </c>
      <c r="F11" s="118">
        <v>4088.5</v>
      </c>
      <c r="G11" s="118">
        <v>1</v>
      </c>
      <c r="H11" s="118">
        <v>3204.6</v>
      </c>
      <c r="I11" s="118">
        <v>3309.26</v>
      </c>
    </row>
    <row r="12" spans="1:26" x14ac:dyDescent="0.2">
      <c r="A12" s="118">
        <v>815.952</v>
      </c>
      <c r="B12" s="119">
        <v>3185.89</v>
      </c>
      <c r="C12" s="119">
        <v>1</v>
      </c>
      <c r="D12" s="119">
        <v>2330.38</v>
      </c>
      <c r="E12" s="118">
        <v>2406.48</v>
      </c>
      <c r="F12" s="118">
        <v>4111.63</v>
      </c>
      <c r="G12" s="118">
        <v>1</v>
      </c>
      <c r="H12" s="118">
        <v>3222.23</v>
      </c>
      <c r="I12" s="118">
        <v>3327.46</v>
      </c>
    </row>
    <row r="13" spans="1:26" x14ac:dyDescent="0.2">
      <c r="A13" s="118">
        <v>775.154</v>
      </c>
      <c r="B13" s="119">
        <v>3190.54</v>
      </c>
      <c r="C13" s="119">
        <v>1</v>
      </c>
      <c r="D13" s="119">
        <v>2330.38</v>
      </c>
      <c r="E13" s="118">
        <v>2406.48</v>
      </c>
      <c r="F13" s="118">
        <v>4133.59</v>
      </c>
      <c r="G13" s="118">
        <v>1</v>
      </c>
      <c r="H13" s="118">
        <v>3238.99</v>
      </c>
      <c r="I13" s="118">
        <v>3344.77</v>
      </c>
    </row>
    <row r="14" spans="1:26" x14ac:dyDescent="0.2">
      <c r="A14" s="118">
        <v>736.39700000000005</v>
      </c>
      <c r="B14" s="119">
        <v>3194.95</v>
      </c>
      <c r="C14" s="119">
        <v>1</v>
      </c>
      <c r="D14" s="119">
        <v>2330.38</v>
      </c>
      <c r="E14" s="118">
        <v>2406.48</v>
      </c>
      <c r="F14" s="118">
        <v>4154.46</v>
      </c>
      <c r="G14" s="118">
        <v>1</v>
      </c>
      <c r="H14" s="118">
        <v>3254.92</v>
      </c>
      <c r="I14" s="118">
        <v>3361.22</v>
      </c>
    </row>
    <row r="15" spans="1:26" x14ac:dyDescent="0.2">
      <c r="A15" s="118">
        <v>699.577</v>
      </c>
      <c r="B15" s="119">
        <v>3199.11</v>
      </c>
      <c r="C15" s="119">
        <v>1</v>
      </c>
      <c r="D15" s="119">
        <v>2330.38</v>
      </c>
      <c r="E15" s="118">
        <v>2406.48</v>
      </c>
      <c r="F15" s="118">
        <v>4174.28</v>
      </c>
      <c r="G15" s="118">
        <v>1</v>
      </c>
      <c r="H15" s="118">
        <v>3270.07</v>
      </c>
      <c r="I15" s="118">
        <v>3376.87</v>
      </c>
    </row>
    <row r="16" spans="1:26" x14ac:dyDescent="0.2">
      <c r="B16" s="119"/>
      <c r="C16" s="119"/>
      <c r="D16" s="119"/>
    </row>
    <row r="17" spans="1:10" x14ac:dyDescent="0.2">
      <c r="A17" s="118" t="s">
        <v>208</v>
      </c>
      <c r="B17" s="119" t="s">
        <v>271</v>
      </c>
      <c r="C17" s="119" t="s">
        <v>173</v>
      </c>
      <c r="D17" s="119">
        <v>2011</v>
      </c>
      <c r="E17" s="118" t="s">
        <v>714</v>
      </c>
      <c r="F17" s="118" t="s">
        <v>715</v>
      </c>
      <c r="G17" s="118" t="s">
        <v>716</v>
      </c>
      <c r="H17" s="118" t="s">
        <v>717</v>
      </c>
      <c r="I17" s="118" t="s">
        <v>718</v>
      </c>
    </row>
    <row r="18" spans="1:10" x14ac:dyDescent="0.2">
      <c r="A18" s="118">
        <v>2011</v>
      </c>
      <c r="B18" s="120">
        <v>0.454702</v>
      </c>
      <c r="C18" s="120">
        <v>9.1227000000000003E-2</v>
      </c>
      <c r="D18" s="120"/>
    </row>
    <row r="19" spans="1:10" x14ac:dyDescent="0.2">
      <c r="A19" s="118">
        <v>2012</v>
      </c>
      <c r="B19" s="120">
        <v>0.60258199999999995</v>
      </c>
      <c r="C19" s="120">
        <v>0.13403899999999999</v>
      </c>
      <c r="D19" s="120"/>
    </row>
    <row r="20" spans="1:10" x14ac:dyDescent="0.2">
      <c r="A20" s="118">
        <v>2012</v>
      </c>
      <c r="B20" s="120">
        <v>0.60033599999999998</v>
      </c>
      <c r="C20" s="120">
        <v>0.13381199999999999</v>
      </c>
      <c r="D20" s="120"/>
    </row>
    <row r="21" spans="1:10" x14ac:dyDescent="0.2">
      <c r="A21" s="118">
        <v>2011</v>
      </c>
      <c r="B21" s="120">
        <v>0.34873700000000002</v>
      </c>
      <c r="C21" s="120">
        <v>3.6311099999999999E-2</v>
      </c>
      <c r="D21" s="120"/>
    </row>
    <row r="22" spans="1:10" x14ac:dyDescent="0.2">
      <c r="A22" s="118">
        <v>2012</v>
      </c>
      <c r="B22" s="119">
        <v>0.46215400000000001</v>
      </c>
      <c r="C22" s="119">
        <v>5.8659000000000003E-2</v>
      </c>
      <c r="D22" s="119"/>
    </row>
    <row r="23" spans="1:10" x14ac:dyDescent="0.2">
      <c r="A23" s="118">
        <v>2012</v>
      </c>
      <c r="B23" s="119">
        <v>0.46043200000000001</v>
      </c>
      <c r="C23" s="119">
        <v>5.8740000000000001E-2</v>
      </c>
      <c r="D23" s="119"/>
    </row>
    <row r="24" spans="1:10" x14ac:dyDescent="0.2">
      <c r="B24" s="119" t="s">
        <v>719</v>
      </c>
      <c r="C24" s="119" t="s">
        <v>156</v>
      </c>
      <c r="D24" s="119" t="s">
        <v>720</v>
      </c>
      <c r="E24" s="198">
        <v>0.05</v>
      </c>
      <c r="F24" s="118" t="s">
        <v>721</v>
      </c>
      <c r="G24" s="118" t="s">
        <v>722</v>
      </c>
      <c r="H24" s="118" t="s">
        <v>723</v>
      </c>
      <c r="I24" s="118" t="s">
        <v>724</v>
      </c>
      <c r="J24" s="118" t="s">
        <v>725</v>
      </c>
    </row>
    <row r="25" spans="1:10" x14ac:dyDescent="0.2">
      <c r="A25" s="118" t="s">
        <v>726</v>
      </c>
      <c r="B25" s="119">
        <v>2287.06</v>
      </c>
      <c r="C25" s="119"/>
      <c r="D25" s="119"/>
    </row>
    <row r="26" spans="1:10" x14ac:dyDescent="0.2">
      <c r="A26" s="118" t="s">
        <v>727</v>
      </c>
      <c r="B26" s="119">
        <v>2330.38</v>
      </c>
      <c r="C26" s="119"/>
      <c r="D26" s="119"/>
    </row>
    <row r="27" spans="1:10" x14ac:dyDescent="0.2">
      <c r="A27" s="118" t="s">
        <v>728</v>
      </c>
      <c r="B27" s="119">
        <v>2373.69</v>
      </c>
      <c r="C27" s="119"/>
      <c r="D27" s="119"/>
    </row>
    <row r="28" spans="1:10" x14ac:dyDescent="0.2">
      <c r="A28" s="118" t="s">
        <v>650</v>
      </c>
      <c r="B28" s="119" t="s">
        <v>729</v>
      </c>
      <c r="C28" s="119" t="s">
        <v>730</v>
      </c>
      <c r="D28" s="119" t="s">
        <v>731</v>
      </c>
    </row>
    <row r="29" spans="1:10" x14ac:dyDescent="0.2">
      <c r="A29" s="118" t="s">
        <v>726</v>
      </c>
      <c r="B29" s="119">
        <v>2287.06</v>
      </c>
      <c r="C29" s="119"/>
      <c r="D29" s="119"/>
    </row>
    <row r="30" spans="1:10" x14ac:dyDescent="0.2">
      <c r="A30" s="118" t="s">
        <v>727</v>
      </c>
      <c r="B30" s="119">
        <v>2330.38</v>
      </c>
      <c r="C30" s="119"/>
      <c r="D30" s="119"/>
    </row>
    <row r="31" spans="1:10" x14ac:dyDescent="0.2">
      <c r="A31" s="118" t="s">
        <v>728</v>
      </c>
      <c r="B31" s="118">
        <v>2373.69</v>
      </c>
    </row>
    <row r="32" spans="1:10" x14ac:dyDescent="0.2">
      <c r="A32" s="118" t="s">
        <v>732</v>
      </c>
      <c r="B32" s="118" t="s">
        <v>733</v>
      </c>
      <c r="C32" s="118" t="s">
        <v>734</v>
      </c>
    </row>
    <row r="33" spans="1:18" x14ac:dyDescent="0.2">
      <c r="A33" s="118">
        <v>1110</v>
      </c>
      <c r="B33" s="118">
        <v>5000.1099999999997</v>
      </c>
      <c r="C33" s="118">
        <v>4945.71</v>
      </c>
    </row>
    <row r="34" spans="1:18" x14ac:dyDescent="0.2">
      <c r="A34" s="118">
        <v>1054.5</v>
      </c>
      <c r="B34" s="118">
        <v>5000.1099999999997</v>
      </c>
      <c r="C34" s="118">
        <v>4945.71</v>
      </c>
    </row>
    <row r="35" spans="1:18" x14ac:dyDescent="0.2">
      <c r="A35" s="118">
        <v>1001.78</v>
      </c>
      <c r="B35" s="118">
        <v>5000.1099999999997</v>
      </c>
      <c r="C35" s="118">
        <v>4945.71</v>
      </c>
    </row>
    <row r="36" spans="1:18" x14ac:dyDescent="0.2">
      <c r="A36" s="118">
        <v>951.68600000000004</v>
      </c>
      <c r="B36" s="118">
        <v>5000.1099999999997</v>
      </c>
      <c r="C36" s="118">
        <v>4945.71</v>
      </c>
    </row>
    <row r="37" spans="1:18" x14ac:dyDescent="0.2">
      <c r="A37" s="118">
        <v>904.10199999999998</v>
      </c>
      <c r="B37" s="118">
        <v>5000.1099999999997</v>
      </c>
      <c r="C37" s="118">
        <v>4945.71</v>
      </c>
    </row>
    <row r="38" spans="1:18" x14ac:dyDescent="0.2">
      <c r="A38" s="118">
        <v>858.89700000000005</v>
      </c>
      <c r="B38" s="118">
        <v>5000.1099999999997</v>
      </c>
      <c r="C38" s="118">
        <v>4945.71</v>
      </c>
    </row>
    <row r="39" spans="1:18" x14ac:dyDescent="0.2">
      <c r="A39" s="118">
        <v>815.952</v>
      </c>
      <c r="B39" s="118">
        <v>5000.1099999999997</v>
      </c>
      <c r="C39" s="118">
        <v>4945.71</v>
      </c>
    </row>
    <row r="40" spans="1:18" x14ac:dyDescent="0.2">
      <c r="A40" s="118">
        <v>775.154</v>
      </c>
      <c r="B40" s="118">
        <v>5000.1099999999997</v>
      </c>
      <c r="C40" s="118">
        <v>4945.71</v>
      </c>
    </row>
    <row r="41" spans="1:18" x14ac:dyDescent="0.2">
      <c r="A41" s="118">
        <v>736.39700000000005</v>
      </c>
      <c r="B41" s="118">
        <v>5000.1099999999997</v>
      </c>
      <c r="C41" s="118">
        <v>4945.71</v>
      </c>
    </row>
    <row r="42" spans="1:18" x14ac:dyDescent="0.2">
      <c r="A42" s="118">
        <v>699.577</v>
      </c>
      <c r="B42" s="118">
        <v>5000.1099999999997</v>
      </c>
      <c r="C42" s="118">
        <v>4945.71</v>
      </c>
    </row>
    <row r="43" spans="1:18" x14ac:dyDescent="0.2">
      <c r="B43" s="118" t="s">
        <v>735</v>
      </c>
      <c r="C43" s="118" t="s">
        <v>736</v>
      </c>
      <c r="D43" s="118" t="s">
        <v>737</v>
      </c>
      <c r="E43" s="118" t="s">
        <v>161</v>
      </c>
      <c r="F43" s="118" t="s">
        <v>738</v>
      </c>
      <c r="G43" s="118" t="s">
        <v>739</v>
      </c>
      <c r="H43" s="118" t="s">
        <v>740</v>
      </c>
      <c r="I43" s="118" t="s">
        <v>159</v>
      </c>
      <c r="J43" s="118" t="s">
        <v>741</v>
      </c>
    </row>
    <row r="44" spans="1:18" x14ac:dyDescent="0.2">
      <c r="A44" s="118" t="s">
        <v>742</v>
      </c>
      <c r="B44" s="118" t="s">
        <v>743</v>
      </c>
      <c r="C44" s="118" t="s">
        <v>744</v>
      </c>
    </row>
    <row r="45" spans="1:18" x14ac:dyDescent="0.2">
      <c r="A45" s="118">
        <v>0</v>
      </c>
      <c r="B45" s="118">
        <v>0.471192</v>
      </c>
      <c r="C45" s="118">
        <v>0.48658000000000001</v>
      </c>
      <c r="D45" s="118">
        <v>1.3275299999999999E-4</v>
      </c>
      <c r="E45" s="118">
        <v>5.7343999999999997E-3</v>
      </c>
      <c r="F45" s="118">
        <v>7.9906099999999994E-2</v>
      </c>
      <c r="G45" s="118">
        <v>0.34948299999999999</v>
      </c>
      <c r="H45" s="118">
        <v>0.75590000000000002</v>
      </c>
      <c r="I45" s="118">
        <v>1</v>
      </c>
      <c r="J45" s="118">
        <v>0.96066300000000004</v>
      </c>
      <c r="K45" s="118">
        <v>0.92937999999999998</v>
      </c>
      <c r="L45" s="118">
        <v>0.894899</v>
      </c>
      <c r="M45" s="118">
        <v>0.86527200000000004</v>
      </c>
      <c r="N45" s="118">
        <v>0.86527200000000004</v>
      </c>
      <c r="O45" s="118">
        <v>0.86527200000000004</v>
      </c>
      <c r="P45" s="118">
        <v>0.86527200000000004</v>
      </c>
      <c r="Q45" s="118">
        <v>0.86527200000000004</v>
      </c>
      <c r="R45" s="118">
        <v>0.86527200000000004</v>
      </c>
    </row>
    <row r="46" spans="1:18" x14ac:dyDescent="0.2">
      <c r="A46" s="118">
        <v>-0.5</v>
      </c>
      <c r="B46" s="118">
        <v>0.35354600000000003</v>
      </c>
      <c r="C46" s="118">
        <v>0.36509200000000003</v>
      </c>
      <c r="D46" s="118">
        <v>2.9335799999999999E-3</v>
      </c>
      <c r="E46" s="118">
        <v>4.2820200000000003E-2</v>
      </c>
      <c r="F46" s="118">
        <v>0.214695</v>
      </c>
      <c r="G46" s="118">
        <v>0.55269100000000004</v>
      </c>
      <c r="H46" s="118">
        <v>0.87795000000000001</v>
      </c>
      <c r="I46" s="118">
        <v>0.98033199999999998</v>
      </c>
      <c r="J46" s="118">
        <v>0.94502200000000003</v>
      </c>
      <c r="K46" s="118">
        <v>0.91213900000000003</v>
      </c>
      <c r="L46" s="118">
        <v>0.88008500000000001</v>
      </c>
      <c r="M46" s="118">
        <v>0.86527200000000004</v>
      </c>
      <c r="N46" s="118">
        <v>0.86527200000000004</v>
      </c>
      <c r="O46" s="118">
        <v>0.86527200000000004</v>
      </c>
      <c r="P46" s="118">
        <v>0.86527200000000004</v>
      </c>
      <c r="Q46" s="118">
        <v>0.86527200000000004</v>
      </c>
      <c r="R46" s="118">
        <v>0.86527200000000004</v>
      </c>
    </row>
    <row r="47" spans="1:18" x14ac:dyDescent="0.2">
      <c r="A47" s="118">
        <v>-1</v>
      </c>
      <c r="B47" s="118">
        <v>0.28379700000000002</v>
      </c>
      <c r="C47" s="118">
        <v>0.29306500000000002</v>
      </c>
      <c r="D47" s="118">
        <v>5.7343999999999997E-3</v>
      </c>
      <c r="E47" s="118">
        <v>7.9906099999999994E-2</v>
      </c>
      <c r="F47" s="118">
        <v>0.34948299999999999</v>
      </c>
      <c r="G47" s="118">
        <v>0.75590000000000002</v>
      </c>
      <c r="H47" s="118">
        <v>1</v>
      </c>
      <c r="I47" s="118">
        <v>0.96066300000000004</v>
      </c>
      <c r="J47" s="118">
        <v>0.92937999999999998</v>
      </c>
      <c r="K47" s="118">
        <v>0.894899</v>
      </c>
      <c r="L47" s="118">
        <v>0.86527200000000004</v>
      </c>
      <c r="M47" s="118">
        <v>0.86527200000000004</v>
      </c>
      <c r="N47" s="118">
        <v>0.86527200000000004</v>
      </c>
      <c r="O47" s="118">
        <v>0.86527200000000004</v>
      </c>
      <c r="P47" s="118">
        <v>0.86527200000000004</v>
      </c>
      <c r="Q47" s="118">
        <v>0.86527200000000004</v>
      </c>
      <c r="R47" s="118">
        <v>0.86527200000000004</v>
      </c>
    </row>
    <row r="48" spans="1:18" x14ac:dyDescent="0.2">
      <c r="A48" s="118">
        <v>1</v>
      </c>
      <c r="B48" s="118">
        <v>0.86387800000000003</v>
      </c>
      <c r="C48" s="118">
        <v>0.89209099999999997</v>
      </c>
      <c r="D48" s="118">
        <v>1.3275299999999999E-4</v>
      </c>
      <c r="E48" s="118">
        <v>1.3275299999999999E-4</v>
      </c>
      <c r="F48" s="118">
        <v>5.7343999999999997E-3</v>
      </c>
      <c r="G48" s="118">
        <v>7.9906099999999994E-2</v>
      </c>
      <c r="H48" s="118">
        <v>0.34948299999999999</v>
      </c>
      <c r="I48" s="118">
        <v>0.75590000000000002</v>
      </c>
      <c r="J48" s="118">
        <v>1</v>
      </c>
      <c r="K48" s="118">
        <v>0.96066300000000004</v>
      </c>
      <c r="L48" s="118">
        <v>0.92937999999999998</v>
      </c>
      <c r="M48" s="118">
        <v>0.894899</v>
      </c>
      <c r="N48" s="118">
        <v>0.86527200000000004</v>
      </c>
      <c r="O48" s="118">
        <v>0.86527200000000004</v>
      </c>
      <c r="P48" s="118">
        <v>0.86527200000000004</v>
      </c>
      <c r="Q48" s="118">
        <v>0.86527200000000004</v>
      </c>
      <c r="R48" s="118">
        <v>0.86527200000000004</v>
      </c>
    </row>
    <row r="49" spans="1:18" x14ac:dyDescent="0.2">
      <c r="A49" s="118">
        <v>0.5</v>
      </c>
      <c r="B49" s="118">
        <v>0.60464399999999996</v>
      </c>
      <c r="C49" s="118">
        <v>0.62439100000000003</v>
      </c>
      <c r="D49" s="118">
        <v>1.3275299999999999E-4</v>
      </c>
      <c r="E49" s="118">
        <v>2.9335799999999999E-3</v>
      </c>
      <c r="F49" s="118">
        <v>4.2820200000000003E-2</v>
      </c>
      <c r="G49" s="118">
        <v>0.214695</v>
      </c>
      <c r="H49" s="118">
        <v>0.55269100000000004</v>
      </c>
      <c r="I49" s="118">
        <v>0.87795000000000001</v>
      </c>
      <c r="J49" s="118">
        <v>0.98033199999999998</v>
      </c>
      <c r="K49" s="118">
        <v>0.94502200000000003</v>
      </c>
      <c r="L49" s="118">
        <v>0.91213900000000003</v>
      </c>
      <c r="M49" s="118">
        <v>0.88008500000000001</v>
      </c>
      <c r="N49" s="118">
        <v>0.86527200000000004</v>
      </c>
      <c r="O49" s="118">
        <v>0.86527200000000004</v>
      </c>
      <c r="P49" s="118">
        <v>0.86527200000000004</v>
      </c>
      <c r="Q49" s="118">
        <v>0.86527200000000004</v>
      </c>
      <c r="R49" s="118">
        <v>0.86527200000000004</v>
      </c>
    </row>
  </sheetData>
  <phoneticPr fontId="3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AV150"/>
  <sheetViews>
    <sheetView workbookViewId="0"/>
  </sheetViews>
  <sheetFormatPr baseColWidth="10" defaultColWidth="8.83203125" defaultRowHeight="13" x14ac:dyDescent="0.15"/>
  <sheetData>
    <row r="1" spans="1:18" x14ac:dyDescent="0.15">
      <c r="H1" t="s">
        <v>148</v>
      </c>
      <c r="I1" t="s">
        <v>661</v>
      </c>
      <c r="J1" t="s">
        <v>361</v>
      </c>
      <c r="K1" t="s">
        <v>662</v>
      </c>
    </row>
    <row r="2" spans="1:18" x14ac:dyDescent="0.15">
      <c r="D2">
        <f>COUNT(C5,C7,C9,C13,C15,C19,C21,C23,C25,D27:Q27,D29:AV29,D43:AV43,D47:M68,D97:J109,D111:M111,D125:AD125,D127:AD127,D129:AD129,D115:J115,D149:H149,G110,C119,C121,C123)</f>
        <v>530</v>
      </c>
      <c r="F2">
        <f>D2-G2</f>
        <v>1</v>
      </c>
      <c r="G2">
        <f>SUM(H2:K2)</f>
        <v>529</v>
      </c>
      <c r="H2">
        <f>COUNT(C9,D43:AV43,D47:M68,D111:M111)</f>
        <v>276</v>
      </c>
      <c r="I2">
        <f>COUNT(C5,C7,C21,C23,D27:Q27,D29:AV29,D149:H149)</f>
        <v>68</v>
      </c>
      <c r="J2">
        <f>COUNT(C119,C121,C123,D125:AD125,D127:AD127,D129:AD129,C13:C15)</f>
        <v>86</v>
      </c>
      <c r="K2">
        <f>COUNT(D97:J109,D115:J115,C19)</f>
        <v>99</v>
      </c>
    </row>
    <row r="3" spans="1:18" ht="18" x14ac:dyDescent="0.2">
      <c r="A3" s="78">
        <v>1</v>
      </c>
      <c r="C3" t="s">
        <v>66</v>
      </c>
      <c r="D3" t="s">
        <v>68</v>
      </c>
      <c r="E3" t="s">
        <v>67</v>
      </c>
      <c r="F3" t="s">
        <v>362</v>
      </c>
      <c r="G3" t="s">
        <v>363</v>
      </c>
      <c r="H3">
        <v>530</v>
      </c>
      <c r="I3" t="s">
        <v>364</v>
      </c>
      <c r="J3" t="s">
        <v>365</v>
      </c>
      <c r="K3" t="s">
        <v>182</v>
      </c>
      <c r="L3" t="s">
        <v>363</v>
      </c>
      <c r="M3">
        <v>22.7376</v>
      </c>
      <c r="N3" t="s">
        <v>366</v>
      </c>
      <c r="O3" t="s">
        <v>367</v>
      </c>
      <c r="P3" t="s">
        <v>368</v>
      </c>
      <c r="Q3" t="s">
        <v>363</v>
      </c>
      <c r="R3" s="1">
        <v>1.4599200000000001E-5</v>
      </c>
    </row>
    <row r="4" spans="1:18" ht="18" x14ac:dyDescent="0.2">
      <c r="A4" s="78">
        <v>2</v>
      </c>
      <c r="C4" t="s">
        <v>66</v>
      </c>
      <c r="D4" t="s">
        <v>369</v>
      </c>
    </row>
    <row r="5" spans="1:18" ht="18" x14ac:dyDescent="0.2">
      <c r="A5" s="78">
        <v>3</v>
      </c>
      <c r="C5">
        <v>9.7625200061699999</v>
      </c>
    </row>
    <row r="6" spans="1:18" ht="18" x14ac:dyDescent="0.2">
      <c r="A6" s="78">
        <v>4</v>
      </c>
      <c r="C6" t="s">
        <v>66</v>
      </c>
      <c r="D6" t="s">
        <v>370</v>
      </c>
    </row>
    <row r="7" spans="1:18" ht="18" x14ac:dyDescent="0.2">
      <c r="A7" s="78">
        <v>5</v>
      </c>
      <c r="C7">
        <v>4.5691295927700004</v>
      </c>
    </row>
    <row r="8" spans="1:18" ht="18" x14ac:dyDescent="0.2">
      <c r="A8" s="78">
        <v>6</v>
      </c>
      <c r="C8" t="s">
        <v>66</v>
      </c>
      <c r="D8" t="s">
        <v>371</v>
      </c>
    </row>
    <row r="9" spans="1:18" ht="18" x14ac:dyDescent="0.2">
      <c r="A9" s="78">
        <v>7</v>
      </c>
      <c r="C9">
        <v>-1.4185930222900001</v>
      </c>
    </row>
    <row r="10" spans="1:18" ht="18" x14ac:dyDescent="0.2">
      <c r="A10" s="78">
        <v>8</v>
      </c>
      <c r="C10" t="s">
        <v>66</v>
      </c>
      <c r="D10" t="s">
        <v>372</v>
      </c>
    </row>
    <row r="11" spans="1:18" ht="18" x14ac:dyDescent="0.2">
      <c r="A11" s="78">
        <v>9</v>
      </c>
      <c r="C11">
        <v>0</v>
      </c>
    </row>
    <row r="12" spans="1:18" ht="18" x14ac:dyDescent="0.2">
      <c r="A12" s="78">
        <v>10</v>
      </c>
      <c r="C12" t="s">
        <v>66</v>
      </c>
      <c r="D12" t="s">
        <v>373</v>
      </c>
    </row>
    <row r="13" spans="1:18" ht="18" x14ac:dyDescent="0.2">
      <c r="A13" s="78">
        <v>11</v>
      </c>
      <c r="C13">
        <v>0.56717415694100004</v>
      </c>
    </row>
    <row r="14" spans="1:18" ht="18" x14ac:dyDescent="0.2">
      <c r="A14" s="78">
        <v>12</v>
      </c>
      <c r="C14" t="s">
        <v>66</v>
      </c>
      <c r="D14" t="s">
        <v>4</v>
      </c>
    </row>
    <row r="15" spans="1:18" ht="18" x14ac:dyDescent="0.2">
      <c r="A15" s="78">
        <v>13</v>
      </c>
      <c r="C15">
        <v>-0.18704901721799999</v>
      </c>
    </row>
    <row r="16" spans="1:18" ht="18" x14ac:dyDescent="0.2">
      <c r="A16" s="78">
        <v>14</v>
      </c>
      <c r="C16" t="s">
        <v>66</v>
      </c>
      <c r="D16" t="s">
        <v>374</v>
      </c>
    </row>
    <row r="17" spans="1:48" ht="18" x14ac:dyDescent="0.2">
      <c r="A17" s="78">
        <v>15</v>
      </c>
      <c r="C17">
        <v>0</v>
      </c>
    </row>
    <row r="18" spans="1:48" ht="18" x14ac:dyDescent="0.2">
      <c r="A18" s="78">
        <v>16</v>
      </c>
      <c r="C18" t="s">
        <v>66</v>
      </c>
      <c r="D18" t="s">
        <v>375</v>
      </c>
    </row>
    <row r="19" spans="1:48" ht="18" x14ac:dyDescent="0.2">
      <c r="A19" s="78">
        <v>17</v>
      </c>
      <c r="C19">
        <v>-0.86361918055099995</v>
      </c>
    </row>
    <row r="20" spans="1:48" ht="18" x14ac:dyDescent="0.2">
      <c r="A20" s="78">
        <v>18</v>
      </c>
      <c r="C20" t="s">
        <v>66</v>
      </c>
      <c r="D20" t="s">
        <v>376</v>
      </c>
    </row>
    <row r="21" spans="1:48" ht="18" x14ac:dyDescent="0.2">
      <c r="A21" s="78">
        <v>19</v>
      </c>
      <c r="C21">
        <v>9.8556706013500008</v>
      </c>
    </row>
    <row r="22" spans="1:48" ht="18" x14ac:dyDescent="0.2">
      <c r="A22" s="78">
        <v>20</v>
      </c>
      <c r="C22" t="s">
        <v>66</v>
      </c>
      <c r="D22" t="s">
        <v>377</v>
      </c>
    </row>
    <row r="23" spans="1:48" ht="18" x14ac:dyDescent="0.2">
      <c r="A23" s="78">
        <v>21</v>
      </c>
      <c r="C23">
        <v>0.66530101539599995</v>
      </c>
    </row>
    <row r="24" spans="1:48" ht="18" x14ac:dyDescent="0.2">
      <c r="A24" s="78">
        <v>22</v>
      </c>
      <c r="C24" t="s">
        <v>66</v>
      </c>
      <c r="D24" t="s">
        <v>378</v>
      </c>
    </row>
    <row r="25" spans="1:48" ht="18" x14ac:dyDescent="0.2">
      <c r="A25" s="78">
        <v>23</v>
      </c>
      <c r="C25">
        <v>-0.80440922289200001</v>
      </c>
    </row>
    <row r="26" spans="1:48" ht="18" x14ac:dyDescent="0.2">
      <c r="A26" s="78">
        <v>24</v>
      </c>
      <c r="C26" t="s">
        <v>66</v>
      </c>
      <c r="D26" t="s">
        <v>379</v>
      </c>
    </row>
    <row r="27" spans="1:48" ht="18" x14ac:dyDescent="0.2">
      <c r="A27" s="78">
        <v>25</v>
      </c>
      <c r="D27">
        <v>3.6198839771400002</v>
      </c>
      <c r="E27">
        <v>3.1280338798399998</v>
      </c>
      <c r="F27">
        <v>1.6869857418300001</v>
      </c>
      <c r="G27">
        <v>0.80977644815000005</v>
      </c>
      <c r="H27">
        <v>1.19207780746</v>
      </c>
      <c r="I27">
        <v>0.248227211915</v>
      </c>
      <c r="J27">
        <v>-0.67714266681599999</v>
      </c>
      <c r="K27">
        <v>-1.4133578541</v>
      </c>
      <c r="L27">
        <v>-1.3962975468200001</v>
      </c>
      <c r="M27">
        <v>-1.4015568083500001</v>
      </c>
      <c r="N27">
        <v>-1.41201889337</v>
      </c>
      <c r="O27">
        <v>-1.43541808788</v>
      </c>
      <c r="P27">
        <v>-1.47422920621</v>
      </c>
      <c r="Q27">
        <v>-1.4749657677600001</v>
      </c>
    </row>
    <row r="28" spans="1:48" ht="18" x14ac:dyDescent="0.2">
      <c r="A28" s="78">
        <v>26</v>
      </c>
      <c r="C28" t="s">
        <v>66</v>
      </c>
      <c r="D28" t="s">
        <v>380</v>
      </c>
    </row>
    <row r="29" spans="1:48" ht="18" x14ac:dyDescent="0.2">
      <c r="A29" s="78">
        <v>27</v>
      </c>
      <c r="D29">
        <v>-1.6149183973900001</v>
      </c>
      <c r="E29">
        <v>0.19576745174400001</v>
      </c>
      <c r="F29">
        <v>-0.30550923001300001</v>
      </c>
      <c r="G29">
        <v>0.53966773159000003</v>
      </c>
      <c r="H29">
        <v>0.399238194607</v>
      </c>
      <c r="I29">
        <v>0.520699189231</v>
      </c>
      <c r="J29">
        <v>0.224145151307</v>
      </c>
      <c r="K29">
        <v>-0.84094039001200005</v>
      </c>
      <c r="L29">
        <v>-0.61648026697299996</v>
      </c>
      <c r="M29">
        <v>0.48745867392100001</v>
      </c>
      <c r="N29">
        <v>0.191155208588</v>
      </c>
      <c r="O29">
        <v>4.0651592805500004E-3</v>
      </c>
      <c r="P29">
        <v>-0.29374621119</v>
      </c>
      <c r="Q29">
        <v>-0.23187223568000001</v>
      </c>
      <c r="R29">
        <v>0.42433709318899998</v>
      </c>
      <c r="S29">
        <v>1.2507258352799999</v>
      </c>
      <c r="T29">
        <v>0.36545498051899999</v>
      </c>
      <c r="U29">
        <v>0.50546366817999999</v>
      </c>
      <c r="V29">
        <v>-0.12875166296000001</v>
      </c>
      <c r="W29">
        <v>1.11224725816</v>
      </c>
      <c r="X29">
        <v>-0.32247224847099998</v>
      </c>
      <c r="Y29">
        <v>0.68717159891199997</v>
      </c>
      <c r="Z29">
        <v>-0.31217816204999999</v>
      </c>
      <c r="AA29">
        <v>-0.78559216063199999</v>
      </c>
      <c r="AB29">
        <v>-1.36632115415</v>
      </c>
      <c r="AC29">
        <v>-0.68911105732</v>
      </c>
      <c r="AD29">
        <v>1.04810470922</v>
      </c>
      <c r="AE29">
        <v>0.39319176912999998</v>
      </c>
      <c r="AF29">
        <v>0.18221872452999999</v>
      </c>
      <c r="AG29">
        <v>1.02884952675</v>
      </c>
      <c r="AH29">
        <v>-0.200699856531</v>
      </c>
      <c r="AI29">
        <v>-0.55968302301600004</v>
      </c>
      <c r="AJ29">
        <v>0.25727135944700003</v>
      </c>
      <c r="AK29">
        <v>0.58103489613699999</v>
      </c>
      <c r="AL29">
        <v>-0.225031691921</v>
      </c>
      <c r="AM29">
        <v>-0.101936686692</v>
      </c>
      <c r="AN29">
        <v>0.40424784757600002</v>
      </c>
      <c r="AO29">
        <v>0.60886616134899996</v>
      </c>
      <c r="AP29">
        <v>0.16965992630900001</v>
      </c>
      <c r="AQ29">
        <v>-0.34255939440099997</v>
      </c>
      <c r="AR29">
        <v>-1.0205659845599999</v>
      </c>
      <c r="AS29">
        <v>-1.32318190741</v>
      </c>
      <c r="AT29">
        <v>-0.17166031131699999</v>
      </c>
      <c r="AU29">
        <v>0.79785585832899997</v>
      </c>
      <c r="AV29">
        <v>-0.92568566872000002</v>
      </c>
    </row>
    <row r="30" spans="1:48" ht="18" x14ac:dyDescent="0.2">
      <c r="A30" s="78">
        <v>28</v>
      </c>
      <c r="C30" t="s">
        <v>66</v>
      </c>
      <c r="D30" t="s">
        <v>381</v>
      </c>
    </row>
    <row r="31" spans="1:48" ht="18" x14ac:dyDescent="0.2">
      <c r="A31" s="78">
        <v>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48" ht="18" x14ac:dyDescent="0.2">
      <c r="A32" s="78">
        <v>30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48" ht="18" x14ac:dyDescent="0.2">
      <c r="A33" s="78">
        <v>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48" ht="18" x14ac:dyDescent="0.2">
      <c r="A34" s="78">
        <v>32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48" ht="18" x14ac:dyDescent="0.2">
      <c r="A35" s="78">
        <v>33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48" ht="18" x14ac:dyDescent="0.2">
      <c r="A36" s="78">
        <v>34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48" ht="18" x14ac:dyDescent="0.2">
      <c r="A37" s="78">
        <v>35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48" ht="18" x14ac:dyDescent="0.2">
      <c r="A38" s="78">
        <v>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48" ht="18" x14ac:dyDescent="0.2">
      <c r="A39" s="78">
        <v>37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48" ht="18" x14ac:dyDescent="0.2">
      <c r="A40" s="78">
        <v>38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48" ht="18" x14ac:dyDescent="0.2">
      <c r="A41" s="78">
        <v>39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48" ht="18" x14ac:dyDescent="0.2">
      <c r="A42" s="78">
        <v>40</v>
      </c>
      <c r="C42" t="s">
        <v>66</v>
      </c>
      <c r="D42" t="s">
        <v>382</v>
      </c>
    </row>
    <row r="43" spans="1:48" ht="18" x14ac:dyDescent="0.2">
      <c r="A43" s="78">
        <v>41</v>
      </c>
      <c r="D43">
        <v>-0.508537281334</v>
      </c>
      <c r="E43">
        <v>-0.6580451826</v>
      </c>
      <c r="F43">
        <v>-0.721561624347</v>
      </c>
      <c r="G43">
        <v>-0.14071005628200001</v>
      </c>
      <c r="H43">
        <v>-0.151040952265</v>
      </c>
      <c r="I43">
        <v>-6.9372971356200006E-2</v>
      </c>
      <c r="J43">
        <v>0.151542519918</v>
      </c>
      <c r="K43">
        <v>0.45990605451</v>
      </c>
      <c r="L43">
        <v>0.650876890569</v>
      </c>
      <c r="M43">
        <v>0.70641923705300003</v>
      </c>
      <c r="N43">
        <v>0.90500885620100002</v>
      </c>
      <c r="O43">
        <v>0.79060375828399998</v>
      </c>
      <c r="P43">
        <v>0.59896793153600003</v>
      </c>
      <c r="Q43">
        <v>0.44317831850799999</v>
      </c>
      <c r="R43">
        <v>0.46645039661299997</v>
      </c>
      <c r="S43">
        <v>0.554668457281</v>
      </c>
      <c r="T43">
        <v>0.32468074554499998</v>
      </c>
      <c r="U43">
        <v>0.207513647601</v>
      </c>
      <c r="V43">
        <v>-0.32207911190999999</v>
      </c>
      <c r="W43">
        <v>-0.32474872989499998</v>
      </c>
      <c r="X43">
        <v>-0.32453049744399998</v>
      </c>
      <c r="Y43">
        <v>-0.28555051883799998</v>
      </c>
      <c r="Z43">
        <v>-0.34666157693299998</v>
      </c>
      <c r="AA43">
        <v>-0.77155734160699996</v>
      </c>
      <c r="AB43">
        <v>-0.422485513403</v>
      </c>
      <c r="AC43">
        <v>-0.462452595814</v>
      </c>
      <c r="AD43">
        <v>-7.4251372088499995E-2</v>
      </c>
      <c r="AE43">
        <v>7.75296177595E-2</v>
      </c>
      <c r="AF43">
        <v>0.40508334326399997</v>
      </c>
      <c r="AG43">
        <v>-5.0275700381299998E-2</v>
      </c>
      <c r="AH43">
        <v>-0.33364911622400001</v>
      </c>
      <c r="AI43">
        <v>-7.3454322912000006E-2</v>
      </c>
      <c r="AJ43">
        <v>-0.22673591803000001</v>
      </c>
      <c r="AK43">
        <v>-5.6382867601400002E-2</v>
      </c>
      <c r="AL43">
        <v>-0.14889669258499999</v>
      </c>
      <c r="AM43">
        <v>-0.47804325342300003</v>
      </c>
      <c r="AN43">
        <v>-0.30173732750100002</v>
      </c>
      <c r="AO43">
        <v>-0.16957203574599999</v>
      </c>
      <c r="AP43">
        <v>-3.0363843662599998E-3</v>
      </c>
      <c r="AQ43">
        <v>-1.5215297832899999E-3</v>
      </c>
      <c r="AR43">
        <v>-4.6566944281599999E-2</v>
      </c>
      <c r="AS43">
        <v>-5.7031645647900003E-2</v>
      </c>
      <c r="AT43">
        <v>0.114240409567</v>
      </c>
      <c r="AU43">
        <v>0.279390929319</v>
      </c>
      <c r="AV43">
        <v>0.39442795107</v>
      </c>
    </row>
    <row r="44" spans="1:48" ht="18" x14ac:dyDescent="0.2">
      <c r="A44" s="78">
        <v>42</v>
      </c>
      <c r="C44" t="s">
        <v>66</v>
      </c>
      <c r="D44" t="s">
        <v>383</v>
      </c>
    </row>
    <row r="45" spans="1:48" ht="18" x14ac:dyDescent="0.2">
      <c r="A45" s="78">
        <v>43</v>
      </c>
      <c r="C45">
        <v>0.9</v>
      </c>
    </row>
    <row r="46" spans="1:48" ht="18" x14ac:dyDescent="0.2">
      <c r="A46" s="78">
        <v>44</v>
      </c>
      <c r="C46" t="s">
        <v>66</v>
      </c>
      <c r="D46" t="s">
        <v>384</v>
      </c>
    </row>
    <row r="47" spans="1:48" ht="18" x14ac:dyDescent="0.2">
      <c r="A47" s="78">
        <v>45</v>
      </c>
      <c r="D47">
        <v>-0.17429925343200001</v>
      </c>
      <c r="E47">
        <v>0.23671300395799999</v>
      </c>
      <c r="F47">
        <v>0.29588973929899998</v>
      </c>
      <c r="G47">
        <v>0.18240426113399999</v>
      </c>
      <c r="H47">
        <v>-4.1300808088300001E-2</v>
      </c>
      <c r="I47">
        <v>-9.9928610301900006E-2</v>
      </c>
      <c r="J47">
        <v>-0.106310352015</v>
      </c>
      <c r="K47">
        <v>-0.10035985802400001</v>
      </c>
      <c r="L47">
        <v>-9.4539410818800004E-2</v>
      </c>
      <c r="M47">
        <v>-9.8268710123300004E-2</v>
      </c>
    </row>
    <row r="48" spans="1:48" ht="18" x14ac:dyDescent="0.2">
      <c r="A48" s="78">
        <v>46</v>
      </c>
      <c r="D48">
        <v>-0.14320953401799999</v>
      </c>
      <c r="E48">
        <v>0.22797349699</v>
      </c>
      <c r="F48">
        <v>0.35598113461100001</v>
      </c>
      <c r="G48">
        <v>-0.16012078516100001</v>
      </c>
      <c r="H48">
        <v>-0.141671429924</v>
      </c>
      <c r="I48">
        <v>-0.112655867411</v>
      </c>
      <c r="J48">
        <v>-6.7028880642700003E-2</v>
      </c>
      <c r="K48">
        <v>-2.5911535857600001E-2</v>
      </c>
      <c r="L48">
        <v>1.2796884749899999E-2</v>
      </c>
      <c r="M48">
        <v>5.3846517423199999E-2</v>
      </c>
    </row>
    <row r="49" spans="1:13" ht="18" x14ac:dyDescent="0.2">
      <c r="A49" s="78">
        <v>47</v>
      </c>
      <c r="D49">
        <v>-7.6674345932099999E-2</v>
      </c>
      <c r="E49">
        <v>0.15709907247300001</v>
      </c>
      <c r="F49">
        <v>0.27657933103499999</v>
      </c>
      <c r="G49">
        <v>-0.219383012775</v>
      </c>
      <c r="H49">
        <v>-0.193728537448</v>
      </c>
      <c r="I49">
        <v>-0.179142801332</v>
      </c>
      <c r="J49">
        <v>-4.5568770497999997E-2</v>
      </c>
      <c r="K49">
        <v>-3.12166547018E-2</v>
      </c>
      <c r="L49">
        <v>-7.5939198571100004E-3</v>
      </c>
      <c r="M49">
        <v>0.31962961032199999</v>
      </c>
    </row>
    <row r="50" spans="1:13" ht="18" x14ac:dyDescent="0.2">
      <c r="A50" s="78">
        <v>48</v>
      </c>
      <c r="D50">
        <v>-0.13374120566700001</v>
      </c>
      <c r="E50">
        <v>6.6785529583199998E-2</v>
      </c>
      <c r="F50">
        <v>-0.117822691204</v>
      </c>
      <c r="G50">
        <v>4.0992795005300002E-2</v>
      </c>
      <c r="H50">
        <v>6.1569968404600002E-2</v>
      </c>
      <c r="I50">
        <v>7.5176202667799993E-2</v>
      </c>
      <c r="J50">
        <v>-4.3127448596300001E-2</v>
      </c>
      <c r="K50">
        <v>-4.1185606732800001E-2</v>
      </c>
      <c r="L50">
        <v>1.0498653540399999E-2</v>
      </c>
      <c r="M50">
        <v>8.0853792780500006E-2</v>
      </c>
    </row>
    <row r="51" spans="1:13" ht="18" x14ac:dyDescent="0.2">
      <c r="A51" s="78">
        <v>49</v>
      </c>
      <c r="D51">
        <v>-0.15736828956000001</v>
      </c>
      <c r="E51">
        <v>0.41946773295000001</v>
      </c>
      <c r="F51">
        <v>0.119564716939</v>
      </c>
      <c r="G51">
        <v>1.49630924497E-2</v>
      </c>
      <c r="H51">
        <v>3.0534992967999998E-3</v>
      </c>
      <c r="I51">
        <v>1.1638858071099999E-2</v>
      </c>
      <c r="J51">
        <v>9.4552090892299993E-3</v>
      </c>
      <c r="K51">
        <v>7.7456709046899996E-3</v>
      </c>
      <c r="L51">
        <v>-1.6184528362E-2</v>
      </c>
      <c r="M51">
        <v>-0.41233589098399998</v>
      </c>
    </row>
    <row r="52" spans="1:13" ht="18" x14ac:dyDescent="0.2">
      <c r="A52" s="78">
        <v>50</v>
      </c>
      <c r="D52">
        <v>-0.16683741363599999</v>
      </c>
      <c r="E52">
        <v>-0.41036985076499999</v>
      </c>
      <c r="F52">
        <v>0.10934504821799999</v>
      </c>
      <c r="G52">
        <v>6.4384011757600002E-2</v>
      </c>
      <c r="H52">
        <v>4.6561787113900001E-2</v>
      </c>
      <c r="I52">
        <v>4.3594504742400002E-2</v>
      </c>
      <c r="J52">
        <v>4.3502298598500001E-2</v>
      </c>
      <c r="K52">
        <v>6.13313973158E-2</v>
      </c>
      <c r="L52">
        <v>5.4505585528999999E-2</v>
      </c>
      <c r="M52">
        <v>0.15398262156</v>
      </c>
    </row>
    <row r="53" spans="1:13" ht="18" x14ac:dyDescent="0.2">
      <c r="A53" s="78">
        <v>51</v>
      </c>
      <c r="D53">
        <v>-0.12958099360700001</v>
      </c>
      <c r="E53">
        <v>0.127284231755</v>
      </c>
      <c r="F53">
        <v>-0.21071496431200001</v>
      </c>
      <c r="G53">
        <v>-6.9289701918999996E-2</v>
      </c>
      <c r="H53">
        <v>6.0277491304899997E-2</v>
      </c>
      <c r="I53">
        <v>4.9612786634599997E-2</v>
      </c>
      <c r="J53">
        <v>8.6506300322000004E-2</v>
      </c>
      <c r="K53">
        <v>8.4955029703400006E-2</v>
      </c>
      <c r="L53">
        <v>5.1793472541600001E-2</v>
      </c>
      <c r="M53">
        <v>-5.0843649816699997E-2</v>
      </c>
    </row>
    <row r="54" spans="1:13" ht="18" x14ac:dyDescent="0.2">
      <c r="A54" s="78">
        <v>52</v>
      </c>
      <c r="D54">
        <v>-0.15234661221000001</v>
      </c>
      <c r="E54">
        <v>-0.72914514277700004</v>
      </c>
      <c r="F54">
        <v>-0.25996345254499997</v>
      </c>
      <c r="G54">
        <v>3.9764254703100001E-2</v>
      </c>
      <c r="H54">
        <v>0.18750036260399999</v>
      </c>
      <c r="I54">
        <v>0.22933822130500001</v>
      </c>
      <c r="J54">
        <v>0.174747633465</v>
      </c>
      <c r="K54">
        <v>0.17074555473399999</v>
      </c>
      <c r="L54">
        <v>0.16952023539200001</v>
      </c>
      <c r="M54">
        <v>0.16983897647400001</v>
      </c>
    </row>
    <row r="55" spans="1:13" ht="18" x14ac:dyDescent="0.2">
      <c r="A55" s="78">
        <v>53</v>
      </c>
      <c r="D55">
        <v>-0.294002667557</v>
      </c>
      <c r="E55">
        <v>-0.73343456438499999</v>
      </c>
      <c r="F55">
        <v>-0.52244507708300003</v>
      </c>
      <c r="G55">
        <v>5.3284752926699999E-2</v>
      </c>
      <c r="H55">
        <v>0.25712329318600002</v>
      </c>
      <c r="I55">
        <v>0.22896134954899999</v>
      </c>
      <c r="J55">
        <v>0.23511921078299999</v>
      </c>
      <c r="K55">
        <v>0.21825358520800001</v>
      </c>
      <c r="L55">
        <v>0.21749504572</v>
      </c>
      <c r="M55">
        <v>0.33964511424400001</v>
      </c>
    </row>
    <row r="56" spans="1:13" ht="18" x14ac:dyDescent="0.2">
      <c r="A56" s="78">
        <v>54</v>
      </c>
      <c r="D56">
        <v>-0.21120630988799999</v>
      </c>
      <c r="E56">
        <v>-0.11799879672999999</v>
      </c>
      <c r="F56">
        <v>-0.245743225191</v>
      </c>
      <c r="G56">
        <v>-0.18923089199900001</v>
      </c>
      <c r="H56">
        <v>-4.92659240047E-2</v>
      </c>
      <c r="I56">
        <v>0.105961954616</v>
      </c>
      <c r="J56">
        <v>0.120298891218</v>
      </c>
      <c r="K56">
        <v>0.122580725012</v>
      </c>
      <c r="L56">
        <v>0.16287405817100001</v>
      </c>
      <c r="M56">
        <v>0.30172951660199998</v>
      </c>
    </row>
    <row r="57" spans="1:13" ht="18" x14ac:dyDescent="0.2">
      <c r="A57" s="78">
        <v>55</v>
      </c>
      <c r="D57">
        <v>-0.20398052434799999</v>
      </c>
      <c r="E57">
        <v>0.23707857430900001</v>
      </c>
      <c r="F57">
        <v>6.8226200852500002E-2</v>
      </c>
      <c r="G57">
        <v>-0.17091533540600001</v>
      </c>
      <c r="H57">
        <v>-0.269600266714</v>
      </c>
      <c r="I57">
        <v>9.60539491168E-2</v>
      </c>
      <c r="J57">
        <v>9.3390291183000004E-2</v>
      </c>
      <c r="K57">
        <v>3.7414772853299999E-2</v>
      </c>
      <c r="L57">
        <v>8.0363913129100004E-2</v>
      </c>
      <c r="M57">
        <v>3.1968425395799999E-2</v>
      </c>
    </row>
    <row r="58" spans="1:13" ht="18" x14ac:dyDescent="0.2">
      <c r="A58" s="78">
        <v>56</v>
      </c>
      <c r="D58">
        <v>-0.202269500697</v>
      </c>
      <c r="E58">
        <v>3.3431381981500002E-2</v>
      </c>
      <c r="F58">
        <v>7.4073416540800005E-2</v>
      </c>
      <c r="G58">
        <v>5.9114003302300003E-2</v>
      </c>
      <c r="H58">
        <v>5.3781021153900002E-2</v>
      </c>
      <c r="I58">
        <v>-0.197763267337</v>
      </c>
      <c r="J58">
        <v>6.7906974864999997E-2</v>
      </c>
      <c r="K58">
        <v>0.115485453983</v>
      </c>
      <c r="L58">
        <v>0.108889620792</v>
      </c>
      <c r="M58">
        <v>-0.11264910255799999</v>
      </c>
    </row>
    <row r="59" spans="1:13" ht="18" x14ac:dyDescent="0.2">
      <c r="A59" s="78">
        <v>57</v>
      </c>
      <c r="D59">
        <v>-0.20378900983199999</v>
      </c>
      <c r="E59">
        <v>-1.9838733693099998E-2</v>
      </c>
      <c r="F59">
        <v>3.2246233479100002E-2</v>
      </c>
      <c r="G59">
        <v>0.230607696556</v>
      </c>
      <c r="H59">
        <v>8.2666005867699996E-2</v>
      </c>
      <c r="I59">
        <v>8.6029273278100005E-2</v>
      </c>
      <c r="J59">
        <v>2.8579164423999999E-2</v>
      </c>
      <c r="K59">
        <v>1.21940133817E-2</v>
      </c>
      <c r="L59">
        <v>-0.107285729345</v>
      </c>
      <c r="M59">
        <v>-0.14140891389400001</v>
      </c>
    </row>
    <row r="60" spans="1:13" ht="18" x14ac:dyDescent="0.2">
      <c r="A60" s="78">
        <v>58</v>
      </c>
      <c r="D60">
        <v>-0.182965470263</v>
      </c>
      <c r="E60">
        <v>-7.52346575662E-2</v>
      </c>
      <c r="F60">
        <v>-6.3155306924600002E-2</v>
      </c>
      <c r="G60">
        <v>-0.34514451582400002</v>
      </c>
      <c r="H60">
        <v>1.08293104908E-2</v>
      </c>
      <c r="I60">
        <v>9.8953591819100004E-3</v>
      </c>
      <c r="J60">
        <v>0.11369370150499999</v>
      </c>
      <c r="K60">
        <v>8.2542131776300001E-2</v>
      </c>
      <c r="L60">
        <v>0.21043085795399999</v>
      </c>
      <c r="M60">
        <v>0.23910858965500001</v>
      </c>
    </row>
    <row r="61" spans="1:13" ht="18" x14ac:dyDescent="0.2">
      <c r="A61" s="78">
        <v>59</v>
      </c>
      <c r="D61">
        <v>-0.143534182057</v>
      </c>
      <c r="E61">
        <v>-0.79458609440100003</v>
      </c>
      <c r="F61">
        <v>-0.25121477091900002</v>
      </c>
      <c r="G61">
        <v>0.53348141946600003</v>
      </c>
      <c r="H61">
        <v>0.54950681094800002</v>
      </c>
      <c r="I61">
        <v>0.247137857391</v>
      </c>
      <c r="J61">
        <v>-1.5577019314599999E-3</v>
      </c>
      <c r="K61">
        <v>3.6548137456600002E-2</v>
      </c>
      <c r="L61">
        <v>-7.1193585249400004E-2</v>
      </c>
      <c r="M61">
        <v>-0.104587917934</v>
      </c>
    </row>
    <row r="62" spans="1:13" ht="18" x14ac:dyDescent="0.2">
      <c r="A62" s="78">
        <v>60</v>
      </c>
      <c r="D62">
        <v>-5.4934455928299999E-2</v>
      </c>
      <c r="E62">
        <v>0.15917894887699999</v>
      </c>
      <c r="F62">
        <v>-0.701596831368</v>
      </c>
      <c r="G62">
        <v>-0.81145984946799998</v>
      </c>
      <c r="H62">
        <v>-0.61232469703600001</v>
      </c>
      <c r="I62">
        <v>0.37827985661399999</v>
      </c>
      <c r="J62">
        <v>0.56292827072399998</v>
      </c>
      <c r="K62">
        <v>0.41284621013400002</v>
      </c>
      <c r="L62">
        <v>0.33983380754199999</v>
      </c>
      <c r="M62">
        <v>0.32724874326800002</v>
      </c>
    </row>
    <row r="63" spans="1:13" ht="18" x14ac:dyDescent="0.2">
      <c r="A63" s="78">
        <v>61</v>
      </c>
      <c r="D63">
        <v>-4.9442513426500002E-2</v>
      </c>
      <c r="E63">
        <v>0.69080701200299999</v>
      </c>
      <c r="F63">
        <v>0.50546541911599996</v>
      </c>
      <c r="G63">
        <v>5.5297655648900001E-3</v>
      </c>
      <c r="H63">
        <v>-0.32572396012400001</v>
      </c>
      <c r="I63">
        <v>-0.46389563065299999</v>
      </c>
      <c r="J63">
        <v>-0.44413929870300001</v>
      </c>
      <c r="K63">
        <v>-0.11515623001899999</v>
      </c>
      <c r="L63">
        <v>7.9546632915900001E-2</v>
      </c>
      <c r="M63">
        <v>0.11700879232600001</v>
      </c>
    </row>
    <row r="64" spans="1:13" ht="18" x14ac:dyDescent="0.2">
      <c r="A64" s="78">
        <v>62</v>
      </c>
      <c r="D64">
        <v>-6.3582404525399996E-2</v>
      </c>
      <c r="E64">
        <v>-0.50485105589900003</v>
      </c>
      <c r="F64">
        <v>0.695348545772</v>
      </c>
      <c r="G64">
        <v>0.48978941331300002</v>
      </c>
      <c r="H64">
        <v>0.38206030414100001</v>
      </c>
      <c r="I64">
        <v>-0.232363427969</v>
      </c>
      <c r="J64">
        <v>-2.5873872932899999E-2</v>
      </c>
      <c r="K64">
        <v>-8.3173735548800004E-2</v>
      </c>
      <c r="L64">
        <v>-0.28974913082800002</v>
      </c>
      <c r="M64">
        <v>-0.36760462723999998</v>
      </c>
    </row>
    <row r="65" spans="1:13" ht="18" x14ac:dyDescent="0.2">
      <c r="A65" s="78">
        <v>63</v>
      </c>
      <c r="D65">
        <v>-4.1475150729200001E-2</v>
      </c>
      <c r="E65">
        <v>-0.45607948915300001</v>
      </c>
      <c r="F65">
        <v>-0.78024570951600003</v>
      </c>
      <c r="G65">
        <v>-6.1288517703500002E-2</v>
      </c>
      <c r="H65">
        <v>0.34693937767900002</v>
      </c>
      <c r="I65">
        <v>0.62624108807300005</v>
      </c>
      <c r="J65">
        <v>0.15316395349199999</v>
      </c>
      <c r="K65">
        <v>3.41556951542E-2</v>
      </c>
      <c r="L65">
        <v>7.0419559844500004E-2</v>
      </c>
      <c r="M65">
        <v>0.108169169688</v>
      </c>
    </row>
    <row r="66" spans="1:13" ht="18" x14ac:dyDescent="0.2">
      <c r="A66" s="78">
        <v>64</v>
      </c>
      <c r="D66">
        <v>-2.8591651662700002E-2</v>
      </c>
      <c r="E66">
        <v>-0.17101539682399999</v>
      </c>
      <c r="F66">
        <v>-7.2806819470199999E-2</v>
      </c>
      <c r="G66">
        <v>0.60202858391299996</v>
      </c>
      <c r="H66">
        <v>-6.0435604994399997E-2</v>
      </c>
      <c r="I66">
        <v>-0.16831906441700001</v>
      </c>
      <c r="J66">
        <v>2.2254666061899998E-2</v>
      </c>
      <c r="K66">
        <v>3.9029607200599999E-3</v>
      </c>
      <c r="L66">
        <v>-3.3624440918299997E-2</v>
      </c>
      <c r="M66">
        <v>-9.3393228059700004E-2</v>
      </c>
    </row>
    <row r="67" spans="1:13" ht="18" x14ac:dyDescent="0.2">
      <c r="A67" s="78">
        <v>65</v>
      </c>
      <c r="D67">
        <v>-2.32777323208E-2</v>
      </c>
      <c r="E67">
        <v>0.12670730704399999</v>
      </c>
      <c r="F67">
        <v>0.224578464753</v>
      </c>
      <c r="G67">
        <v>-0.337195748116</v>
      </c>
      <c r="H67">
        <v>0.308143867849</v>
      </c>
      <c r="I67">
        <v>0.13007612812200001</v>
      </c>
      <c r="J67">
        <v>-0.11816382007200001</v>
      </c>
      <c r="K67">
        <v>-0.139966900832</v>
      </c>
      <c r="L67">
        <v>-0.10282880853199999</v>
      </c>
      <c r="M67">
        <v>-6.8072759337300004E-2</v>
      </c>
    </row>
    <row r="68" spans="1:13" ht="18" x14ac:dyDescent="0.2">
      <c r="A68" s="78">
        <v>66</v>
      </c>
      <c r="D68">
        <v>-1.9209698844199999E-2</v>
      </c>
      <c r="E68">
        <v>8.2970788000999995E-2</v>
      </c>
      <c r="F68">
        <v>0.35881687912299998</v>
      </c>
      <c r="G68">
        <v>-0.25739337774799997</v>
      </c>
      <c r="H68">
        <v>-0.21953369668</v>
      </c>
      <c r="I68">
        <v>4.9797102212600003E-2</v>
      </c>
      <c r="J68">
        <v>-1.0030084440399999E-2</v>
      </c>
      <c r="K68">
        <v>-2.4400491058899999E-2</v>
      </c>
      <c r="L68">
        <v>-5.3163347982999997E-3</v>
      </c>
      <c r="M68">
        <v>4.4298900872800001E-2</v>
      </c>
    </row>
    <row r="69" spans="1:13" ht="18" x14ac:dyDescent="0.2">
      <c r="A69" s="78">
        <v>67</v>
      </c>
      <c r="C69" t="s">
        <v>66</v>
      </c>
      <c r="D69" t="s">
        <v>385</v>
      </c>
    </row>
    <row r="70" spans="1:13" ht="18" x14ac:dyDescent="0.2">
      <c r="A70" s="78">
        <v>68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3" ht="18" x14ac:dyDescent="0.2">
      <c r="A71" s="78">
        <v>69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3" ht="18" x14ac:dyDescent="0.2">
      <c r="A72" s="78">
        <v>70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3" ht="18" x14ac:dyDescent="0.2">
      <c r="A73" s="78">
        <v>71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3" ht="18" x14ac:dyDescent="0.2">
      <c r="A74" s="78">
        <v>72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3" ht="18" x14ac:dyDescent="0.2">
      <c r="A75" s="78">
        <v>73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3" ht="18" x14ac:dyDescent="0.2">
      <c r="A76" s="78">
        <v>74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3" ht="18" x14ac:dyDescent="0.2">
      <c r="A77" s="78">
        <v>75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3" ht="18" x14ac:dyDescent="0.2">
      <c r="A78" s="78">
        <v>76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3" ht="18" x14ac:dyDescent="0.2">
      <c r="A79" s="78">
        <v>77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3" ht="18" x14ac:dyDescent="0.2">
      <c r="A80" s="78">
        <v>78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ht="18" x14ac:dyDescent="0.2">
      <c r="A81" s="78">
        <v>79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ht="18" x14ac:dyDescent="0.2">
      <c r="A82" s="78">
        <v>80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ht="18" x14ac:dyDescent="0.2">
      <c r="A83" s="78">
        <v>81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ht="18" x14ac:dyDescent="0.2">
      <c r="A84" s="78">
        <v>82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ht="18" x14ac:dyDescent="0.2">
      <c r="A85" s="78">
        <v>83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ht="18" x14ac:dyDescent="0.2">
      <c r="A86" s="78">
        <v>84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ht="18" x14ac:dyDescent="0.2">
      <c r="A87" s="78">
        <v>85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ht="18" x14ac:dyDescent="0.2">
      <c r="A88" s="78">
        <v>86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ht="18" x14ac:dyDescent="0.2">
      <c r="A89" s="78">
        <v>87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ht="18" x14ac:dyDescent="0.2">
      <c r="A90" s="78">
        <v>88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ht="18" x14ac:dyDescent="0.2">
      <c r="A91" s="78">
        <v>89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ht="18" x14ac:dyDescent="0.2">
      <c r="A92" s="78">
        <v>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ht="18" x14ac:dyDescent="0.2">
      <c r="A93" s="78">
        <v>91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ht="18" x14ac:dyDescent="0.2">
      <c r="A94" s="78">
        <v>92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ht="18" x14ac:dyDescent="0.2">
      <c r="A95" s="78">
        <v>93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ht="18" x14ac:dyDescent="0.2">
      <c r="A96" s="78">
        <v>94</v>
      </c>
      <c r="C96" t="s">
        <v>66</v>
      </c>
      <c r="D96" t="s">
        <v>386</v>
      </c>
    </row>
    <row r="97" spans="1:13" ht="18" x14ac:dyDescent="0.2">
      <c r="A97" s="78">
        <v>95</v>
      </c>
      <c r="D97">
        <v>-0.503089845501</v>
      </c>
      <c r="E97">
        <v>0.179881802048</v>
      </c>
      <c r="F97">
        <v>0.28576566492799998</v>
      </c>
      <c r="G97">
        <v>0.203261758614</v>
      </c>
      <c r="H97">
        <v>0.173745405075</v>
      </c>
      <c r="I97">
        <v>0.137282189134</v>
      </c>
      <c r="J97">
        <v>9.7305748006800002E-2</v>
      </c>
    </row>
    <row r="98" spans="1:13" ht="18" x14ac:dyDescent="0.2">
      <c r="A98" s="78">
        <v>96</v>
      </c>
      <c r="D98">
        <v>-3.3531146969000003E-2</v>
      </c>
      <c r="E98">
        <v>5.8048751662999998E-2</v>
      </c>
      <c r="F98">
        <v>-8.3265454784000006E-2</v>
      </c>
      <c r="G98">
        <v>5.67004322994E-2</v>
      </c>
      <c r="H98">
        <v>0.158527823978</v>
      </c>
      <c r="I98">
        <v>0.122326826065</v>
      </c>
      <c r="J98">
        <v>0.115694439414</v>
      </c>
    </row>
    <row r="99" spans="1:13" ht="18" x14ac:dyDescent="0.2">
      <c r="A99" s="78">
        <v>97</v>
      </c>
      <c r="D99">
        <v>4.6513716230400001E-2</v>
      </c>
      <c r="E99">
        <v>-1.7317992911500001E-2</v>
      </c>
      <c r="F99">
        <v>7.1180757724700006E-2</v>
      </c>
      <c r="G99">
        <v>-3.9351470113500001E-2</v>
      </c>
      <c r="H99">
        <v>1.76207707504E-2</v>
      </c>
      <c r="I99">
        <v>3.9915083150000003E-2</v>
      </c>
      <c r="J99">
        <v>0.12685546988800001</v>
      </c>
    </row>
    <row r="100" spans="1:13" ht="18" x14ac:dyDescent="0.2">
      <c r="A100" s="78">
        <v>98</v>
      </c>
      <c r="D100">
        <v>-0.18999550717200001</v>
      </c>
      <c r="E100">
        <v>-0.24501988972800001</v>
      </c>
      <c r="F100">
        <v>-0.21000439856299999</v>
      </c>
      <c r="G100">
        <v>-9.4749569113400003E-2</v>
      </c>
      <c r="H100">
        <v>-0.106662867525</v>
      </c>
      <c r="I100">
        <v>-1.7485557438899998E-2</v>
      </c>
      <c r="J100">
        <v>0.105100276635</v>
      </c>
    </row>
    <row r="101" spans="1:13" ht="18" x14ac:dyDescent="0.2">
      <c r="A101" s="78">
        <v>99</v>
      </c>
      <c r="D101">
        <v>-0.27778349190200002</v>
      </c>
      <c r="E101">
        <v>-0.31329918787200001</v>
      </c>
      <c r="F101">
        <v>-0.19696608223699999</v>
      </c>
      <c r="G101">
        <v>-0.12778057982900001</v>
      </c>
      <c r="H101">
        <v>-8.6827061170600003E-2</v>
      </c>
      <c r="I101">
        <v>3.0463709523499999E-2</v>
      </c>
      <c r="J101">
        <v>4.6637869000799997E-2</v>
      </c>
    </row>
    <row r="102" spans="1:13" ht="18" x14ac:dyDescent="0.2">
      <c r="A102" s="78">
        <v>100</v>
      </c>
      <c r="D102">
        <v>-3.2137576539300002E-2</v>
      </c>
      <c r="E102">
        <v>-0.143092926274</v>
      </c>
      <c r="F102">
        <v>-0.17801887793000001</v>
      </c>
      <c r="G102">
        <v>-0.111642127984</v>
      </c>
      <c r="H102">
        <v>-0.14345623612200001</v>
      </c>
      <c r="I102">
        <v>-2.6360087991400001E-2</v>
      </c>
      <c r="J102">
        <v>2.06820476928E-2</v>
      </c>
    </row>
    <row r="103" spans="1:13" ht="18" x14ac:dyDescent="0.2">
      <c r="A103" s="78">
        <v>101</v>
      </c>
      <c r="D103">
        <v>0.28885567885399999</v>
      </c>
      <c r="E103">
        <v>0.147609976383</v>
      </c>
      <c r="F103">
        <v>5.2745602183399999E-2</v>
      </c>
      <c r="G103">
        <v>3.2197486900800001E-2</v>
      </c>
      <c r="H103">
        <v>-3.4839810869800002E-2</v>
      </c>
      <c r="I103">
        <v>3.5453110125300002E-2</v>
      </c>
      <c r="J103">
        <v>2.4575791987400002E-2</v>
      </c>
    </row>
    <row r="104" spans="1:13" ht="18" x14ac:dyDescent="0.2">
      <c r="A104" s="78">
        <v>102</v>
      </c>
      <c r="D104">
        <v>4.1755632815100002E-2</v>
      </c>
      <c r="E104">
        <v>0.37329525904999999</v>
      </c>
      <c r="F104">
        <v>0.284537735066</v>
      </c>
      <c r="G104">
        <v>0.14935423775500001</v>
      </c>
      <c r="H104">
        <v>7.8980058994100003E-2</v>
      </c>
      <c r="I104">
        <v>0.176811867639</v>
      </c>
      <c r="J104">
        <v>0.111380050587</v>
      </c>
    </row>
    <row r="105" spans="1:13" ht="18" x14ac:dyDescent="0.2">
      <c r="A105" s="78">
        <v>103</v>
      </c>
      <c r="D105">
        <v>8.62859892612E-2</v>
      </c>
      <c r="E105">
        <v>0.15166351824499999</v>
      </c>
      <c r="F105">
        <v>0.30688737810700001</v>
      </c>
      <c r="G105">
        <v>0.185047711945</v>
      </c>
      <c r="H105">
        <v>0.21983642161700001</v>
      </c>
      <c r="I105">
        <v>0.14552638029500001</v>
      </c>
      <c r="J105">
        <v>0.19835694262199999</v>
      </c>
    </row>
    <row r="106" spans="1:13" ht="18" x14ac:dyDescent="0.2">
      <c r="A106" s="78">
        <v>104</v>
      </c>
      <c r="D106">
        <v>0.28653097543900002</v>
      </c>
      <c r="E106">
        <v>0.332780633233</v>
      </c>
      <c r="F106">
        <v>0.24294988156299999</v>
      </c>
      <c r="G106">
        <v>0.31746789281299997</v>
      </c>
      <c r="H106">
        <v>0.25690070394499998</v>
      </c>
      <c r="I106">
        <v>0.23055409460099999</v>
      </c>
      <c r="J106">
        <v>0.218678874626</v>
      </c>
    </row>
    <row r="107" spans="1:13" ht="18" x14ac:dyDescent="0.2">
      <c r="A107" s="78">
        <v>105</v>
      </c>
      <c r="D107">
        <v>-0.19370187552199999</v>
      </c>
      <c r="E107">
        <v>-0.116494735402</v>
      </c>
      <c r="F107">
        <v>0.309770921147</v>
      </c>
      <c r="G107">
        <v>0.369558076352</v>
      </c>
      <c r="H107">
        <v>0.35310388773000001</v>
      </c>
      <c r="I107">
        <v>0.31286459741799999</v>
      </c>
      <c r="J107">
        <v>0.26532156126899997</v>
      </c>
    </row>
    <row r="108" spans="1:13" ht="18" x14ac:dyDescent="0.2">
      <c r="A108" s="78">
        <v>106</v>
      </c>
      <c r="D108">
        <v>0.22587805696300001</v>
      </c>
      <c r="E108">
        <v>0.13230426669199999</v>
      </c>
      <c r="F108">
        <v>-3.9790967563800003E-2</v>
      </c>
      <c r="G108">
        <v>0.100709156622</v>
      </c>
      <c r="H108">
        <v>0.28642410852799999</v>
      </c>
      <c r="I108">
        <v>0.28158599270000001</v>
      </c>
      <c r="J108">
        <v>0.26300319669700001</v>
      </c>
    </row>
    <row r="109" spans="1:13" ht="18" x14ac:dyDescent="0.2">
      <c r="A109" s="78">
        <v>107</v>
      </c>
      <c r="D109">
        <v>0.25664539944999998</v>
      </c>
      <c r="E109">
        <v>0.26389281661899999</v>
      </c>
      <c r="F109">
        <v>0.18531460638300001</v>
      </c>
      <c r="G109">
        <v>0.246530525606</v>
      </c>
      <c r="H109">
        <v>0.29286440566400002</v>
      </c>
      <c r="I109">
        <v>0.20272161496999999</v>
      </c>
      <c r="J109">
        <v>0.22009022713000001</v>
      </c>
    </row>
    <row r="110" spans="1:13" ht="18" x14ac:dyDescent="0.2">
      <c r="A110" s="78">
        <v>108</v>
      </c>
      <c r="C110" t="s">
        <v>66</v>
      </c>
      <c r="D110" t="s">
        <v>387</v>
      </c>
    </row>
    <row r="111" spans="1:13" ht="18" x14ac:dyDescent="0.2">
      <c r="A111" s="78">
        <v>109</v>
      </c>
      <c r="D111">
        <v>-4.4000385141600002</v>
      </c>
      <c r="E111">
        <v>-2.20996953075</v>
      </c>
      <c r="F111">
        <v>-0.92182460970400004</v>
      </c>
      <c r="G111">
        <v>0.248908540324</v>
      </c>
      <c r="H111">
        <v>0.41517418272700002</v>
      </c>
      <c r="I111">
        <v>0.39900346847200002</v>
      </c>
      <c r="J111">
        <v>0.343766665591</v>
      </c>
      <c r="K111">
        <v>0.28156115563299999</v>
      </c>
      <c r="L111">
        <v>0.225197780264</v>
      </c>
      <c r="M111">
        <v>0.186157347148</v>
      </c>
    </row>
    <row r="112" spans="1:13" ht="18" x14ac:dyDescent="0.2">
      <c r="A112" s="78">
        <v>110</v>
      </c>
      <c r="C112" t="s">
        <v>66</v>
      </c>
      <c r="D112" t="s">
        <v>388</v>
      </c>
    </row>
    <row r="113" spans="1:30" ht="18" x14ac:dyDescent="0.2">
      <c r="A113" s="78">
        <v>111</v>
      </c>
      <c r="D113">
        <v>-0.1</v>
      </c>
      <c r="E113">
        <v>-0.1</v>
      </c>
      <c r="F113">
        <v>-0.1</v>
      </c>
      <c r="G113">
        <v>-0.1</v>
      </c>
      <c r="H113">
        <v>-0.1</v>
      </c>
      <c r="I113">
        <v>-0.1</v>
      </c>
      <c r="J113">
        <v>-0.1</v>
      </c>
      <c r="K113">
        <v>-0.1</v>
      </c>
    </row>
    <row r="114" spans="1:30" ht="18" x14ac:dyDescent="0.2">
      <c r="A114" s="78">
        <v>112</v>
      </c>
      <c r="C114" t="s">
        <v>66</v>
      </c>
      <c r="D114" t="s">
        <v>389</v>
      </c>
    </row>
    <row r="115" spans="1:30" ht="18" x14ac:dyDescent="0.2">
      <c r="A115" s="78">
        <v>113</v>
      </c>
      <c r="D115">
        <v>0.56729463696399995</v>
      </c>
      <c r="E115">
        <v>0.10553997920700001</v>
      </c>
      <c r="F115">
        <v>0.119186260736</v>
      </c>
      <c r="G115">
        <v>6.0833527515599999E-2</v>
      </c>
      <c r="H115">
        <v>-6.8480032603099997E-2</v>
      </c>
      <c r="I115">
        <v>-0.35982541422100001</v>
      </c>
      <c r="J115">
        <v>-0.50770083753399997</v>
      </c>
    </row>
    <row r="116" spans="1:30" ht="18" x14ac:dyDescent="0.2">
      <c r="A116" s="78">
        <v>114</v>
      </c>
      <c r="C116" t="s">
        <v>66</v>
      </c>
      <c r="D116" t="s">
        <v>5</v>
      </c>
    </row>
    <row r="117" spans="1:30" ht="18" x14ac:dyDescent="0.2">
      <c r="A117" s="78">
        <v>115</v>
      </c>
      <c r="D117">
        <v>6.6E-3</v>
      </c>
      <c r="E117">
        <v>0.203810667</v>
      </c>
      <c r="F117">
        <v>0.33192199999999999</v>
      </c>
      <c r="G117">
        <v>0.48813033300000003</v>
      </c>
      <c r="H117">
        <v>0.62812400000000002</v>
      </c>
      <c r="I117">
        <v>0.75806666700000003</v>
      </c>
      <c r="J117">
        <v>0.89801066699999998</v>
      </c>
      <c r="K117">
        <v>1.003303667</v>
      </c>
      <c r="L117">
        <v>1.104733333</v>
      </c>
      <c r="M117">
        <v>1.1655466670000001</v>
      </c>
      <c r="N117">
        <v>1.27142</v>
      </c>
      <c r="O117">
        <v>1.37033</v>
      </c>
      <c r="P117">
        <v>1.3448933329999999</v>
      </c>
      <c r="Q117">
        <v>1.4436533330000001</v>
      </c>
      <c r="R117">
        <v>1.46824</v>
      </c>
    </row>
    <row r="118" spans="1:30" ht="18" x14ac:dyDescent="0.2">
      <c r="A118" s="78">
        <v>116</v>
      </c>
      <c r="C118" t="s">
        <v>66</v>
      </c>
      <c r="D118" t="s">
        <v>390</v>
      </c>
    </row>
    <row r="119" spans="1:30" ht="18" x14ac:dyDescent="0.2">
      <c r="A119" s="78">
        <v>117</v>
      </c>
      <c r="C119">
        <v>1.0497004135900001</v>
      </c>
    </row>
    <row r="120" spans="1:30" ht="18" x14ac:dyDescent="0.2">
      <c r="A120" s="78">
        <v>118</v>
      </c>
      <c r="C120" t="s">
        <v>66</v>
      </c>
      <c r="D120" t="s">
        <v>391</v>
      </c>
    </row>
    <row r="121" spans="1:30" ht="18" x14ac:dyDescent="0.2">
      <c r="A121" s="78">
        <v>119</v>
      </c>
      <c r="C121">
        <v>5.4937177223200004</v>
      </c>
    </row>
    <row r="122" spans="1:30" ht="18" x14ac:dyDescent="0.2">
      <c r="A122" s="78">
        <v>120</v>
      </c>
      <c r="C122" t="s">
        <v>66</v>
      </c>
      <c r="D122" t="s">
        <v>392</v>
      </c>
    </row>
    <row r="123" spans="1:30" ht="18" x14ac:dyDescent="0.2">
      <c r="A123" s="78">
        <v>121</v>
      </c>
      <c r="C123">
        <v>-3.0241608861699998</v>
      </c>
    </row>
    <row r="124" spans="1:30" ht="18" x14ac:dyDescent="0.2">
      <c r="A124" s="78">
        <v>122</v>
      </c>
      <c r="C124" t="s">
        <v>66</v>
      </c>
      <c r="D124" t="s">
        <v>393</v>
      </c>
    </row>
    <row r="125" spans="1:30" ht="18" x14ac:dyDescent="0.2">
      <c r="A125" s="78">
        <v>123</v>
      </c>
      <c r="D125">
        <v>-0.432994284063</v>
      </c>
      <c r="E125">
        <v>3.2256393065100003E-2</v>
      </c>
      <c r="F125">
        <v>0.18573456055599999</v>
      </c>
      <c r="G125">
        <v>4.8569469230699998E-2</v>
      </c>
      <c r="H125">
        <v>4.4947984625200001E-3</v>
      </c>
      <c r="I125">
        <v>-0.13202773810900001</v>
      </c>
      <c r="J125">
        <v>-0.28241889115699997</v>
      </c>
      <c r="K125">
        <v>-0.232706453679</v>
      </c>
      <c r="L125">
        <v>-8.2267913859199997E-3</v>
      </c>
      <c r="M125">
        <v>-4.8930649041800001E-2</v>
      </c>
      <c r="N125">
        <v>5.7263771711E-2</v>
      </c>
      <c r="O125">
        <v>0.13838044431400001</v>
      </c>
      <c r="P125">
        <v>0.15416565591</v>
      </c>
      <c r="Q125">
        <v>6.29015274244E-2</v>
      </c>
      <c r="R125">
        <v>-9.5140762927499997E-2</v>
      </c>
      <c r="S125">
        <v>-0.187363113118</v>
      </c>
      <c r="T125">
        <v>-0.29166971310000001</v>
      </c>
      <c r="U125">
        <v>-0.32564643088400003</v>
      </c>
      <c r="V125">
        <v>-0.23653278159800001</v>
      </c>
      <c r="W125">
        <v>-0.30295434332499999</v>
      </c>
      <c r="X125">
        <v>-8.0918771092599998E-2</v>
      </c>
      <c r="Y125">
        <v>0.217410710151</v>
      </c>
      <c r="Z125">
        <v>0.21173784393299999</v>
      </c>
      <c r="AA125">
        <v>0.255676174132</v>
      </c>
      <c r="AB125">
        <v>0.221148661799</v>
      </c>
      <c r="AC125">
        <v>0.45033876840999998</v>
      </c>
      <c r="AD125">
        <v>0.61745194437899997</v>
      </c>
    </row>
    <row r="126" spans="1:30" ht="18" x14ac:dyDescent="0.2">
      <c r="A126" s="78">
        <v>124</v>
      </c>
      <c r="C126" t="s">
        <v>66</v>
      </c>
      <c r="D126" t="s">
        <v>394</v>
      </c>
    </row>
    <row r="127" spans="1:30" ht="18" x14ac:dyDescent="0.2">
      <c r="A127" s="78">
        <v>125</v>
      </c>
      <c r="D127">
        <v>-0.145278812796</v>
      </c>
      <c r="E127">
        <v>-0.29994433838500001</v>
      </c>
      <c r="F127">
        <v>-4.8652278456200002E-2</v>
      </c>
      <c r="G127">
        <v>-0.177755499283</v>
      </c>
      <c r="H127">
        <v>3.6279327301800002E-2</v>
      </c>
      <c r="I127">
        <v>3.5563970548700002E-2</v>
      </c>
      <c r="J127">
        <v>-5.06614246489E-2</v>
      </c>
      <c r="K127">
        <v>-0.101487562153</v>
      </c>
      <c r="L127">
        <v>-0.10286392551200001</v>
      </c>
      <c r="M127">
        <v>8.0327151963900001E-2</v>
      </c>
      <c r="N127">
        <v>-6.6957700657099994E-2</v>
      </c>
      <c r="O127">
        <v>-0.14005734529399999</v>
      </c>
      <c r="P127">
        <v>-4.5331245380499999E-2</v>
      </c>
      <c r="Q127">
        <v>2.8977883559700001E-2</v>
      </c>
      <c r="R127">
        <v>0.18687439881699999</v>
      </c>
      <c r="S127">
        <v>0.179628061226</v>
      </c>
      <c r="T127">
        <v>0.236803562986</v>
      </c>
      <c r="U127">
        <v>0.18260064756399999</v>
      </c>
      <c r="V127">
        <v>0.122438161946</v>
      </c>
      <c r="W127">
        <v>0.143036415507</v>
      </c>
      <c r="X127">
        <v>6.1083899644000003E-2</v>
      </c>
      <c r="Y127">
        <v>-3.74947602903E-3</v>
      </c>
      <c r="Z127">
        <v>3.6264340681900001E-2</v>
      </c>
      <c r="AA127">
        <v>-5.1020712911099997E-2</v>
      </c>
      <c r="AB127">
        <v>8.02613749382E-2</v>
      </c>
      <c r="AC127">
        <v>-0.10727038456100001</v>
      </c>
      <c r="AD127">
        <v>-6.9108490616099999E-2</v>
      </c>
    </row>
    <row r="128" spans="1:30" ht="18" x14ac:dyDescent="0.2">
      <c r="A128" s="78">
        <v>126</v>
      </c>
      <c r="C128" t="s">
        <v>66</v>
      </c>
      <c r="D128" t="s">
        <v>395</v>
      </c>
    </row>
    <row r="129" spans="1:48" ht="18" x14ac:dyDescent="0.2">
      <c r="A129" s="78">
        <v>127</v>
      </c>
      <c r="D129">
        <v>-3.3521018095999999E-2</v>
      </c>
      <c r="E129">
        <v>0.35032218226099998</v>
      </c>
      <c r="F129">
        <v>0.145656096151</v>
      </c>
      <c r="G129">
        <v>-0.23182961076700001</v>
      </c>
      <c r="H129">
        <v>-0.40265969489800002</v>
      </c>
      <c r="I129">
        <v>-4.76397539678E-2</v>
      </c>
      <c r="J129">
        <v>-0.13418629458</v>
      </c>
      <c r="K129">
        <v>-4.8838694652300001E-2</v>
      </c>
      <c r="L129">
        <v>0.17849628967299999</v>
      </c>
      <c r="M129">
        <v>-0.14877650190700001</v>
      </c>
      <c r="N129">
        <v>-3.6360467390300001E-2</v>
      </c>
      <c r="O129">
        <v>0.13070453347899999</v>
      </c>
      <c r="P129">
        <v>-3.9996399247300002E-2</v>
      </c>
      <c r="Q129">
        <v>-0.112617807623</v>
      </c>
      <c r="R129">
        <v>-4.9152556205699999E-2</v>
      </c>
      <c r="S129">
        <v>-9.3687061040899994E-2</v>
      </c>
      <c r="T129">
        <v>2.2045078978499999E-2</v>
      </c>
      <c r="U129">
        <v>1.9067078223100001E-2</v>
      </c>
      <c r="V129">
        <v>0.138763688592</v>
      </c>
      <c r="W129">
        <v>4.2538003366500002E-2</v>
      </c>
      <c r="X129">
        <v>0.16092898478500001</v>
      </c>
      <c r="Y129">
        <v>0.26250487169499997</v>
      </c>
      <c r="Z129">
        <v>4.5847577489299997E-2</v>
      </c>
      <c r="AA129">
        <v>-4.5223587024300002E-2</v>
      </c>
      <c r="AB129">
        <v>-4.0772438184699999E-2</v>
      </c>
      <c r="AC129">
        <v>-6.3578401277800001E-3</v>
      </c>
      <c r="AD129">
        <v>-2.52546589806E-2</v>
      </c>
    </row>
    <row r="130" spans="1:48" ht="18" x14ac:dyDescent="0.2">
      <c r="A130" s="78">
        <v>128</v>
      </c>
      <c r="C130" t="s">
        <v>66</v>
      </c>
      <c r="D130" t="s">
        <v>396</v>
      </c>
    </row>
    <row r="131" spans="1:48" ht="18" x14ac:dyDescent="0.2">
      <c r="A131" s="78">
        <v>129</v>
      </c>
      <c r="C131">
        <v>1</v>
      </c>
    </row>
    <row r="132" spans="1:48" ht="18" x14ac:dyDescent="0.2">
      <c r="A132" s="78">
        <v>130</v>
      </c>
      <c r="C132" t="s">
        <v>66</v>
      </c>
      <c r="D132" t="s">
        <v>397</v>
      </c>
    </row>
    <row r="133" spans="1:48" ht="18" x14ac:dyDescent="0.2">
      <c r="A133" s="78">
        <v>131</v>
      </c>
      <c r="C133">
        <v>3</v>
      </c>
    </row>
    <row r="134" spans="1:48" ht="18" x14ac:dyDescent="0.2">
      <c r="A134" s="78">
        <v>132</v>
      </c>
      <c r="C134" t="s">
        <v>66</v>
      </c>
      <c r="D134" t="s">
        <v>398</v>
      </c>
    </row>
    <row r="135" spans="1:48" ht="18" x14ac:dyDescent="0.2">
      <c r="A135" s="78">
        <v>133</v>
      </c>
      <c r="C135">
        <v>0.9</v>
      </c>
    </row>
    <row r="136" spans="1:48" ht="18" x14ac:dyDescent="0.2">
      <c r="A136" s="78">
        <v>134</v>
      </c>
      <c r="C136" t="s">
        <v>66</v>
      </c>
      <c r="D136" t="s">
        <v>399</v>
      </c>
    </row>
    <row r="137" spans="1:48" ht="18" x14ac:dyDescent="0.2">
      <c r="A137" s="78">
        <v>135</v>
      </c>
      <c r="C137">
        <v>5</v>
      </c>
    </row>
    <row r="138" spans="1:48" ht="18" x14ac:dyDescent="0.2">
      <c r="A138" s="78">
        <v>136</v>
      </c>
      <c r="C138" t="s">
        <v>66</v>
      </c>
      <c r="D138" t="s">
        <v>400</v>
      </c>
    </row>
    <row r="139" spans="1:48" ht="18" x14ac:dyDescent="0.2">
      <c r="A139" s="78">
        <v>137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 ht="18" x14ac:dyDescent="0.2">
      <c r="A140" s="78">
        <v>138</v>
      </c>
      <c r="C140" t="s">
        <v>66</v>
      </c>
      <c r="D140" t="s">
        <v>401</v>
      </c>
    </row>
    <row r="141" spans="1:48" ht="18" x14ac:dyDescent="0.2">
      <c r="A141" s="78">
        <v>139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ht="18" x14ac:dyDescent="0.2">
      <c r="A142" s="78">
        <v>140</v>
      </c>
      <c r="C142" t="s">
        <v>66</v>
      </c>
      <c r="D142" t="s">
        <v>402</v>
      </c>
    </row>
    <row r="143" spans="1:48" ht="18" x14ac:dyDescent="0.2">
      <c r="A143" s="78">
        <v>141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 ht="18" x14ac:dyDescent="0.2">
      <c r="A144" s="78">
        <v>142</v>
      </c>
      <c r="C144" t="s">
        <v>66</v>
      </c>
      <c r="D144" t="s">
        <v>403</v>
      </c>
    </row>
    <row r="145" spans="1:8" ht="18" x14ac:dyDescent="0.2">
      <c r="A145" s="78">
        <v>143</v>
      </c>
      <c r="C145">
        <v>0.2</v>
      </c>
    </row>
    <row r="146" spans="1:8" ht="18" x14ac:dyDescent="0.2">
      <c r="A146" s="78">
        <v>144</v>
      </c>
      <c r="C146" t="s">
        <v>66</v>
      </c>
      <c r="D146" t="s">
        <v>404</v>
      </c>
    </row>
    <row r="147" spans="1:8" ht="18" x14ac:dyDescent="0.2">
      <c r="A147" s="78">
        <v>145</v>
      </c>
      <c r="C147">
        <v>0.25</v>
      </c>
    </row>
    <row r="148" spans="1:8" ht="18" x14ac:dyDescent="0.2">
      <c r="A148" s="78">
        <v>146</v>
      </c>
      <c r="C148" t="s">
        <v>66</v>
      </c>
      <c r="D148" t="s">
        <v>405</v>
      </c>
    </row>
    <row r="149" spans="1:8" ht="18" x14ac:dyDescent="0.2">
      <c r="A149" s="78">
        <v>147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ht="18" x14ac:dyDescent="0.2">
      <c r="A150" s="78">
        <v>148</v>
      </c>
    </row>
  </sheetData>
  <phoneticPr fontId="7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9"/>
  <sheetViews>
    <sheetView workbookViewId="0"/>
  </sheetViews>
  <sheetFormatPr baseColWidth="10" defaultColWidth="10.83203125" defaultRowHeight="16" x14ac:dyDescent="0.2"/>
  <cols>
    <col min="1" max="16384" width="10.83203125" style="234"/>
  </cols>
  <sheetData>
    <row r="1" spans="1:16" x14ac:dyDescent="0.2">
      <c r="A1" s="234" t="s">
        <v>66</v>
      </c>
      <c r="B1" s="234" t="s">
        <v>68</v>
      </c>
      <c r="C1" s="234" t="s">
        <v>67</v>
      </c>
      <c r="D1" s="234" t="s">
        <v>362</v>
      </c>
      <c r="E1" s="234" t="s">
        <v>363</v>
      </c>
      <c r="F1" s="234">
        <v>758</v>
      </c>
      <c r="G1" s="234" t="s">
        <v>364</v>
      </c>
      <c r="H1" s="234" t="s">
        <v>365</v>
      </c>
      <c r="I1" s="234" t="s">
        <v>182</v>
      </c>
      <c r="J1" s="234" t="s">
        <v>363</v>
      </c>
      <c r="K1" s="234">
        <v>19.511299999999999</v>
      </c>
      <c r="L1" s="234" t="s">
        <v>366</v>
      </c>
      <c r="M1" s="234" t="s">
        <v>367</v>
      </c>
      <c r="N1" s="234" t="s">
        <v>368</v>
      </c>
      <c r="O1" s="234" t="s">
        <v>363</v>
      </c>
      <c r="P1" s="235">
        <v>2.93397E-5</v>
      </c>
    </row>
    <row r="2" spans="1:16" x14ac:dyDescent="0.2">
      <c r="B2" s="234" t="s">
        <v>369</v>
      </c>
    </row>
    <row r="3" spans="1:16" x14ac:dyDescent="0.2">
      <c r="A3" s="234">
        <v>9.9505594220500004</v>
      </c>
      <c r="I3" s="234">
        <f>COUNT(A2:B26)</f>
        <v>10</v>
      </c>
    </row>
    <row r="4" spans="1:16" x14ac:dyDescent="0.2">
      <c r="A4" s="234" t="s">
        <v>66</v>
      </c>
      <c r="B4" s="234" t="s">
        <v>370</v>
      </c>
      <c r="I4" s="234">
        <f>COUNT(27:29)</f>
        <v>65</v>
      </c>
    </row>
    <row r="5" spans="1:16" x14ac:dyDescent="0.2">
      <c r="A5" s="234">
        <v>4.5656598480400001</v>
      </c>
      <c r="I5" s="234">
        <f>COUNT(A49:L98)</f>
        <v>500</v>
      </c>
    </row>
    <row r="6" spans="1:16" x14ac:dyDescent="0.2">
      <c r="A6" s="234" t="s">
        <v>66</v>
      </c>
      <c r="B6" s="234" t="s">
        <v>371</v>
      </c>
      <c r="I6" s="234">
        <f>COUNT(45:45)</f>
        <v>51</v>
      </c>
    </row>
    <row r="7" spans="1:16" x14ac:dyDescent="0.2">
      <c r="A7" s="234">
        <v>-1.4834965446899999</v>
      </c>
      <c r="I7" s="234">
        <f>COUNT(A132:L136,A139:J139,A143:AM154,B169:G169)</f>
        <v>134</v>
      </c>
    </row>
    <row r="8" spans="1:16" x14ac:dyDescent="0.2">
      <c r="A8" s="234" t="s">
        <v>66</v>
      </c>
      <c r="B8" s="234" t="s">
        <v>372</v>
      </c>
    </row>
    <row r="10" spans="1:16" x14ac:dyDescent="0.2">
      <c r="A10" s="234" t="s">
        <v>66</v>
      </c>
      <c r="B10" s="234" t="s">
        <v>373</v>
      </c>
    </row>
    <row r="11" spans="1:16" x14ac:dyDescent="0.2">
      <c r="A11" s="234">
        <v>0.36751092554999998</v>
      </c>
      <c r="C11" s="234">
        <f>EXP(A11)</f>
        <v>1.4441355764188055</v>
      </c>
    </row>
    <row r="12" spans="1:16" x14ac:dyDescent="0.2">
      <c r="A12" s="234" t="s">
        <v>66</v>
      </c>
      <c r="B12" s="234" t="s">
        <v>4</v>
      </c>
    </row>
    <row r="13" spans="1:16" x14ac:dyDescent="0.2">
      <c r="A13" s="234">
        <v>-0.26477463729200001</v>
      </c>
      <c r="C13" s="234">
        <f>EXP(A13)</f>
        <v>0.76737886907036179</v>
      </c>
    </row>
    <row r="14" spans="1:16" x14ac:dyDescent="0.2">
      <c r="A14" s="234" t="s">
        <v>66</v>
      </c>
      <c r="B14" s="234" t="s">
        <v>374</v>
      </c>
      <c r="I14" s="234">
        <f>SUM(I3:I13)</f>
        <v>760</v>
      </c>
    </row>
    <row r="16" spans="1:16" x14ac:dyDescent="0.2">
      <c r="A16" s="234" t="s">
        <v>66</v>
      </c>
      <c r="B16" s="234" t="s">
        <v>375</v>
      </c>
    </row>
    <row r="17" spans="1:52" x14ac:dyDescent="0.2">
      <c r="A17" s="234">
        <v>-1.081019628</v>
      </c>
      <c r="C17" s="234">
        <f>EXP(A17)</f>
        <v>0.33924944100709409</v>
      </c>
    </row>
    <row r="18" spans="1:52" x14ac:dyDescent="0.2">
      <c r="A18" s="234" t="s">
        <v>66</v>
      </c>
      <c r="B18" s="234" t="s">
        <v>376</v>
      </c>
    </row>
    <row r="19" spans="1:52" x14ac:dyDescent="0.2">
      <c r="A19" s="234">
        <v>9.9104248907100008</v>
      </c>
      <c r="C19" s="234">
        <f>EXP(A19)</f>
        <v>20139.229144922741</v>
      </c>
    </row>
    <row r="20" spans="1:52" x14ac:dyDescent="0.2">
      <c r="A20" s="234" t="s">
        <v>66</v>
      </c>
      <c r="B20" s="234" t="s">
        <v>377</v>
      </c>
    </row>
    <row r="21" spans="1:52" x14ac:dyDescent="0.2">
      <c r="A21" s="234">
        <v>0.67424779850200001</v>
      </c>
    </row>
    <row r="22" spans="1:52" x14ac:dyDescent="0.2">
      <c r="A22" s="234" t="s">
        <v>66</v>
      </c>
      <c r="B22" s="234" t="s">
        <v>378</v>
      </c>
    </row>
    <row r="23" spans="1:52" x14ac:dyDescent="0.2">
      <c r="A23" s="234">
        <v>3.4550102126899997E-2</v>
      </c>
      <c r="C23" s="234">
        <f>EXP(A23)</f>
        <v>1.0351538904884847</v>
      </c>
    </row>
    <row r="24" spans="1:52" x14ac:dyDescent="0.2">
      <c r="A24" s="234" t="s">
        <v>66</v>
      </c>
      <c r="B24" s="234" t="s">
        <v>853</v>
      </c>
    </row>
    <row r="25" spans="1:52" x14ac:dyDescent="0.2">
      <c r="A25" s="234">
        <v>-9.6804743748500002</v>
      </c>
      <c r="C25" s="234">
        <f>EXP(A25)</f>
        <v>6.2491852179386893E-5</v>
      </c>
    </row>
    <row r="26" spans="1:52" x14ac:dyDescent="0.2">
      <c r="A26" s="234" t="s">
        <v>66</v>
      </c>
      <c r="B26" s="234" t="s">
        <v>379</v>
      </c>
    </row>
    <row r="27" spans="1:52" x14ac:dyDescent="0.2">
      <c r="B27" s="234">
        <v>3.6257854832600001</v>
      </c>
      <c r="C27" s="234">
        <v>3.1675759569699999</v>
      </c>
      <c r="D27" s="234">
        <v>1.59287020933</v>
      </c>
      <c r="E27" s="234">
        <v>0.798075672801</v>
      </c>
      <c r="F27" s="234">
        <v>1.25441611256</v>
      </c>
      <c r="G27" s="234">
        <v>0.34742457175300001</v>
      </c>
      <c r="H27" s="234">
        <v>-0.65403302538800001</v>
      </c>
      <c r="I27" s="234">
        <v>-1.4440878559500001</v>
      </c>
      <c r="J27" s="234">
        <v>-1.4186634199299999</v>
      </c>
      <c r="K27" s="234">
        <v>-1.4208542657600001</v>
      </c>
      <c r="L27" s="234">
        <v>-1.42741804739</v>
      </c>
      <c r="M27" s="234">
        <v>-1.4473196628</v>
      </c>
      <c r="N27" s="234">
        <v>-1.486594835</v>
      </c>
      <c r="O27" s="234">
        <v>-1.4871773585200001</v>
      </c>
    </row>
    <row r="28" spans="1:52" x14ac:dyDescent="0.2">
      <c r="A28" s="234" t="s">
        <v>66</v>
      </c>
      <c r="B28" s="234" t="s">
        <v>380</v>
      </c>
    </row>
    <row r="29" spans="1:52" x14ac:dyDescent="0.2">
      <c r="B29" s="234">
        <v>-1.35881360367</v>
      </c>
      <c r="C29" s="234">
        <v>-1.6910832138100001E-2</v>
      </c>
      <c r="D29" s="234">
        <v>-0.36453517874699998</v>
      </c>
      <c r="E29" s="234">
        <v>0.31703946321900001</v>
      </c>
      <c r="F29" s="234">
        <v>0.24304765098</v>
      </c>
      <c r="G29" s="234">
        <v>0.33160462432900001</v>
      </c>
      <c r="H29" s="234">
        <v>-3.9684804597899997E-2</v>
      </c>
      <c r="I29" s="234">
        <v>-0.75705324013099995</v>
      </c>
      <c r="J29" s="234">
        <v>-0.66337129487599999</v>
      </c>
      <c r="K29" s="234">
        <v>0.31701762803599998</v>
      </c>
      <c r="L29" s="234">
        <v>2.1379739102E-2</v>
      </c>
      <c r="M29" s="234">
        <v>-0.14226446190799999</v>
      </c>
      <c r="N29" s="234">
        <v>-0.40402288702299999</v>
      </c>
      <c r="O29" s="234">
        <v>-0.40472087439799997</v>
      </c>
      <c r="P29" s="234">
        <v>0.25839162573699997</v>
      </c>
      <c r="Q29" s="234">
        <v>1.16570801862</v>
      </c>
      <c r="R29" s="234">
        <v>0.24815307617900001</v>
      </c>
      <c r="S29" s="234">
        <v>0.38361032031999998</v>
      </c>
      <c r="T29" s="234">
        <v>-0.27620097534299998</v>
      </c>
      <c r="U29" s="234">
        <v>0.94034646806</v>
      </c>
      <c r="V29" s="234">
        <v>-0.45404575914</v>
      </c>
      <c r="W29" s="234">
        <v>0.52313476859899999</v>
      </c>
      <c r="X29" s="234">
        <v>-0.36519051993000001</v>
      </c>
      <c r="Y29" s="234">
        <v>-0.902196636803</v>
      </c>
      <c r="Z29" s="234">
        <v>-1.3451982706000001</v>
      </c>
      <c r="AA29" s="234">
        <v>-0.70500151280699996</v>
      </c>
      <c r="AB29" s="234">
        <v>0.87403197446799996</v>
      </c>
      <c r="AC29" s="234">
        <v>0.19886930158900001</v>
      </c>
      <c r="AD29" s="234">
        <v>4.9038459253400002E-2</v>
      </c>
      <c r="AE29" s="234">
        <v>0.82023521586799997</v>
      </c>
      <c r="AF29" s="234">
        <v>-0.35972605516799999</v>
      </c>
      <c r="AG29" s="234">
        <v>-0.67304855756000004</v>
      </c>
      <c r="AH29" s="234">
        <v>9.9288512240999993E-2</v>
      </c>
      <c r="AI29" s="234">
        <v>0.40722201579599998</v>
      </c>
      <c r="AJ29" s="234">
        <v>-0.28800556891700002</v>
      </c>
      <c r="AK29" s="234">
        <v>-0.19670152028400001</v>
      </c>
      <c r="AL29" s="234">
        <v>0.23654996333299999</v>
      </c>
      <c r="AM29" s="234">
        <v>0.54022271508499997</v>
      </c>
      <c r="AN29" s="234">
        <v>0.103449626618</v>
      </c>
      <c r="AO29" s="234">
        <v>-0.40562668463899998</v>
      </c>
      <c r="AP29" s="234">
        <v>-1.2084108739899999</v>
      </c>
      <c r="AQ29" s="234">
        <v>-1.5946143347399999</v>
      </c>
      <c r="AR29" s="234">
        <v>-0.65135113142199996</v>
      </c>
      <c r="AS29" s="234">
        <v>0.19966134787600001</v>
      </c>
      <c r="AT29" s="234">
        <v>-0.72387101287099997</v>
      </c>
      <c r="AU29" s="234">
        <v>0.98531575111799996</v>
      </c>
      <c r="AV29" s="234">
        <v>-2.0357809124500002E-2</v>
      </c>
      <c r="AW29" s="234">
        <v>0.14506783100000001</v>
      </c>
      <c r="AX29" s="234">
        <v>-0.14626741528000001</v>
      </c>
      <c r="AY29" s="234">
        <v>0.39127179870700002</v>
      </c>
      <c r="AZ29" s="234">
        <v>0.12385146405399999</v>
      </c>
    </row>
    <row r="30" spans="1:52" x14ac:dyDescent="0.2">
      <c r="A30" s="234" t="s">
        <v>66</v>
      </c>
      <c r="B30" s="234" t="s">
        <v>381</v>
      </c>
    </row>
    <row r="31" spans="1:52" x14ac:dyDescent="0.2">
      <c r="B31" s="234">
        <v>0</v>
      </c>
      <c r="C31" s="234">
        <v>0</v>
      </c>
      <c r="D31" s="234">
        <v>0</v>
      </c>
      <c r="E31" s="234">
        <v>0</v>
      </c>
      <c r="F31" s="234">
        <v>0</v>
      </c>
      <c r="G31" s="234">
        <v>0</v>
      </c>
      <c r="H31" s="234">
        <v>0</v>
      </c>
      <c r="I31" s="234">
        <v>0</v>
      </c>
      <c r="J31" s="234">
        <v>0</v>
      </c>
      <c r="K31" s="234">
        <v>0</v>
      </c>
      <c r="L31" s="234">
        <v>0</v>
      </c>
    </row>
    <row r="32" spans="1:52" x14ac:dyDescent="0.2">
      <c r="B32" s="234">
        <v>0</v>
      </c>
      <c r="C32" s="234">
        <v>0</v>
      </c>
      <c r="D32" s="234">
        <v>0</v>
      </c>
      <c r="E32" s="234">
        <v>0</v>
      </c>
      <c r="F32" s="234">
        <v>0</v>
      </c>
      <c r="G32" s="234">
        <v>0</v>
      </c>
      <c r="H32" s="234">
        <v>0</v>
      </c>
      <c r="I32" s="234">
        <v>0</v>
      </c>
      <c r="J32" s="234">
        <v>0</v>
      </c>
      <c r="K32" s="234">
        <v>0</v>
      </c>
      <c r="L32" s="234">
        <v>0</v>
      </c>
    </row>
    <row r="33" spans="1:52" x14ac:dyDescent="0.2">
      <c r="B33" s="234">
        <v>0</v>
      </c>
      <c r="C33" s="234">
        <v>0</v>
      </c>
      <c r="D33" s="234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0</v>
      </c>
      <c r="K33" s="234">
        <v>0</v>
      </c>
      <c r="L33" s="234">
        <v>0</v>
      </c>
    </row>
    <row r="34" spans="1:52" x14ac:dyDescent="0.2">
      <c r="B34" s="234">
        <v>0</v>
      </c>
      <c r="C34" s="234">
        <v>0</v>
      </c>
      <c r="D34" s="234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</row>
    <row r="35" spans="1:52" x14ac:dyDescent="0.2">
      <c r="B35" s="234">
        <v>0</v>
      </c>
      <c r="C35" s="234">
        <v>0</v>
      </c>
      <c r="D35" s="234">
        <v>0</v>
      </c>
      <c r="E35" s="234">
        <v>0</v>
      </c>
      <c r="F35" s="234">
        <v>0</v>
      </c>
      <c r="G35" s="234">
        <v>0</v>
      </c>
      <c r="H35" s="234">
        <v>0</v>
      </c>
      <c r="I35" s="234">
        <v>0</v>
      </c>
      <c r="J35" s="234">
        <v>0</v>
      </c>
      <c r="K35" s="234">
        <v>0</v>
      </c>
      <c r="L35" s="234">
        <v>0</v>
      </c>
    </row>
    <row r="36" spans="1:52" x14ac:dyDescent="0.2">
      <c r="B36" s="234">
        <v>0</v>
      </c>
      <c r="C36" s="234">
        <v>0</v>
      </c>
      <c r="D36" s="234">
        <v>0</v>
      </c>
      <c r="E36" s="234">
        <v>0</v>
      </c>
      <c r="F36" s="234">
        <v>0</v>
      </c>
      <c r="G36" s="234">
        <v>0</v>
      </c>
      <c r="H36" s="234">
        <v>0</v>
      </c>
      <c r="I36" s="234">
        <v>0</v>
      </c>
      <c r="J36" s="234">
        <v>0</v>
      </c>
      <c r="K36" s="234">
        <v>0</v>
      </c>
      <c r="L36" s="234">
        <v>0</v>
      </c>
    </row>
    <row r="37" spans="1:52" x14ac:dyDescent="0.2">
      <c r="B37" s="234">
        <v>0</v>
      </c>
      <c r="C37" s="234">
        <v>0</v>
      </c>
      <c r="D37" s="234">
        <v>0</v>
      </c>
      <c r="E37" s="234">
        <v>0</v>
      </c>
      <c r="F37" s="234">
        <v>0</v>
      </c>
      <c r="G37" s="234">
        <v>0</v>
      </c>
      <c r="H37" s="234">
        <v>0</v>
      </c>
      <c r="I37" s="234">
        <v>0</v>
      </c>
      <c r="J37" s="234">
        <v>0</v>
      </c>
      <c r="K37" s="234">
        <v>0</v>
      </c>
      <c r="L37" s="234">
        <v>0</v>
      </c>
    </row>
    <row r="38" spans="1:52" x14ac:dyDescent="0.2">
      <c r="B38" s="234">
        <v>0</v>
      </c>
      <c r="C38" s="234">
        <v>0</v>
      </c>
      <c r="D38" s="234">
        <v>0</v>
      </c>
      <c r="E38" s="234">
        <v>0</v>
      </c>
      <c r="F38" s="234">
        <v>0</v>
      </c>
      <c r="G38" s="234">
        <v>0</v>
      </c>
      <c r="H38" s="234">
        <v>0</v>
      </c>
      <c r="I38" s="234">
        <v>0</v>
      </c>
      <c r="J38" s="234">
        <v>0</v>
      </c>
      <c r="K38" s="234">
        <v>0</v>
      </c>
      <c r="L38" s="234">
        <v>0</v>
      </c>
    </row>
    <row r="39" spans="1:52" x14ac:dyDescent="0.2">
      <c r="B39" s="234">
        <v>0</v>
      </c>
      <c r="C39" s="234">
        <v>0</v>
      </c>
      <c r="D39" s="234">
        <v>0</v>
      </c>
      <c r="E39" s="234">
        <v>0</v>
      </c>
      <c r="F39" s="234">
        <v>0</v>
      </c>
      <c r="G39" s="234">
        <v>0</v>
      </c>
      <c r="H39" s="234">
        <v>0</v>
      </c>
      <c r="I39" s="234">
        <v>0</v>
      </c>
      <c r="J39" s="234">
        <v>0</v>
      </c>
      <c r="K39" s="234">
        <v>0</v>
      </c>
      <c r="L39" s="234">
        <v>0</v>
      </c>
    </row>
    <row r="40" spans="1:52" x14ac:dyDescent="0.2">
      <c r="B40" s="234">
        <v>0</v>
      </c>
      <c r="C40" s="234">
        <v>0</v>
      </c>
      <c r="D40" s="234">
        <v>0</v>
      </c>
      <c r="E40" s="234">
        <v>0</v>
      </c>
      <c r="F40" s="234">
        <v>0</v>
      </c>
      <c r="G40" s="234">
        <v>0</v>
      </c>
      <c r="H40" s="234">
        <v>0</v>
      </c>
      <c r="I40" s="234">
        <v>0</v>
      </c>
      <c r="J40" s="234">
        <v>0</v>
      </c>
      <c r="K40" s="234">
        <v>0</v>
      </c>
      <c r="L40" s="234">
        <v>0</v>
      </c>
    </row>
    <row r="41" spans="1:52" x14ac:dyDescent="0.2">
      <c r="B41" s="234">
        <v>0</v>
      </c>
      <c r="C41" s="234">
        <v>0</v>
      </c>
      <c r="D41" s="234">
        <v>0</v>
      </c>
      <c r="E41" s="234">
        <v>0</v>
      </c>
      <c r="F41" s="234">
        <v>0</v>
      </c>
      <c r="G41" s="234">
        <v>0</v>
      </c>
      <c r="H41" s="234">
        <v>0</v>
      </c>
      <c r="I41" s="234">
        <v>0</v>
      </c>
      <c r="J41" s="234">
        <v>0</v>
      </c>
      <c r="K41" s="234">
        <v>0</v>
      </c>
      <c r="L41" s="234">
        <v>0</v>
      </c>
    </row>
    <row r="42" spans="1:52" x14ac:dyDescent="0.2">
      <c r="A42" s="234" t="s">
        <v>66</v>
      </c>
      <c r="B42" s="234" t="s">
        <v>911</v>
      </c>
    </row>
    <row r="43" spans="1:52" x14ac:dyDescent="0.2">
      <c r="A43" s="234">
        <v>0.310372167157</v>
      </c>
    </row>
    <row r="44" spans="1:52" x14ac:dyDescent="0.2">
      <c r="A44" s="234" t="s">
        <v>66</v>
      </c>
      <c r="B44" s="234" t="s">
        <v>382</v>
      </c>
    </row>
    <row r="45" spans="1:52" x14ac:dyDescent="0.2">
      <c r="B45" s="234">
        <v>-0.40693151906199998</v>
      </c>
      <c r="C45" s="234">
        <v>-0.57275984242400002</v>
      </c>
      <c r="D45" s="234">
        <v>-0.67495422413399997</v>
      </c>
      <c r="E45" s="234">
        <v>-0.16183032681100001</v>
      </c>
      <c r="F45" s="234">
        <v>-0.16529343292000001</v>
      </c>
      <c r="G45" s="234">
        <v>-0.21143918907699999</v>
      </c>
      <c r="H45" s="234">
        <v>0.22357651706199999</v>
      </c>
      <c r="I45" s="234">
        <v>0.61362038188300005</v>
      </c>
      <c r="J45" s="234">
        <v>0.67360805588499995</v>
      </c>
      <c r="K45" s="234">
        <v>0.82005327128899996</v>
      </c>
      <c r="L45" s="234">
        <v>0.80443684006600003</v>
      </c>
      <c r="M45" s="234">
        <v>0.65877725756899996</v>
      </c>
      <c r="N45" s="234">
        <v>0.51300820039399997</v>
      </c>
      <c r="O45" s="234">
        <v>0.31070895732800002</v>
      </c>
      <c r="P45" s="234">
        <v>0.34085169565599999</v>
      </c>
      <c r="Q45" s="234">
        <v>0.37618022667000001</v>
      </c>
      <c r="R45" s="234">
        <v>0.330722358361</v>
      </c>
      <c r="S45" s="234">
        <v>0.10278435877100001</v>
      </c>
      <c r="T45" s="234">
        <v>-0.17849152337099999</v>
      </c>
      <c r="U45" s="234">
        <v>-0.18909420796000001</v>
      </c>
      <c r="V45" s="234">
        <v>-0.16529860217</v>
      </c>
      <c r="W45" s="234">
        <v>-0.13141832281999999</v>
      </c>
      <c r="X45" s="234">
        <v>-0.27316710505399999</v>
      </c>
      <c r="Y45" s="234">
        <v>-0.58214075310799995</v>
      </c>
      <c r="Z45" s="234">
        <v>-0.51159174021499998</v>
      </c>
      <c r="AA45" s="234">
        <v>-0.45838690523499998</v>
      </c>
      <c r="AB45" s="234">
        <v>-0.138730389038</v>
      </c>
      <c r="AC45" s="234">
        <v>-4.1678371786800002E-3</v>
      </c>
      <c r="AD45" s="234">
        <v>0.32363528993899998</v>
      </c>
      <c r="AE45" s="234">
        <v>-0.19079615154400001</v>
      </c>
      <c r="AF45" s="234">
        <v>-0.361018774396</v>
      </c>
      <c r="AG45" s="234">
        <v>-0.283036837634</v>
      </c>
      <c r="AH45" s="234">
        <v>-4.1353918840600003E-2</v>
      </c>
      <c r="AI45" s="234">
        <v>-5.0507247399199998E-2</v>
      </c>
      <c r="AJ45" s="234">
        <v>-0.140792486366</v>
      </c>
      <c r="AK45" s="234">
        <v>-0.50303100689400004</v>
      </c>
      <c r="AL45" s="234">
        <v>-0.355839836613</v>
      </c>
      <c r="AM45" s="234">
        <v>-0.19475401219800001</v>
      </c>
      <c r="AN45" s="234">
        <v>-5.3689662338099998E-2</v>
      </c>
      <c r="AO45" s="234">
        <v>-5.1961422819700002E-2</v>
      </c>
      <c r="AP45" s="234">
        <v>-0.116936491531</v>
      </c>
      <c r="AQ45" s="234">
        <v>-0.222048359971</v>
      </c>
      <c r="AR45" s="234">
        <v>-4.4829448700499999E-3</v>
      </c>
      <c r="AS45" s="234">
        <v>5.2350170071799998E-2</v>
      </c>
      <c r="AT45" s="234">
        <v>0.12955066725799999</v>
      </c>
      <c r="AU45" s="234">
        <v>0.118715820735</v>
      </c>
      <c r="AV45" s="234">
        <v>-7.3078142642999999E-2</v>
      </c>
      <c r="AW45" s="234">
        <v>0.27879615760600002</v>
      </c>
      <c r="AX45" s="234">
        <v>0.28153601629000002</v>
      </c>
      <c r="AY45" s="234">
        <v>0.34692222033699999</v>
      </c>
      <c r="AZ45" s="234">
        <v>0.169188753464</v>
      </c>
    </row>
    <row r="46" spans="1:52" x14ac:dyDescent="0.2">
      <c r="A46" s="234" t="s">
        <v>66</v>
      </c>
      <c r="B46" s="234" t="s">
        <v>383</v>
      </c>
    </row>
    <row r="47" spans="1:52" x14ac:dyDescent="0.2">
      <c r="A47" s="234">
        <v>0.9</v>
      </c>
    </row>
    <row r="48" spans="1:52" x14ac:dyDescent="0.2">
      <c r="A48" s="234" t="s">
        <v>66</v>
      </c>
      <c r="B48" s="234" t="s">
        <v>384</v>
      </c>
    </row>
    <row r="49" spans="2:11" x14ac:dyDescent="0.2">
      <c r="B49" s="234">
        <v>-6.9523265964800005E-2</v>
      </c>
      <c r="C49" s="234">
        <v>-6.4539201179399997E-4</v>
      </c>
      <c r="D49" s="234">
        <v>0.31650021475000001</v>
      </c>
      <c r="E49" s="234">
        <v>0.10657083180599999</v>
      </c>
      <c r="F49" s="234">
        <v>2.4275063166400001E-3</v>
      </c>
      <c r="G49" s="234">
        <v>-5.9979964655899998E-2</v>
      </c>
      <c r="H49" s="234">
        <v>-7.7107711608800006E-2</v>
      </c>
      <c r="I49" s="234">
        <v>-7.5459510270999994E-2</v>
      </c>
      <c r="J49" s="234">
        <v>-7.1755455900599993E-2</v>
      </c>
      <c r="K49" s="234">
        <v>-7.10272749127E-2</v>
      </c>
    </row>
    <row r="50" spans="2:11" x14ac:dyDescent="0.2">
      <c r="B50" s="234">
        <v>1.6026855844500001E-2</v>
      </c>
      <c r="C50" s="234">
        <v>0.259876385815</v>
      </c>
      <c r="D50" s="234">
        <v>0.14194423172599999</v>
      </c>
      <c r="E50" s="234">
        <v>-7.7024076326000002E-2</v>
      </c>
      <c r="F50" s="234">
        <v>-6.1146429823800003E-2</v>
      </c>
      <c r="G50" s="234">
        <v>-6.6137052335599994E-2</v>
      </c>
      <c r="H50" s="234">
        <v>-6.1828520565299999E-2</v>
      </c>
      <c r="I50" s="234">
        <v>-5.9735005707499997E-2</v>
      </c>
      <c r="J50" s="234">
        <v>-5.1322176967500001E-2</v>
      </c>
      <c r="K50" s="234">
        <v>-4.0654234768000001E-2</v>
      </c>
    </row>
    <row r="51" spans="2:11" x14ac:dyDescent="0.2">
      <c r="B51" s="234">
        <v>-2.10224459629E-2</v>
      </c>
      <c r="C51" s="234">
        <v>0.16080879292299999</v>
      </c>
      <c r="D51" s="234">
        <v>0.52728074144500003</v>
      </c>
      <c r="E51" s="234">
        <v>-0.211826064057</v>
      </c>
      <c r="F51" s="234">
        <v>-0.17265950785199999</v>
      </c>
      <c r="G51" s="234">
        <v>-0.13255793182799999</v>
      </c>
      <c r="H51" s="234">
        <v>-8.6029277158500006E-2</v>
      </c>
      <c r="I51" s="234">
        <v>-4.8173382101000001E-2</v>
      </c>
      <c r="J51" s="234">
        <v>-2.1309905961199999E-2</v>
      </c>
      <c r="K51" s="234">
        <v>5.4890249962600002E-3</v>
      </c>
    </row>
    <row r="52" spans="2:11" x14ac:dyDescent="0.2">
      <c r="B52" s="234">
        <v>7.7160030796800005E-2</v>
      </c>
      <c r="C52" s="234">
        <v>0.112397876397</v>
      </c>
      <c r="D52" s="234">
        <v>-0.24342424188600001</v>
      </c>
      <c r="E52" s="234">
        <v>0.10070142937400001</v>
      </c>
      <c r="F52" s="234">
        <v>4.4155869896899999E-2</v>
      </c>
      <c r="G52" s="234">
        <v>1.38236937083E-2</v>
      </c>
      <c r="H52" s="234">
        <v>-9.6288889660500008E-3</v>
      </c>
      <c r="I52" s="234">
        <v>-2.3736246555699999E-2</v>
      </c>
      <c r="J52" s="234">
        <v>-2.9494061712599998E-2</v>
      </c>
      <c r="K52" s="234">
        <v>-4.1955418978299998E-2</v>
      </c>
    </row>
    <row r="53" spans="2:11" x14ac:dyDescent="0.2">
      <c r="B53" s="234">
        <v>3.3705857199800002E-2</v>
      </c>
      <c r="C53" s="234">
        <v>6.5075111882499995E-2</v>
      </c>
      <c r="D53" s="234">
        <v>0.38297197941599997</v>
      </c>
      <c r="E53" s="234">
        <v>-0.131281352367</v>
      </c>
      <c r="F53" s="234">
        <v>-0.11963815332</v>
      </c>
      <c r="G53" s="234">
        <v>-0.106756633588</v>
      </c>
      <c r="H53" s="234">
        <v>-8.08062657909E-2</v>
      </c>
      <c r="I53" s="234">
        <v>-5.6941325932900001E-2</v>
      </c>
      <c r="J53" s="234">
        <v>-3.7639129195600002E-2</v>
      </c>
      <c r="K53" s="234">
        <v>5.1309830705499999E-2</v>
      </c>
    </row>
    <row r="54" spans="2:11" x14ac:dyDescent="0.2">
      <c r="B54" s="234">
        <v>2.3900393101199999E-2</v>
      </c>
      <c r="C54" s="234">
        <v>0.40237215315300001</v>
      </c>
      <c r="D54" s="234">
        <v>2.54795878787E-2</v>
      </c>
      <c r="E54" s="234">
        <v>-0.250488213106</v>
      </c>
      <c r="F54" s="234">
        <v>-0.22815988702199999</v>
      </c>
      <c r="G54" s="234">
        <v>-0.20993456740899999</v>
      </c>
      <c r="H54" s="234">
        <v>-4.7292422609400003E-2</v>
      </c>
      <c r="I54" s="234">
        <v>-4.1767293728100001E-2</v>
      </c>
      <c r="J54" s="234">
        <v>-3.8268890483699997E-2</v>
      </c>
      <c r="K54" s="234">
        <v>0.36415906596100001</v>
      </c>
    </row>
    <row r="55" spans="2:11" x14ac:dyDescent="0.2">
      <c r="B55" s="234">
        <v>-4.3721201047000002E-2</v>
      </c>
      <c r="C55" s="234">
        <v>-0.17890204996699999</v>
      </c>
      <c r="D55" s="234">
        <v>-0.13546235500600001</v>
      </c>
      <c r="E55" s="234">
        <v>1.1678688455000001E-2</v>
      </c>
      <c r="F55" s="234">
        <v>0.12973826314</v>
      </c>
      <c r="G55" s="234">
        <v>0.12710053529500001</v>
      </c>
      <c r="H55" s="234">
        <v>-3.5367114667400001E-2</v>
      </c>
      <c r="I55" s="234">
        <v>-2.5636438072000001E-2</v>
      </c>
      <c r="J55" s="234">
        <v>-1.8602896571000001E-2</v>
      </c>
      <c r="K55" s="234">
        <v>0.16917453992500001</v>
      </c>
    </row>
    <row r="56" spans="2:11" x14ac:dyDescent="0.2">
      <c r="B56" s="234">
        <v>-8.1469106034200003E-2</v>
      </c>
      <c r="C56" s="234">
        <v>0.38639503691799998</v>
      </c>
      <c r="D56" s="234">
        <v>0.134904101345</v>
      </c>
      <c r="E56" s="234">
        <v>3.6244575520099999E-2</v>
      </c>
      <c r="F56" s="234">
        <v>-7.4586335761199996E-2</v>
      </c>
      <c r="G56" s="234">
        <v>-5.8673620738899999E-2</v>
      </c>
      <c r="H56" s="234">
        <v>-5.1574383640500002E-2</v>
      </c>
      <c r="I56" s="234">
        <v>-6.3988175694800004E-2</v>
      </c>
      <c r="J56" s="234">
        <v>-1.14719843595E-2</v>
      </c>
      <c r="K56" s="234">
        <v>-0.21577997174399999</v>
      </c>
    </row>
    <row r="57" spans="2:11" x14ac:dyDescent="0.2">
      <c r="B57" s="234">
        <v>-0.1076141551</v>
      </c>
      <c r="C57" s="234">
        <v>1.2384486957900001E-2</v>
      </c>
      <c r="D57" s="234">
        <v>-7.7570843291400002E-2</v>
      </c>
      <c r="E57" s="234">
        <v>5.6583234993300001E-2</v>
      </c>
      <c r="F57" s="234">
        <v>6.7519139837699998E-2</v>
      </c>
      <c r="G57" s="234">
        <v>7.6425619772099995E-2</v>
      </c>
      <c r="H57" s="234">
        <v>6.8569500802799999E-2</v>
      </c>
      <c r="I57" s="234">
        <v>6.81386907244E-2</v>
      </c>
      <c r="J57" s="234">
        <v>9.3996166463700005E-3</v>
      </c>
      <c r="K57" s="234">
        <v>-0.17383535375299999</v>
      </c>
    </row>
    <row r="58" spans="2:11" x14ac:dyDescent="0.2">
      <c r="B58" s="234">
        <v>-6.6961008639899997E-2</v>
      </c>
      <c r="C58" s="234">
        <v>0.24727497376999999</v>
      </c>
      <c r="D58" s="234">
        <v>0.15393591428100001</v>
      </c>
      <c r="E58" s="234">
        <v>-1.5801057920599999E-2</v>
      </c>
      <c r="F58" s="234">
        <v>-2.4075693704900002E-2</v>
      </c>
      <c r="G58" s="234">
        <v>-3.0178234515199999E-2</v>
      </c>
      <c r="H58" s="234">
        <v>-2.3924461220300001E-2</v>
      </c>
      <c r="I58" s="234">
        <v>-1.0594148671600001E-2</v>
      </c>
      <c r="J58" s="234">
        <v>-5.2364351011099999E-3</v>
      </c>
      <c r="K58" s="234">
        <v>-0.22443985606700001</v>
      </c>
    </row>
    <row r="59" spans="2:11" x14ac:dyDescent="0.2">
      <c r="B59" s="234">
        <v>-9.4433909972599997E-2</v>
      </c>
      <c r="C59" s="234">
        <v>-0.53144724062399995</v>
      </c>
      <c r="D59" s="234">
        <v>0.16722563838599999</v>
      </c>
      <c r="E59" s="234">
        <v>0.101267888918</v>
      </c>
      <c r="F59" s="234">
        <v>6.7506245418199995E-2</v>
      </c>
      <c r="G59" s="234">
        <v>5.7396800927499998E-2</v>
      </c>
      <c r="H59" s="234">
        <v>4.82661835059E-2</v>
      </c>
      <c r="I59" s="234">
        <v>3.52330998881E-2</v>
      </c>
      <c r="J59" s="234">
        <v>2.9607249769400001E-2</v>
      </c>
      <c r="K59" s="234">
        <v>0.119377947724</v>
      </c>
    </row>
    <row r="60" spans="2:11" x14ac:dyDescent="0.2">
      <c r="B60" s="234">
        <v>-8.9841176374999998E-2</v>
      </c>
      <c r="C60" s="234">
        <v>-3.2921549057000003E-2</v>
      </c>
      <c r="D60" s="234">
        <v>-0.19901851049200001</v>
      </c>
      <c r="E60" s="234">
        <v>7.9700337998399998E-2</v>
      </c>
      <c r="F60" s="234">
        <v>7.3996386910500006E-2</v>
      </c>
      <c r="G60" s="234">
        <v>6.5877063697500002E-2</v>
      </c>
      <c r="H60" s="234">
        <v>5.7411204560599997E-2</v>
      </c>
      <c r="I60" s="234">
        <v>5.0331388306900003E-2</v>
      </c>
      <c r="J60" s="234">
        <v>4.6234149205599998E-2</v>
      </c>
      <c r="K60" s="234">
        <v>-5.1769325992200001E-2</v>
      </c>
    </row>
    <row r="61" spans="2:11" x14ac:dyDescent="0.2">
      <c r="B61" s="234">
        <v>-3.7657129396699997E-2</v>
      </c>
      <c r="C61" s="234">
        <v>0.32547029618399997</v>
      </c>
      <c r="D61" s="234">
        <v>-0.126220131831</v>
      </c>
      <c r="E61" s="234">
        <v>-0.10995417881400001</v>
      </c>
      <c r="F61" s="234">
        <v>-1.42876914158E-2</v>
      </c>
      <c r="G61" s="234">
        <v>-3.3751920684400001E-3</v>
      </c>
      <c r="H61" s="234">
        <v>3.5682919489900002E-3</v>
      </c>
      <c r="I61" s="234">
        <v>5.5678650618800002E-3</v>
      </c>
      <c r="J61" s="234">
        <v>3.8964979266100002E-3</v>
      </c>
      <c r="K61" s="234">
        <v>-4.7008667984699999E-2</v>
      </c>
    </row>
    <row r="62" spans="2:11" x14ac:dyDescent="0.2">
      <c r="B62" s="234">
        <v>-6.5503543595599997E-2</v>
      </c>
      <c r="C62" s="234">
        <v>-0.10695318894</v>
      </c>
      <c r="D62" s="234">
        <v>7.5968905502299997E-2</v>
      </c>
      <c r="E62" s="234">
        <v>7.9621897642199995E-3</v>
      </c>
      <c r="F62" s="234">
        <v>-2.11403187192E-2</v>
      </c>
      <c r="G62" s="234">
        <v>-2.87797101861E-2</v>
      </c>
      <c r="H62" s="234">
        <v>1.70082759037E-2</v>
      </c>
      <c r="I62" s="234">
        <v>3.86485916614E-2</v>
      </c>
      <c r="J62" s="234">
        <v>4.1966539501699998E-2</v>
      </c>
      <c r="K62" s="234">
        <v>4.0822349002500001E-2</v>
      </c>
    </row>
    <row r="63" spans="2:11" x14ac:dyDescent="0.2">
      <c r="B63" s="234">
        <v>-6.73190741482E-2</v>
      </c>
      <c r="C63" s="234">
        <v>-0.50449453742999995</v>
      </c>
      <c r="D63" s="234">
        <v>-0.112384881285</v>
      </c>
      <c r="E63" s="234">
        <v>-7.2173043481600002E-2</v>
      </c>
      <c r="F63" s="234">
        <v>0.13990161859299999</v>
      </c>
      <c r="G63" s="234">
        <v>0.15898103153599999</v>
      </c>
      <c r="H63" s="234">
        <v>9.8158053016000002E-2</v>
      </c>
      <c r="I63" s="234">
        <v>0.119362892161</v>
      </c>
      <c r="J63" s="234">
        <v>0.119968792555</v>
      </c>
      <c r="K63" s="234">
        <v>0.11999915589</v>
      </c>
    </row>
    <row r="64" spans="2:11" x14ac:dyDescent="0.2">
      <c r="B64" s="234">
        <v>-0.28565690315999998</v>
      </c>
      <c r="C64" s="234">
        <v>-0.71526122082599997</v>
      </c>
      <c r="D64" s="234">
        <v>-0.335006653569</v>
      </c>
      <c r="E64" s="234">
        <v>0.205001686425</v>
      </c>
      <c r="F64" s="234">
        <v>0.15793625927800001</v>
      </c>
      <c r="G64" s="234">
        <v>0.22285651230600001</v>
      </c>
      <c r="H64" s="234">
        <v>0.2247499295</v>
      </c>
      <c r="I64" s="234">
        <v>0.17581947026899999</v>
      </c>
      <c r="J64" s="234">
        <v>0.17286911304899999</v>
      </c>
      <c r="K64" s="234">
        <v>0.17669186154300001</v>
      </c>
    </row>
    <row r="65" spans="2:11" x14ac:dyDescent="0.2">
      <c r="B65" s="234">
        <v>-0.231511902825</v>
      </c>
      <c r="C65" s="234">
        <v>-0.40889136654800001</v>
      </c>
      <c r="D65" s="234">
        <v>-0.31695125001800001</v>
      </c>
      <c r="E65" s="234">
        <v>-5.4074368793800003E-2</v>
      </c>
      <c r="F65" s="234">
        <v>0.19318014088300001</v>
      </c>
      <c r="G65" s="234">
        <v>0.125898113586</v>
      </c>
      <c r="H65" s="234">
        <v>0.13884214973699999</v>
      </c>
      <c r="I65" s="234">
        <v>0.14800000503399999</v>
      </c>
      <c r="J65" s="234">
        <v>0.15175528018000001</v>
      </c>
      <c r="K65" s="234">
        <v>0.25375324834099999</v>
      </c>
    </row>
    <row r="66" spans="2:11" x14ac:dyDescent="0.2">
      <c r="B66" s="234">
        <v>-0.11908966153</v>
      </c>
      <c r="C66" s="234">
        <v>-0.27928728192699998</v>
      </c>
      <c r="D66" s="234">
        <v>-0.39250874089900001</v>
      </c>
      <c r="E66" s="234">
        <v>-5.5061899166899998E-2</v>
      </c>
      <c r="F66" s="234">
        <v>3.4413853615699999E-2</v>
      </c>
      <c r="G66" s="234">
        <v>9.9795027336299996E-2</v>
      </c>
      <c r="H66" s="234">
        <v>0.10143079626400001</v>
      </c>
      <c r="I66" s="234">
        <v>0.14209398452399999</v>
      </c>
      <c r="J66" s="234">
        <v>0.16160640656899999</v>
      </c>
      <c r="K66" s="234">
        <v>0.30660774997500001</v>
      </c>
    </row>
    <row r="67" spans="2:11" x14ac:dyDescent="0.2">
      <c r="B67" s="234">
        <v>-0.12524852259499999</v>
      </c>
      <c r="C67" s="234">
        <v>0.13556964578700001</v>
      </c>
      <c r="D67" s="234">
        <v>-4.4723766912600001E-2</v>
      </c>
      <c r="E67" s="234">
        <v>-0.16011204219899999</v>
      </c>
      <c r="F67" s="234">
        <v>-0.22926248634599999</v>
      </c>
      <c r="G67" s="234">
        <v>3.2043020106900001E-2</v>
      </c>
      <c r="H67" s="234">
        <v>3.6604000737700003E-2</v>
      </c>
      <c r="I67" s="234">
        <v>3.1009634220800001E-2</v>
      </c>
      <c r="J67" s="234">
        <v>0.103312886959</v>
      </c>
      <c r="K67" s="234">
        <v>0.22080769003299999</v>
      </c>
    </row>
    <row r="68" spans="2:11" x14ac:dyDescent="0.2">
      <c r="B68" s="234">
        <v>-0.114658394448</v>
      </c>
      <c r="C68" s="234">
        <v>-0.156191541627</v>
      </c>
      <c r="D68" s="234">
        <v>3.24344762557E-2</v>
      </c>
      <c r="E68" s="234">
        <v>-3.9605000979299997E-2</v>
      </c>
      <c r="F68" s="234">
        <v>0.222740358931</v>
      </c>
      <c r="G68" s="234">
        <v>-0.12860618031900001</v>
      </c>
      <c r="H68" s="234">
        <v>1.4256390244600001E-2</v>
      </c>
      <c r="I68" s="234">
        <v>2.7796547832700001E-2</v>
      </c>
      <c r="J68" s="234">
        <v>4.0871960119800002E-2</v>
      </c>
      <c r="K68" s="234">
        <v>0.10096148599800001</v>
      </c>
    </row>
    <row r="69" spans="2:11" x14ac:dyDescent="0.2">
      <c r="B69" s="234">
        <v>-0.116012440821</v>
      </c>
      <c r="C69" s="234">
        <v>0.30205967398099998</v>
      </c>
      <c r="D69" s="234">
        <v>0.15450257757899999</v>
      </c>
      <c r="E69" s="234">
        <v>-0.29807074835899999</v>
      </c>
      <c r="F69" s="234">
        <v>-0.32729962621000003</v>
      </c>
      <c r="G69" s="234">
        <v>0.19078908894999999</v>
      </c>
      <c r="H69" s="234">
        <v>-3.45129526925E-3</v>
      </c>
      <c r="I69" s="234">
        <v>3.88501708827E-2</v>
      </c>
      <c r="J69" s="234">
        <v>1.6033820735199999E-2</v>
      </c>
      <c r="K69" s="234">
        <v>4.2598757717899997E-2</v>
      </c>
    </row>
    <row r="70" spans="2:11" x14ac:dyDescent="0.2">
      <c r="B70" s="234">
        <v>-0.112593706125</v>
      </c>
      <c r="C70" s="234">
        <v>0.13660394655899999</v>
      </c>
      <c r="D70" s="234">
        <v>-3.1539933888500002E-2</v>
      </c>
      <c r="E70" s="234">
        <v>0.31109095699900002</v>
      </c>
      <c r="F70" s="234">
        <v>-4.4756357303400003E-2</v>
      </c>
      <c r="G70" s="234">
        <v>-2.9352484670400001E-2</v>
      </c>
      <c r="H70" s="234">
        <v>4.2935401707300001E-2</v>
      </c>
      <c r="I70" s="234">
        <v>-0.14959059456900001</v>
      </c>
      <c r="J70" s="234">
        <v>-2.15388134284E-2</v>
      </c>
      <c r="K70" s="234">
        <v>-0.101258389696</v>
      </c>
    </row>
    <row r="71" spans="2:11" x14ac:dyDescent="0.2">
      <c r="B71" s="234">
        <v>-0.115757007615</v>
      </c>
      <c r="C71" s="234">
        <v>-1.3519825636199999E-3</v>
      </c>
      <c r="D71" s="234">
        <v>-2.4492739261500002E-2</v>
      </c>
      <c r="E71" s="234">
        <v>-0.220155058382</v>
      </c>
      <c r="F71" s="234">
        <v>-2.3976983217300001E-2</v>
      </c>
      <c r="G71" s="234">
        <v>-9.35086175789E-2</v>
      </c>
      <c r="H71" s="234">
        <v>-0.118850140567</v>
      </c>
      <c r="I71" s="234">
        <v>0.39466630023499999</v>
      </c>
      <c r="J71" s="234">
        <v>0.181870708435</v>
      </c>
      <c r="K71" s="234">
        <v>2.1555558505599998E-2</v>
      </c>
    </row>
    <row r="72" spans="2:11" x14ac:dyDescent="0.2">
      <c r="B72" s="234">
        <v>-0.11593814788200001</v>
      </c>
      <c r="C72" s="234">
        <v>-4.70085592384E-2</v>
      </c>
      <c r="D72" s="234">
        <v>1.0089815171400001</v>
      </c>
      <c r="E72" s="234">
        <v>0.130244288766</v>
      </c>
      <c r="F72" s="234">
        <v>0.23989647868200001</v>
      </c>
      <c r="G72" s="234">
        <v>-0.187283958561</v>
      </c>
      <c r="H72" s="234">
        <v>0.14997065897699999</v>
      </c>
      <c r="I72" s="234">
        <v>-0.32643885851100002</v>
      </c>
      <c r="J72" s="234">
        <v>-0.30609305831700001</v>
      </c>
      <c r="K72" s="234">
        <v>-0.54633028484500001</v>
      </c>
    </row>
    <row r="73" spans="2:11" x14ac:dyDescent="0.2">
      <c r="B73" s="234">
        <v>-0.11633412152100001</v>
      </c>
      <c r="C73" s="234">
        <v>1.4780278236E-2</v>
      </c>
      <c r="D73" s="234">
        <v>-0.63312368906299998</v>
      </c>
      <c r="E73" s="234">
        <v>0.19135159571900001</v>
      </c>
      <c r="F73" s="234">
        <v>-0.12011711051899999</v>
      </c>
      <c r="G73" s="234">
        <v>0.16836535022400001</v>
      </c>
      <c r="H73" s="234">
        <v>0.14300364536499999</v>
      </c>
      <c r="I73" s="234">
        <v>0.160739846208</v>
      </c>
      <c r="J73" s="234">
        <v>8.2958536055199997E-2</v>
      </c>
      <c r="K73" s="234">
        <v>0.108375684667</v>
      </c>
    </row>
    <row r="74" spans="2:11" x14ac:dyDescent="0.2">
      <c r="B74" s="234">
        <v>-0.115671423142</v>
      </c>
      <c r="C74" s="234">
        <v>7.6295290218899997E-2</v>
      </c>
      <c r="D74" s="234">
        <v>-0.26049221546000001</v>
      </c>
      <c r="E74" s="234">
        <v>0.29136907975100002</v>
      </c>
      <c r="F74" s="234">
        <v>0.276459890125</v>
      </c>
      <c r="G74" s="234">
        <v>7.0392945684800007E-2</v>
      </c>
      <c r="H74" s="234">
        <v>-0.138330835156</v>
      </c>
      <c r="I74" s="234">
        <v>-4.1660715564E-2</v>
      </c>
      <c r="J74" s="234">
        <v>-3.7334899934500003E-2</v>
      </c>
      <c r="K74" s="234">
        <v>-0.12102716884</v>
      </c>
    </row>
    <row r="75" spans="2:11" x14ac:dyDescent="0.2">
      <c r="B75" s="234">
        <v>-0.10306065964</v>
      </c>
      <c r="C75" s="234">
        <v>-1.77133632438E-2</v>
      </c>
      <c r="D75" s="234">
        <v>-0.42875880662499999</v>
      </c>
      <c r="E75" s="234">
        <v>-0.28335924633600001</v>
      </c>
      <c r="F75" s="234">
        <v>-4.3708118891999999E-2</v>
      </c>
      <c r="G75" s="234">
        <v>4.4536121401899997E-2</v>
      </c>
      <c r="H75" s="234">
        <v>0.256595613527</v>
      </c>
      <c r="I75" s="234">
        <v>3.2444410487299999E-2</v>
      </c>
      <c r="J75" s="234">
        <v>0.253832583246</v>
      </c>
      <c r="K75" s="234">
        <v>0.289191453732</v>
      </c>
    </row>
    <row r="76" spans="2:11" x14ac:dyDescent="0.2">
      <c r="B76" s="234">
        <v>-9.7085140030699998E-2</v>
      </c>
      <c r="C76" s="234">
        <v>-5.0433573785999997E-2</v>
      </c>
      <c r="D76" s="234">
        <v>0.629142850483</v>
      </c>
      <c r="E76" s="234">
        <v>-0.40635721229299998</v>
      </c>
      <c r="F76" s="234">
        <v>-0.41126354374700003</v>
      </c>
      <c r="G76" s="234">
        <v>-5.0878130320999998E-2</v>
      </c>
      <c r="H76" s="234">
        <v>-0.10383019543200001</v>
      </c>
      <c r="I76" s="234">
        <v>0.231166008655</v>
      </c>
      <c r="J76" s="234">
        <v>0.108473182103</v>
      </c>
      <c r="K76" s="234">
        <v>0.15106581390900001</v>
      </c>
    </row>
    <row r="77" spans="2:11" x14ac:dyDescent="0.2">
      <c r="B77" s="234">
        <v>-7.8550998488699994E-2</v>
      </c>
      <c r="C77" s="234">
        <v>-0.866614761186</v>
      </c>
      <c r="D77" s="234">
        <v>6.8587672840599995E-2</v>
      </c>
      <c r="E77" s="234">
        <v>0.88424614885700004</v>
      </c>
      <c r="F77" s="234">
        <v>0.132319227751</v>
      </c>
      <c r="G77" s="234">
        <v>8.4584549108899995E-2</v>
      </c>
      <c r="H77" s="234">
        <v>0.10238866111</v>
      </c>
      <c r="I77" s="234">
        <v>-5.8462423988299997E-2</v>
      </c>
      <c r="J77" s="234">
        <v>-0.103468031138</v>
      </c>
      <c r="K77" s="234">
        <v>-0.165030039293</v>
      </c>
    </row>
    <row r="78" spans="2:11" x14ac:dyDescent="0.2">
      <c r="B78" s="234">
        <v>-2.9876885261600001E-2</v>
      </c>
      <c r="C78" s="234">
        <v>7.8780526451199998E-2</v>
      </c>
      <c r="D78" s="234">
        <v>-0.89941289820600001</v>
      </c>
      <c r="E78" s="234">
        <v>-0.338942396004</v>
      </c>
      <c r="F78" s="234">
        <v>0.86308548878299995</v>
      </c>
      <c r="G78" s="234">
        <v>0.31327973221900002</v>
      </c>
      <c r="H78" s="234">
        <v>3.5767637084999998E-2</v>
      </c>
      <c r="I78" s="234">
        <v>5.4817431958199998E-3</v>
      </c>
      <c r="J78" s="234">
        <v>-3.1417210244499998E-2</v>
      </c>
      <c r="K78" s="234">
        <v>3.2539654498299998E-3</v>
      </c>
    </row>
    <row r="79" spans="2:11" x14ac:dyDescent="0.2">
      <c r="B79" s="234">
        <v>-3.2181138213300001E-2</v>
      </c>
      <c r="C79" s="234">
        <v>5.9466508766999999E-2</v>
      </c>
      <c r="D79" s="234">
        <v>-0.361011478183</v>
      </c>
      <c r="E79" s="234">
        <v>-0.71536275632799995</v>
      </c>
      <c r="F79" s="234">
        <v>-0.33822344507699997</v>
      </c>
      <c r="G79" s="234">
        <v>0.41807124965499998</v>
      </c>
      <c r="H79" s="234">
        <v>0.29662597501799998</v>
      </c>
      <c r="I79" s="234">
        <v>0.250946205669</v>
      </c>
      <c r="J79" s="234">
        <v>0.215478916859</v>
      </c>
      <c r="K79" s="234">
        <v>0.206190175117</v>
      </c>
    </row>
    <row r="80" spans="2:11" x14ac:dyDescent="0.2">
      <c r="B80" s="234">
        <v>-3.1549630771099998E-2</v>
      </c>
      <c r="C80" s="234">
        <v>0.74969442643899997</v>
      </c>
      <c r="D80" s="234">
        <v>0.407908315071</v>
      </c>
      <c r="E80" s="234">
        <v>-1.0636029741899999</v>
      </c>
      <c r="F80" s="234">
        <v>-0.80833725319600003</v>
      </c>
      <c r="G80" s="234">
        <v>-0.27416784693099999</v>
      </c>
      <c r="H80" s="234">
        <v>0.27703299652399999</v>
      </c>
      <c r="I80" s="234">
        <v>0.27874996766100002</v>
      </c>
      <c r="J80" s="234">
        <v>0.25369712688899998</v>
      </c>
      <c r="K80" s="234">
        <v>0.210574766164</v>
      </c>
    </row>
    <row r="81" spans="2:11" x14ac:dyDescent="0.2">
      <c r="B81" s="234">
        <v>-2.9089541568000001E-2</v>
      </c>
      <c r="C81" s="234">
        <v>0.48032000122700003</v>
      </c>
      <c r="D81" s="234">
        <v>-1.3560047634799999E-2</v>
      </c>
      <c r="E81" s="234">
        <v>0.90312412504399997</v>
      </c>
      <c r="F81" s="234">
        <v>-1.2046803163000001E-2</v>
      </c>
      <c r="G81" s="234">
        <v>-0.51026265342300003</v>
      </c>
      <c r="H81" s="234">
        <v>-0.41442224623599999</v>
      </c>
      <c r="I81" s="234">
        <v>-0.27847401167199998</v>
      </c>
      <c r="J81" s="234">
        <v>-7.5957663194599997E-2</v>
      </c>
      <c r="K81" s="234">
        <v>-4.9631037102899997E-2</v>
      </c>
    </row>
    <row r="82" spans="2:11" x14ac:dyDescent="0.2">
      <c r="B82" s="234">
        <v>-4.5719475174100001E-2</v>
      </c>
      <c r="C82" s="234">
        <v>-0.49295558211599999</v>
      </c>
      <c r="D82" s="234">
        <v>0.23460739877600001</v>
      </c>
      <c r="E82" s="234">
        <v>0.15331427918900001</v>
      </c>
      <c r="F82" s="234">
        <v>0.19893560512700001</v>
      </c>
      <c r="G82" s="234">
        <v>0.198716789004</v>
      </c>
      <c r="H82" s="234">
        <v>-0.29266371476300002</v>
      </c>
      <c r="I82" s="234">
        <v>-3.6693650765800001E-2</v>
      </c>
      <c r="J82" s="234">
        <v>1.3238206987199999E-2</v>
      </c>
      <c r="K82" s="234">
        <v>6.9220095535799997E-2</v>
      </c>
    </row>
    <row r="83" spans="2:11" x14ac:dyDescent="0.2">
      <c r="B83" s="234">
        <v>-4.6731794738699997E-2</v>
      </c>
      <c r="C83" s="234">
        <v>-0.49947292333600002</v>
      </c>
      <c r="D83" s="234">
        <v>0.882197562697</v>
      </c>
      <c r="E83" s="234">
        <v>0.45864414999399999</v>
      </c>
      <c r="F83" s="234">
        <v>6.3601266307500001E-2</v>
      </c>
      <c r="G83" s="234">
        <v>-0.20091181742600001</v>
      </c>
      <c r="H83" s="234">
        <v>0.210003983861</v>
      </c>
      <c r="I83" s="234">
        <v>-0.13856900993099999</v>
      </c>
      <c r="J83" s="234">
        <v>-0.332638670177</v>
      </c>
      <c r="K83" s="234">
        <v>-0.39612277984400002</v>
      </c>
    </row>
    <row r="84" spans="2:11" x14ac:dyDescent="0.2">
      <c r="B84" s="234">
        <v>-4.5844448704300003E-2</v>
      </c>
      <c r="C84" s="234">
        <v>-0.18103817783500001</v>
      </c>
      <c r="D84" s="234">
        <v>-0.64715123193099999</v>
      </c>
      <c r="E84" s="234">
        <v>0.26903988530400003</v>
      </c>
      <c r="F84" s="234">
        <v>0.37656881699900002</v>
      </c>
      <c r="G84" s="234">
        <v>-9.7962482826099997E-2</v>
      </c>
      <c r="H84" s="234">
        <v>2.8350180511900001E-2</v>
      </c>
      <c r="I84" s="234">
        <v>0.203277668898</v>
      </c>
      <c r="J84" s="234">
        <v>6.71792909247E-2</v>
      </c>
      <c r="K84" s="234">
        <v>2.7580480998999998E-2</v>
      </c>
    </row>
    <row r="85" spans="2:11" x14ac:dyDescent="0.2">
      <c r="B85" s="234">
        <v>-3.2333241394100001E-2</v>
      </c>
      <c r="C85" s="234">
        <v>-0.470511650547</v>
      </c>
      <c r="D85" s="234">
        <v>-0.38785622252899998</v>
      </c>
      <c r="E85" s="234">
        <v>-0.27984987800900002</v>
      </c>
      <c r="F85" s="234">
        <v>0.29438617409099999</v>
      </c>
      <c r="G85" s="234">
        <v>0.680597442494</v>
      </c>
      <c r="H85" s="234">
        <v>8.8340716380599996E-2</v>
      </c>
      <c r="I85" s="234">
        <v>-6.5734376509700002E-2</v>
      </c>
      <c r="J85" s="234">
        <v>4.3723239484600003E-2</v>
      </c>
      <c r="K85" s="234">
        <v>0.12923781663799999</v>
      </c>
    </row>
    <row r="86" spans="2:11" x14ac:dyDescent="0.2">
      <c r="B86" s="234">
        <v>-2.0232526985500002E-2</v>
      </c>
      <c r="C86" s="234">
        <v>0.64028303400999997</v>
      </c>
      <c r="D86" s="234">
        <v>-1.8871724277900001E-2</v>
      </c>
      <c r="E86" s="234">
        <v>-7.5703886558700001E-2</v>
      </c>
      <c r="F86" s="234">
        <v>-0.31342002898499999</v>
      </c>
      <c r="G86" s="234">
        <v>-1.53097602127E-2</v>
      </c>
      <c r="H86" s="234">
        <v>-1.06925158583E-2</v>
      </c>
      <c r="I86" s="234">
        <v>-2.34984919488E-2</v>
      </c>
      <c r="J86" s="234">
        <v>-2.99803248849E-2</v>
      </c>
      <c r="K86" s="234">
        <v>-0.132573757057</v>
      </c>
    </row>
    <row r="87" spans="2:11" x14ac:dyDescent="0.2">
      <c r="B87" s="234">
        <v>-2.29382942162E-2</v>
      </c>
      <c r="C87" s="234">
        <v>-0.445204531761</v>
      </c>
      <c r="D87" s="234">
        <v>0.822598890937</v>
      </c>
      <c r="E87" s="234">
        <v>-7.1613929883600005E-2</v>
      </c>
      <c r="F87" s="234">
        <v>0.10119449344000001</v>
      </c>
      <c r="G87" s="234">
        <v>-0.14582903806200001</v>
      </c>
      <c r="H87" s="234">
        <v>3.9444040130200003E-3</v>
      </c>
      <c r="I87" s="234">
        <v>-2.0359855310200001E-2</v>
      </c>
      <c r="J87" s="234">
        <v>-8.5488572318799999E-2</v>
      </c>
      <c r="K87" s="234">
        <v>-0.136303573362</v>
      </c>
    </row>
    <row r="88" spans="2:11" x14ac:dyDescent="0.2">
      <c r="B88" s="234">
        <v>-1.9967549169700002E-2</v>
      </c>
      <c r="C88" s="234">
        <v>-0.26136012341600001</v>
      </c>
      <c r="D88" s="234">
        <v>-0.77618640966700003</v>
      </c>
      <c r="E88" s="234">
        <v>0.85630931145</v>
      </c>
      <c r="F88" s="234">
        <v>2.3926269485099998E-2</v>
      </c>
      <c r="G88" s="234">
        <v>-0.130103184446</v>
      </c>
      <c r="H88" s="234">
        <v>1.92181523395E-2</v>
      </c>
      <c r="I88" s="234">
        <v>4.6280615491699997E-2</v>
      </c>
      <c r="J88" s="234">
        <v>8.1276918445799998E-2</v>
      </c>
      <c r="K88" s="234">
        <v>0.16060597017200001</v>
      </c>
    </row>
    <row r="89" spans="2:11" x14ac:dyDescent="0.2">
      <c r="B89" s="234">
        <v>-1.9692368417800001E-2</v>
      </c>
      <c r="C89" s="234">
        <v>0.213456601508</v>
      </c>
      <c r="D89" s="234">
        <v>2.9789927629700001E-2</v>
      </c>
      <c r="E89" s="234">
        <v>-0.36335526516799999</v>
      </c>
      <c r="F89" s="234">
        <v>0.46178985230800002</v>
      </c>
      <c r="G89" s="234">
        <v>0.28382131947900002</v>
      </c>
      <c r="H89" s="234">
        <v>-0.111212750203</v>
      </c>
      <c r="I89" s="234">
        <v>-0.18348120288200001</v>
      </c>
      <c r="J89" s="234">
        <v>-0.14557412028899999</v>
      </c>
      <c r="K89" s="234">
        <v>-0.165541973407</v>
      </c>
    </row>
    <row r="90" spans="2:11" x14ac:dyDescent="0.2">
      <c r="B90" s="234">
        <v>-1.9674223215200001E-2</v>
      </c>
      <c r="C90" s="234">
        <v>0.24795458465600001</v>
      </c>
      <c r="D90" s="234">
        <v>0.69708286848800005</v>
      </c>
      <c r="E90" s="234">
        <v>-0.13687591690500001</v>
      </c>
      <c r="F90" s="234">
        <v>-0.357914842239</v>
      </c>
      <c r="G90" s="234">
        <v>-0.14762427977500001</v>
      </c>
      <c r="H90" s="234">
        <v>-8.5405421575400001E-2</v>
      </c>
      <c r="I90" s="234">
        <v>-5.3819129736599997E-2</v>
      </c>
      <c r="J90" s="234">
        <v>-8.6303556544100005E-2</v>
      </c>
      <c r="K90" s="234">
        <v>-5.7420061334499999E-2</v>
      </c>
    </row>
    <row r="91" spans="2:11" x14ac:dyDescent="0.2">
      <c r="B91" s="234">
        <v>-1.8134619809699999E-2</v>
      </c>
      <c r="C91" s="234">
        <v>9.7246563198100003E-2</v>
      </c>
      <c r="D91" s="234">
        <v>-3.1534527936799998E-2</v>
      </c>
      <c r="E91" s="234">
        <v>-2.87298512158E-2</v>
      </c>
      <c r="F91" s="234">
        <v>-5.09080040954E-2</v>
      </c>
      <c r="G91" s="234">
        <v>6.6374850801199994E-2</v>
      </c>
      <c r="H91" s="234">
        <v>5.3419177788599998E-3</v>
      </c>
      <c r="I91" s="234">
        <v>-4.0635076834599999E-2</v>
      </c>
      <c r="J91" s="234">
        <v>-1.4557251487199999E-2</v>
      </c>
      <c r="K91" s="234">
        <v>1.55360048046E-2</v>
      </c>
    </row>
    <row r="92" spans="2:11" x14ac:dyDescent="0.2">
      <c r="B92" s="234">
        <v>-3.1871987373299999E-2</v>
      </c>
      <c r="C92" s="234">
        <v>-0.22628473439800001</v>
      </c>
      <c r="D92" s="234">
        <v>-0.64686446070699999</v>
      </c>
      <c r="E92" s="234">
        <v>2.91514801359E-2</v>
      </c>
      <c r="F92" s="234">
        <v>3.6131362805100001E-2</v>
      </c>
      <c r="G92" s="234">
        <v>0.119123815476</v>
      </c>
      <c r="H92" s="234">
        <v>0.17418137766</v>
      </c>
      <c r="I92" s="234">
        <v>0.16729420736799999</v>
      </c>
      <c r="J92" s="234">
        <v>0.208036250688</v>
      </c>
      <c r="K92" s="234">
        <v>0.17110267232599999</v>
      </c>
    </row>
    <row r="93" spans="2:11" x14ac:dyDescent="0.2">
      <c r="B93" s="234">
        <v>-2.7267860652899999E-2</v>
      </c>
      <c r="C93" s="234">
        <v>-0.38483067485099998</v>
      </c>
      <c r="D93" s="234">
        <v>0.12901118860300001</v>
      </c>
      <c r="E93" s="234">
        <v>2.2023275845099999E-2</v>
      </c>
      <c r="F93" s="234">
        <v>-0.19943157464899999</v>
      </c>
      <c r="G93" s="234">
        <v>-0.15215275471299999</v>
      </c>
      <c r="H93" s="234">
        <v>1.9436087600600001E-2</v>
      </c>
      <c r="I93" s="234">
        <v>0.119474552173</v>
      </c>
      <c r="J93" s="234">
        <v>0.17963088551799999</v>
      </c>
      <c r="K93" s="234">
        <v>0.29410687598399998</v>
      </c>
    </row>
    <row r="94" spans="2:11" x14ac:dyDescent="0.2">
      <c r="B94" s="234">
        <v>4.73709270106E-2</v>
      </c>
      <c r="C94" s="234">
        <v>9.3768847927899995E-2</v>
      </c>
      <c r="D94" s="234">
        <v>-0.399298588151</v>
      </c>
      <c r="E94" s="234">
        <v>0.42917247111700002</v>
      </c>
      <c r="F94" s="234">
        <v>0.27436352201100001</v>
      </c>
      <c r="G94" s="234">
        <v>-0.17502436601999999</v>
      </c>
      <c r="H94" s="234">
        <v>-0.125110328439</v>
      </c>
      <c r="I94" s="234">
        <v>-1.3830864984100001E-3</v>
      </c>
      <c r="J94" s="234">
        <v>-4.8295368465699998E-2</v>
      </c>
      <c r="K94" s="234">
        <v>-9.5564045694399996E-2</v>
      </c>
    </row>
    <row r="95" spans="2:11" x14ac:dyDescent="0.2">
      <c r="B95" s="234">
        <v>2.1716931855399999E-2</v>
      </c>
      <c r="C95" s="234">
        <v>1.2151643378199999E-2</v>
      </c>
      <c r="D95" s="234">
        <v>-0.20269949401500001</v>
      </c>
      <c r="E95" s="234">
        <v>-0.86251629966900001</v>
      </c>
      <c r="F95" s="234">
        <v>0.30871853326699999</v>
      </c>
      <c r="G95" s="234">
        <v>0.41444127939100001</v>
      </c>
      <c r="H95" s="234">
        <v>0.20109830357899999</v>
      </c>
      <c r="I95" s="234">
        <v>5.2635330578800002E-2</v>
      </c>
      <c r="J95" s="234">
        <v>3.1674824524E-2</v>
      </c>
      <c r="K95" s="234">
        <v>2.2779168837099999E-2</v>
      </c>
    </row>
    <row r="96" spans="2:11" x14ac:dyDescent="0.2">
      <c r="B96" s="234">
        <v>1.94919442933E-2</v>
      </c>
      <c r="C96" s="234">
        <v>1.7884992471700001E-2</v>
      </c>
      <c r="D96" s="234">
        <v>0.416707539264</v>
      </c>
      <c r="E96" s="234">
        <v>0.26597895694599999</v>
      </c>
      <c r="F96" s="234">
        <v>-0.781781355387</v>
      </c>
      <c r="G96" s="234">
        <v>-0.136538176319</v>
      </c>
      <c r="H96" s="234">
        <v>3.9661601488300002E-2</v>
      </c>
      <c r="I96" s="234">
        <v>6.2544517727799995E-2</v>
      </c>
      <c r="J96" s="234">
        <v>5.1969059855300002E-2</v>
      </c>
      <c r="K96" s="234">
        <v>4.4080750744800001E-2</v>
      </c>
    </row>
    <row r="97" spans="1:11" x14ac:dyDescent="0.2">
      <c r="B97" s="234">
        <v>2.4735014189399999E-2</v>
      </c>
      <c r="C97" s="234">
        <v>-0.466809760096</v>
      </c>
      <c r="D97" s="234">
        <v>-0.38632583915300001</v>
      </c>
      <c r="E97" s="234">
        <v>0.20518557207999999</v>
      </c>
      <c r="F97" s="234">
        <v>0.15449308642099999</v>
      </c>
      <c r="G97" s="234">
        <v>-0.130372782725</v>
      </c>
      <c r="H97" s="234">
        <v>-0.28051847294400001</v>
      </c>
      <c r="I97" s="234">
        <v>0.24993504032399999</v>
      </c>
      <c r="J97" s="234">
        <v>0.28910095007800002</v>
      </c>
      <c r="K97" s="234">
        <v>0.34057720805000002</v>
      </c>
    </row>
    <row r="98" spans="1:11" x14ac:dyDescent="0.2">
      <c r="B98" s="235">
        <v>-2.79956210996E-5</v>
      </c>
      <c r="C98" s="234">
        <v>-1.43109678861E-3</v>
      </c>
      <c r="D98" s="234">
        <v>1.8978038731399999E-2</v>
      </c>
      <c r="E98" s="234">
        <v>4.77408167349E-2</v>
      </c>
      <c r="F98" s="234">
        <v>0.435544803491</v>
      </c>
      <c r="G98" s="234">
        <v>-0.13162686562299999</v>
      </c>
      <c r="H98" s="234">
        <v>-9.3251695229700005E-2</v>
      </c>
      <c r="I98" s="234">
        <v>-9.7227616339200004E-2</v>
      </c>
      <c r="J98" s="234">
        <v>-8.6042939472899996E-2</v>
      </c>
      <c r="K98" s="234">
        <v>-9.2655591450999997E-2</v>
      </c>
    </row>
    <row r="99" spans="1:11" x14ac:dyDescent="0.2">
      <c r="A99" s="234" t="s">
        <v>66</v>
      </c>
      <c r="B99" s="234" t="s">
        <v>385</v>
      </c>
    </row>
    <row r="100" spans="1:11" x14ac:dyDescent="0.2">
      <c r="B100" s="234">
        <v>0</v>
      </c>
      <c r="C100" s="234">
        <v>0</v>
      </c>
      <c r="D100" s="234">
        <v>0</v>
      </c>
      <c r="E100" s="234">
        <v>0</v>
      </c>
      <c r="F100" s="234">
        <v>0</v>
      </c>
      <c r="G100" s="234">
        <v>0</v>
      </c>
      <c r="H100" s="234">
        <v>0</v>
      </c>
      <c r="I100" s="234">
        <v>0</v>
      </c>
    </row>
    <row r="101" spans="1:11" x14ac:dyDescent="0.2">
      <c r="B101" s="234">
        <v>0</v>
      </c>
      <c r="C101" s="234">
        <v>0</v>
      </c>
      <c r="D101" s="234">
        <v>0</v>
      </c>
      <c r="E101" s="234">
        <v>0</v>
      </c>
      <c r="F101" s="234">
        <v>0</v>
      </c>
      <c r="G101" s="234">
        <v>0</v>
      </c>
      <c r="H101" s="234">
        <v>0</v>
      </c>
      <c r="I101" s="234">
        <v>0</v>
      </c>
    </row>
    <row r="102" spans="1:11" x14ac:dyDescent="0.2">
      <c r="B102" s="234">
        <v>0</v>
      </c>
      <c r="C102" s="234">
        <v>0</v>
      </c>
      <c r="D102" s="234">
        <v>0</v>
      </c>
      <c r="E102" s="234">
        <v>0</v>
      </c>
      <c r="F102" s="234">
        <v>0</v>
      </c>
      <c r="G102" s="234">
        <v>0</v>
      </c>
      <c r="H102" s="234">
        <v>0</v>
      </c>
      <c r="I102" s="234">
        <v>0</v>
      </c>
    </row>
    <row r="103" spans="1:11" x14ac:dyDescent="0.2">
      <c r="B103" s="234">
        <v>0</v>
      </c>
      <c r="C103" s="234">
        <v>0</v>
      </c>
      <c r="D103" s="234">
        <v>0</v>
      </c>
      <c r="E103" s="234">
        <v>0</v>
      </c>
      <c r="F103" s="234">
        <v>0</v>
      </c>
      <c r="G103" s="234">
        <v>0</v>
      </c>
      <c r="H103" s="234">
        <v>0</v>
      </c>
      <c r="I103" s="234">
        <v>0</v>
      </c>
    </row>
    <row r="104" spans="1:11" x14ac:dyDescent="0.2">
      <c r="B104" s="234">
        <v>0</v>
      </c>
      <c r="C104" s="234">
        <v>0</v>
      </c>
      <c r="D104" s="234">
        <v>0</v>
      </c>
      <c r="E104" s="234">
        <v>0</v>
      </c>
      <c r="F104" s="234">
        <v>0</v>
      </c>
      <c r="G104" s="234">
        <v>0</v>
      </c>
      <c r="H104" s="234">
        <v>0</v>
      </c>
      <c r="I104" s="234">
        <v>0</v>
      </c>
    </row>
    <row r="105" spans="1:11" x14ac:dyDescent="0.2">
      <c r="B105" s="234">
        <v>0</v>
      </c>
      <c r="C105" s="234">
        <v>0</v>
      </c>
      <c r="D105" s="234">
        <v>0</v>
      </c>
      <c r="E105" s="234">
        <v>0</v>
      </c>
      <c r="F105" s="234">
        <v>0</v>
      </c>
      <c r="G105" s="234">
        <v>0</v>
      </c>
      <c r="H105" s="234">
        <v>0</v>
      </c>
      <c r="I105" s="234">
        <v>0</v>
      </c>
    </row>
    <row r="106" spans="1:11" x14ac:dyDescent="0.2">
      <c r="B106" s="234">
        <v>0</v>
      </c>
      <c r="C106" s="234">
        <v>0</v>
      </c>
      <c r="D106" s="234">
        <v>0</v>
      </c>
      <c r="E106" s="234">
        <v>0</v>
      </c>
      <c r="F106" s="234">
        <v>0</v>
      </c>
      <c r="G106" s="234">
        <v>0</v>
      </c>
      <c r="H106" s="234">
        <v>0</v>
      </c>
      <c r="I106" s="234">
        <v>0</v>
      </c>
    </row>
    <row r="107" spans="1:11" x14ac:dyDescent="0.2">
      <c r="B107" s="234">
        <v>0</v>
      </c>
      <c r="C107" s="234">
        <v>0</v>
      </c>
      <c r="D107" s="234">
        <v>0</v>
      </c>
      <c r="E107" s="234">
        <v>0</v>
      </c>
      <c r="F107" s="234">
        <v>0</v>
      </c>
      <c r="G107" s="234">
        <v>0</v>
      </c>
      <c r="H107" s="234">
        <v>0</v>
      </c>
      <c r="I107" s="234">
        <v>0</v>
      </c>
    </row>
    <row r="108" spans="1:11" x14ac:dyDescent="0.2">
      <c r="B108" s="234">
        <v>0</v>
      </c>
      <c r="C108" s="234">
        <v>0</v>
      </c>
      <c r="D108" s="234">
        <v>0</v>
      </c>
      <c r="E108" s="234">
        <v>0</v>
      </c>
      <c r="F108" s="234">
        <v>0</v>
      </c>
      <c r="G108" s="234">
        <v>0</v>
      </c>
      <c r="H108" s="234">
        <v>0</v>
      </c>
      <c r="I108" s="234">
        <v>0</v>
      </c>
    </row>
    <row r="109" spans="1:11" x14ac:dyDescent="0.2">
      <c r="B109" s="234">
        <v>0</v>
      </c>
      <c r="C109" s="234">
        <v>0</v>
      </c>
      <c r="D109" s="234">
        <v>0</v>
      </c>
      <c r="E109" s="234">
        <v>0</v>
      </c>
      <c r="F109" s="234">
        <v>0</v>
      </c>
      <c r="G109" s="234">
        <v>0</v>
      </c>
      <c r="H109" s="234">
        <v>0</v>
      </c>
      <c r="I109" s="234">
        <v>0</v>
      </c>
    </row>
    <row r="110" spans="1:11" x14ac:dyDescent="0.2">
      <c r="B110" s="234">
        <v>0</v>
      </c>
      <c r="C110" s="234">
        <v>0</v>
      </c>
      <c r="D110" s="234">
        <v>0</v>
      </c>
      <c r="E110" s="234">
        <v>0</v>
      </c>
      <c r="F110" s="234">
        <v>0</v>
      </c>
      <c r="G110" s="234">
        <v>0</v>
      </c>
      <c r="H110" s="234">
        <v>0</v>
      </c>
      <c r="I110" s="234">
        <v>0</v>
      </c>
    </row>
    <row r="111" spans="1:11" x14ac:dyDescent="0.2">
      <c r="B111" s="234">
        <v>0</v>
      </c>
      <c r="C111" s="234">
        <v>0</v>
      </c>
      <c r="D111" s="234">
        <v>0</v>
      </c>
      <c r="E111" s="234">
        <v>0</v>
      </c>
      <c r="F111" s="234">
        <v>0</v>
      </c>
      <c r="G111" s="234">
        <v>0</v>
      </c>
      <c r="H111" s="234">
        <v>0</v>
      </c>
      <c r="I111" s="234">
        <v>0</v>
      </c>
    </row>
    <row r="112" spans="1:11" x14ac:dyDescent="0.2">
      <c r="B112" s="234">
        <v>0</v>
      </c>
      <c r="C112" s="234">
        <v>0</v>
      </c>
      <c r="D112" s="234">
        <v>0</v>
      </c>
      <c r="E112" s="234">
        <v>0</v>
      </c>
      <c r="F112" s="234">
        <v>0</v>
      </c>
      <c r="G112" s="234">
        <v>0</v>
      </c>
      <c r="H112" s="234">
        <v>0</v>
      </c>
      <c r="I112" s="234">
        <v>0</v>
      </c>
    </row>
    <row r="113" spans="2:9" x14ac:dyDescent="0.2">
      <c r="B113" s="234">
        <v>0</v>
      </c>
      <c r="C113" s="234">
        <v>0</v>
      </c>
      <c r="D113" s="234">
        <v>0</v>
      </c>
      <c r="E113" s="234">
        <v>0</v>
      </c>
      <c r="F113" s="234">
        <v>0</v>
      </c>
      <c r="G113" s="234">
        <v>0</v>
      </c>
      <c r="H113" s="234">
        <v>0</v>
      </c>
      <c r="I113" s="234">
        <v>0</v>
      </c>
    </row>
    <row r="114" spans="2:9" x14ac:dyDescent="0.2">
      <c r="B114" s="234">
        <v>0</v>
      </c>
      <c r="C114" s="234">
        <v>0</v>
      </c>
      <c r="D114" s="234">
        <v>0</v>
      </c>
      <c r="E114" s="234">
        <v>0</v>
      </c>
      <c r="F114" s="234">
        <v>0</v>
      </c>
      <c r="G114" s="234">
        <v>0</v>
      </c>
      <c r="H114" s="234">
        <v>0</v>
      </c>
      <c r="I114" s="234">
        <v>0</v>
      </c>
    </row>
    <row r="115" spans="2:9" x14ac:dyDescent="0.2">
      <c r="B115" s="234">
        <v>0</v>
      </c>
      <c r="C115" s="234">
        <v>0</v>
      </c>
      <c r="D115" s="234">
        <v>0</v>
      </c>
      <c r="E115" s="234">
        <v>0</v>
      </c>
      <c r="F115" s="234">
        <v>0</v>
      </c>
      <c r="G115" s="234">
        <v>0</v>
      </c>
      <c r="H115" s="234">
        <v>0</v>
      </c>
      <c r="I115" s="234">
        <v>0</v>
      </c>
    </row>
    <row r="116" spans="2:9" x14ac:dyDescent="0.2">
      <c r="B116" s="234">
        <v>0</v>
      </c>
      <c r="C116" s="234">
        <v>0</v>
      </c>
      <c r="D116" s="234">
        <v>0</v>
      </c>
      <c r="E116" s="234">
        <v>0</v>
      </c>
      <c r="F116" s="234">
        <v>0</v>
      </c>
      <c r="G116" s="234">
        <v>0</v>
      </c>
      <c r="H116" s="234">
        <v>0</v>
      </c>
      <c r="I116" s="234">
        <v>0</v>
      </c>
    </row>
    <row r="117" spans="2:9" x14ac:dyDescent="0.2">
      <c r="B117" s="234">
        <v>0</v>
      </c>
      <c r="C117" s="234">
        <v>0</v>
      </c>
      <c r="D117" s="234">
        <v>0</v>
      </c>
      <c r="E117" s="234">
        <v>0</v>
      </c>
      <c r="F117" s="234">
        <v>0</v>
      </c>
      <c r="G117" s="234">
        <v>0</v>
      </c>
      <c r="H117" s="234">
        <v>0</v>
      </c>
      <c r="I117" s="234">
        <v>0</v>
      </c>
    </row>
    <row r="118" spans="2:9" x14ac:dyDescent="0.2">
      <c r="B118" s="234">
        <v>0</v>
      </c>
      <c r="C118" s="234">
        <v>0</v>
      </c>
      <c r="D118" s="234">
        <v>0</v>
      </c>
      <c r="E118" s="234">
        <v>0</v>
      </c>
      <c r="F118" s="234">
        <v>0</v>
      </c>
      <c r="G118" s="234">
        <v>0</v>
      </c>
      <c r="H118" s="234">
        <v>0</v>
      </c>
      <c r="I118" s="234">
        <v>0</v>
      </c>
    </row>
    <row r="119" spans="2:9" x14ac:dyDescent="0.2">
      <c r="B119" s="234">
        <v>0</v>
      </c>
      <c r="C119" s="234">
        <v>0</v>
      </c>
      <c r="D119" s="234">
        <v>0</v>
      </c>
      <c r="E119" s="234">
        <v>0</v>
      </c>
      <c r="F119" s="234">
        <v>0</v>
      </c>
      <c r="G119" s="234">
        <v>0</v>
      </c>
      <c r="H119" s="234">
        <v>0</v>
      </c>
      <c r="I119" s="234">
        <v>0</v>
      </c>
    </row>
    <row r="120" spans="2:9" x14ac:dyDescent="0.2">
      <c r="B120" s="234">
        <v>0</v>
      </c>
      <c r="C120" s="234">
        <v>0</v>
      </c>
      <c r="D120" s="234">
        <v>0</v>
      </c>
      <c r="E120" s="234">
        <v>0</v>
      </c>
      <c r="F120" s="234">
        <v>0</v>
      </c>
      <c r="G120" s="234">
        <v>0</v>
      </c>
      <c r="H120" s="234">
        <v>0</v>
      </c>
      <c r="I120" s="234">
        <v>0</v>
      </c>
    </row>
    <row r="121" spans="2:9" x14ac:dyDescent="0.2">
      <c r="B121" s="234">
        <v>0</v>
      </c>
      <c r="C121" s="234">
        <v>0</v>
      </c>
      <c r="D121" s="234">
        <v>0</v>
      </c>
      <c r="E121" s="234">
        <v>0</v>
      </c>
      <c r="F121" s="234">
        <v>0</v>
      </c>
      <c r="G121" s="234">
        <v>0</v>
      </c>
      <c r="H121" s="234">
        <v>0</v>
      </c>
      <c r="I121" s="234">
        <v>0</v>
      </c>
    </row>
    <row r="122" spans="2:9" x14ac:dyDescent="0.2">
      <c r="B122" s="234">
        <v>0</v>
      </c>
      <c r="C122" s="234">
        <v>0</v>
      </c>
      <c r="D122" s="234">
        <v>0</v>
      </c>
      <c r="E122" s="234">
        <v>0</v>
      </c>
      <c r="F122" s="234">
        <v>0</v>
      </c>
      <c r="G122" s="234">
        <v>0</v>
      </c>
      <c r="H122" s="234">
        <v>0</v>
      </c>
      <c r="I122" s="234">
        <v>0</v>
      </c>
    </row>
    <row r="123" spans="2:9" x14ac:dyDescent="0.2">
      <c r="B123" s="234">
        <v>0</v>
      </c>
      <c r="C123" s="234">
        <v>0</v>
      </c>
      <c r="D123" s="234">
        <v>0</v>
      </c>
      <c r="E123" s="234">
        <v>0</v>
      </c>
      <c r="F123" s="234">
        <v>0</v>
      </c>
      <c r="G123" s="234">
        <v>0</v>
      </c>
      <c r="H123" s="234">
        <v>0</v>
      </c>
      <c r="I123" s="234">
        <v>0</v>
      </c>
    </row>
    <row r="124" spans="2:9" x14ac:dyDescent="0.2">
      <c r="B124" s="234">
        <v>0</v>
      </c>
      <c r="C124" s="234">
        <v>0</v>
      </c>
      <c r="D124" s="234">
        <v>0</v>
      </c>
      <c r="E124" s="234">
        <v>0</v>
      </c>
      <c r="F124" s="234">
        <v>0</v>
      </c>
      <c r="G124" s="234">
        <v>0</v>
      </c>
      <c r="H124" s="234">
        <v>0</v>
      </c>
      <c r="I124" s="234">
        <v>0</v>
      </c>
    </row>
    <row r="125" spans="2:9" x14ac:dyDescent="0.2">
      <c r="B125" s="234">
        <v>0</v>
      </c>
      <c r="C125" s="234">
        <v>0</v>
      </c>
      <c r="D125" s="234">
        <v>0</v>
      </c>
      <c r="E125" s="234">
        <v>0</v>
      </c>
      <c r="F125" s="234">
        <v>0</v>
      </c>
      <c r="G125" s="234">
        <v>0</v>
      </c>
      <c r="H125" s="234">
        <v>0</v>
      </c>
      <c r="I125" s="234">
        <v>0</v>
      </c>
    </row>
    <row r="126" spans="2:9" x14ac:dyDescent="0.2">
      <c r="B126" s="234">
        <v>0</v>
      </c>
      <c r="C126" s="234">
        <v>0</v>
      </c>
      <c r="D126" s="234">
        <v>0</v>
      </c>
      <c r="E126" s="234">
        <v>0</v>
      </c>
      <c r="F126" s="234">
        <v>0</v>
      </c>
      <c r="G126" s="234">
        <v>0</v>
      </c>
      <c r="H126" s="234">
        <v>0</v>
      </c>
      <c r="I126" s="234">
        <v>0</v>
      </c>
    </row>
    <row r="127" spans="2:9" x14ac:dyDescent="0.2">
      <c r="B127" s="234">
        <v>0</v>
      </c>
      <c r="C127" s="234">
        <v>0</v>
      </c>
      <c r="D127" s="234">
        <v>0</v>
      </c>
      <c r="E127" s="234">
        <v>0</v>
      </c>
      <c r="F127" s="234">
        <v>0</v>
      </c>
      <c r="G127" s="234">
        <v>0</v>
      </c>
      <c r="H127" s="234">
        <v>0</v>
      </c>
      <c r="I127" s="234">
        <v>0</v>
      </c>
    </row>
    <row r="128" spans="2:9" x14ac:dyDescent="0.2">
      <c r="B128" s="234">
        <v>0</v>
      </c>
      <c r="C128" s="234">
        <v>0</v>
      </c>
      <c r="D128" s="234">
        <v>0</v>
      </c>
      <c r="E128" s="234">
        <v>0</v>
      </c>
      <c r="F128" s="234">
        <v>0</v>
      </c>
      <c r="G128" s="234">
        <v>0</v>
      </c>
      <c r="H128" s="234">
        <v>0</v>
      </c>
      <c r="I128" s="234">
        <v>0</v>
      </c>
    </row>
    <row r="129" spans="1:16" x14ac:dyDescent="0.2">
      <c r="B129" s="234">
        <v>0</v>
      </c>
      <c r="C129" s="234">
        <v>0</v>
      </c>
      <c r="D129" s="234">
        <v>0</v>
      </c>
      <c r="E129" s="234">
        <v>0</v>
      </c>
      <c r="F129" s="234">
        <v>0</v>
      </c>
      <c r="G129" s="234">
        <v>0</v>
      </c>
      <c r="H129" s="234">
        <v>0</v>
      </c>
      <c r="I129" s="234">
        <v>0</v>
      </c>
    </row>
    <row r="130" spans="1:16" x14ac:dyDescent="0.2">
      <c r="B130" s="234">
        <v>0</v>
      </c>
      <c r="C130" s="234">
        <v>0</v>
      </c>
      <c r="D130" s="234">
        <v>0</v>
      </c>
      <c r="E130" s="234">
        <v>0</v>
      </c>
      <c r="F130" s="234">
        <v>0</v>
      </c>
      <c r="G130" s="234">
        <v>0</v>
      </c>
      <c r="H130" s="234">
        <v>0</v>
      </c>
      <c r="I130" s="234">
        <v>0</v>
      </c>
    </row>
    <row r="131" spans="1:16" x14ac:dyDescent="0.2">
      <c r="B131" s="234">
        <v>0</v>
      </c>
      <c r="C131" s="234">
        <v>0</v>
      </c>
      <c r="D131" s="234">
        <v>0</v>
      </c>
      <c r="E131" s="234">
        <v>0</v>
      </c>
      <c r="F131" s="234">
        <v>0</v>
      </c>
      <c r="G131" s="234">
        <v>0</v>
      </c>
      <c r="H131" s="234">
        <v>0</v>
      </c>
      <c r="I131" s="234">
        <v>0</v>
      </c>
    </row>
    <row r="132" spans="1:16" x14ac:dyDescent="0.2">
      <c r="A132" s="234" t="s">
        <v>66</v>
      </c>
      <c r="B132" s="234" t="s">
        <v>386</v>
      </c>
    </row>
    <row r="133" spans="1:16" x14ac:dyDescent="0.2">
      <c r="B133" s="234">
        <v>-1.2524779235100001</v>
      </c>
      <c r="C133" s="234">
        <v>0.34101780040599999</v>
      </c>
      <c r="D133" s="234">
        <v>1.2025125245799999</v>
      </c>
      <c r="E133" s="234">
        <v>1.1481422802400001</v>
      </c>
      <c r="F133" s="234">
        <v>1.1761925734500001</v>
      </c>
      <c r="G133" s="234">
        <v>1.12450293565</v>
      </c>
      <c r="H133" s="234">
        <v>0.97541755223899995</v>
      </c>
    </row>
    <row r="134" spans="1:16" x14ac:dyDescent="0.2">
      <c r="A134" s="234" t="s">
        <v>66</v>
      </c>
      <c r="B134" s="234" t="s">
        <v>387</v>
      </c>
    </row>
    <row r="135" spans="1:16" x14ac:dyDescent="0.2">
      <c r="B135" s="234">
        <v>-4.8082196852800001</v>
      </c>
      <c r="C135" s="234">
        <v>-2.37071749394</v>
      </c>
      <c r="D135" s="234">
        <v>-1.23784615848</v>
      </c>
      <c r="E135" s="234">
        <v>0.35010552640600001</v>
      </c>
      <c r="F135" s="234">
        <v>0.39725423120199999</v>
      </c>
      <c r="G135" s="234">
        <v>0.39235795668000001</v>
      </c>
      <c r="H135" s="234">
        <v>0.34728276986500001</v>
      </c>
      <c r="I135" s="234">
        <v>0.28963511266000003</v>
      </c>
      <c r="J135" s="234">
        <v>0.23276931176999999</v>
      </c>
      <c r="K135" s="234">
        <v>0.18875877979899999</v>
      </c>
    </row>
    <row r="136" spans="1:16" x14ac:dyDescent="0.2">
      <c r="A136" s="234" t="s">
        <v>66</v>
      </c>
      <c r="B136" s="234" t="s">
        <v>388</v>
      </c>
    </row>
    <row r="137" spans="1:16" x14ac:dyDescent="0.2">
      <c r="B137" s="234">
        <v>-0.01</v>
      </c>
      <c r="C137" s="234">
        <v>-0.01</v>
      </c>
      <c r="D137" s="234">
        <v>-0.01</v>
      </c>
      <c r="E137" s="234">
        <v>-0.01</v>
      </c>
      <c r="F137" s="234">
        <v>-0.01</v>
      </c>
      <c r="G137" s="234">
        <v>-0.01</v>
      </c>
      <c r="H137" s="234">
        <v>-0.01</v>
      </c>
      <c r="I137" s="234">
        <v>-0.01</v>
      </c>
    </row>
    <row r="138" spans="1:16" x14ac:dyDescent="0.2">
      <c r="A138" s="234" t="s">
        <v>66</v>
      </c>
      <c r="B138" s="234" t="s">
        <v>389</v>
      </c>
    </row>
    <row r="139" spans="1:16" x14ac:dyDescent="0.2">
      <c r="B139" s="234">
        <v>1.3804383484</v>
      </c>
      <c r="C139" s="234">
        <v>-1.6873733985699999E-2</v>
      </c>
      <c r="D139" s="234">
        <v>-0.81874585238999997</v>
      </c>
      <c r="E139" s="234">
        <v>-0.811094504153</v>
      </c>
      <c r="F139" s="234">
        <v>-0.88835393681300001</v>
      </c>
      <c r="G139" s="234">
        <v>-0.89167110664600002</v>
      </c>
      <c r="H139" s="234">
        <v>-0.89011199733299995</v>
      </c>
    </row>
    <row r="140" spans="1:16" x14ac:dyDescent="0.2">
      <c r="A140" s="234" t="s">
        <v>66</v>
      </c>
      <c r="B140" s="234" t="s">
        <v>5</v>
      </c>
    </row>
    <row r="141" spans="1:16" x14ac:dyDescent="0.2">
      <c r="B141" s="234">
        <v>1.4342608999999999E-2</v>
      </c>
      <c r="C141" s="234">
        <v>0.20051839299999999</v>
      </c>
      <c r="D141" s="234">
        <v>0.29036753300000001</v>
      </c>
      <c r="E141" s="234">
        <v>0.44732993500000001</v>
      </c>
      <c r="F141" s="234">
        <v>0.60048739100000004</v>
      </c>
      <c r="G141" s="234">
        <v>0.69768382600000001</v>
      </c>
      <c r="H141" s="234">
        <v>0.72575382600000005</v>
      </c>
      <c r="I141" s="234">
        <v>1.0298398120000001</v>
      </c>
      <c r="J141" s="234">
        <v>1.160210953</v>
      </c>
      <c r="K141" s="234">
        <v>1.27295329</v>
      </c>
      <c r="L141" s="234">
        <v>1.3701455650000001</v>
      </c>
      <c r="M141" s="234">
        <v>1.454466198</v>
      </c>
      <c r="N141" s="234">
        <v>1.5309674499999999</v>
      </c>
      <c r="O141" s="234">
        <v>1.5587292669999999</v>
      </c>
      <c r="P141" s="234">
        <v>1.647606543</v>
      </c>
    </row>
    <row r="142" spans="1:16" x14ac:dyDescent="0.2">
      <c r="A142" s="234" t="s">
        <v>66</v>
      </c>
      <c r="B142" s="234" t="s">
        <v>390</v>
      </c>
    </row>
    <row r="143" spans="1:16" x14ac:dyDescent="0.2">
      <c r="A143" s="234">
        <v>1.0864268342900001</v>
      </c>
      <c r="D143" s="234">
        <v>17</v>
      </c>
    </row>
    <row r="144" spans="1:16" x14ac:dyDescent="0.2">
      <c r="A144" s="234" t="s">
        <v>66</v>
      </c>
      <c r="B144" s="234" t="s">
        <v>391</v>
      </c>
      <c r="D144" s="234">
        <f>COUNT(A149:AI153)</f>
        <v>99</v>
      </c>
    </row>
    <row r="145" spans="1:34" x14ac:dyDescent="0.2">
      <c r="A145" s="234">
        <v>5.2992347781899998</v>
      </c>
      <c r="D145" s="234">
        <f>SUM(D143:D144)</f>
        <v>116</v>
      </c>
    </row>
    <row r="146" spans="1:34" x14ac:dyDescent="0.2">
      <c r="A146" s="234" t="s">
        <v>66</v>
      </c>
      <c r="B146" s="234" t="s">
        <v>392</v>
      </c>
    </row>
    <row r="147" spans="1:34" x14ac:dyDescent="0.2">
      <c r="A147" s="234">
        <v>-2.74164693603</v>
      </c>
    </row>
    <row r="148" spans="1:34" x14ac:dyDescent="0.2">
      <c r="A148" s="234" t="s">
        <v>66</v>
      </c>
      <c r="B148" s="234" t="s">
        <v>393</v>
      </c>
    </row>
    <row r="149" spans="1:34" x14ac:dyDescent="0.2">
      <c r="B149" s="234">
        <v>-0.54030846298900004</v>
      </c>
      <c r="C149" s="234">
        <v>-0.13307896828400001</v>
      </c>
      <c r="D149" s="234">
        <v>9.2908477310699997E-2</v>
      </c>
      <c r="E149" s="234">
        <v>-0.131664673979</v>
      </c>
      <c r="F149" s="234">
        <v>-0.18286883110999999</v>
      </c>
      <c r="G149" s="234">
        <v>-0.26303106406900001</v>
      </c>
      <c r="H149" s="234">
        <v>-0.35073184639100002</v>
      </c>
      <c r="I149" s="234">
        <v>-0.23094534032799999</v>
      </c>
      <c r="J149" s="234">
        <v>-2.1598264577399998E-2</v>
      </c>
      <c r="K149" s="234">
        <v>-9.3510732079100004E-2</v>
      </c>
      <c r="L149" s="234">
        <v>-5.8958451566700001E-2</v>
      </c>
      <c r="M149" s="234">
        <v>3.9213519277099998E-2</v>
      </c>
      <c r="N149" s="234">
        <v>6.4256769392400007E-2</v>
      </c>
      <c r="O149" s="234">
        <v>-3.1389626336899998E-2</v>
      </c>
      <c r="P149" s="234">
        <v>-0.14351332231899999</v>
      </c>
      <c r="Q149" s="234">
        <v>-0.245758199618</v>
      </c>
      <c r="R149" s="234">
        <v>-0.374702273734</v>
      </c>
      <c r="S149" s="234">
        <v>-0.39178103298299999</v>
      </c>
      <c r="T149" s="234">
        <v>-0.28078961765299998</v>
      </c>
      <c r="U149" s="234">
        <v>-0.32247998945</v>
      </c>
      <c r="V149" s="234">
        <v>-0.10103903889099999</v>
      </c>
      <c r="W149" s="234">
        <v>8.9221336627000006E-2</v>
      </c>
      <c r="X149" s="234">
        <v>9.1141684575300003E-2</v>
      </c>
      <c r="Y149" s="234">
        <v>0.14572546999200001</v>
      </c>
      <c r="Z149" s="234">
        <v>4.7259233132399998E-2</v>
      </c>
      <c r="AA149" s="234">
        <v>0.22193452446600001</v>
      </c>
      <c r="AB149" s="234">
        <v>0.38543999209599999</v>
      </c>
      <c r="AC149" s="234">
        <v>0.41198295607399998</v>
      </c>
      <c r="AD149" s="234">
        <v>0.642063639696</v>
      </c>
      <c r="AE149" s="234">
        <v>0.58966765107100005</v>
      </c>
      <c r="AF149" s="234">
        <v>0.31627107113199998</v>
      </c>
      <c r="AG149" s="234">
        <v>0.38862994957199998</v>
      </c>
      <c r="AH149" s="234">
        <v>0.37243346194499999</v>
      </c>
    </row>
    <row r="150" spans="1:34" x14ac:dyDescent="0.2">
      <c r="A150" s="234" t="s">
        <v>66</v>
      </c>
      <c r="B150" s="234" t="s">
        <v>394</v>
      </c>
    </row>
    <row r="151" spans="1:34" x14ac:dyDescent="0.2">
      <c r="B151" s="234">
        <v>-0.17571353714400001</v>
      </c>
      <c r="C151" s="234">
        <v>-0.20049870453099999</v>
      </c>
      <c r="D151" s="234">
        <v>-4.5062919147899998E-2</v>
      </c>
      <c r="E151" s="234">
        <v>-7.2282280925699993E-2</v>
      </c>
      <c r="F151" s="234">
        <v>6.9866436061000001E-2</v>
      </c>
      <c r="G151" s="234">
        <v>5.2022795700399999E-2</v>
      </c>
      <c r="H151" s="234">
        <v>-6.1278253517600002E-2</v>
      </c>
      <c r="I151" s="234">
        <v>-0.13426200792000001</v>
      </c>
      <c r="J151" s="234">
        <v>-0.10970382080799999</v>
      </c>
      <c r="K151" s="234">
        <v>8.2089219162900004E-2</v>
      </c>
      <c r="L151" s="234">
        <v>-1.48264431527E-2</v>
      </c>
      <c r="M151" s="234">
        <v>-8.8196056528799999E-2</v>
      </c>
      <c r="N151" s="234">
        <v>-2.3805779008399999E-2</v>
      </c>
      <c r="O151" s="234">
        <v>5.8836038239999999E-2</v>
      </c>
      <c r="P151" s="234">
        <v>0.18959980529100001</v>
      </c>
      <c r="Q151" s="234">
        <v>0.19753469125500001</v>
      </c>
      <c r="R151" s="234">
        <v>0.25372955386000001</v>
      </c>
      <c r="S151" s="234">
        <v>0.17557037662800001</v>
      </c>
      <c r="T151" s="234">
        <v>0.11492778085700001</v>
      </c>
      <c r="U151" s="234">
        <v>0.13052600191700001</v>
      </c>
      <c r="V151" s="234">
        <v>5.5798490497899998E-2</v>
      </c>
      <c r="W151" s="234">
        <v>6.5664186470399996E-2</v>
      </c>
      <c r="X151" s="234">
        <v>7.9614227652099995E-2</v>
      </c>
      <c r="Y151" s="234">
        <v>-1.9642206964999999E-2</v>
      </c>
      <c r="Z151" s="234">
        <v>0.123806102626</v>
      </c>
      <c r="AA151" s="234">
        <v>-6.3996811644499996E-2</v>
      </c>
      <c r="AB151" s="234">
        <v>-5.2431359916800001E-2</v>
      </c>
      <c r="AC151" s="234">
        <v>-8.0322087368099995E-2</v>
      </c>
      <c r="AD151" s="234">
        <v>-0.20117047056000001</v>
      </c>
      <c r="AE151" s="234">
        <v>-4.0787859885900002E-2</v>
      </c>
      <c r="AF151" s="234">
        <v>-7.1159140197600002E-2</v>
      </c>
      <c r="AG151" s="234">
        <v>-5.3041253167000001E-2</v>
      </c>
      <c r="AH151" s="234">
        <v>-0.14140471383100001</v>
      </c>
    </row>
    <row r="152" spans="1:34" x14ac:dyDescent="0.2">
      <c r="A152" s="234" t="s">
        <v>66</v>
      </c>
      <c r="B152" s="234" t="s">
        <v>395</v>
      </c>
    </row>
    <row r="153" spans="1:34" x14ac:dyDescent="0.2">
      <c r="B153" s="234">
        <v>-0.18148447922200001</v>
      </c>
      <c r="C153" s="234">
        <v>-0.13819254363</v>
      </c>
      <c r="D153" s="234">
        <v>2.5306634664900001E-2</v>
      </c>
      <c r="E153" s="234">
        <v>-0.35136562647699998</v>
      </c>
      <c r="F153" s="234">
        <v>-0.46079078174799998</v>
      </c>
      <c r="G153" s="234">
        <v>-0.10963084763</v>
      </c>
      <c r="H153" s="234">
        <v>-0.26384437355200002</v>
      </c>
      <c r="I153" s="234">
        <v>-0.102558445086</v>
      </c>
      <c r="J153" s="234">
        <v>0.14977562351500001</v>
      </c>
      <c r="K153" s="234">
        <v>-0.127441446909</v>
      </c>
      <c r="L153" s="234">
        <v>-2.0798358700200002E-2</v>
      </c>
      <c r="M153" s="234">
        <v>4.9414514109299999E-2</v>
      </c>
      <c r="N153" s="234">
        <v>-0.12932313691899999</v>
      </c>
      <c r="O153" s="234">
        <v>-0.16808904726000001</v>
      </c>
      <c r="P153" s="234">
        <v>-1.88995094426E-2</v>
      </c>
      <c r="Q153" s="234">
        <v>-4.2053676678000002E-2</v>
      </c>
      <c r="R153" s="234">
        <v>7.8627575289700005E-2</v>
      </c>
      <c r="S153" s="234">
        <v>7.0574257929500006E-2</v>
      </c>
      <c r="T153" s="234">
        <v>0.18646220544299999</v>
      </c>
      <c r="U153" s="234">
        <v>0.109521001311</v>
      </c>
      <c r="V153" s="234">
        <v>0.226241031959</v>
      </c>
      <c r="W153" s="234">
        <v>0.32295994410500001</v>
      </c>
      <c r="X153" s="234">
        <v>6.3876485722699994E-2</v>
      </c>
      <c r="Y153" s="234">
        <v>-5.7407810892100002E-2</v>
      </c>
      <c r="Z153" s="234">
        <v>-9.3884522381800006E-2</v>
      </c>
      <c r="AA153" s="234">
        <v>-0.101331933019</v>
      </c>
      <c r="AB153" s="234">
        <v>9.7744912172000001E-2</v>
      </c>
      <c r="AC153" s="234">
        <v>0.403427277408</v>
      </c>
      <c r="AD153" s="234">
        <v>0.31714937890400002</v>
      </c>
      <c r="AE153" s="234">
        <v>0.14584151222399999</v>
      </c>
      <c r="AF153" s="234">
        <v>3.2079379695799999E-2</v>
      </c>
      <c r="AG153" s="234">
        <v>0.15227489411299999</v>
      </c>
      <c r="AH153" s="234">
        <v>-6.4180089017099998E-2</v>
      </c>
    </row>
    <row r="154" spans="1:34" x14ac:dyDescent="0.2">
      <c r="A154" s="234" t="s">
        <v>66</v>
      </c>
      <c r="B154" s="234" t="s">
        <v>396</v>
      </c>
    </row>
    <row r="155" spans="1:34" x14ac:dyDescent="0.2">
      <c r="A155" s="234">
        <v>1</v>
      </c>
    </row>
    <row r="156" spans="1:34" x14ac:dyDescent="0.2">
      <c r="A156" s="234" t="s">
        <v>66</v>
      </c>
      <c r="B156" s="234" t="s">
        <v>397</v>
      </c>
    </row>
    <row r="157" spans="1:34" x14ac:dyDescent="0.2">
      <c r="A157" s="234">
        <v>3</v>
      </c>
    </row>
    <row r="158" spans="1:34" x14ac:dyDescent="0.2">
      <c r="A158" s="234" t="s">
        <v>66</v>
      </c>
      <c r="B158" s="234" t="s">
        <v>398</v>
      </c>
    </row>
    <row r="159" spans="1:34" x14ac:dyDescent="0.2">
      <c r="A159" s="234">
        <v>0.9</v>
      </c>
    </row>
    <row r="160" spans="1:34" x14ac:dyDescent="0.2">
      <c r="A160" s="234" t="s">
        <v>66</v>
      </c>
      <c r="B160" s="234" t="s">
        <v>399</v>
      </c>
    </row>
    <row r="161" spans="1:52" x14ac:dyDescent="0.2">
      <c r="A161" s="234">
        <v>5</v>
      </c>
    </row>
    <row r="162" spans="1:52" x14ac:dyDescent="0.2">
      <c r="A162" s="234" t="s">
        <v>66</v>
      </c>
      <c r="B162" s="234" t="s">
        <v>400</v>
      </c>
    </row>
    <row r="163" spans="1:52" x14ac:dyDescent="0.2">
      <c r="B163" s="234">
        <v>0</v>
      </c>
      <c r="C163" s="234">
        <v>0</v>
      </c>
      <c r="D163" s="234">
        <v>0</v>
      </c>
      <c r="E163" s="234">
        <v>0</v>
      </c>
      <c r="F163" s="234">
        <v>0</v>
      </c>
      <c r="G163" s="234">
        <v>0</v>
      </c>
      <c r="H163" s="234">
        <v>0</v>
      </c>
      <c r="I163" s="234">
        <v>0</v>
      </c>
      <c r="J163" s="234">
        <v>0</v>
      </c>
      <c r="K163" s="234">
        <v>0</v>
      </c>
      <c r="L163" s="234">
        <v>0</v>
      </c>
      <c r="M163" s="234">
        <v>0</v>
      </c>
      <c r="N163" s="234">
        <v>0</v>
      </c>
      <c r="O163" s="234">
        <v>0</v>
      </c>
      <c r="P163" s="234">
        <v>0</v>
      </c>
      <c r="Q163" s="234">
        <v>0</v>
      </c>
      <c r="R163" s="234">
        <v>0</v>
      </c>
      <c r="S163" s="234">
        <v>0</v>
      </c>
      <c r="T163" s="234">
        <v>0</v>
      </c>
      <c r="U163" s="234">
        <v>0</v>
      </c>
      <c r="V163" s="234">
        <v>0</v>
      </c>
      <c r="W163" s="234">
        <v>0</v>
      </c>
      <c r="X163" s="234">
        <v>0</v>
      </c>
      <c r="Y163" s="234">
        <v>0</v>
      </c>
      <c r="Z163" s="234">
        <v>0</v>
      </c>
      <c r="AA163" s="234">
        <v>0</v>
      </c>
      <c r="AB163" s="234">
        <v>0</v>
      </c>
      <c r="AC163" s="234">
        <v>0</v>
      </c>
      <c r="AD163" s="234">
        <v>0</v>
      </c>
      <c r="AE163" s="234">
        <v>0</v>
      </c>
      <c r="AF163" s="234">
        <v>0</v>
      </c>
      <c r="AG163" s="234">
        <v>0</v>
      </c>
      <c r="AH163" s="234">
        <v>0</v>
      </c>
      <c r="AI163" s="234">
        <v>0</v>
      </c>
      <c r="AJ163" s="234">
        <v>0</v>
      </c>
      <c r="AK163" s="234">
        <v>0</v>
      </c>
      <c r="AL163" s="234">
        <v>0</v>
      </c>
      <c r="AM163" s="234">
        <v>0</v>
      </c>
      <c r="AN163" s="234">
        <v>0</v>
      </c>
      <c r="AO163" s="234">
        <v>0</v>
      </c>
      <c r="AP163" s="234">
        <v>0</v>
      </c>
      <c r="AQ163" s="234">
        <v>0</v>
      </c>
      <c r="AR163" s="234">
        <v>0</v>
      </c>
      <c r="AS163" s="234">
        <v>0</v>
      </c>
      <c r="AT163" s="234">
        <v>0</v>
      </c>
      <c r="AU163" s="234">
        <v>0</v>
      </c>
      <c r="AV163" s="234">
        <v>0</v>
      </c>
      <c r="AW163" s="234">
        <v>0</v>
      </c>
      <c r="AX163" s="234">
        <v>0</v>
      </c>
      <c r="AY163" s="234">
        <v>0</v>
      </c>
      <c r="AZ163" s="234">
        <v>0</v>
      </c>
    </row>
    <row r="164" spans="1:52" x14ac:dyDescent="0.2">
      <c r="A164" s="234" t="s">
        <v>66</v>
      </c>
      <c r="B164" s="234" t="s">
        <v>401</v>
      </c>
    </row>
    <row r="165" spans="1:52" x14ac:dyDescent="0.2">
      <c r="B165" s="234">
        <v>0</v>
      </c>
      <c r="C165" s="234">
        <v>0</v>
      </c>
      <c r="D165" s="234">
        <v>0</v>
      </c>
      <c r="E165" s="234">
        <v>0</v>
      </c>
      <c r="F165" s="234">
        <v>0</v>
      </c>
      <c r="G165" s="234">
        <v>0</v>
      </c>
      <c r="H165" s="234">
        <v>0</v>
      </c>
      <c r="I165" s="234">
        <v>0</v>
      </c>
      <c r="J165" s="234">
        <v>0</v>
      </c>
      <c r="K165" s="234">
        <v>0</v>
      </c>
      <c r="L165" s="234">
        <v>0</v>
      </c>
      <c r="M165" s="234">
        <v>0</v>
      </c>
      <c r="N165" s="234">
        <v>0</v>
      </c>
      <c r="O165" s="234">
        <v>0</v>
      </c>
      <c r="P165" s="234">
        <v>0</v>
      </c>
      <c r="Q165" s="234">
        <v>0</v>
      </c>
      <c r="R165" s="234">
        <v>0</v>
      </c>
      <c r="S165" s="234">
        <v>0</v>
      </c>
      <c r="T165" s="234">
        <v>0</v>
      </c>
      <c r="U165" s="234">
        <v>0</v>
      </c>
      <c r="V165" s="234">
        <v>0</v>
      </c>
      <c r="W165" s="234">
        <v>0</v>
      </c>
      <c r="X165" s="234">
        <v>0</v>
      </c>
      <c r="Y165" s="234">
        <v>0</v>
      </c>
      <c r="Z165" s="234">
        <v>0</v>
      </c>
      <c r="AA165" s="234">
        <v>0</v>
      </c>
      <c r="AB165" s="234">
        <v>0</v>
      </c>
      <c r="AC165" s="234">
        <v>0</v>
      </c>
      <c r="AD165" s="234">
        <v>0</v>
      </c>
      <c r="AE165" s="234">
        <v>0</v>
      </c>
      <c r="AF165" s="234">
        <v>0</v>
      </c>
      <c r="AG165" s="234">
        <v>0</v>
      </c>
      <c r="AH165" s="234">
        <v>0</v>
      </c>
      <c r="AI165" s="234">
        <v>0</v>
      </c>
      <c r="AJ165" s="234">
        <v>0</v>
      </c>
      <c r="AK165" s="234">
        <v>0</v>
      </c>
      <c r="AL165" s="234">
        <v>0</v>
      </c>
      <c r="AM165" s="234">
        <v>0</v>
      </c>
      <c r="AN165" s="234">
        <v>0</v>
      </c>
      <c r="AO165" s="234">
        <v>0</v>
      </c>
      <c r="AP165" s="234">
        <v>0</v>
      </c>
      <c r="AQ165" s="234">
        <v>0</v>
      </c>
      <c r="AR165" s="234">
        <v>0</v>
      </c>
      <c r="AS165" s="234">
        <v>0</v>
      </c>
      <c r="AT165" s="234">
        <v>0</v>
      </c>
      <c r="AU165" s="234">
        <v>0</v>
      </c>
      <c r="AV165" s="234">
        <v>0</v>
      </c>
      <c r="AW165" s="234">
        <v>0</v>
      </c>
      <c r="AX165" s="234">
        <v>0</v>
      </c>
      <c r="AY165" s="234">
        <v>0</v>
      </c>
      <c r="AZ165" s="234">
        <v>0</v>
      </c>
    </row>
    <row r="166" spans="1:52" x14ac:dyDescent="0.2">
      <c r="A166" s="234" t="s">
        <v>66</v>
      </c>
      <c r="B166" s="234" t="s">
        <v>402</v>
      </c>
    </row>
    <row r="167" spans="1:52" x14ac:dyDescent="0.2">
      <c r="B167" s="234">
        <v>0</v>
      </c>
      <c r="C167" s="234">
        <v>0</v>
      </c>
      <c r="D167" s="234">
        <v>0</v>
      </c>
      <c r="E167" s="234">
        <v>0</v>
      </c>
      <c r="F167" s="234">
        <v>0</v>
      </c>
      <c r="G167" s="234">
        <v>0</v>
      </c>
      <c r="H167" s="234">
        <v>0</v>
      </c>
      <c r="I167" s="234">
        <v>0</v>
      </c>
      <c r="J167" s="234">
        <v>0</v>
      </c>
      <c r="K167" s="234">
        <v>0</v>
      </c>
      <c r="L167" s="234">
        <v>0</v>
      </c>
      <c r="M167" s="234">
        <v>0</v>
      </c>
      <c r="N167" s="234">
        <v>0</v>
      </c>
      <c r="O167" s="234">
        <v>0</v>
      </c>
      <c r="P167" s="234">
        <v>0</v>
      </c>
      <c r="Q167" s="234">
        <v>0</v>
      </c>
      <c r="R167" s="234">
        <v>0</v>
      </c>
      <c r="S167" s="234">
        <v>0</v>
      </c>
      <c r="T167" s="234">
        <v>0</v>
      </c>
      <c r="U167" s="234">
        <v>0</v>
      </c>
      <c r="V167" s="234">
        <v>0</v>
      </c>
      <c r="W167" s="234">
        <v>0</v>
      </c>
      <c r="X167" s="234">
        <v>0</v>
      </c>
      <c r="Y167" s="234">
        <v>0</v>
      </c>
      <c r="Z167" s="234">
        <v>0</v>
      </c>
      <c r="AA167" s="234">
        <v>0</v>
      </c>
      <c r="AB167" s="234">
        <v>0</v>
      </c>
      <c r="AC167" s="234">
        <v>0</v>
      </c>
      <c r="AD167" s="234">
        <v>0</v>
      </c>
      <c r="AE167" s="234">
        <v>0</v>
      </c>
      <c r="AF167" s="234">
        <v>0</v>
      </c>
      <c r="AG167" s="234">
        <v>0</v>
      </c>
      <c r="AH167" s="234">
        <v>0</v>
      </c>
      <c r="AI167" s="234">
        <v>0</v>
      </c>
      <c r="AJ167" s="234">
        <v>0</v>
      </c>
      <c r="AK167" s="234">
        <v>0</v>
      </c>
      <c r="AL167" s="234">
        <v>0</v>
      </c>
      <c r="AM167" s="234">
        <v>0</v>
      </c>
      <c r="AN167" s="234">
        <v>0</v>
      </c>
      <c r="AO167" s="234">
        <v>0</v>
      </c>
      <c r="AP167" s="234">
        <v>0</v>
      </c>
      <c r="AQ167" s="234">
        <v>0</v>
      </c>
      <c r="AR167" s="234">
        <v>0</v>
      </c>
      <c r="AS167" s="234">
        <v>0</v>
      </c>
      <c r="AT167" s="234">
        <v>0</v>
      </c>
      <c r="AU167" s="234">
        <v>0</v>
      </c>
      <c r="AV167" s="234">
        <v>0</v>
      </c>
      <c r="AW167" s="234">
        <v>0</v>
      </c>
      <c r="AX167" s="234">
        <v>0</v>
      </c>
      <c r="AY167" s="234">
        <v>0</v>
      </c>
      <c r="AZ167" s="234">
        <v>0</v>
      </c>
    </row>
    <row r="168" spans="1:52" x14ac:dyDescent="0.2">
      <c r="A168" s="234" t="s">
        <v>66</v>
      </c>
      <c r="B168" s="234" t="s">
        <v>405</v>
      </c>
    </row>
    <row r="169" spans="1:52" x14ac:dyDescent="0.2">
      <c r="B169" s="234">
        <v>0</v>
      </c>
      <c r="C169" s="234">
        <v>0</v>
      </c>
      <c r="D169" s="234">
        <v>0</v>
      </c>
      <c r="E169" s="234">
        <v>0</v>
      </c>
      <c r="F169" s="234">
        <v>0</v>
      </c>
    </row>
  </sheetData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BH1493"/>
  <sheetViews>
    <sheetView zoomScale="43" zoomScaleNormal="43" zoomScalePageLayoutView="43" workbookViewId="0"/>
  </sheetViews>
  <sheetFormatPr baseColWidth="10" defaultColWidth="12.5" defaultRowHeight="18" x14ac:dyDescent="0.2"/>
  <cols>
    <col min="1" max="2" width="12.5" style="78"/>
    <col min="3" max="3" width="18.6640625" style="78" customWidth="1"/>
    <col min="4" max="7" width="12.5" style="78"/>
    <col min="8" max="8" width="13.33203125" style="78" bestFit="1" customWidth="1"/>
    <col min="9" max="9" width="13.83203125" style="78" customWidth="1"/>
    <col min="10" max="16384" width="12.5" style="78"/>
  </cols>
  <sheetData>
    <row r="1" spans="1:55" x14ac:dyDescent="0.2">
      <c r="A1" s="224"/>
      <c r="B1" s="224" t="s">
        <v>180</v>
      </c>
      <c r="C1" s="224" t="s">
        <v>181</v>
      </c>
      <c r="D1" s="224" t="s">
        <v>182</v>
      </c>
      <c r="E1" s="224" t="s">
        <v>912</v>
      </c>
      <c r="F1" s="78" t="s">
        <v>949</v>
      </c>
    </row>
    <row r="2" spans="1:55" x14ac:dyDescent="0.2">
      <c r="A2" s="224"/>
      <c r="B2" s="224">
        <v>1</v>
      </c>
      <c r="C2" s="224" t="s">
        <v>124</v>
      </c>
      <c r="D2" s="224">
        <v>9.8309999999999995</v>
      </c>
      <c r="E2" s="224">
        <v>9.9592E-2</v>
      </c>
      <c r="F2" s="78" t="s">
        <v>770</v>
      </c>
      <c r="H2" s="225" t="s">
        <v>954</v>
      </c>
      <c r="I2" t="s">
        <v>956</v>
      </c>
      <c r="J2"/>
    </row>
    <row r="3" spans="1:55" x14ac:dyDescent="0.2">
      <c r="A3" s="224"/>
      <c r="B3" s="224">
        <v>2</v>
      </c>
      <c r="C3" s="224" t="s">
        <v>913</v>
      </c>
      <c r="D3" s="224">
        <v>4.5500999999999996</v>
      </c>
      <c r="E3" s="224">
        <v>0.68127000000000004</v>
      </c>
      <c r="F3" s="78" t="s">
        <v>770</v>
      </c>
      <c r="H3" s="226" t="s">
        <v>148</v>
      </c>
      <c r="I3" s="31">
        <v>51</v>
      </c>
      <c r="J3"/>
    </row>
    <row r="4" spans="1:55" x14ac:dyDescent="0.2">
      <c r="A4" s="224"/>
      <c r="B4" s="224">
        <v>3</v>
      </c>
      <c r="C4" s="224" t="s">
        <v>184</v>
      </c>
      <c r="D4" s="224">
        <v>-1.4608000000000001</v>
      </c>
      <c r="E4" s="224">
        <v>8.4127999999999994E-2</v>
      </c>
      <c r="F4" s="78" t="s">
        <v>148</v>
      </c>
      <c r="H4" s="226" t="s">
        <v>951</v>
      </c>
      <c r="I4" s="31">
        <v>6</v>
      </c>
      <c r="J4"/>
    </row>
    <row r="5" spans="1:55" x14ac:dyDescent="0.2">
      <c r="A5" s="224"/>
      <c r="B5" s="224">
        <v>4</v>
      </c>
      <c r="C5" s="224" t="s">
        <v>350</v>
      </c>
      <c r="D5" s="224">
        <v>0.38695000000000002</v>
      </c>
      <c r="E5" s="224">
        <v>8.0845E-2</v>
      </c>
      <c r="F5" s="78" t="s">
        <v>950</v>
      </c>
      <c r="H5" s="226" t="s">
        <v>770</v>
      </c>
      <c r="I5" s="31">
        <v>68</v>
      </c>
      <c r="J5"/>
      <c r="K5"/>
      <c r="L5" t="s">
        <v>67</v>
      </c>
      <c r="M5" t="s">
        <v>362</v>
      </c>
      <c r="N5" t="s">
        <v>363</v>
      </c>
      <c r="O5">
        <v>841</v>
      </c>
      <c r="P5" t="s">
        <v>364</v>
      </c>
      <c r="Q5" t="s">
        <v>365</v>
      </c>
      <c r="R5" t="s">
        <v>182</v>
      </c>
      <c r="S5" t="s">
        <v>363</v>
      </c>
      <c r="T5">
        <v>-6.5536799999999999</v>
      </c>
      <c r="U5" t="s">
        <v>366</v>
      </c>
      <c r="V5" t="s">
        <v>367</v>
      </c>
      <c r="W5" t="s">
        <v>368</v>
      </c>
      <c r="X5" t="s">
        <v>363</v>
      </c>
      <c r="Y5" s="1">
        <v>1.00793E-4</v>
      </c>
      <c r="Z5" s="1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</row>
    <row r="6" spans="1:55" x14ac:dyDescent="0.2">
      <c r="A6" s="224"/>
      <c r="B6" s="224">
        <v>5</v>
      </c>
      <c r="C6" s="224" t="s">
        <v>914</v>
      </c>
      <c r="D6" s="224">
        <v>-0.25473000000000001</v>
      </c>
      <c r="E6" s="224">
        <v>0.16308</v>
      </c>
      <c r="F6" s="78" t="s">
        <v>950</v>
      </c>
      <c r="H6" s="226" t="s">
        <v>950</v>
      </c>
      <c r="I6" s="31">
        <v>5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</row>
    <row r="7" spans="1:55" x14ac:dyDescent="0.2">
      <c r="A7" s="224"/>
      <c r="B7" s="224">
        <v>6</v>
      </c>
      <c r="C7" s="224" t="s">
        <v>351</v>
      </c>
      <c r="D7" s="224">
        <v>-1.0317000000000001</v>
      </c>
      <c r="E7" s="224">
        <v>9.1829999999999995E-2</v>
      </c>
      <c r="F7" s="78" t="s">
        <v>950</v>
      </c>
      <c r="H7" s="226" t="s">
        <v>952</v>
      </c>
      <c r="I7" s="31">
        <v>500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</row>
    <row r="8" spans="1:55" x14ac:dyDescent="0.2">
      <c r="A8" s="224"/>
      <c r="B8" s="224">
        <v>7</v>
      </c>
      <c r="C8" s="224" t="s">
        <v>290</v>
      </c>
      <c r="D8" s="224">
        <v>9.7347000000000001</v>
      </c>
      <c r="E8" s="224">
        <v>0.10609</v>
      </c>
      <c r="F8" s="78" t="s">
        <v>770</v>
      </c>
      <c r="H8" s="226" t="s">
        <v>953</v>
      </c>
      <c r="I8" s="31">
        <v>211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</row>
    <row r="9" spans="1:55" x14ac:dyDescent="0.2">
      <c r="A9" s="224"/>
      <c r="B9" s="224">
        <v>8</v>
      </c>
      <c r="C9" s="224" t="s">
        <v>915</v>
      </c>
      <c r="D9" s="224">
        <v>0.67776999999999998</v>
      </c>
      <c r="E9" s="224">
        <v>6.2207999999999999E-2</v>
      </c>
      <c r="F9" s="78" t="s">
        <v>770</v>
      </c>
      <c r="H9" s="226" t="s">
        <v>955</v>
      </c>
      <c r="I9" s="31">
        <v>841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</row>
    <row r="10" spans="1:55" x14ac:dyDescent="0.2">
      <c r="A10" s="224"/>
      <c r="B10" s="224">
        <v>9</v>
      </c>
      <c r="C10" s="224" t="s">
        <v>916</v>
      </c>
      <c r="D10" s="224">
        <v>5.5861000000000001E-2</v>
      </c>
      <c r="E10" s="224">
        <v>0.19017999999999999</v>
      </c>
      <c r="F10" s="78" t="s">
        <v>950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</row>
    <row r="11" spans="1:55" x14ac:dyDescent="0.2">
      <c r="A11" s="224"/>
      <c r="B11" s="224">
        <v>10</v>
      </c>
      <c r="C11" s="224" t="s">
        <v>917</v>
      </c>
      <c r="D11" s="224">
        <v>-9.5355000000000008</v>
      </c>
      <c r="E11" s="224">
        <v>0.13177</v>
      </c>
      <c r="F11" s="78" t="s">
        <v>950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</row>
    <row r="12" spans="1:55" x14ac:dyDescent="0.2">
      <c r="A12" s="224"/>
      <c r="B12" s="224">
        <v>11</v>
      </c>
      <c r="C12" s="224" t="s">
        <v>918</v>
      </c>
      <c r="D12" s="224">
        <v>3.6311</v>
      </c>
      <c r="E12" s="224">
        <v>0.72772999999999999</v>
      </c>
      <c r="F12" s="78" t="s">
        <v>770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</row>
    <row r="13" spans="1:55" x14ac:dyDescent="0.2">
      <c r="A13" s="224"/>
      <c r="B13" s="224">
        <v>12</v>
      </c>
      <c r="C13" s="224" t="s">
        <v>918</v>
      </c>
      <c r="D13" s="224">
        <v>3.1701999999999999</v>
      </c>
      <c r="E13" s="224">
        <v>0.71987000000000001</v>
      </c>
      <c r="F13" s="78" t="s">
        <v>770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</row>
    <row r="14" spans="1:55" x14ac:dyDescent="0.2">
      <c r="A14" s="224"/>
      <c r="B14" s="224">
        <v>13</v>
      </c>
      <c r="C14" s="224" t="s">
        <v>918</v>
      </c>
      <c r="D14" s="224">
        <v>1.5960000000000001</v>
      </c>
      <c r="E14" s="224">
        <v>0.86007</v>
      </c>
      <c r="F14" s="78" t="s">
        <v>770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</row>
    <row r="15" spans="1:55" x14ac:dyDescent="0.2">
      <c r="A15" s="224"/>
      <c r="B15" s="224">
        <v>14</v>
      </c>
      <c r="C15" s="224" t="s">
        <v>918</v>
      </c>
      <c r="D15" s="224">
        <v>0.79779999999999995</v>
      </c>
      <c r="E15" s="224">
        <v>0.96994999999999998</v>
      </c>
      <c r="F15" s="78" t="s">
        <v>770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</row>
    <row r="16" spans="1:55" x14ac:dyDescent="0.2">
      <c r="A16" s="224"/>
      <c r="B16" s="224">
        <v>15</v>
      </c>
      <c r="C16" s="224" t="s">
        <v>918</v>
      </c>
      <c r="D16" s="224">
        <v>1.2555000000000001</v>
      </c>
      <c r="E16" s="224">
        <v>0.84360000000000002</v>
      </c>
      <c r="F16" s="78" t="s">
        <v>770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</row>
    <row r="17" spans="1:55" x14ac:dyDescent="0.2">
      <c r="A17" s="224"/>
      <c r="B17" s="224">
        <v>16</v>
      </c>
      <c r="C17" s="224" t="s">
        <v>918</v>
      </c>
      <c r="D17" s="224">
        <v>0.34758</v>
      </c>
      <c r="E17" s="224">
        <v>1.1002000000000001</v>
      </c>
      <c r="F17" s="78" t="s">
        <v>770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 spans="1:55" x14ac:dyDescent="0.2">
      <c r="A18" s="224"/>
      <c r="B18" s="224">
        <v>17</v>
      </c>
      <c r="C18" s="224" t="s">
        <v>918</v>
      </c>
      <c r="D18" s="224">
        <v>-0.65500999999999998</v>
      </c>
      <c r="E18" s="224">
        <v>1.2785</v>
      </c>
      <c r="F18" s="78" t="s">
        <v>770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 spans="1:55" x14ac:dyDescent="0.2">
      <c r="A19" s="224"/>
      <c r="B19" s="224">
        <v>18</v>
      </c>
      <c r="C19" s="224" t="s">
        <v>918</v>
      </c>
      <c r="D19" s="224">
        <v>-1.4455</v>
      </c>
      <c r="E19" s="224">
        <v>1.2285999999999999</v>
      </c>
      <c r="F19" s="78" t="s">
        <v>770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 spans="1:55" x14ac:dyDescent="0.2">
      <c r="A20" s="224"/>
      <c r="B20" s="224">
        <v>19</v>
      </c>
      <c r="C20" s="224" t="s">
        <v>918</v>
      </c>
      <c r="D20" s="224">
        <v>-1.4202999999999999</v>
      </c>
      <c r="E20" s="224">
        <v>1.2339</v>
      </c>
      <c r="F20" s="78" t="s">
        <v>770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 spans="1:55" x14ac:dyDescent="0.2">
      <c r="A21" s="224"/>
      <c r="B21" s="224">
        <v>20</v>
      </c>
      <c r="C21" s="224" t="s">
        <v>918</v>
      </c>
      <c r="D21" s="224">
        <v>-1.4225000000000001</v>
      </c>
      <c r="E21" s="224">
        <v>1.2343999999999999</v>
      </c>
      <c r="F21" s="78" t="s">
        <v>770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 spans="1:55" x14ac:dyDescent="0.2">
      <c r="A22" s="224"/>
      <c r="B22" s="224">
        <v>21</v>
      </c>
      <c r="C22" s="224" t="s">
        <v>918</v>
      </c>
      <c r="D22" s="224">
        <v>-1.4291</v>
      </c>
      <c r="E22" s="224">
        <v>1.2358</v>
      </c>
      <c r="F22" s="78" t="s">
        <v>770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 spans="1:55" x14ac:dyDescent="0.2">
      <c r="A23" s="224"/>
      <c r="B23" s="224">
        <v>22</v>
      </c>
      <c r="C23" s="224" t="s">
        <v>918</v>
      </c>
      <c r="D23" s="224">
        <v>-1.4489000000000001</v>
      </c>
      <c r="E23" s="224">
        <v>1.2403999999999999</v>
      </c>
      <c r="F23" s="78" t="s">
        <v>770</v>
      </c>
      <c r="I23" s="78">
        <v>19</v>
      </c>
      <c r="J23" s="78">
        <v>9.7347440835800008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 spans="1:55" x14ac:dyDescent="0.2">
      <c r="A24" s="224"/>
      <c r="B24" s="224">
        <v>23</v>
      </c>
      <c r="C24" s="224" t="s">
        <v>918</v>
      </c>
      <c r="D24" s="224">
        <v>-1.4881</v>
      </c>
      <c r="E24" s="224">
        <v>1.2505999999999999</v>
      </c>
      <c r="F24" s="78" t="s">
        <v>770</v>
      </c>
      <c r="I24" s="78">
        <v>20</v>
      </c>
      <c r="J24" s="78" t="s">
        <v>66</v>
      </c>
      <c r="K24" t="s">
        <v>377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 spans="1:55" x14ac:dyDescent="0.2">
      <c r="A25" s="224"/>
      <c r="B25" s="224">
        <v>24</v>
      </c>
      <c r="C25" s="224" t="s">
        <v>918</v>
      </c>
      <c r="D25" s="224">
        <v>-1.4886999999999999</v>
      </c>
      <c r="E25" s="224">
        <v>1.2506999999999999</v>
      </c>
      <c r="F25" s="78" t="s">
        <v>770</v>
      </c>
      <c r="I25" s="78">
        <v>21</v>
      </c>
      <c r="J25" s="78">
        <v>0.67777350461499997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 spans="1:55" x14ac:dyDescent="0.2">
      <c r="A26" s="224"/>
      <c r="B26" s="224">
        <v>25</v>
      </c>
      <c r="C26" s="224" t="s">
        <v>206</v>
      </c>
      <c r="D26" s="224">
        <v>-1.2713000000000001</v>
      </c>
      <c r="E26" s="224">
        <v>0.34619</v>
      </c>
      <c r="F26" s="78" t="s">
        <v>770</v>
      </c>
      <c r="I26" s="78">
        <v>22</v>
      </c>
      <c r="J26" s="78" t="s">
        <v>66</v>
      </c>
      <c r="K26" t="s">
        <v>378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 spans="1:55" x14ac:dyDescent="0.2">
      <c r="A27" s="224"/>
      <c r="B27" s="224">
        <v>26</v>
      </c>
      <c r="C27" s="224" t="s">
        <v>206</v>
      </c>
      <c r="D27" s="224">
        <v>9.0091000000000004E-2</v>
      </c>
      <c r="E27" s="224">
        <v>0.22861999999999999</v>
      </c>
      <c r="F27" s="78" t="s">
        <v>770</v>
      </c>
      <c r="I27" s="78">
        <v>23</v>
      </c>
      <c r="J27" s="78">
        <v>5.5861318744500003E-2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 spans="1:55" x14ac:dyDescent="0.2">
      <c r="A28" s="224"/>
      <c r="B28" s="224">
        <v>27</v>
      </c>
      <c r="C28" s="224" t="s">
        <v>206</v>
      </c>
      <c r="D28" s="224">
        <v>-0.26374999999999998</v>
      </c>
      <c r="E28" s="224">
        <v>0.32730999999999999</v>
      </c>
      <c r="F28" s="78" t="s">
        <v>770</v>
      </c>
      <c r="I28" s="78">
        <v>24</v>
      </c>
      <c r="J28" s="78" t="s">
        <v>66</v>
      </c>
      <c r="K28" t="s">
        <v>853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29" spans="1:55" ht="28" x14ac:dyDescent="0.3">
      <c r="A29" s="224"/>
      <c r="B29" s="224">
        <v>28</v>
      </c>
      <c r="C29" s="224" t="s">
        <v>206</v>
      </c>
      <c r="D29" s="224">
        <v>0.43153000000000002</v>
      </c>
      <c r="E29" s="224">
        <v>0.25672</v>
      </c>
      <c r="F29" s="78" t="s">
        <v>770</v>
      </c>
      <c r="H29" s="223">
        <f>SUM(H30:H204)</f>
        <v>856</v>
      </c>
      <c r="I29" s="78">
        <v>25</v>
      </c>
      <c r="J29" s="78">
        <v>-9.5354849555399994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</row>
    <row r="30" spans="1:55" x14ac:dyDescent="0.2">
      <c r="A30" s="224"/>
      <c r="B30" s="224">
        <v>29</v>
      </c>
      <c r="C30" s="224" t="s">
        <v>206</v>
      </c>
      <c r="D30" s="224">
        <v>0.35794999999999999</v>
      </c>
      <c r="E30" s="224">
        <v>0.26680999999999999</v>
      </c>
      <c r="F30" s="78" t="s">
        <v>770</v>
      </c>
      <c r="H30" s="78">
        <v>10</v>
      </c>
      <c r="I30" s="78">
        <v>26</v>
      </c>
      <c r="J30" s="78" t="s">
        <v>66</v>
      </c>
      <c r="K30" t="s">
        <v>379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</row>
    <row r="31" spans="1:55" x14ac:dyDescent="0.2">
      <c r="A31" s="224"/>
      <c r="B31" s="224">
        <v>30</v>
      </c>
      <c r="C31" s="224" t="s">
        <v>206</v>
      </c>
      <c r="D31" s="224">
        <v>0.45084999999999997</v>
      </c>
      <c r="E31" s="224">
        <v>0.25380000000000003</v>
      </c>
      <c r="F31" s="78" t="s">
        <v>770</v>
      </c>
      <c r="H31" s="78">
        <f>COUNT(K31:BX31)</f>
        <v>14</v>
      </c>
      <c r="I31" s="78">
        <v>27</v>
      </c>
      <c r="K31">
        <v>3.6310790401399999</v>
      </c>
      <c r="L31">
        <v>3.17017596647</v>
      </c>
      <c r="M31">
        <v>1.5960384507000001</v>
      </c>
      <c r="N31">
        <v>0.79779618439900002</v>
      </c>
      <c r="O31">
        <v>1.2555213589200001</v>
      </c>
      <c r="P31">
        <v>0.34757628843799998</v>
      </c>
      <c r="Q31">
        <v>-0.65500554710900005</v>
      </c>
      <c r="R31">
        <v>-1.4455147911799999</v>
      </c>
      <c r="S31">
        <v>-1.42032586569</v>
      </c>
      <c r="T31">
        <v>-1.4225136648900001</v>
      </c>
      <c r="U31">
        <v>-1.4290583238600001</v>
      </c>
      <c r="V31">
        <v>-1.44888800305</v>
      </c>
      <c r="W31">
        <v>-1.4881458939000001</v>
      </c>
      <c r="X31">
        <v>-1.4887352863900001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</row>
    <row r="32" spans="1:55" x14ac:dyDescent="0.2">
      <c r="A32" s="224"/>
      <c r="B32" s="224">
        <v>31</v>
      </c>
      <c r="C32" s="224" t="s">
        <v>206</v>
      </c>
      <c r="D32" s="224">
        <v>7.5657000000000002E-2</v>
      </c>
      <c r="E32" s="224">
        <v>0.28910999999999998</v>
      </c>
      <c r="F32" s="78" t="s">
        <v>770</v>
      </c>
      <c r="I32" s="78">
        <v>28</v>
      </c>
      <c r="J32" s="78" t="s">
        <v>66</v>
      </c>
      <c r="K32" t="s">
        <v>380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</row>
    <row r="33" spans="1:60" x14ac:dyDescent="0.2">
      <c r="A33" s="224"/>
      <c r="B33" s="224">
        <v>32</v>
      </c>
      <c r="C33" s="224" t="s">
        <v>206</v>
      </c>
      <c r="D33" s="224">
        <v>-0.65615000000000001</v>
      </c>
      <c r="E33" s="224">
        <v>0.34811999999999999</v>
      </c>
      <c r="F33" s="78" t="s">
        <v>770</v>
      </c>
      <c r="H33" s="78">
        <f>COUNT(K33:BX33)</f>
        <v>50</v>
      </c>
      <c r="I33" s="78">
        <v>29</v>
      </c>
      <c r="K33">
        <v>-1.27132143776</v>
      </c>
      <c r="L33">
        <v>9.0091036666499993E-2</v>
      </c>
      <c r="M33">
        <v>-0.263746922228</v>
      </c>
      <c r="N33">
        <v>0.431526620257</v>
      </c>
      <c r="O33">
        <v>0.35795332996700002</v>
      </c>
      <c r="P33">
        <v>0.45085023433100002</v>
      </c>
      <c r="Q33">
        <v>7.5656670113899996E-2</v>
      </c>
      <c r="R33">
        <v>-0.656148142489</v>
      </c>
      <c r="S33">
        <v>-0.55708356923900004</v>
      </c>
      <c r="T33">
        <v>0.441203150351</v>
      </c>
      <c r="U33">
        <v>0.13813160695000001</v>
      </c>
      <c r="V33">
        <v>-2.7646187435799999E-2</v>
      </c>
      <c r="W33">
        <v>-0.28850944159000003</v>
      </c>
      <c r="X33">
        <v>-0.290060497769</v>
      </c>
      <c r="Y33">
        <v>0.36372266425999999</v>
      </c>
      <c r="Z33">
        <v>1.26707051651</v>
      </c>
      <c r="AA33">
        <v>0.340010203111</v>
      </c>
      <c r="AB33">
        <v>0.46449728750300001</v>
      </c>
      <c r="AC33">
        <v>-0.17622456287900001</v>
      </c>
      <c r="AD33">
        <v>1.0332937316099999</v>
      </c>
      <c r="AE33">
        <v>-0.355211480784</v>
      </c>
      <c r="AF33">
        <v>0.63628437607999999</v>
      </c>
      <c r="AG33">
        <v>-0.25044716900399999</v>
      </c>
      <c r="AH33">
        <v>-0.78048838113100005</v>
      </c>
      <c r="AI33">
        <v>-1.2079751346500001</v>
      </c>
      <c r="AJ33">
        <v>-0.58429350168700001</v>
      </c>
      <c r="AK33">
        <v>0.98934770320700005</v>
      </c>
      <c r="AL33">
        <v>0.31551398023400001</v>
      </c>
      <c r="AM33">
        <v>0.16769944663899999</v>
      </c>
      <c r="AN33">
        <v>0.940877575051</v>
      </c>
      <c r="AO33">
        <v>-0.23060496977200001</v>
      </c>
      <c r="AP33">
        <v>-0.54272989792199999</v>
      </c>
      <c r="AQ33">
        <v>0.219454130872</v>
      </c>
      <c r="AR33">
        <v>0.52424258331200002</v>
      </c>
      <c r="AS33">
        <v>-0.16845458538899999</v>
      </c>
      <c r="AT33">
        <v>-7.8586023684500003E-2</v>
      </c>
      <c r="AU33">
        <v>0.34971069458600001</v>
      </c>
      <c r="AV33">
        <v>0.654941184171</v>
      </c>
      <c r="AW33">
        <v>0.21764545353600001</v>
      </c>
      <c r="AX33">
        <v>-0.29236156025400001</v>
      </c>
      <c r="AY33">
        <v>-1.09600828076</v>
      </c>
      <c r="AZ33">
        <v>-1.4814001264300001</v>
      </c>
      <c r="BA33">
        <v>-0.56013296456899997</v>
      </c>
      <c r="BB33">
        <v>0.29258325007899999</v>
      </c>
      <c r="BC33">
        <v>-0.73735841021899995</v>
      </c>
      <c r="BD33" s="78">
        <v>0.92686650697899997</v>
      </c>
      <c r="BE33" s="78">
        <v>0.102777804544</v>
      </c>
      <c r="BF33" s="78">
        <v>4.8045200407900002E-2</v>
      </c>
      <c r="BG33" s="78">
        <v>-3.6698710107499997E-2</v>
      </c>
      <c r="BH33" s="78">
        <v>-2.6611624915899999E-3</v>
      </c>
    </row>
    <row r="34" spans="1:60" x14ac:dyDescent="0.2">
      <c r="A34" s="224"/>
      <c r="B34" s="224">
        <v>33</v>
      </c>
      <c r="C34" s="224" t="s">
        <v>206</v>
      </c>
      <c r="D34" s="224">
        <v>-0.55708000000000002</v>
      </c>
      <c r="E34" s="224">
        <v>0.31856000000000001</v>
      </c>
      <c r="F34" s="78" t="s">
        <v>770</v>
      </c>
      <c r="I34" s="78">
        <v>30</v>
      </c>
      <c r="J34" s="78" t="s">
        <v>66</v>
      </c>
      <c r="K34" t="s">
        <v>381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</row>
    <row r="35" spans="1:60" x14ac:dyDescent="0.2">
      <c r="A35" s="224"/>
      <c r="B35" s="224">
        <v>34</v>
      </c>
      <c r="C35" s="224" t="s">
        <v>206</v>
      </c>
      <c r="D35" s="224">
        <v>0.44119999999999998</v>
      </c>
      <c r="E35" s="224">
        <v>0.18856000000000001</v>
      </c>
      <c r="F35" s="78" t="s">
        <v>770</v>
      </c>
      <c r="I35" s="78">
        <v>31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</row>
    <row r="36" spans="1:60" x14ac:dyDescent="0.2">
      <c r="A36" s="224"/>
      <c r="B36" s="224">
        <v>35</v>
      </c>
      <c r="C36" s="224" t="s">
        <v>206</v>
      </c>
      <c r="D36" s="224">
        <v>0.13813</v>
      </c>
      <c r="E36" s="224">
        <v>0.1961</v>
      </c>
      <c r="F36" s="78" t="s">
        <v>770</v>
      </c>
      <c r="I36" s="78">
        <v>32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</row>
    <row r="37" spans="1:60" x14ac:dyDescent="0.2">
      <c r="A37" s="224"/>
      <c r="B37" s="224">
        <v>36</v>
      </c>
      <c r="C37" s="224" t="s">
        <v>206</v>
      </c>
      <c r="D37" s="224">
        <v>-2.7646E-2</v>
      </c>
      <c r="E37" s="224">
        <v>0.18129999999999999</v>
      </c>
      <c r="F37" s="78" t="s">
        <v>770</v>
      </c>
      <c r="I37" s="78">
        <v>33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</row>
    <row r="38" spans="1:60" x14ac:dyDescent="0.2">
      <c r="A38" s="224"/>
      <c r="B38" s="224">
        <v>37</v>
      </c>
      <c r="C38" s="224" t="s">
        <v>206</v>
      </c>
      <c r="D38" s="224">
        <v>-0.28850999999999999</v>
      </c>
      <c r="E38" s="224">
        <v>0.18040999999999999</v>
      </c>
      <c r="F38" s="78" t="s">
        <v>770</v>
      </c>
      <c r="I38" s="78">
        <v>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</row>
    <row r="39" spans="1:60" x14ac:dyDescent="0.2">
      <c r="A39" s="224"/>
      <c r="B39" s="224">
        <v>38</v>
      </c>
      <c r="C39" s="224" t="s">
        <v>206</v>
      </c>
      <c r="D39" s="224">
        <v>-0.29005999999999998</v>
      </c>
      <c r="E39" s="224">
        <v>0.16136</v>
      </c>
      <c r="F39" s="78" t="s">
        <v>770</v>
      </c>
      <c r="I39" s="78">
        <v>35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</row>
    <row r="40" spans="1:60" x14ac:dyDescent="0.2">
      <c r="A40" s="224"/>
      <c r="B40" s="224">
        <v>39</v>
      </c>
      <c r="C40" s="224" t="s">
        <v>206</v>
      </c>
      <c r="D40" s="224">
        <v>0.36371999999999999</v>
      </c>
      <c r="E40" s="224">
        <v>0.13116</v>
      </c>
      <c r="F40" s="78" t="s">
        <v>770</v>
      </c>
      <c r="I40" s="78">
        <v>36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</row>
    <row r="41" spans="1:60" x14ac:dyDescent="0.2">
      <c r="A41" s="224"/>
      <c r="B41" s="224">
        <v>40</v>
      </c>
      <c r="C41" s="224" t="s">
        <v>206</v>
      </c>
      <c r="D41" s="224">
        <v>1.2670999999999999</v>
      </c>
      <c r="E41" s="224">
        <v>0.11796</v>
      </c>
      <c r="F41" s="78" t="s">
        <v>770</v>
      </c>
      <c r="I41" s="78">
        <v>37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</row>
    <row r="42" spans="1:60" x14ac:dyDescent="0.2">
      <c r="A42" s="224"/>
      <c r="B42" s="224">
        <v>41</v>
      </c>
      <c r="C42" s="224" t="s">
        <v>206</v>
      </c>
      <c r="D42" s="224">
        <v>0.34000999999999998</v>
      </c>
      <c r="E42" s="224">
        <v>0.12470000000000001</v>
      </c>
      <c r="F42" s="78" t="s">
        <v>770</v>
      </c>
      <c r="I42" s="78">
        <v>38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</row>
    <row r="43" spans="1:60" x14ac:dyDescent="0.2">
      <c r="A43" s="224"/>
      <c r="B43" s="224">
        <v>42</v>
      </c>
      <c r="C43" s="224" t="s">
        <v>206</v>
      </c>
      <c r="D43" s="224">
        <v>0.46450000000000002</v>
      </c>
      <c r="E43" s="224">
        <v>0.12489</v>
      </c>
      <c r="F43" s="78" t="s">
        <v>770</v>
      </c>
      <c r="I43" s="78">
        <v>39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</row>
    <row r="44" spans="1:60" x14ac:dyDescent="0.2">
      <c r="A44" s="224"/>
      <c r="B44" s="224">
        <v>43</v>
      </c>
      <c r="C44" s="224" t="s">
        <v>206</v>
      </c>
      <c r="D44" s="224">
        <v>-0.17621999999999999</v>
      </c>
      <c r="E44" s="224">
        <v>0.14457999999999999</v>
      </c>
      <c r="F44" s="78" t="s">
        <v>770</v>
      </c>
      <c r="I44" s="78">
        <v>40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</row>
    <row r="45" spans="1:60" x14ac:dyDescent="0.2">
      <c r="A45" s="224"/>
      <c r="B45" s="224">
        <v>44</v>
      </c>
      <c r="C45" s="224" t="s">
        <v>206</v>
      </c>
      <c r="D45" s="224">
        <v>1.0333000000000001</v>
      </c>
      <c r="E45" s="224">
        <v>0.11219</v>
      </c>
      <c r="F45" s="78" t="s">
        <v>770</v>
      </c>
      <c r="I45" s="78">
        <v>41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</row>
    <row r="46" spans="1:60" x14ac:dyDescent="0.2">
      <c r="A46" s="224"/>
      <c r="B46" s="224">
        <v>45</v>
      </c>
      <c r="C46" s="224" t="s">
        <v>206</v>
      </c>
      <c r="D46" s="224">
        <v>-0.35521000000000003</v>
      </c>
      <c r="E46" s="224">
        <v>0.14606</v>
      </c>
      <c r="F46" s="78" t="s">
        <v>770</v>
      </c>
      <c r="I46" s="78">
        <v>42</v>
      </c>
      <c r="J46" s="78" t="s">
        <v>66</v>
      </c>
      <c r="K46" t="s">
        <v>911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</row>
    <row r="47" spans="1:60" x14ac:dyDescent="0.2">
      <c r="A47" s="224"/>
      <c r="B47" s="224">
        <v>46</v>
      </c>
      <c r="C47" s="224" t="s">
        <v>206</v>
      </c>
      <c r="D47" s="224">
        <v>0.63627999999999996</v>
      </c>
      <c r="E47" s="224">
        <v>0.11441999999999999</v>
      </c>
      <c r="F47" s="78" t="s">
        <v>770</v>
      </c>
      <c r="H47" s="78">
        <v>1</v>
      </c>
      <c r="I47" s="78">
        <v>43</v>
      </c>
      <c r="J47" s="78">
        <v>0.26596755211000001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</row>
    <row r="48" spans="1:60" x14ac:dyDescent="0.2">
      <c r="A48" s="224"/>
      <c r="B48" s="224">
        <v>47</v>
      </c>
      <c r="C48" s="224" t="s">
        <v>206</v>
      </c>
      <c r="D48" s="224">
        <v>-0.25045000000000001</v>
      </c>
      <c r="E48" s="224">
        <v>0.12992999999999999</v>
      </c>
      <c r="F48" s="78" t="s">
        <v>770</v>
      </c>
      <c r="I48" s="78">
        <v>44</v>
      </c>
      <c r="J48" s="78" t="s">
        <v>66</v>
      </c>
      <c r="K48" t="s">
        <v>382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</row>
    <row r="49" spans="1:60" x14ac:dyDescent="0.2">
      <c r="A49" s="224"/>
      <c r="B49" s="224">
        <v>48</v>
      </c>
      <c r="C49" s="224" t="s">
        <v>206</v>
      </c>
      <c r="D49" s="224">
        <v>-0.78049000000000002</v>
      </c>
      <c r="E49" s="224">
        <v>0.14618999999999999</v>
      </c>
      <c r="F49" s="78" t="s">
        <v>770</v>
      </c>
      <c r="H49" s="78">
        <f>COUNT(J49:BX49)</f>
        <v>50</v>
      </c>
      <c r="I49" s="78">
        <v>45</v>
      </c>
      <c r="K49">
        <v>-0.412148092084</v>
      </c>
      <c r="L49">
        <v>-0.57620407813700003</v>
      </c>
      <c r="M49">
        <v>-0.67756498771600004</v>
      </c>
      <c r="N49">
        <v>-0.161079876569</v>
      </c>
      <c r="O49">
        <v>-0.16429382780099999</v>
      </c>
      <c r="P49">
        <v>-0.210639101828</v>
      </c>
      <c r="Q49">
        <v>0.22332150728700001</v>
      </c>
      <c r="R49">
        <v>0.61418427952200005</v>
      </c>
      <c r="S49">
        <v>0.67375025415099998</v>
      </c>
      <c r="T49">
        <v>0.82240580051800005</v>
      </c>
      <c r="U49">
        <v>0.80897146220799998</v>
      </c>
      <c r="V49">
        <v>0.66088388862199998</v>
      </c>
      <c r="W49">
        <v>0.51535271152899997</v>
      </c>
      <c r="X49">
        <v>0.31528033223399998</v>
      </c>
      <c r="Y49">
        <v>0.34538727375900002</v>
      </c>
      <c r="Z49">
        <v>0.37899812997100002</v>
      </c>
      <c r="AA49">
        <v>0.33348157926299998</v>
      </c>
      <c r="AB49">
        <v>0.10584754544699999</v>
      </c>
      <c r="AC49">
        <v>-0.17325350405699999</v>
      </c>
      <c r="AD49">
        <v>-0.180284768358</v>
      </c>
      <c r="AE49">
        <v>-0.15315275567299999</v>
      </c>
      <c r="AF49">
        <v>-0.11778866585800001</v>
      </c>
      <c r="AG49">
        <v>-0.25633560112600001</v>
      </c>
      <c r="AH49">
        <v>-0.56571852702299996</v>
      </c>
      <c r="AI49">
        <v>-0.49914313743700001</v>
      </c>
      <c r="AJ49">
        <v>-0.451005859176</v>
      </c>
      <c r="AK49">
        <v>-0.13695230171100001</v>
      </c>
      <c r="AL49">
        <v>4.4981251058500002E-3</v>
      </c>
      <c r="AM49">
        <v>0.339073213624</v>
      </c>
      <c r="AN49">
        <v>-0.17774452862699999</v>
      </c>
      <c r="AO49">
        <v>-0.36097514939999997</v>
      </c>
      <c r="AP49">
        <v>-0.28448300179199998</v>
      </c>
      <c r="AQ49">
        <v>-3.7540919588899997E-2</v>
      </c>
      <c r="AR49">
        <v>-4.2493525725899997E-2</v>
      </c>
      <c r="AS49">
        <v>-0.14207387274700001</v>
      </c>
      <c r="AT49">
        <v>-0.51061645442500003</v>
      </c>
      <c r="AU49">
        <v>-0.36812597364499999</v>
      </c>
      <c r="AV49">
        <v>-0.21154299758600001</v>
      </c>
      <c r="AW49">
        <v>-6.99292196999E-2</v>
      </c>
      <c r="AX49">
        <v>-6.5469816773399997E-2</v>
      </c>
      <c r="AY49">
        <v>-0.12704431155400001</v>
      </c>
      <c r="AZ49">
        <v>-0.228771110778</v>
      </c>
      <c r="BA49">
        <v>-7.5066291225799999E-3</v>
      </c>
      <c r="BB49">
        <v>5.33487130287E-2</v>
      </c>
      <c r="BC49">
        <v>0.13643311309799999</v>
      </c>
      <c r="BD49" s="78">
        <v>0.13629289580199999</v>
      </c>
      <c r="BE49" s="78">
        <v>-4.5517388723300002E-2</v>
      </c>
      <c r="BF49" s="78">
        <v>0.330796492384</v>
      </c>
      <c r="BG49" s="78">
        <v>0.36347766454399999</v>
      </c>
      <c r="BH49" s="78">
        <v>0.25361500264499998</v>
      </c>
    </row>
    <row r="50" spans="1:60" x14ac:dyDescent="0.2">
      <c r="A50" s="224"/>
      <c r="B50" s="224">
        <v>49</v>
      </c>
      <c r="C50" s="224" t="s">
        <v>206</v>
      </c>
      <c r="D50" s="224">
        <v>-1.208</v>
      </c>
      <c r="E50" s="224">
        <v>0.15952</v>
      </c>
      <c r="F50" s="78" t="s">
        <v>770</v>
      </c>
      <c r="I50" s="78">
        <v>46</v>
      </c>
      <c r="J50" s="78" t="s">
        <v>66</v>
      </c>
      <c r="K50" t="s">
        <v>383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</row>
    <row r="51" spans="1:60" x14ac:dyDescent="0.2">
      <c r="A51" s="224"/>
      <c r="B51" s="224">
        <v>50</v>
      </c>
      <c r="C51" s="224" t="s">
        <v>206</v>
      </c>
      <c r="D51" s="224">
        <v>-0.58428999999999998</v>
      </c>
      <c r="E51" s="224">
        <v>0.14024</v>
      </c>
      <c r="F51" s="78" t="s">
        <v>770</v>
      </c>
      <c r="I51" s="78">
        <v>47</v>
      </c>
      <c r="J51" s="78">
        <v>0.67430351700000002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</row>
    <row r="52" spans="1:60" x14ac:dyDescent="0.2">
      <c r="A52" s="224"/>
      <c r="B52" s="224">
        <v>51</v>
      </c>
      <c r="C52" s="224" t="s">
        <v>206</v>
      </c>
      <c r="D52" s="224">
        <v>0.98934999999999995</v>
      </c>
      <c r="E52" s="224">
        <v>0.10514</v>
      </c>
      <c r="F52" s="78" t="s">
        <v>770</v>
      </c>
      <c r="I52" s="78">
        <v>48</v>
      </c>
      <c r="J52" s="78" t="s">
        <v>66</v>
      </c>
      <c r="K52" t="s">
        <v>384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</row>
    <row r="53" spans="1:60" x14ac:dyDescent="0.2">
      <c r="A53" s="224"/>
      <c r="B53" s="224">
        <v>52</v>
      </c>
      <c r="C53" s="224" t="s">
        <v>206</v>
      </c>
      <c r="D53" s="224">
        <v>0.31551000000000001</v>
      </c>
      <c r="E53" s="224">
        <v>0.11269</v>
      </c>
      <c r="F53" s="78" t="s">
        <v>770</v>
      </c>
      <c r="H53" s="78">
        <f t="shared" ref="H53:H101" si="0">COUNT(K53:BX53)</f>
        <v>10</v>
      </c>
      <c r="I53" s="78">
        <v>49</v>
      </c>
      <c r="K53">
        <v>-6.9688004456399999E-2</v>
      </c>
      <c r="L53">
        <v>2.5495802146199998E-3</v>
      </c>
      <c r="M53">
        <v>0.31545523214400001</v>
      </c>
      <c r="N53">
        <v>0.10759099200900001</v>
      </c>
      <c r="O53">
        <v>1.2551536413699999E-4</v>
      </c>
      <c r="P53">
        <v>-6.1238048177699997E-2</v>
      </c>
      <c r="Q53">
        <v>-7.76835866185E-2</v>
      </c>
      <c r="R53">
        <v>-7.55030435119E-2</v>
      </c>
      <c r="S53">
        <v>-7.1364320192799993E-2</v>
      </c>
      <c r="T53">
        <v>-7.0244312655400001E-2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</row>
    <row r="54" spans="1:60" x14ac:dyDescent="0.2">
      <c r="A54" s="224"/>
      <c r="B54" s="224">
        <v>53</v>
      </c>
      <c r="C54" s="224" t="s">
        <v>206</v>
      </c>
      <c r="D54" s="224">
        <v>0.16769999999999999</v>
      </c>
      <c r="E54" s="224">
        <v>0.11684</v>
      </c>
      <c r="F54" s="78" t="s">
        <v>770</v>
      </c>
      <c r="H54" s="78">
        <f t="shared" si="0"/>
        <v>10</v>
      </c>
      <c r="I54" s="78">
        <v>50</v>
      </c>
      <c r="K54">
        <v>1.37989316501E-2</v>
      </c>
      <c r="L54">
        <v>0.25390000576900001</v>
      </c>
      <c r="M54">
        <v>0.14770298506099999</v>
      </c>
      <c r="N54">
        <v>-7.6273867158899999E-2</v>
      </c>
      <c r="O54">
        <v>-6.0738266052500003E-2</v>
      </c>
      <c r="P54">
        <v>-6.5759282059400001E-2</v>
      </c>
      <c r="Q54">
        <v>-6.1473856682500001E-2</v>
      </c>
      <c r="R54">
        <v>-5.9455804363599998E-2</v>
      </c>
      <c r="S54">
        <v>-5.1134526550000003E-2</v>
      </c>
      <c r="T54">
        <v>-4.05663232456E-2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</row>
    <row r="55" spans="1:60" x14ac:dyDescent="0.2">
      <c r="A55" s="224"/>
      <c r="B55" s="224">
        <v>54</v>
      </c>
      <c r="C55" s="224" t="s">
        <v>206</v>
      </c>
      <c r="D55" s="224">
        <v>0.94088000000000005</v>
      </c>
      <c r="E55" s="224">
        <v>0.10648000000000001</v>
      </c>
      <c r="F55" s="78" t="s">
        <v>770</v>
      </c>
      <c r="H55" s="78">
        <f t="shared" si="0"/>
        <v>10</v>
      </c>
      <c r="I55" s="78">
        <v>51</v>
      </c>
      <c r="K55">
        <v>-2.3040452671700001E-2</v>
      </c>
      <c r="L55">
        <v>0.15804470080499999</v>
      </c>
      <c r="M55">
        <v>0.51946199585200004</v>
      </c>
      <c r="N55">
        <v>-0.20678345497699999</v>
      </c>
      <c r="O55">
        <v>-0.169101126667</v>
      </c>
      <c r="P55">
        <v>-0.13029083318199999</v>
      </c>
      <c r="Q55">
        <v>-8.4645271902899999E-2</v>
      </c>
      <c r="R55">
        <v>-4.7483461807700002E-2</v>
      </c>
      <c r="S55">
        <v>-2.1188985325499999E-2</v>
      </c>
      <c r="T55">
        <v>5.0269200331499999E-3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</row>
    <row r="56" spans="1:60" x14ac:dyDescent="0.2">
      <c r="A56" s="224"/>
      <c r="B56" s="224">
        <v>55</v>
      </c>
      <c r="C56" s="224" t="s">
        <v>206</v>
      </c>
      <c r="D56" s="224">
        <v>-0.2306</v>
      </c>
      <c r="E56" s="224">
        <v>0.12212000000000001</v>
      </c>
      <c r="F56" s="78" t="s">
        <v>770</v>
      </c>
      <c r="H56" s="78">
        <f t="shared" si="0"/>
        <v>10</v>
      </c>
      <c r="I56" s="78">
        <v>52</v>
      </c>
      <c r="K56">
        <v>7.5008477091999995E-2</v>
      </c>
      <c r="L56">
        <v>0.10839833644000001</v>
      </c>
      <c r="M56">
        <v>-0.24143981444099999</v>
      </c>
      <c r="N56">
        <v>0.100141367005</v>
      </c>
      <c r="O56">
        <v>4.4435113663099997E-2</v>
      </c>
      <c r="P56">
        <v>1.46818307705E-2</v>
      </c>
      <c r="Q56">
        <v>-8.6147707446500004E-3</v>
      </c>
      <c r="R56">
        <v>-2.2772183290200001E-2</v>
      </c>
      <c r="S56">
        <v>-2.8649966130699998E-2</v>
      </c>
      <c r="T56">
        <v>-4.11883914768E-2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 spans="1:60" x14ac:dyDescent="0.2">
      <c r="A57" s="224"/>
      <c r="B57" s="224">
        <v>56</v>
      </c>
      <c r="C57" s="224" t="s">
        <v>206</v>
      </c>
      <c r="D57" s="224">
        <v>-0.54273000000000005</v>
      </c>
      <c r="E57" s="224">
        <v>0.12529999999999999</v>
      </c>
      <c r="F57" s="78" t="s">
        <v>770</v>
      </c>
      <c r="H57" s="78">
        <f t="shared" si="0"/>
        <v>10</v>
      </c>
      <c r="I57" s="78">
        <v>53</v>
      </c>
      <c r="K57">
        <v>3.1687978840700001E-2</v>
      </c>
      <c r="L57">
        <v>6.2593741408199996E-2</v>
      </c>
      <c r="M57">
        <v>0.37670183621300002</v>
      </c>
      <c r="N57">
        <v>-0.130249855144</v>
      </c>
      <c r="O57">
        <v>-0.11815843203699999</v>
      </c>
      <c r="P57">
        <v>-0.104607399994</v>
      </c>
      <c r="Q57">
        <v>-7.8809159983999996E-2</v>
      </c>
      <c r="R57">
        <v>-5.4991903114700001E-2</v>
      </c>
      <c r="S57">
        <v>-3.5705863685500001E-2</v>
      </c>
      <c r="T57">
        <v>5.1539066846000001E-2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 spans="1:60" x14ac:dyDescent="0.2">
      <c r="A58" s="224"/>
      <c r="B58" s="224">
        <v>57</v>
      </c>
      <c r="C58" s="224" t="s">
        <v>206</v>
      </c>
      <c r="D58" s="224">
        <v>0.21945000000000001</v>
      </c>
      <c r="E58" s="224">
        <v>0.10961</v>
      </c>
      <c r="F58" s="78" t="s">
        <v>770</v>
      </c>
      <c r="H58" s="78">
        <f t="shared" si="0"/>
        <v>10</v>
      </c>
      <c r="I58" s="78">
        <v>54</v>
      </c>
      <c r="K58">
        <v>2.21098713774E-2</v>
      </c>
      <c r="L58">
        <v>0.40042705243999999</v>
      </c>
      <c r="M58">
        <v>3.1205417732000001E-2</v>
      </c>
      <c r="N58">
        <v>-0.25647004091800002</v>
      </c>
      <c r="O58">
        <v>-0.231604995466</v>
      </c>
      <c r="P58">
        <v>-0.21259367448499999</v>
      </c>
      <c r="Q58">
        <v>-4.5226966767100002E-2</v>
      </c>
      <c r="R58">
        <v>-3.9659872470099999E-2</v>
      </c>
      <c r="S58">
        <v>-3.59686676348E-2</v>
      </c>
      <c r="T58">
        <v>0.36778185145199999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 spans="1:60" x14ac:dyDescent="0.2">
      <c r="A59" s="224"/>
      <c r="B59" s="224">
        <v>58</v>
      </c>
      <c r="C59" s="224" t="s">
        <v>206</v>
      </c>
      <c r="D59" s="224">
        <v>0.52424000000000004</v>
      </c>
      <c r="E59" s="224">
        <v>0.10643</v>
      </c>
      <c r="F59" s="78" t="s">
        <v>770</v>
      </c>
      <c r="H59" s="78">
        <f t="shared" si="0"/>
        <v>10</v>
      </c>
      <c r="I59" s="78">
        <v>55</v>
      </c>
      <c r="K59">
        <v>-4.4245801598700001E-2</v>
      </c>
      <c r="L59">
        <v>-0.17744996309</v>
      </c>
      <c r="M59">
        <v>-0.142886625239</v>
      </c>
      <c r="N59">
        <v>1.01950901728E-2</v>
      </c>
      <c r="O59">
        <v>0.13349872054299999</v>
      </c>
      <c r="P59">
        <v>0.12959228884400001</v>
      </c>
      <c r="Q59">
        <v>-3.7208674711199999E-2</v>
      </c>
      <c r="R59">
        <v>-2.6570886743E-2</v>
      </c>
      <c r="S59">
        <v>-1.6216638617400001E-2</v>
      </c>
      <c r="T59">
        <v>0.171292495308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 spans="1:60" x14ac:dyDescent="0.2">
      <c r="A60" s="224"/>
      <c r="B60" s="224">
        <v>59</v>
      </c>
      <c r="C60" s="224" t="s">
        <v>206</v>
      </c>
      <c r="D60" s="224">
        <v>-0.16844999999999999</v>
      </c>
      <c r="E60" s="224">
        <v>0.1144</v>
      </c>
      <c r="F60" s="78" t="s">
        <v>770</v>
      </c>
      <c r="H60" s="78">
        <f t="shared" si="0"/>
        <v>10</v>
      </c>
      <c r="I60" s="78">
        <v>56</v>
      </c>
      <c r="K60">
        <v>-8.0655372108299997E-2</v>
      </c>
      <c r="L60">
        <v>0.38305732693400002</v>
      </c>
      <c r="M60">
        <v>0.137175038074</v>
      </c>
      <c r="N60">
        <v>4.07966028811E-2</v>
      </c>
      <c r="O60">
        <v>-7.7222294458899998E-2</v>
      </c>
      <c r="P60">
        <v>-6.0479777764299997E-2</v>
      </c>
      <c r="Q60">
        <v>-5.2698146054099997E-2</v>
      </c>
      <c r="R60">
        <v>-6.5387958758599998E-2</v>
      </c>
      <c r="S60">
        <v>-1.0762754610400001E-2</v>
      </c>
      <c r="T60">
        <v>-0.213822591339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 spans="1:60" x14ac:dyDescent="0.2">
      <c r="A61" s="224"/>
      <c r="B61" s="224">
        <v>60</v>
      </c>
      <c r="C61" s="224" t="s">
        <v>206</v>
      </c>
      <c r="D61" s="224">
        <v>-7.8586000000000003E-2</v>
      </c>
      <c r="E61" s="224">
        <v>0.11284</v>
      </c>
      <c r="F61" s="78" t="s">
        <v>770</v>
      </c>
      <c r="H61" s="78">
        <f t="shared" si="0"/>
        <v>10</v>
      </c>
      <c r="I61" s="78">
        <v>57</v>
      </c>
      <c r="K61">
        <v>-0.106035809391</v>
      </c>
      <c r="L61">
        <v>1.5279687205600001E-2</v>
      </c>
      <c r="M61">
        <v>-7.25875945967E-2</v>
      </c>
      <c r="N61">
        <v>5.6764342103700002E-2</v>
      </c>
      <c r="O61">
        <v>6.7116287107800002E-2</v>
      </c>
      <c r="P61">
        <v>7.5525016232000003E-2</v>
      </c>
      <c r="Q61">
        <v>6.7218476880800002E-2</v>
      </c>
      <c r="R61">
        <v>6.64648214524E-2</v>
      </c>
      <c r="S61">
        <v>7.9699296431599998E-3</v>
      </c>
      <c r="T61">
        <v>-0.17771515454699999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 spans="1:60" x14ac:dyDescent="0.2">
      <c r="A62" s="224"/>
      <c r="B62" s="224">
        <v>61</v>
      </c>
      <c r="C62" s="224" t="s">
        <v>206</v>
      </c>
      <c r="D62" s="224">
        <v>0.34971000000000002</v>
      </c>
      <c r="E62" s="224">
        <v>0.10749</v>
      </c>
      <c r="F62" s="78" t="s">
        <v>770</v>
      </c>
      <c r="H62" s="78">
        <f t="shared" si="0"/>
        <v>10</v>
      </c>
      <c r="I62" s="78">
        <v>58</v>
      </c>
      <c r="K62">
        <v>-6.4397314491800001E-2</v>
      </c>
      <c r="L62">
        <v>0.24384757604099999</v>
      </c>
      <c r="M62">
        <v>0.15859851076100001</v>
      </c>
      <c r="N62">
        <v>-1.5689517879300001E-2</v>
      </c>
      <c r="O62">
        <v>-2.3435160445299998E-2</v>
      </c>
      <c r="P62">
        <v>-2.9437082290299999E-2</v>
      </c>
      <c r="Q62">
        <v>-2.33944684847E-2</v>
      </c>
      <c r="R62">
        <v>-8.2874257332100007E-3</v>
      </c>
      <c r="S62">
        <v>-7.4168571587300003E-3</v>
      </c>
      <c r="T62">
        <v>-0.230388272339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 spans="1:60" x14ac:dyDescent="0.2">
      <c r="A63" s="224"/>
      <c r="B63" s="224">
        <v>62</v>
      </c>
      <c r="C63" s="224" t="s">
        <v>206</v>
      </c>
      <c r="D63" s="224">
        <v>0.65493999999999997</v>
      </c>
      <c r="E63" s="224">
        <v>0.10432</v>
      </c>
      <c r="F63" s="78" t="s">
        <v>770</v>
      </c>
      <c r="H63" s="78">
        <f t="shared" si="0"/>
        <v>10</v>
      </c>
      <c r="I63" s="78">
        <v>59</v>
      </c>
      <c r="K63">
        <v>-9.1488088466699993E-2</v>
      </c>
      <c r="L63">
        <v>-0.52743870571999996</v>
      </c>
      <c r="M63">
        <v>0.161319933434</v>
      </c>
      <c r="N63">
        <v>9.8772955063199996E-2</v>
      </c>
      <c r="O63">
        <v>6.6941230577800007E-2</v>
      </c>
      <c r="P63">
        <v>5.7559780313799998E-2</v>
      </c>
      <c r="Q63">
        <v>4.9078759372100003E-2</v>
      </c>
      <c r="R63">
        <v>3.4606379945600001E-2</v>
      </c>
      <c r="S63">
        <v>2.86117472819E-2</v>
      </c>
      <c r="T63">
        <v>0.122036008047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 spans="1:60" x14ac:dyDescent="0.2">
      <c r="A64" s="224"/>
      <c r="B64" s="224">
        <v>63</v>
      </c>
      <c r="C64" s="224" t="s">
        <v>206</v>
      </c>
      <c r="D64" s="224">
        <v>0.21765000000000001</v>
      </c>
      <c r="E64" s="224">
        <v>0.10718</v>
      </c>
      <c r="F64" s="78" t="s">
        <v>770</v>
      </c>
      <c r="H64" s="78">
        <f t="shared" si="0"/>
        <v>10</v>
      </c>
      <c r="I64" s="78">
        <v>60</v>
      </c>
      <c r="K64">
        <v>-8.6797767317700003E-2</v>
      </c>
      <c r="L64">
        <v>-3.2849901180800001E-2</v>
      </c>
      <c r="M64">
        <v>-0.20436855096100001</v>
      </c>
      <c r="N64">
        <v>8.2344064596300004E-2</v>
      </c>
      <c r="O64">
        <v>7.5123299643300001E-2</v>
      </c>
      <c r="P64">
        <v>6.6369335228499998E-2</v>
      </c>
      <c r="Q64">
        <v>5.7476414758E-2</v>
      </c>
      <c r="R64">
        <v>5.0073848528299998E-2</v>
      </c>
      <c r="S64">
        <v>4.51613608675E-2</v>
      </c>
      <c r="T64">
        <v>-5.2532104967899999E-2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 spans="1:55" x14ac:dyDescent="0.2">
      <c r="A65" s="224"/>
      <c r="B65" s="224">
        <v>64</v>
      </c>
      <c r="C65" s="224" t="s">
        <v>206</v>
      </c>
      <c r="D65" s="224">
        <v>-0.29236000000000001</v>
      </c>
      <c r="E65" s="224">
        <v>0.11124000000000001</v>
      </c>
      <c r="F65" s="78" t="s">
        <v>770</v>
      </c>
      <c r="H65" s="78">
        <f t="shared" si="0"/>
        <v>10</v>
      </c>
      <c r="I65" s="78">
        <v>61</v>
      </c>
      <c r="K65">
        <v>-3.4243116070200003E-2</v>
      </c>
      <c r="L65">
        <v>0.32377490809800002</v>
      </c>
      <c r="M65">
        <v>-0.12911926882300001</v>
      </c>
      <c r="N65">
        <v>-0.11696083557500001</v>
      </c>
      <c r="O65">
        <v>-1.2463759044099999E-2</v>
      </c>
      <c r="P65">
        <v>-2.14648485994E-3</v>
      </c>
      <c r="Q65">
        <v>4.6875669923700002E-3</v>
      </c>
      <c r="R65">
        <v>6.4820336432800003E-3</v>
      </c>
      <c r="S65">
        <v>4.6456143374600002E-3</v>
      </c>
      <c r="T65">
        <v>-4.4656654201199998E-2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 spans="1:55" x14ac:dyDescent="0.2">
      <c r="A66" s="224"/>
      <c r="B66" s="224">
        <v>65</v>
      </c>
      <c r="C66" s="224" t="s">
        <v>206</v>
      </c>
      <c r="D66" s="224">
        <v>-1.0960000000000001</v>
      </c>
      <c r="E66" s="224">
        <v>0.12536</v>
      </c>
      <c r="F66" s="78" t="s">
        <v>770</v>
      </c>
      <c r="H66" s="78">
        <f t="shared" si="0"/>
        <v>10</v>
      </c>
      <c r="I66" s="78">
        <v>62</v>
      </c>
      <c r="K66">
        <v>-6.210480845E-2</v>
      </c>
      <c r="L66">
        <v>-0.103745580032</v>
      </c>
      <c r="M66">
        <v>7.5473777697300001E-2</v>
      </c>
      <c r="N66">
        <v>2.9218880366099998E-3</v>
      </c>
      <c r="O66">
        <v>-2.4871034171499998E-2</v>
      </c>
      <c r="P66">
        <v>-3.1651659291099997E-2</v>
      </c>
      <c r="Q66">
        <v>2.02082383426E-2</v>
      </c>
      <c r="R66">
        <v>3.9455711541100003E-2</v>
      </c>
      <c r="S66">
        <v>4.2684913277199997E-2</v>
      </c>
      <c r="T66">
        <v>4.1628553085100002E-2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 spans="1:55" x14ac:dyDescent="0.2">
      <c r="A67" s="224"/>
      <c r="B67" s="224">
        <v>66</v>
      </c>
      <c r="C67" s="224" t="s">
        <v>206</v>
      </c>
      <c r="D67" s="224">
        <v>-1.4814000000000001</v>
      </c>
      <c r="E67" s="224">
        <v>0.13733999999999999</v>
      </c>
      <c r="F67" s="78" t="s">
        <v>770</v>
      </c>
      <c r="H67" s="78">
        <f t="shared" si="0"/>
        <v>10</v>
      </c>
      <c r="I67" s="78">
        <v>63</v>
      </c>
      <c r="K67">
        <v>-6.3251660772499996E-2</v>
      </c>
      <c r="L67">
        <v>-0.49693729410999998</v>
      </c>
      <c r="M67">
        <v>-0.10865161618999999</v>
      </c>
      <c r="N67">
        <v>-7.12285279094E-2</v>
      </c>
      <c r="O67">
        <v>0.13815258390999999</v>
      </c>
      <c r="P67">
        <v>0.157773520089</v>
      </c>
      <c r="Q67">
        <v>9.2355913879600002E-2</v>
      </c>
      <c r="R67">
        <v>0.117033061595</v>
      </c>
      <c r="S67">
        <v>0.11741636664299999</v>
      </c>
      <c r="T67">
        <v>0.117337653986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 spans="1:55" x14ac:dyDescent="0.2">
      <c r="A68" s="224"/>
      <c r="B68" s="224">
        <v>67</v>
      </c>
      <c r="C68" s="224" t="s">
        <v>206</v>
      </c>
      <c r="D68" s="224">
        <v>-0.56013000000000002</v>
      </c>
      <c r="E68" s="224">
        <v>0.11853</v>
      </c>
      <c r="F68" s="78" t="s">
        <v>770</v>
      </c>
      <c r="H68" s="78">
        <f t="shared" si="0"/>
        <v>10</v>
      </c>
      <c r="I68" s="78">
        <v>64</v>
      </c>
      <c r="K68">
        <v>-0.283376768467</v>
      </c>
      <c r="L68">
        <v>-0.70850223728100004</v>
      </c>
      <c r="M68">
        <v>-0.33043381320300003</v>
      </c>
      <c r="N68">
        <v>0.20702272875</v>
      </c>
      <c r="O68">
        <v>0.153792525929</v>
      </c>
      <c r="P68">
        <v>0.222029516131</v>
      </c>
      <c r="Q68">
        <v>0.222617063994</v>
      </c>
      <c r="R68">
        <v>0.17291910961400001</v>
      </c>
      <c r="S68">
        <v>0.17010329199300001</v>
      </c>
      <c r="T68">
        <v>0.17382856350100001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 spans="1:55" x14ac:dyDescent="0.2">
      <c r="A69" s="224"/>
      <c r="B69" s="224">
        <v>68</v>
      </c>
      <c r="C69" s="224" t="s">
        <v>206</v>
      </c>
      <c r="D69" s="224">
        <v>0.29258000000000001</v>
      </c>
      <c r="E69" s="224">
        <v>0.11638999999999999</v>
      </c>
      <c r="F69" s="78" t="s">
        <v>770</v>
      </c>
      <c r="H69" s="78">
        <f t="shared" si="0"/>
        <v>10</v>
      </c>
      <c r="I69" s="78">
        <v>65</v>
      </c>
      <c r="K69">
        <v>-0.230171150687</v>
      </c>
      <c r="L69">
        <v>-0.40636207657899998</v>
      </c>
      <c r="M69">
        <v>-0.31110664186699999</v>
      </c>
      <c r="N69">
        <v>-5.3343416712300001E-2</v>
      </c>
      <c r="O69">
        <v>0.19481517876400001</v>
      </c>
      <c r="P69">
        <v>0.122903290192</v>
      </c>
      <c r="Q69">
        <v>0.135900823261</v>
      </c>
      <c r="R69">
        <v>0.145207629876</v>
      </c>
      <c r="S69">
        <v>0.149480768111</v>
      </c>
      <c r="T69">
        <v>0.25267561285000001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 spans="1:55" x14ac:dyDescent="0.2">
      <c r="A70" s="224"/>
      <c r="B70" s="224">
        <v>69</v>
      </c>
      <c r="C70" s="224" t="s">
        <v>206</v>
      </c>
      <c r="D70" s="224">
        <v>-0.73736000000000002</v>
      </c>
      <c r="E70" s="224">
        <v>0.16191</v>
      </c>
      <c r="F70" s="78" t="s">
        <v>770</v>
      </c>
      <c r="H70" s="78">
        <f t="shared" si="0"/>
        <v>10</v>
      </c>
      <c r="I70" s="78">
        <v>66</v>
      </c>
      <c r="K70">
        <v>-0.120734755964</v>
      </c>
      <c r="L70">
        <v>-0.27634864974399997</v>
      </c>
      <c r="M70">
        <v>-0.39442127706500002</v>
      </c>
      <c r="N70">
        <v>-5.2120772094700001E-2</v>
      </c>
      <c r="O70">
        <v>3.11081158392E-2</v>
      </c>
      <c r="P70">
        <v>0.100221348695</v>
      </c>
      <c r="Q70">
        <v>0.100963016271</v>
      </c>
      <c r="R70">
        <v>0.14203425797300001</v>
      </c>
      <c r="S70">
        <v>0.16255989085799999</v>
      </c>
      <c r="T70">
        <v>0.30673881451399998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 spans="1:55" x14ac:dyDescent="0.2">
      <c r="A71" s="224"/>
      <c r="B71" s="224">
        <v>70</v>
      </c>
      <c r="C71" s="224" t="s">
        <v>206</v>
      </c>
      <c r="D71" s="224">
        <v>0.92686999999999997</v>
      </c>
      <c r="E71" s="224">
        <v>0.15057999999999999</v>
      </c>
      <c r="F71" s="78" t="s">
        <v>770</v>
      </c>
      <c r="H71" s="78">
        <f t="shared" si="0"/>
        <v>10</v>
      </c>
      <c r="I71" s="78">
        <v>67</v>
      </c>
      <c r="K71">
        <v>-0.12697565925400001</v>
      </c>
      <c r="L71">
        <v>0.13464143314499999</v>
      </c>
      <c r="M71">
        <v>-4.3252354050899999E-2</v>
      </c>
      <c r="N71">
        <v>-0.16350546341800001</v>
      </c>
      <c r="O71">
        <v>-0.22858893606200001</v>
      </c>
      <c r="P71">
        <v>3.0989865910100001E-2</v>
      </c>
      <c r="Q71">
        <v>3.5945163652799997E-2</v>
      </c>
      <c r="R71">
        <v>3.3194863202500001E-2</v>
      </c>
      <c r="S71">
        <v>0.106120451702</v>
      </c>
      <c r="T71">
        <v>0.221430611374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</row>
    <row r="72" spans="1:55" x14ac:dyDescent="0.2">
      <c r="A72" s="224"/>
      <c r="B72" s="224">
        <v>71</v>
      </c>
      <c r="C72" s="224" t="s">
        <v>206</v>
      </c>
      <c r="D72" s="224">
        <v>0.10278</v>
      </c>
      <c r="E72" s="224">
        <v>0.20587</v>
      </c>
      <c r="F72" s="78" t="s">
        <v>770</v>
      </c>
      <c r="H72" s="78">
        <f t="shared" si="0"/>
        <v>10</v>
      </c>
      <c r="I72" s="78">
        <v>68</v>
      </c>
      <c r="K72">
        <v>-0.11599071798799999</v>
      </c>
      <c r="L72">
        <v>-0.16451764761400001</v>
      </c>
      <c r="M72">
        <v>3.0654943429499999E-2</v>
      </c>
      <c r="N72">
        <v>-3.3631585140400003E-2</v>
      </c>
      <c r="O72">
        <v>0.22283347369100001</v>
      </c>
      <c r="P72">
        <v>-0.129575709255</v>
      </c>
      <c r="Q72">
        <v>1.55077537533E-2</v>
      </c>
      <c r="R72">
        <v>2.9097864716999999E-2</v>
      </c>
      <c r="S72">
        <v>4.3376374372800001E-2</v>
      </c>
      <c r="T72">
        <v>0.102245243714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</row>
    <row r="73" spans="1:55" x14ac:dyDescent="0.2">
      <c r="A73" s="224"/>
      <c r="B73" s="224">
        <v>72</v>
      </c>
      <c r="C73" s="224" t="s">
        <v>206</v>
      </c>
      <c r="D73" s="224">
        <v>4.8044999999999997E-2</v>
      </c>
      <c r="E73" s="224">
        <v>0.15737000000000001</v>
      </c>
      <c r="F73" s="78" t="s">
        <v>770</v>
      </c>
      <c r="H73" s="78">
        <f t="shared" si="0"/>
        <v>10</v>
      </c>
      <c r="I73" s="78">
        <v>69</v>
      </c>
      <c r="K73">
        <v>-0.117358376761</v>
      </c>
      <c r="L73">
        <v>0.29874876410700002</v>
      </c>
      <c r="M73">
        <v>0.15062076449100001</v>
      </c>
      <c r="N73">
        <v>-0.30169847948400003</v>
      </c>
      <c r="O73">
        <v>-0.32054348026899998</v>
      </c>
      <c r="P73">
        <v>0.19241354077600001</v>
      </c>
      <c r="Q73">
        <v>-2.4558409147000001E-3</v>
      </c>
      <c r="R73">
        <v>3.8944638680800003E-2</v>
      </c>
      <c r="S73">
        <v>1.81132728001E-2</v>
      </c>
      <c r="T73">
        <v>4.3215187568800002E-2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</row>
    <row r="74" spans="1:55" x14ac:dyDescent="0.2">
      <c r="A74" s="224"/>
      <c r="B74" s="224">
        <v>73</v>
      </c>
      <c r="C74" s="224" t="s">
        <v>206</v>
      </c>
      <c r="D74" s="224">
        <v>-3.6699000000000002E-2</v>
      </c>
      <c r="E74" s="224">
        <v>0.18611</v>
      </c>
      <c r="F74" s="78" t="s">
        <v>770</v>
      </c>
      <c r="H74" s="78">
        <f t="shared" si="0"/>
        <v>10</v>
      </c>
      <c r="I74" s="78">
        <v>70</v>
      </c>
      <c r="K74">
        <v>-0.11328084445100001</v>
      </c>
      <c r="L74">
        <v>0.13107594278099999</v>
      </c>
      <c r="M74">
        <v>-3.6576756663600003E-2</v>
      </c>
      <c r="N74">
        <v>0.30723623489899998</v>
      </c>
      <c r="O74">
        <v>-4.6711958797900001E-2</v>
      </c>
      <c r="P74">
        <v>-2.2099630012599999E-2</v>
      </c>
      <c r="Q74">
        <v>4.57658924006E-2</v>
      </c>
      <c r="R74">
        <v>-0.14831377650899999</v>
      </c>
      <c r="S74">
        <v>-2.06558639674E-2</v>
      </c>
      <c r="T74">
        <v>-9.6439234546200001E-2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</row>
    <row r="75" spans="1:55" x14ac:dyDescent="0.2">
      <c r="A75" s="224"/>
      <c r="B75" s="224">
        <v>74</v>
      </c>
      <c r="C75" s="224" t="s">
        <v>206</v>
      </c>
      <c r="D75" s="224">
        <v>-2.6611999999999999E-3</v>
      </c>
      <c r="E75" s="224">
        <v>0.19456000000000001</v>
      </c>
      <c r="F75" s="78" t="s">
        <v>770</v>
      </c>
      <c r="H75" s="78">
        <f t="shared" si="0"/>
        <v>10</v>
      </c>
      <c r="I75" s="78">
        <v>71</v>
      </c>
      <c r="K75">
        <v>-0.116457466703</v>
      </c>
      <c r="L75">
        <v>-3.39052106534E-3</v>
      </c>
      <c r="M75">
        <v>-3.0864442981500002E-2</v>
      </c>
      <c r="N75">
        <v>-0.21911611674000001</v>
      </c>
      <c r="O75">
        <v>-2.6626151597199998E-2</v>
      </c>
      <c r="P75">
        <v>-9.1478484788200004E-2</v>
      </c>
      <c r="Q75">
        <v>-0.11261318970299999</v>
      </c>
      <c r="R75">
        <v>0.398714336542</v>
      </c>
      <c r="S75">
        <v>0.18141503997799999</v>
      </c>
      <c r="T75">
        <v>2.0417000225900001E-2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</row>
    <row r="76" spans="1:55" x14ac:dyDescent="0.2">
      <c r="A76" s="224"/>
      <c r="B76" s="224">
        <v>75</v>
      </c>
      <c r="C76" s="224" t="s">
        <v>857</v>
      </c>
      <c r="D76" s="224">
        <v>0.26596999999999998</v>
      </c>
      <c r="E76" s="224">
        <v>0.14752000000000001</v>
      </c>
      <c r="F76" s="78" t="s">
        <v>951</v>
      </c>
      <c r="H76" s="78">
        <f t="shared" si="0"/>
        <v>10</v>
      </c>
      <c r="I76" s="78">
        <v>72</v>
      </c>
      <c r="K76">
        <v>-0.116648437897</v>
      </c>
      <c r="L76">
        <v>-4.81215386345E-2</v>
      </c>
      <c r="M76">
        <v>1.0184075325099999</v>
      </c>
      <c r="N76">
        <v>0.12781615360199999</v>
      </c>
      <c r="O76">
        <v>0.23921931476700001</v>
      </c>
      <c r="P76">
        <v>-0.199084966995</v>
      </c>
      <c r="Q76">
        <v>0.151115174647</v>
      </c>
      <c r="R76">
        <v>-0.32376857702799999</v>
      </c>
      <c r="S76">
        <v>-0.305394020893</v>
      </c>
      <c r="T76">
        <v>-0.54354067262799999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</row>
    <row r="77" spans="1:55" x14ac:dyDescent="0.2">
      <c r="A77" s="224"/>
      <c r="B77" s="224">
        <v>76</v>
      </c>
      <c r="C77" s="224" t="s">
        <v>185</v>
      </c>
      <c r="D77" s="224">
        <v>-0.41215000000000002</v>
      </c>
      <c r="E77" s="224">
        <v>0.29687000000000002</v>
      </c>
      <c r="F77" s="78" t="s">
        <v>148</v>
      </c>
      <c r="H77" s="78">
        <f t="shared" si="0"/>
        <v>10</v>
      </c>
      <c r="I77" s="78">
        <v>73</v>
      </c>
      <c r="K77">
        <v>-0.11707218122</v>
      </c>
      <c r="L77">
        <v>1.6331908128199998E-2</v>
      </c>
      <c r="M77">
        <v>-0.63371560282999995</v>
      </c>
      <c r="N77">
        <v>0.198540925561</v>
      </c>
      <c r="O77">
        <v>-0.118965070677</v>
      </c>
      <c r="P77">
        <v>0.17774315889200001</v>
      </c>
      <c r="Q77">
        <v>0.13533847282100001</v>
      </c>
      <c r="R77">
        <v>0.15507690650399999</v>
      </c>
      <c r="S77">
        <v>8.0729998554099999E-2</v>
      </c>
      <c r="T77">
        <v>0.105991480336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</row>
    <row r="78" spans="1:55" x14ac:dyDescent="0.2">
      <c r="A78" s="224"/>
      <c r="B78" s="224">
        <v>77</v>
      </c>
      <c r="C78" s="224" t="s">
        <v>185</v>
      </c>
      <c r="D78" s="224">
        <v>-0.57620000000000005</v>
      </c>
      <c r="E78" s="224">
        <v>0.21676999999999999</v>
      </c>
      <c r="F78" s="78" t="s">
        <v>148</v>
      </c>
      <c r="H78" s="78">
        <f t="shared" si="0"/>
        <v>10</v>
      </c>
      <c r="I78" s="78">
        <v>74</v>
      </c>
      <c r="K78">
        <v>-0.116422501076</v>
      </c>
      <c r="L78">
        <v>7.9140517768300001E-2</v>
      </c>
      <c r="M78">
        <v>-0.25024006762000001</v>
      </c>
      <c r="N78">
        <v>0.30174017251099999</v>
      </c>
      <c r="O78">
        <v>0.282949138165</v>
      </c>
      <c r="P78">
        <v>6.5832859570100002E-2</v>
      </c>
      <c r="Q78">
        <v>-0.13723116775499999</v>
      </c>
      <c r="R78">
        <v>-5.42934917039E-2</v>
      </c>
      <c r="S78">
        <v>-4.5478361243899999E-2</v>
      </c>
      <c r="T78">
        <v>-0.12599708473499999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</row>
    <row r="79" spans="1:55" x14ac:dyDescent="0.2">
      <c r="A79" s="224"/>
      <c r="B79" s="224">
        <v>78</v>
      </c>
      <c r="C79" s="224" t="s">
        <v>185</v>
      </c>
      <c r="D79" s="224">
        <v>-0.67756000000000005</v>
      </c>
      <c r="E79" s="224">
        <v>0.20585000000000001</v>
      </c>
      <c r="F79" s="78" t="s">
        <v>148</v>
      </c>
      <c r="H79" s="78">
        <f t="shared" si="0"/>
        <v>10</v>
      </c>
      <c r="I79" s="78">
        <v>75</v>
      </c>
      <c r="K79">
        <v>-0.103453886782</v>
      </c>
      <c r="L79">
        <v>-2.0019812059999999E-2</v>
      </c>
      <c r="M79">
        <v>-0.44411256159000001</v>
      </c>
      <c r="N79">
        <v>-0.30492785417000001</v>
      </c>
      <c r="O79">
        <v>-5.26226343815E-2</v>
      </c>
      <c r="P79">
        <v>4.5203450458199998E-2</v>
      </c>
      <c r="Q79">
        <v>0.25665872745399998</v>
      </c>
      <c r="R79">
        <v>4.8221139024E-2</v>
      </c>
      <c r="S79">
        <v>0.27062893771500002</v>
      </c>
      <c r="T79">
        <v>0.304424501312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</row>
    <row r="80" spans="1:55" x14ac:dyDescent="0.2">
      <c r="A80" s="224"/>
      <c r="B80" s="224">
        <v>79</v>
      </c>
      <c r="C80" s="224" t="s">
        <v>185</v>
      </c>
      <c r="D80" s="224">
        <v>-0.16108</v>
      </c>
      <c r="E80" s="224">
        <v>0.20235</v>
      </c>
      <c r="F80" s="78" t="s">
        <v>148</v>
      </c>
      <c r="H80" s="78">
        <f t="shared" si="0"/>
        <v>10</v>
      </c>
      <c r="I80" s="78">
        <v>76</v>
      </c>
      <c r="K80">
        <v>-9.7394004674599993E-2</v>
      </c>
      <c r="L80">
        <v>-4.9739126053200002E-2</v>
      </c>
      <c r="M80">
        <v>0.63034268275299998</v>
      </c>
      <c r="N80">
        <v>-0.40608857439000001</v>
      </c>
      <c r="O80">
        <v>-0.42130596271199999</v>
      </c>
      <c r="P80">
        <v>-5.4688097730699999E-2</v>
      </c>
      <c r="Q80">
        <v>-0.10323413259100001</v>
      </c>
      <c r="R80">
        <v>0.22934112539900001</v>
      </c>
      <c r="S80">
        <v>0.115214654902</v>
      </c>
      <c r="T80">
        <v>0.15755144054299999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</row>
    <row r="81" spans="1:55" x14ac:dyDescent="0.2">
      <c r="A81" s="224"/>
      <c r="B81" s="224">
        <v>80</v>
      </c>
      <c r="C81" s="224" t="s">
        <v>185</v>
      </c>
      <c r="D81" s="224">
        <v>-0.16428999999999999</v>
      </c>
      <c r="E81" s="224">
        <v>0.19464000000000001</v>
      </c>
      <c r="F81" s="78" t="s">
        <v>148</v>
      </c>
      <c r="H81" s="78">
        <f t="shared" si="0"/>
        <v>10</v>
      </c>
      <c r="I81" s="78">
        <v>77</v>
      </c>
      <c r="K81">
        <v>-7.8566824535499999E-2</v>
      </c>
      <c r="L81">
        <v>-0.86943006403699996</v>
      </c>
      <c r="M81">
        <v>6.9279161826899999E-2</v>
      </c>
      <c r="N81">
        <v>0.88582075603800003</v>
      </c>
      <c r="O81">
        <v>0.133812346581</v>
      </c>
      <c r="P81">
        <v>7.3018870154899995E-2</v>
      </c>
      <c r="Q81">
        <v>0.105868172582</v>
      </c>
      <c r="R81">
        <v>-5.45929853405E-2</v>
      </c>
      <c r="S81">
        <v>-0.105031498362</v>
      </c>
      <c r="T81">
        <v>-0.160177915906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</row>
    <row r="82" spans="1:55" x14ac:dyDescent="0.2">
      <c r="A82" s="224"/>
      <c r="B82" s="224">
        <v>81</v>
      </c>
      <c r="C82" s="224" t="s">
        <v>185</v>
      </c>
      <c r="D82" s="224">
        <v>-0.21063999999999999</v>
      </c>
      <c r="E82" s="224">
        <v>0.21429000000000001</v>
      </c>
      <c r="F82" s="78" t="s">
        <v>148</v>
      </c>
      <c r="H82" s="78">
        <f t="shared" si="0"/>
        <v>10</v>
      </c>
      <c r="I82" s="78">
        <v>78</v>
      </c>
      <c r="K82">
        <v>-2.8986660091599999E-2</v>
      </c>
      <c r="L82">
        <v>7.8577293800299999E-2</v>
      </c>
      <c r="M82">
        <v>-0.89797910320899998</v>
      </c>
      <c r="N82">
        <v>-0.33358352666300001</v>
      </c>
      <c r="O82">
        <v>0.871426371586</v>
      </c>
      <c r="P82">
        <v>0.32544039936199998</v>
      </c>
      <c r="Q82">
        <v>3.1395399540799999E-2</v>
      </c>
      <c r="R82">
        <v>3.12046809572E-3</v>
      </c>
      <c r="S82">
        <v>-3.9617451849599999E-2</v>
      </c>
      <c r="T82">
        <v>-9.7931917635000008E-3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</row>
    <row r="83" spans="1:55" x14ac:dyDescent="0.2">
      <c r="A83" s="224"/>
      <c r="B83" s="224">
        <v>82</v>
      </c>
      <c r="C83" s="224" t="s">
        <v>185</v>
      </c>
      <c r="D83" s="224">
        <v>0.22331999999999999</v>
      </c>
      <c r="E83" s="224">
        <v>0.21535000000000001</v>
      </c>
      <c r="F83" s="78" t="s">
        <v>148</v>
      </c>
      <c r="H83" s="78">
        <f t="shared" si="0"/>
        <v>10</v>
      </c>
      <c r="I83" s="78">
        <v>79</v>
      </c>
      <c r="K83">
        <v>-3.12964320713E-2</v>
      </c>
      <c r="L83">
        <v>5.7802007265899999E-2</v>
      </c>
      <c r="M83">
        <v>-0.36137086730899998</v>
      </c>
      <c r="N83">
        <v>-0.71527576683299998</v>
      </c>
      <c r="O83">
        <v>-0.33710484747800001</v>
      </c>
      <c r="P83">
        <v>0.41949915376000002</v>
      </c>
      <c r="Q83">
        <v>0.295377894877</v>
      </c>
      <c r="R83">
        <v>0.24995454629300001</v>
      </c>
      <c r="S83">
        <v>0.21523212237100001</v>
      </c>
      <c r="T83">
        <v>0.20718219114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</row>
    <row r="84" spans="1:55" x14ac:dyDescent="0.2">
      <c r="A84" s="224"/>
      <c r="B84" s="224">
        <v>83</v>
      </c>
      <c r="C84" s="224" t="s">
        <v>185</v>
      </c>
      <c r="D84" s="224">
        <v>0.61417999999999995</v>
      </c>
      <c r="E84" s="224">
        <v>0.21601999999999999</v>
      </c>
      <c r="F84" s="78" t="s">
        <v>148</v>
      </c>
      <c r="H84" s="78">
        <f t="shared" si="0"/>
        <v>10</v>
      </c>
      <c r="I84" s="78">
        <v>80</v>
      </c>
      <c r="K84">
        <v>-3.0642135304699999E-2</v>
      </c>
      <c r="L84">
        <v>0.75221320813500003</v>
      </c>
      <c r="M84">
        <v>0.40587235942</v>
      </c>
      <c r="N84">
        <v>-1.06940477319</v>
      </c>
      <c r="O84">
        <v>-0.81205884061800004</v>
      </c>
      <c r="P84">
        <v>-0.27804380660599998</v>
      </c>
      <c r="Q84">
        <v>0.27732360573499998</v>
      </c>
      <c r="R84">
        <v>0.28144821906900003</v>
      </c>
      <c r="S84">
        <v>0.25748639943899998</v>
      </c>
      <c r="T84">
        <v>0.21580574478299999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</row>
    <row r="85" spans="1:55" x14ac:dyDescent="0.2">
      <c r="A85" s="224"/>
      <c r="B85" s="224">
        <v>84</v>
      </c>
      <c r="C85" s="224" t="s">
        <v>185</v>
      </c>
      <c r="D85" s="224">
        <v>0.67374999999999996</v>
      </c>
      <c r="E85" s="224">
        <v>0.21465999999999999</v>
      </c>
      <c r="F85" s="78" t="s">
        <v>148</v>
      </c>
      <c r="H85" s="78">
        <f t="shared" si="0"/>
        <v>10</v>
      </c>
      <c r="I85" s="78">
        <v>81</v>
      </c>
      <c r="K85">
        <v>-2.8032222104099998E-2</v>
      </c>
      <c r="L85">
        <v>0.48420708704999998</v>
      </c>
      <c r="M85">
        <v>-1.56723761425E-2</v>
      </c>
      <c r="N85">
        <v>0.90045159131600006</v>
      </c>
      <c r="O85">
        <v>-1.40016660313E-2</v>
      </c>
      <c r="P85">
        <v>-0.51247686501599998</v>
      </c>
      <c r="Q85">
        <v>-0.41886439341800003</v>
      </c>
      <c r="R85">
        <v>-0.28362885666799997</v>
      </c>
      <c r="S85">
        <v>-6.7959939496199995E-2</v>
      </c>
      <c r="T85">
        <v>-4.4022340059500002E-2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</row>
    <row r="86" spans="1:55" x14ac:dyDescent="0.2">
      <c r="A86" s="224"/>
      <c r="B86" s="224">
        <v>85</v>
      </c>
      <c r="C86" s="224" t="s">
        <v>185</v>
      </c>
      <c r="D86" s="224">
        <v>0.82240999999999997</v>
      </c>
      <c r="E86" s="224">
        <v>0.21456</v>
      </c>
      <c r="F86" s="78" t="s">
        <v>148</v>
      </c>
      <c r="H86" s="78">
        <f t="shared" si="0"/>
        <v>10</v>
      </c>
      <c r="I86" s="78">
        <v>82</v>
      </c>
      <c r="K86">
        <v>-4.4594084450200001E-2</v>
      </c>
      <c r="L86">
        <v>-0.48689539662199999</v>
      </c>
      <c r="M86">
        <v>0.24340914598499999</v>
      </c>
      <c r="N86">
        <v>0.15641907346700001</v>
      </c>
      <c r="O86">
        <v>0.197390266028</v>
      </c>
      <c r="P86">
        <v>0.20062684365899999</v>
      </c>
      <c r="Q86">
        <v>-0.291973231828</v>
      </c>
      <c r="R86">
        <v>-3.77106867901E-2</v>
      </c>
      <c r="S86">
        <v>3.82228770081E-3</v>
      </c>
      <c r="T86">
        <v>5.9505778946299999E-2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</row>
    <row r="87" spans="1:55" x14ac:dyDescent="0.2">
      <c r="A87" s="224"/>
      <c r="B87" s="224">
        <v>86</v>
      </c>
      <c r="C87" s="224" t="s">
        <v>185</v>
      </c>
      <c r="D87" s="224">
        <v>0.80896999999999997</v>
      </c>
      <c r="E87" s="224">
        <v>0.21489</v>
      </c>
      <c r="F87" s="78" t="s">
        <v>148</v>
      </c>
      <c r="H87" s="78">
        <f t="shared" si="0"/>
        <v>10</v>
      </c>
      <c r="I87" s="78">
        <v>83</v>
      </c>
      <c r="K87">
        <v>-4.5628800056E-2</v>
      </c>
      <c r="L87">
        <v>-0.49806884635799997</v>
      </c>
      <c r="M87">
        <v>0.88675025688700004</v>
      </c>
      <c r="N87">
        <v>0.46615841987200002</v>
      </c>
      <c r="O87">
        <v>6.2963716319300006E-2</v>
      </c>
      <c r="P87">
        <v>-0.20698828881100001</v>
      </c>
      <c r="Q87">
        <v>0.20926620866599999</v>
      </c>
      <c r="R87">
        <v>-0.13985829672</v>
      </c>
      <c r="S87">
        <v>-0.33787086770000002</v>
      </c>
      <c r="T87">
        <v>-0.396723499265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</row>
    <row r="88" spans="1:55" x14ac:dyDescent="0.2">
      <c r="A88" s="224"/>
      <c r="B88" s="224">
        <v>87</v>
      </c>
      <c r="C88" s="224" t="s">
        <v>185</v>
      </c>
      <c r="D88" s="224">
        <v>0.66088000000000002</v>
      </c>
      <c r="E88" s="224">
        <v>0.20729</v>
      </c>
      <c r="F88" s="78" t="s">
        <v>148</v>
      </c>
      <c r="H88" s="78">
        <f t="shared" si="0"/>
        <v>10</v>
      </c>
      <c r="I88" s="78">
        <v>84</v>
      </c>
      <c r="K88">
        <v>-4.4752566513800003E-2</v>
      </c>
      <c r="L88">
        <v>-0.17876180001799999</v>
      </c>
      <c r="M88">
        <v>-0.64741612462700004</v>
      </c>
      <c r="N88">
        <v>0.27302338125999998</v>
      </c>
      <c r="O88">
        <v>0.384745539794</v>
      </c>
      <c r="P88">
        <v>-9.4558740750899997E-2</v>
      </c>
      <c r="Q88">
        <v>2.1250687493499999E-2</v>
      </c>
      <c r="R88">
        <v>0.20180117066700001</v>
      </c>
      <c r="S88">
        <v>6.2706828058600006E-2</v>
      </c>
      <c r="T88">
        <v>2.1961627611200001E-2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</row>
    <row r="89" spans="1:55" x14ac:dyDescent="0.2">
      <c r="A89" s="224"/>
      <c r="B89" s="224">
        <v>88</v>
      </c>
      <c r="C89" s="224" t="s">
        <v>185</v>
      </c>
      <c r="D89" s="224">
        <v>0.51534999999999997</v>
      </c>
      <c r="E89" s="224">
        <v>0.19647000000000001</v>
      </c>
      <c r="F89" s="78" t="s">
        <v>148</v>
      </c>
      <c r="H89" s="78">
        <f t="shared" si="0"/>
        <v>10</v>
      </c>
      <c r="I89" s="78">
        <v>85</v>
      </c>
      <c r="K89">
        <v>-3.1392607738100001E-2</v>
      </c>
      <c r="L89">
        <v>-0.46803746288600001</v>
      </c>
      <c r="M89">
        <v>-0.38646817270799999</v>
      </c>
      <c r="N89">
        <v>-0.28147861823300002</v>
      </c>
      <c r="O89">
        <v>0.29710559103</v>
      </c>
      <c r="P89">
        <v>0.68598492024199997</v>
      </c>
      <c r="Q89">
        <v>9.4097138591899998E-2</v>
      </c>
      <c r="R89">
        <v>-6.8748069331500003E-2</v>
      </c>
      <c r="S89">
        <v>3.9060370858299998E-2</v>
      </c>
      <c r="T89">
        <v>0.11987690234999999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</row>
    <row r="90" spans="1:55" x14ac:dyDescent="0.2">
      <c r="A90" s="224"/>
      <c r="B90" s="224">
        <v>89</v>
      </c>
      <c r="C90" s="224" t="s">
        <v>185</v>
      </c>
      <c r="D90" s="224">
        <v>0.31528</v>
      </c>
      <c r="E90" s="224">
        <v>0.23630999999999999</v>
      </c>
      <c r="F90" s="78" t="s">
        <v>148</v>
      </c>
      <c r="H90" s="78">
        <f t="shared" si="0"/>
        <v>10</v>
      </c>
      <c r="I90" s="78">
        <v>86</v>
      </c>
      <c r="K90">
        <v>-1.9322581234300001E-2</v>
      </c>
      <c r="L90">
        <v>0.638290039699</v>
      </c>
      <c r="M90">
        <v>-1.6947007181799999E-2</v>
      </c>
      <c r="N90">
        <v>-7.5300755803799996E-2</v>
      </c>
      <c r="O90">
        <v>-0.31507580581</v>
      </c>
      <c r="P90">
        <v>-1.31181318916E-2</v>
      </c>
      <c r="Q90">
        <v>-8.5719734416499997E-3</v>
      </c>
      <c r="R90">
        <v>-2.41170960033E-2</v>
      </c>
      <c r="S90">
        <v>-3.2122451849900001E-2</v>
      </c>
      <c r="T90">
        <v>-0.13371423999000001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</row>
    <row r="91" spans="1:55" x14ac:dyDescent="0.2">
      <c r="A91" s="224"/>
      <c r="B91" s="224">
        <v>90</v>
      </c>
      <c r="C91" s="224" t="s">
        <v>185</v>
      </c>
      <c r="D91" s="224">
        <v>0.34538999999999997</v>
      </c>
      <c r="E91" s="224">
        <v>0.26113999999999998</v>
      </c>
      <c r="F91" s="78" t="s">
        <v>148</v>
      </c>
      <c r="H91" s="78">
        <f t="shared" si="0"/>
        <v>10</v>
      </c>
      <c r="I91" s="78">
        <v>87</v>
      </c>
      <c r="K91">
        <v>-2.20010125611E-2</v>
      </c>
      <c r="L91">
        <v>-0.44608462517199998</v>
      </c>
      <c r="M91">
        <v>0.81846764214300005</v>
      </c>
      <c r="N91">
        <v>-7.1141583062899999E-2</v>
      </c>
      <c r="O91">
        <v>0.100866679647</v>
      </c>
      <c r="P91">
        <v>-0.14856565413799999</v>
      </c>
      <c r="Q91">
        <v>6.2306043587900001E-3</v>
      </c>
      <c r="R91">
        <v>-1.71176238866E-2</v>
      </c>
      <c r="S91">
        <v>-8.3690102923200005E-2</v>
      </c>
      <c r="T91">
        <v>-0.13696432959999999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</row>
    <row r="92" spans="1:55" x14ac:dyDescent="0.2">
      <c r="A92" s="224"/>
      <c r="B92" s="224">
        <v>91</v>
      </c>
      <c r="C92" s="224" t="s">
        <v>185</v>
      </c>
      <c r="D92" s="224">
        <v>0.379</v>
      </c>
      <c r="E92" s="224">
        <v>0.25979999999999998</v>
      </c>
      <c r="F92" s="78" t="s">
        <v>148</v>
      </c>
      <c r="H92" s="78">
        <f t="shared" si="0"/>
        <v>10</v>
      </c>
      <c r="I92" s="78">
        <v>88</v>
      </c>
      <c r="K92">
        <v>-1.90165025829E-2</v>
      </c>
      <c r="L92">
        <v>-0.26002235479399999</v>
      </c>
      <c r="M92">
        <v>-0.77849147670700003</v>
      </c>
      <c r="N92">
        <v>0.852227599231</v>
      </c>
      <c r="O92">
        <v>2.36945908999E-2</v>
      </c>
      <c r="P92">
        <v>-0.12949444019299999</v>
      </c>
      <c r="Q92">
        <v>1.9134328405200001E-2</v>
      </c>
      <c r="R92">
        <v>4.77567993187E-2</v>
      </c>
      <c r="S92">
        <v>8.3097836729800006E-2</v>
      </c>
      <c r="T92">
        <v>0.161113618225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</row>
    <row r="93" spans="1:55" x14ac:dyDescent="0.2">
      <c r="A93" s="224"/>
      <c r="B93" s="224">
        <v>92</v>
      </c>
      <c r="C93" s="224" t="s">
        <v>185</v>
      </c>
      <c r="D93" s="224">
        <v>0.33348</v>
      </c>
      <c r="E93" s="224">
        <v>0.22622999999999999</v>
      </c>
      <c r="F93" s="78" t="s">
        <v>148</v>
      </c>
      <c r="H93" s="78">
        <f t="shared" si="0"/>
        <v>10</v>
      </c>
      <c r="I93" s="78">
        <v>89</v>
      </c>
      <c r="K93">
        <v>-1.8757904180999999E-2</v>
      </c>
      <c r="L93" s="1">
        <v>0.21796151529499999</v>
      </c>
      <c r="M93">
        <v>2.9806760707500001E-2</v>
      </c>
      <c r="N93">
        <v>-0.36492118577499999</v>
      </c>
      <c r="O93">
        <v>0.458895233209</v>
      </c>
      <c r="P93">
        <v>0.28348513093200001</v>
      </c>
      <c r="Q93">
        <v>-0.112623855683</v>
      </c>
      <c r="R93">
        <v>-0.184584454748</v>
      </c>
      <c r="S93">
        <v>-0.14523807940200001</v>
      </c>
      <c r="T93">
        <v>-0.16402316299299999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</row>
    <row r="94" spans="1:55" x14ac:dyDescent="0.2">
      <c r="A94" s="224"/>
      <c r="B94" s="224">
        <v>93</v>
      </c>
      <c r="C94" s="224" t="s">
        <v>185</v>
      </c>
      <c r="D94" s="224">
        <v>0.10585</v>
      </c>
      <c r="E94" s="224">
        <v>0.31685000000000002</v>
      </c>
      <c r="F94" s="78" t="s">
        <v>148</v>
      </c>
      <c r="H94" s="78">
        <f t="shared" si="0"/>
        <v>10</v>
      </c>
      <c r="I94" s="78">
        <v>90</v>
      </c>
      <c r="K94">
        <v>-1.87676821842E-2</v>
      </c>
      <c r="L94">
        <v>0.25371852426699998</v>
      </c>
      <c r="M94">
        <v>0.700358919232</v>
      </c>
      <c r="N94">
        <v>-0.13808532902000001</v>
      </c>
      <c r="O94">
        <v>-0.36076874564299999</v>
      </c>
      <c r="P94">
        <v>-0.150736470486</v>
      </c>
      <c r="Q94">
        <v>-8.71698406418E-2</v>
      </c>
      <c r="R94">
        <v>-5.4123989428700003E-2</v>
      </c>
      <c r="S94">
        <v>-8.6873779472300003E-2</v>
      </c>
      <c r="T94">
        <v>-5.7551602280299999E-2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</row>
    <row r="95" spans="1:55" x14ac:dyDescent="0.2">
      <c r="A95" s="224"/>
      <c r="B95" s="224">
        <v>94</v>
      </c>
      <c r="C95" s="224" t="s">
        <v>185</v>
      </c>
      <c r="D95" s="224">
        <v>-0.17324999999999999</v>
      </c>
      <c r="E95" s="224">
        <v>0.36395</v>
      </c>
      <c r="F95" s="78" t="s">
        <v>148</v>
      </c>
      <c r="H95" s="78">
        <f t="shared" si="0"/>
        <v>10</v>
      </c>
      <c r="I95" s="78">
        <v>91</v>
      </c>
      <c r="K95">
        <v>-1.7261745297399999E-2</v>
      </c>
      <c r="L95">
        <v>9.9363053379499994E-2</v>
      </c>
      <c r="M95">
        <v>-3.1206672419199999E-2</v>
      </c>
      <c r="N95">
        <v>-2.5751847622700001E-2</v>
      </c>
      <c r="O95">
        <v>-5.11747271485E-2</v>
      </c>
      <c r="P95">
        <v>6.4896730118299994E-2</v>
      </c>
      <c r="Q95">
        <v>4.4487951145800002E-3</v>
      </c>
      <c r="R95">
        <v>-4.16413779013E-2</v>
      </c>
      <c r="S95">
        <v>-1.5634157533000001E-2</v>
      </c>
      <c r="T95">
        <v>1.39619503368E-2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</row>
    <row r="96" spans="1:55" x14ac:dyDescent="0.2">
      <c r="A96" s="224"/>
      <c r="B96" s="224">
        <v>95</v>
      </c>
      <c r="C96" s="224" t="s">
        <v>185</v>
      </c>
      <c r="D96" s="224">
        <v>-0.18028</v>
      </c>
      <c r="E96" s="224">
        <v>0.37685999999999997</v>
      </c>
      <c r="F96" s="78" t="s">
        <v>148</v>
      </c>
      <c r="H96" s="78">
        <f t="shared" si="0"/>
        <v>10</v>
      </c>
      <c r="I96" s="78">
        <v>92</v>
      </c>
      <c r="K96">
        <v>-3.09623864534E-2</v>
      </c>
      <c r="L96" s="1">
        <v>-0.22241176002099999</v>
      </c>
      <c r="M96">
        <v>-0.64277043014799995</v>
      </c>
      <c r="N96">
        <v>2.6311420573999999E-2</v>
      </c>
      <c r="O96">
        <v>3.8099452048300002E-2</v>
      </c>
      <c r="P96">
        <v>0.11762264042999999</v>
      </c>
      <c r="Q96">
        <v>0.171725593372</v>
      </c>
      <c r="R96">
        <v>0.165460762176</v>
      </c>
      <c r="S96">
        <v>0.207060503807</v>
      </c>
      <c r="T96">
        <v>0.16986420666900001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</row>
    <row r="97" spans="1:55" x14ac:dyDescent="0.2">
      <c r="A97" s="224"/>
      <c r="B97" s="224">
        <v>96</v>
      </c>
      <c r="C97" s="224" t="s">
        <v>185</v>
      </c>
      <c r="D97" s="224">
        <v>-0.15315000000000001</v>
      </c>
      <c r="E97" s="224">
        <v>0.37111</v>
      </c>
      <c r="F97" s="78" t="s">
        <v>148</v>
      </c>
      <c r="H97" s="78">
        <f t="shared" si="0"/>
        <v>10</v>
      </c>
      <c r="I97" s="78">
        <v>93</v>
      </c>
      <c r="K97">
        <v>-2.7258074443200001E-2</v>
      </c>
      <c r="L97">
        <v>-0.32744547791099998</v>
      </c>
      <c r="M97">
        <v>0.114087341504</v>
      </c>
      <c r="N97">
        <v>2.0770204049399998E-2</v>
      </c>
      <c r="O97">
        <v>-0.21207369749900001</v>
      </c>
      <c r="P97">
        <v>-0.15785842404299999</v>
      </c>
      <c r="Q97">
        <v>1.2949129321300001E-2</v>
      </c>
      <c r="R97">
        <v>0.111214123141</v>
      </c>
      <c r="S97">
        <v>0.173385808689</v>
      </c>
      <c r="T97">
        <v>0.292229064421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</row>
    <row r="98" spans="1:55" x14ac:dyDescent="0.2">
      <c r="A98" s="224"/>
      <c r="B98" s="224">
        <v>97</v>
      </c>
      <c r="C98" s="224" t="s">
        <v>185</v>
      </c>
      <c r="D98" s="224">
        <v>-0.11779000000000001</v>
      </c>
      <c r="E98" s="224">
        <v>0.37864999999999999</v>
      </c>
      <c r="F98" s="78" t="s">
        <v>148</v>
      </c>
      <c r="H98" s="78">
        <f t="shared" si="0"/>
        <v>10</v>
      </c>
      <c r="I98" s="78">
        <v>94</v>
      </c>
      <c r="K98">
        <v>2.3236965807499999E-2</v>
      </c>
      <c r="L98">
        <v>0.121583500373</v>
      </c>
      <c r="M98">
        <v>-0.32506897842600002</v>
      </c>
      <c r="N98">
        <v>0.40425932188000002</v>
      </c>
      <c r="O98">
        <v>0.27090906983700003</v>
      </c>
      <c r="P98">
        <v>-0.19057392326799999</v>
      </c>
      <c r="Q98">
        <v>-0.13222260315699999</v>
      </c>
      <c r="R98">
        <v>-7.9640751799099994E-3</v>
      </c>
      <c r="S98">
        <v>-5.7334553089900001E-2</v>
      </c>
      <c r="T98">
        <v>-0.106824749163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</row>
    <row r="99" spans="1:55" x14ac:dyDescent="0.2">
      <c r="A99" s="224"/>
      <c r="B99" s="224">
        <v>98</v>
      </c>
      <c r="C99" s="224" t="s">
        <v>185</v>
      </c>
      <c r="D99" s="224">
        <v>-0.25634000000000001</v>
      </c>
      <c r="E99" s="224">
        <v>0.33511999999999997</v>
      </c>
      <c r="F99" s="78" t="s">
        <v>148</v>
      </c>
      <c r="H99" s="78">
        <f t="shared" si="0"/>
        <v>10</v>
      </c>
      <c r="I99" s="78">
        <v>95</v>
      </c>
      <c r="K99">
        <v>-3.22653328509E-3</v>
      </c>
      <c r="L99">
        <v>-1.1723828626799999E-2</v>
      </c>
      <c r="M99">
        <v>-0.18744448722000001</v>
      </c>
      <c r="N99">
        <v>-0.78052973153100003</v>
      </c>
      <c r="O99">
        <v>0.27588513521199998</v>
      </c>
      <c r="P99">
        <v>0.41846882334300001</v>
      </c>
      <c r="Q99">
        <v>0.19782558302799999</v>
      </c>
      <c r="R99">
        <v>4.9323429871600002E-2</v>
      </c>
      <c r="S99">
        <v>2.6137562226399999E-2</v>
      </c>
      <c r="T99">
        <v>1.52840244308E-2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</row>
    <row r="100" spans="1:55" x14ac:dyDescent="0.2">
      <c r="A100" s="224"/>
      <c r="B100" s="224">
        <v>99</v>
      </c>
      <c r="C100" s="224" t="s">
        <v>185</v>
      </c>
      <c r="D100" s="224">
        <v>-0.56572</v>
      </c>
      <c r="E100" s="224">
        <v>0.30297000000000002</v>
      </c>
      <c r="F100" s="78" t="s">
        <v>148</v>
      </c>
      <c r="H100" s="78">
        <f t="shared" si="0"/>
        <v>10</v>
      </c>
      <c r="I100" s="78">
        <v>96</v>
      </c>
      <c r="K100">
        <v>-6.43015209973E-3</v>
      </c>
      <c r="L100">
        <v>0.27361576229899998</v>
      </c>
      <c r="M100">
        <v>0.24633324857200001</v>
      </c>
      <c r="N100">
        <v>0.26753012007499999</v>
      </c>
      <c r="O100">
        <v>-0.70385960118500002</v>
      </c>
      <c r="P100">
        <v>-0.20739237168399999</v>
      </c>
      <c r="Q100">
        <v>5.2189684312400002E-2</v>
      </c>
      <c r="R100">
        <v>4.6248344640499997E-2</v>
      </c>
      <c r="S100">
        <v>2.2114135668499998E-2</v>
      </c>
      <c r="T100">
        <v>9.6507649713199993E-3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</row>
    <row r="101" spans="1:55" x14ac:dyDescent="0.2">
      <c r="A101" s="224"/>
      <c r="B101" s="224">
        <v>100</v>
      </c>
      <c r="C101" s="224" t="s">
        <v>185</v>
      </c>
      <c r="D101" s="224">
        <v>-0.49913999999999997</v>
      </c>
      <c r="E101" s="224">
        <v>0.14940999999999999</v>
      </c>
      <c r="F101" s="78" t="s">
        <v>148</v>
      </c>
      <c r="H101" s="78">
        <f t="shared" si="0"/>
        <v>10</v>
      </c>
      <c r="I101" s="78">
        <v>97</v>
      </c>
      <c r="K101" s="1">
        <v>6.85636113218E-7</v>
      </c>
      <c r="L101">
        <v>6.47614454676E-4</v>
      </c>
      <c r="M101">
        <v>1.32695551238E-2</v>
      </c>
      <c r="N101">
        <v>9.0501232307899998E-2</v>
      </c>
      <c r="O101">
        <v>0.12510949203400001</v>
      </c>
      <c r="P101">
        <v>-0.199581820337</v>
      </c>
      <c r="Q101">
        <v>-5.22664602209E-2</v>
      </c>
      <c r="R101">
        <v>-3.1164997299900001E-2</v>
      </c>
      <c r="S101">
        <v>1.07757636196E-2</v>
      </c>
      <c r="T101">
        <v>4.2708976819099999E-2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</row>
    <row r="102" spans="1:55" x14ac:dyDescent="0.2">
      <c r="A102" s="224"/>
      <c r="B102" s="224">
        <v>101</v>
      </c>
      <c r="C102" s="224" t="s">
        <v>185</v>
      </c>
      <c r="D102" s="224">
        <v>-0.45101000000000002</v>
      </c>
      <c r="E102" s="224">
        <v>0.13672000000000001</v>
      </c>
      <c r="F102" s="78" t="s">
        <v>148</v>
      </c>
      <c r="I102" s="78">
        <v>98</v>
      </c>
      <c r="J102" s="78" t="s">
        <v>66</v>
      </c>
      <c r="K102" t="s">
        <v>385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</row>
    <row r="103" spans="1:55" x14ac:dyDescent="0.2">
      <c r="A103" s="224"/>
      <c r="B103" s="224">
        <v>102</v>
      </c>
      <c r="C103" s="224" t="s">
        <v>185</v>
      </c>
      <c r="D103" s="224">
        <v>-0.13694999999999999</v>
      </c>
      <c r="E103" s="224">
        <v>0.12426</v>
      </c>
      <c r="F103" s="78" t="s">
        <v>148</v>
      </c>
      <c r="I103" s="78">
        <v>99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</row>
    <row r="104" spans="1:55" x14ac:dyDescent="0.2">
      <c r="A104" s="224"/>
      <c r="B104" s="224">
        <v>103</v>
      </c>
      <c r="C104" s="224" t="s">
        <v>185</v>
      </c>
      <c r="D104" s="224">
        <v>4.4980999999999997E-3</v>
      </c>
      <c r="E104" s="224">
        <v>0.11575000000000001</v>
      </c>
      <c r="F104" s="78" t="s">
        <v>148</v>
      </c>
      <c r="I104" s="78">
        <v>100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</row>
    <row r="105" spans="1:55" x14ac:dyDescent="0.2">
      <c r="A105" s="224"/>
      <c r="B105" s="224">
        <v>104</v>
      </c>
      <c r="C105" s="224" t="s">
        <v>185</v>
      </c>
      <c r="D105" s="224">
        <v>0.33906999999999998</v>
      </c>
      <c r="E105" s="224">
        <v>0.12148</v>
      </c>
      <c r="F105" s="78" t="s">
        <v>148</v>
      </c>
      <c r="I105" s="78">
        <v>101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pans="1:55" x14ac:dyDescent="0.2">
      <c r="A106" s="224"/>
      <c r="B106" s="224">
        <v>105</v>
      </c>
      <c r="C106" s="224" t="s">
        <v>185</v>
      </c>
      <c r="D106" s="224">
        <v>-0.17774000000000001</v>
      </c>
      <c r="E106" s="224">
        <v>0.13577</v>
      </c>
      <c r="F106" s="78" t="s">
        <v>148</v>
      </c>
      <c r="I106" s="78">
        <v>102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pans="1:55" x14ac:dyDescent="0.2">
      <c r="A107" s="224"/>
      <c r="B107" s="224">
        <v>106</v>
      </c>
      <c r="C107" s="224" t="s">
        <v>185</v>
      </c>
      <c r="D107" s="224">
        <v>-0.36098000000000002</v>
      </c>
      <c r="E107" s="224">
        <v>0.15093999999999999</v>
      </c>
      <c r="F107" s="78" t="s">
        <v>148</v>
      </c>
      <c r="I107" s="78">
        <v>103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pans="1:55" x14ac:dyDescent="0.2">
      <c r="A108" s="224"/>
      <c r="B108" s="224">
        <v>107</v>
      </c>
      <c r="C108" s="224" t="s">
        <v>185</v>
      </c>
      <c r="D108" s="224">
        <v>-0.28448000000000001</v>
      </c>
      <c r="E108" s="224">
        <v>0.15015000000000001</v>
      </c>
      <c r="F108" s="78" t="s">
        <v>148</v>
      </c>
      <c r="I108" s="78">
        <v>104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pans="1:55" x14ac:dyDescent="0.2">
      <c r="A109" s="224"/>
      <c r="B109" s="224">
        <v>108</v>
      </c>
      <c r="C109" s="224" t="s">
        <v>185</v>
      </c>
      <c r="D109" s="224">
        <v>-3.7540999999999998E-2</v>
      </c>
      <c r="E109" s="224">
        <v>0.15239</v>
      </c>
      <c r="F109" s="78" t="s">
        <v>148</v>
      </c>
      <c r="I109" s="78">
        <v>105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pans="1:55" x14ac:dyDescent="0.2">
      <c r="A110" s="224"/>
      <c r="B110" s="224">
        <v>109</v>
      </c>
      <c r="C110" s="224" t="s">
        <v>185</v>
      </c>
      <c r="D110" s="224">
        <v>-4.2493999999999997E-2</v>
      </c>
      <c r="E110" s="224">
        <v>0.18468999999999999</v>
      </c>
      <c r="F110" s="78" t="s">
        <v>148</v>
      </c>
      <c r="I110" s="78">
        <v>106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pans="1:55" x14ac:dyDescent="0.2">
      <c r="A111" s="224"/>
      <c r="B111" s="224">
        <v>110</v>
      </c>
      <c r="C111" s="224" t="s">
        <v>185</v>
      </c>
      <c r="D111" s="224">
        <v>-0.14207</v>
      </c>
      <c r="E111" s="224">
        <v>0.16320000000000001</v>
      </c>
      <c r="F111" s="78" t="s">
        <v>148</v>
      </c>
      <c r="I111" s="78">
        <v>107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pans="1:55" x14ac:dyDescent="0.2">
      <c r="A112" s="224"/>
      <c r="B112" s="224">
        <v>111</v>
      </c>
      <c r="C112" s="224" t="s">
        <v>185</v>
      </c>
      <c r="D112" s="224">
        <v>-0.51061999999999996</v>
      </c>
      <c r="E112" s="224">
        <v>0.12778999999999999</v>
      </c>
      <c r="F112" s="78" t="s">
        <v>148</v>
      </c>
      <c r="I112" s="78">
        <v>108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pans="1:55" x14ac:dyDescent="0.2">
      <c r="A113" s="224"/>
      <c r="B113" s="224">
        <v>112</v>
      </c>
      <c r="C113" s="224" t="s">
        <v>185</v>
      </c>
      <c r="D113" s="224">
        <v>-0.36813000000000001</v>
      </c>
      <c r="E113" s="224">
        <v>0.12003999999999999</v>
      </c>
      <c r="F113" s="78" t="s">
        <v>148</v>
      </c>
      <c r="I113" s="78">
        <v>109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pans="1:55" x14ac:dyDescent="0.2">
      <c r="A114" s="224"/>
      <c r="B114" s="224">
        <v>113</v>
      </c>
      <c r="C114" s="224" t="s">
        <v>185</v>
      </c>
      <c r="D114" s="224">
        <v>-0.21154000000000001</v>
      </c>
      <c r="E114" s="224">
        <v>0.11917999999999999</v>
      </c>
      <c r="F114" s="78" t="s">
        <v>148</v>
      </c>
      <c r="I114" s="78">
        <v>110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pans="1:55" x14ac:dyDescent="0.2">
      <c r="A115" s="224"/>
      <c r="B115" s="224">
        <v>114</v>
      </c>
      <c r="C115" s="224" t="s">
        <v>185</v>
      </c>
      <c r="D115" s="224">
        <v>-6.9929000000000005E-2</v>
      </c>
      <c r="E115" s="224">
        <v>0.1089</v>
      </c>
      <c r="F115" s="78" t="s">
        <v>148</v>
      </c>
      <c r="I115" s="78">
        <v>111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pans="1:55" x14ac:dyDescent="0.2">
      <c r="A116" s="224"/>
      <c r="B116" s="224">
        <v>115</v>
      </c>
      <c r="C116" s="224" t="s">
        <v>185</v>
      </c>
      <c r="D116" s="224">
        <v>-6.547E-2</v>
      </c>
      <c r="E116" s="224">
        <v>0.11432</v>
      </c>
      <c r="F116" s="78" t="s">
        <v>148</v>
      </c>
      <c r="I116" s="78">
        <v>112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pans="1:55" x14ac:dyDescent="0.2">
      <c r="A117" s="224"/>
      <c r="B117" s="224">
        <v>116</v>
      </c>
      <c r="C117" s="224" t="s">
        <v>185</v>
      </c>
      <c r="D117" s="224">
        <v>-0.12703999999999999</v>
      </c>
      <c r="E117" s="224">
        <v>0.12672</v>
      </c>
      <c r="F117" s="78" t="s">
        <v>148</v>
      </c>
      <c r="I117" s="78">
        <v>113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pans="1:55" x14ac:dyDescent="0.2">
      <c r="A118" s="224"/>
      <c r="B118" s="224">
        <v>117</v>
      </c>
      <c r="C118" s="224" t="s">
        <v>185</v>
      </c>
      <c r="D118" s="224">
        <v>-0.22877</v>
      </c>
      <c r="E118" s="224">
        <v>0.12200999999999999</v>
      </c>
      <c r="F118" s="78" t="s">
        <v>148</v>
      </c>
      <c r="I118" s="78">
        <v>114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pans="1:55" x14ac:dyDescent="0.2">
      <c r="A119" s="224"/>
      <c r="B119" s="224">
        <v>118</v>
      </c>
      <c r="C119" s="224" t="s">
        <v>185</v>
      </c>
      <c r="D119" s="224">
        <v>-7.5066000000000004E-3</v>
      </c>
      <c r="E119" s="224">
        <v>0.1197</v>
      </c>
      <c r="F119" s="78" t="s">
        <v>148</v>
      </c>
      <c r="I119" s="78">
        <v>115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</row>
    <row r="120" spans="1:55" x14ac:dyDescent="0.2">
      <c r="A120" s="224"/>
      <c r="B120" s="224">
        <v>119</v>
      </c>
      <c r="C120" s="224" t="s">
        <v>185</v>
      </c>
      <c r="D120" s="224">
        <v>5.3349000000000001E-2</v>
      </c>
      <c r="E120" s="224">
        <v>0.11423</v>
      </c>
      <c r="F120" s="78" t="s">
        <v>148</v>
      </c>
      <c r="I120" s="78">
        <v>116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</row>
    <row r="121" spans="1:55" x14ac:dyDescent="0.2">
      <c r="A121" s="224"/>
      <c r="B121" s="224">
        <v>120</v>
      </c>
      <c r="C121" s="224" t="s">
        <v>185</v>
      </c>
      <c r="D121" s="224">
        <v>0.13643</v>
      </c>
      <c r="E121" s="224">
        <v>0.11230999999999999</v>
      </c>
      <c r="F121" s="78" t="s">
        <v>148</v>
      </c>
      <c r="I121" s="78">
        <v>117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</row>
    <row r="122" spans="1:55" x14ac:dyDescent="0.2">
      <c r="A122" s="224"/>
      <c r="B122" s="224">
        <v>121</v>
      </c>
      <c r="C122" s="224" t="s">
        <v>185</v>
      </c>
      <c r="D122" s="224">
        <v>0.13628999999999999</v>
      </c>
      <c r="E122" s="224">
        <v>0.12945999999999999</v>
      </c>
      <c r="F122" s="78" t="s">
        <v>148</v>
      </c>
      <c r="I122" s="78">
        <v>118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</row>
    <row r="123" spans="1:55" x14ac:dyDescent="0.2">
      <c r="A123" s="224"/>
      <c r="B123" s="224">
        <v>122</v>
      </c>
      <c r="C123" s="224" t="s">
        <v>185</v>
      </c>
      <c r="D123" s="224">
        <v>-4.5517000000000002E-2</v>
      </c>
      <c r="E123" s="224">
        <v>0.13099</v>
      </c>
      <c r="F123" s="78" t="s">
        <v>148</v>
      </c>
      <c r="I123" s="78">
        <v>119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</row>
    <row r="124" spans="1:55" x14ac:dyDescent="0.2">
      <c r="A124" s="224"/>
      <c r="B124" s="224">
        <v>123</v>
      </c>
      <c r="C124" s="224" t="s">
        <v>185</v>
      </c>
      <c r="D124" s="224">
        <v>0.33079999999999998</v>
      </c>
      <c r="E124" s="224">
        <v>0.14759</v>
      </c>
      <c r="F124" s="78" t="s">
        <v>148</v>
      </c>
      <c r="I124" s="78">
        <v>120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</row>
    <row r="125" spans="1:55" x14ac:dyDescent="0.2">
      <c r="A125" s="224"/>
      <c r="B125" s="224">
        <v>124</v>
      </c>
      <c r="C125" s="224" t="s">
        <v>185</v>
      </c>
      <c r="D125" s="224">
        <v>0.36348000000000003</v>
      </c>
      <c r="E125" s="224">
        <v>0.19114999999999999</v>
      </c>
      <c r="F125" s="78" t="s">
        <v>148</v>
      </c>
      <c r="I125" s="78">
        <v>121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</row>
    <row r="126" spans="1:55" x14ac:dyDescent="0.2">
      <c r="A126" s="224"/>
      <c r="B126" s="224">
        <v>125</v>
      </c>
      <c r="C126" s="224" t="s">
        <v>185</v>
      </c>
      <c r="D126" s="224">
        <v>0.25362000000000001</v>
      </c>
      <c r="E126" s="224">
        <v>0.35996</v>
      </c>
      <c r="F126" s="78" t="s">
        <v>148</v>
      </c>
      <c r="I126" s="78">
        <v>122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</row>
    <row r="127" spans="1:55" x14ac:dyDescent="0.2">
      <c r="A127" s="224"/>
      <c r="B127" s="224">
        <v>126</v>
      </c>
      <c r="C127" s="224" t="s">
        <v>919</v>
      </c>
      <c r="D127" s="224">
        <v>-6.9688E-2</v>
      </c>
      <c r="E127" s="224">
        <v>0.70650000000000002</v>
      </c>
      <c r="F127" s="78" t="s">
        <v>952</v>
      </c>
      <c r="I127" s="78">
        <v>123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</row>
    <row r="128" spans="1:55" x14ac:dyDescent="0.2">
      <c r="A128" s="224"/>
      <c r="B128" s="224">
        <v>127</v>
      </c>
      <c r="C128" s="224" t="s">
        <v>919</v>
      </c>
      <c r="D128" s="224">
        <v>2.5496E-3</v>
      </c>
      <c r="E128" s="224">
        <v>0.61173</v>
      </c>
      <c r="F128" s="78" t="s">
        <v>952</v>
      </c>
      <c r="I128" s="78">
        <v>124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</row>
    <row r="129" spans="1:55" x14ac:dyDescent="0.2">
      <c r="A129" s="224"/>
      <c r="B129" s="224">
        <v>128</v>
      </c>
      <c r="C129" s="224" t="s">
        <v>919</v>
      </c>
      <c r="D129" s="224">
        <v>0.31546000000000002</v>
      </c>
      <c r="E129" s="224">
        <v>0.57116</v>
      </c>
      <c r="F129" s="78" t="s">
        <v>952</v>
      </c>
      <c r="I129" s="78">
        <v>125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</row>
    <row r="130" spans="1:55" x14ac:dyDescent="0.2">
      <c r="A130" s="224"/>
      <c r="B130" s="224">
        <v>129</v>
      </c>
      <c r="C130" s="224" t="s">
        <v>919</v>
      </c>
      <c r="D130" s="224">
        <v>0.10759000000000001</v>
      </c>
      <c r="E130" s="224">
        <v>0.58538000000000001</v>
      </c>
      <c r="F130" s="78" t="s">
        <v>952</v>
      </c>
      <c r="I130" s="78">
        <v>126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</row>
    <row r="131" spans="1:55" x14ac:dyDescent="0.2">
      <c r="A131" s="224"/>
      <c r="B131" s="224">
        <v>130</v>
      </c>
      <c r="C131" s="224" t="s">
        <v>919</v>
      </c>
      <c r="D131" s="224">
        <v>1.2552E-4</v>
      </c>
      <c r="E131" s="224">
        <v>0.38168999999999997</v>
      </c>
      <c r="F131" s="78" t="s">
        <v>952</v>
      </c>
      <c r="I131" s="78">
        <v>127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</row>
    <row r="132" spans="1:55" x14ac:dyDescent="0.2">
      <c r="A132" s="224"/>
      <c r="B132" s="224">
        <v>131</v>
      </c>
      <c r="C132" s="224" t="s">
        <v>919</v>
      </c>
      <c r="D132" s="224">
        <v>-6.1238000000000001E-2</v>
      </c>
      <c r="E132" s="224">
        <v>0.34700999999999999</v>
      </c>
      <c r="F132" s="78" t="s">
        <v>952</v>
      </c>
      <c r="I132" s="78">
        <v>128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</row>
    <row r="133" spans="1:55" x14ac:dyDescent="0.2">
      <c r="A133" s="224"/>
      <c r="B133" s="224">
        <v>132</v>
      </c>
      <c r="C133" s="224" t="s">
        <v>919</v>
      </c>
      <c r="D133" s="224">
        <v>-7.7684000000000003E-2</v>
      </c>
      <c r="E133" s="224">
        <v>0.33417000000000002</v>
      </c>
      <c r="F133" s="78" t="s">
        <v>952</v>
      </c>
      <c r="I133" s="78">
        <v>129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 spans="1:55" x14ac:dyDescent="0.2">
      <c r="A134" s="224"/>
      <c r="B134" s="224">
        <v>133</v>
      </c>
      <c r="C134" s="224" t="s">
        <v>919</v>
      </c>
      <c r="D134" s="224">
        <v>-7.5503000000000001E-2</v>
      </c>
      <c r="E134" s="224">
        <v>0.33449000000000001</v>
      </c>
      <c r="F134" s="78" t="s">
        <v>952</v>
      </c>
      <c r="I134" s="78">
        <v>130</v>
      </c>
      <c r="J134" s="78" t="s">
        <v>66</v>
      </c>
      <c r="K134" t="s">
        <v>386</v>
      </c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</row>
    <row r="135" spans="1:55" x14ac:dyDescent="0.2">
      <c r="A135" s="224"/>
      <c r="B135" s="224">
        <v>134</v>
      </c>
      <c r="C135" s="224" t="s">
        <v>919</v>
      </c>
      <c r="D135" s="224">
        <v>-7.1363999999999997E-2</v>
      </c>
      <c r="E135" s="224">
        <v>0.34723999999999999</v>
      </c>
      <c r="F135" s="78" t="s">
        <v>952</v>
      </c>
      <c r="H135" s="78">
        <f>COUNT(K135:BX135)</f>
        <v>7</v>
      </c>
      <c r="I135" s="78">
        <v>131</v>
      </c>
      <c r="K135">
        <v>-1.2897400137299999</v>
      </c>
      <c r="L135">
        <v>0.34637847239000003</v>
      </c>
      <c r="M135">
        <v>1.15494040681</v>
      </c>
      <c r="N135">
        <v>0.971394269925</v>
      </c>
      <c r="O135">
        <v>0.98564907666900003</v>
      </c>
      <c r="P135">
        <v>0.85758849295399997</v>
      </c>
      <c r="Q135">
        <v>0.72382219165299999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</row>
    <row r="136" spans="1:55" x14ac:dyDescent="0.2">
      <c r="A136" s="224"/>
      <c r="B136" s="224">
        <v>135</v>
      </c>
      <c r="C136" s="224" t="s">
        <v>919</v>
      </c>
      <c r="D136" s="224">
        <v>-7.0244000000000001E-2</v>
      </c>
      <c r="E136" s="224">
        <v>0.38191999999999998</v>
      </c>
      <c r="F136" s="78" t="s">
        <v>952</v>
      </c>
      <c r="H136" s="78">
        <f t="shared" ref="H136:H169" si="1">COUNT(K136:BX136)</f>
        <v>7</v>
      </c>
      <c r="I136" s="78">
        <v>132</v>
      </c>
      <c r="K136">
        <v>0.16073639506699999</v>
      </c>
      <c r="L136">
        <v>0.106488343077</v>
      </c>
      <c r="M136">
        <v>0.157086126839</v>
      </c>
      <c r="N136">
        <v>0.15354340097399999</v>
      </c>
      <c r="O136">
        <v>0.21038716470300001</v>
      </c>
      <c r="P136">
        <v>0.243942333013</v>
      </c>
      <c r="Q136">
        <v>0.28425503779599998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</row>
    <row r="137" spans="1:55" x14ac:dyDescent="0.2">
      <c r="A137" s="224"/>
      <c r="B137" s="224">
        <v>136</v>
      </c>
      <c r="C137" s="224" t="s">
        <v>919</v>
      </c>
      <c r="D137" s="224">
        <v>1.3799000000000001E-2</v>
      </c>
      <c r="E137" s="224">
        <v>0.66685000000000005</v>
      </c>
      <c r="F137" s="78" t="s">
        <v>952</v>
      </c>
      <c r="H137" s="78">
        <f t="shared" si="1"/>
        <v>7</v>
      </c>
      <c r="I137" s="78">
        <v>133</v>
      </c>
      <c r="K137">
        <v>-3.7088881983000001E-3</v>
      </c>
      <c r="L137">
        <v>-8.4378764356699998E-2</v>
      </c>
      <c r="M137">
        <v>-7.5643945721E-2</v>
      </c>
      <c r="N137">
        <v>7.3593369570799996E-2</v>
      </c>
      <c r="O137">
        <v>6.3493940968799997E-2</v>
      </c>
      <c r="P137">
        <v>0.17431781878200001</v>
      </c>
      <c r="Q137">
        <v>0.23132000708600001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</row>
    <row r="138" spans="1:55" x14ac:dyDescent="0.2">
      <c r="A138" s="224"/>
      <c r="B138" s="224">
        <v>137</v>
      </c>
      <c r="C138" s="224" t="s">
        <v>919</v>
      </c>
      <c r="D138" s="224">
        <v>0.25390000000000001</v>
      </c>
      <c r="E138" s="224">
        <v>0.58548999999999995</v>
      </c>
      <c r="F138" s="78" t="s">
        <v>952</v>
      </c>
      <c r="H138" s="78">
        <f t="shared" si="1"/>
        <v>7</v>
      </c>
      <c r="I138" s="78">
        <v>134</v>
      </c>
      <c r="K138">
        <v>4.9220275966499999E-2</v>
      </c>
      <c r="L138">
        <v>5.4007737345099997E-2</v>
      </c>
      <c r="M138">
        <v>6.8427689229500002E-2</v>
      </c>
      <c r="N138">
        <v>9.7185575639199995E-2</v>
      </c>
      <c r="O138">
        <v>9.9180545324199995E-2</v>
      </c>
      <c r="P138">
        <v>0.13376263503300001</v>
      </c>
      <c r="Q138">
        <v>0.13546413916799999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</row>
    <row r="139" spans="1:55" x14ac:dyDescent="0.2">
      <c r="A139" s="224"/>
      <c r="B139" s="224">
        <v>138</v>
      </c>
      <c r="C139" s="224" t="s">
        <v>919</v>
      </c>
      <c r="D139" s="224">
        <v>0.1477</v>
      </c>
      <c r="E139" s="224">
        <v>0.55052000000000001</v>
      </c>
      <c r="F139" s="78" t="s">
        <v>952</v>
      </c>
      <c r="H139" s="78">
        <f t="shared" si="1"/>
        <v>7</v>
      </c>
      <c r="I139" s="78">
        <v>135</v>
      </c>
      <c r="K139">
        <v>7.7394695265499996E-2</v>
      </c>
      <c r="L139">
        <v>7.1153056739800005E-2</v>
      </c>
      <c r="M139">
        <v>4.9354176551299998E-2</v>
      </c>
      <c r="N139">
        <v>7.1394628499700005E-2</v>
      </c>
      <c r="O139">
        <v>7.7457988744199999E-2</v>
      </c>
      <c r="P139">
        <v>0.114315348907</v>
      </c>
      <c r="Q139">
        <v>0.116673983505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</row>
    <row r="140" spans="1:55" x14ac:dyDescent="0.2">
      <c r="A140" s="224"/>
      <c r="B140" s="224">
        <v>139</v>
      </c>
      <c r="C140" s="224" t="s">
        <v>919</v>
      </c>
      <c r="D140" s="224">
        <v>-7.6273999999999995E-2</v>
      </c>
      <c r="E140" s="224">
        <v>0.36013000000000001</v>
      </c>
      <c r="F140" s="78" t="s">
        <v>952</v>
      </c>
      <c r="H140" s="78">
        <f t="shared" si="1"/>
        <v>7</v>
      </c>
      <c r="I140" s="78">
        <v>136</v>
      </c>
      <c r="K140">
        <v>0.117144591725</v>
      </c>
      <c r="L140">
        <v>0.116062333798</v>
      </c>
      <c r="M140">
        <v>0.104515476008</v>
      </c>
      <c r="N140">
        <v>8.0247393466900005E-2</v>
      </c>
      <c r="O140">
        <v>7.38662576121E-2</v>
      </c>
      <c r="P140">
        <v>0.107528182892</v>
      </c>
      <c r="Q140">
        <v>0.102248071333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</row>
    <row r="141" spans="1:55" x14ac:dyDescent="0.2">
      <c r="A141" s="224"/>
      <c r="B141" s="224">
        <v>140</v>
      </c>
      <c r="C141" s="224" t="s">
        <v>919</v>
      </c>
      <c r="D141" s="224">
        <v>-6.0738E-2</v>
      </c>
      <c r="E141" s="224">
        <v>0.33069999999999999</v>
      </c>
      <c r="F141" s="78" t="s">
        <v>952</v>
      </c>
      <c r="H141" s="78">
        <f t="shared" si="1"/>
        <v>7</v>
      </c>
      <c r="I141" s="78">
        <v>137</v>
      </c>
      <c r="K141">
        <v>9.8716615124699994E-2</v>
      </c>
      <c r="L141">
        <v>0.16520320182699999</v>
      </c>
      <c r="M141">
        <v>0.149437983365</v>
      </c>
      <c r="N141">
        <v>0.11339640674400001</v>
      </c>
      <c r="O141">
        <v>9.4407361971500001E-2</v>
      </c>
      <c r="P141">
        <v>0.11836953667</v>
      </c>
      <c r="Q141">
        <v>0.104069956123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</row>
    <row r="142" spans="1:55" x14ac:dyDescent="0.2">
      <c r="A142" s="224"/>
      <c r="B142" s="224">
        <v>141</v>
      </c>
      <c r="C142" s="224" t="s">
        <v>919</v>
      </c>
      <c r="D142" s="224">
        <v>-6.5758999999999998E-2</v>
      </c>
      <c r="E142" s="224">
        <v>0.32285999999999998</v>
      </c>
      <c r="F142" s="78" t="s">
        <v>952</v>
      </c>
      <c r="H142" s="78">
        <f t="shared" si="1"/>
        <v>7</v>
      </c>
      <c r="I142" s="78">
        <v>138</v>
      </c>
      <c r="K142">
        <v>0.114982678629</v>
      </c>
      <c r="L142">
        <v>0.123502799506</v>
      </c>
      <c r="M142">
        <v>0.15748176111000001</v>
      </c>
      <c r="N142">
        <v>0.120464497248</v>
      </c>
      <c r="O142">
        <v>0.11712615409799999</v>
      </c>
      <c r="P142">
        <v>0.10606487467300001</v>
      </c>
      <c r="Q142">
        <v>0.114379280675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</row>
    <row r="143" spans="1:55" x14ac:dyDescent="0.2">
      <c r="A143" s="224"/>
      <c r="B143" s="224">
        <v>142</v>
      </c>
      <c r="C143" s="224" t="s">
        <v>919</v>
      </c>
      <c r="D143" s="224">
        <v>-6.1474000000000001E-2</v>
      </c>
      <c r="E143" s="224">
        <v>0.32006000000000001</v>
      </c>
      <c r="F143" s="78" t="s">
        <v>952</v>
      </c>
      <c r="H143" s="78">
        <f t="shared" si="1"/>
        <v>7</v>
      </c>
      <c r="I143" s="78">
        <v>139</v>
      </c>
      <c r="K143">
        <v>0.15654605626699999</v>
      </c>
      <c r="L143">
        <v>0.14971826804400001</v>
      </c>
      <c r="M143">
        <v>0.118125017157</v>
      </c>
      <c r="N143">
        <v>0.13109110484</v>
      </c>
      <c r="O143">
        <v>0.126847043203</v>
      </c>
      <c r="P143">
        <v>0.11307472333</v>
      </c>
      <c r="Q143">
        <v>0.11550229550799999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</row>
    <row r="144" spans="1:55" x14ac:dyDescent="0.2">
      <c r="A144" s="224"/>
      <c r="B144" s="224">
        <v>143</v>
      </c>
      <c r="C144" s="224" t="s">
        <v>919</v>
      </c>
      <c r="D144" s="224">
        <v>-5.9456000000000002E-2</v>
      </c>
      <c r="E144" s="224">
        <v>0.32173000000000002</v>
      </c>
      <c r="F144" s="78" t="s">
        <v>952</v>
      </c>
      <c r="H144" s="78">
        <f t="shared" si="1"/>
        <v>7</v>
      </c>
      <c r="I144" s="78">
        <v>140</v>
      </c>
      <c r="K144">
        <v>6.3766626173799995E-2</v>
      </c>
      <c r="L144">
        <v>2.96055597523E-2</v>
      </c>
      <c r="M144">
        <v>0.103546008848</v>
      </c>
      <c r="N144">
        <v>0.12708673197600001</v>
      </c>
      <c r="O144">
        <v>0.12582304381199999</v>
      </c>
      <c r="P144">
        <v>0.11548498875300001</v>
      </c>
      <c r="Q144">
        <v>0.11857681869599999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</row>
    <row r="145" spans="1:55" x14ac:dyDescent="0.2">
      <c r="A145" s="224"/>
      <c r="B145" s="224">
        <v>144</v>
      </c>
      <c r="C145" s="224" t="s">
        <v>919</v>
      </c>
      <c r="D145" s="224">
        <v>-5.1135E-2</v>
      </c>
      <c r="E145" s="224">
        <v>0.33169999999999999</v>
      </c>
      <c r="F145" s="78" t="s">
        <v>952</v>
      </c>
      <c r="H145" s="78">
        <f t="shared" si="1"/>
        <v>7</v>
      </c>
      <c r="I145" s="78">
        <v>141</v>
      </c>
      <c r="K145">
        <v>0.126041474908</v>
      </c>
      <c r="L145">
        <v>0.106799451559</v>
      </c>
      <c r="M145">
        <v>8.2289507262000003E-2</v>
      </c>
      <c r="N145">
        <v>9.84139511775E-2</v>
      </c>
      <c r="O145">
        <v>0.10815586037699999</v>
      </c>
      <c r="P145">
        <v>0.106420771633</v>
      </c>
      <c r="Q145">
        <v>0.107864234165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</row>
    <row r="146" spans="1:55" x14ac:dyDescent="0.2">
      <c r="A146" s="224"/>
      <c r="B146" s="224">
        <v>145</v>
      </c>
      <c r="C146" s="224" t="s">
        <v>919</v>
      </c>
      <c r="D146" s="224">
        <v>-4.0565999999999998E-2</v>
      </c>
      <c r="E146" s="224">
        <v>0.36003000000000002</v>
      </c>
      <c r="F146" s="78" t="s">
        <v>952</v>
      </c>
      <c r="H146" s="78">
        <f t="shared" si="1"/>
        <v>7</v>
      </c>
      <c r="I146" s="78">
        <v>142</v>
      </c>
      <c r="K146">
        <v>0.13597300757899999</v>
      </c>
      <c r="L146">
        <v>0.116849036791</v>
      </c>
      <c r="M146">
        <v>9.1848150414599997E-2</v>
      </c>
      <c r="N146">
        <v>9.7240513751299995E-2</v>
      </c>
      <c r="O146">
        <v>9.9804120952699998E-2</v>
      </c>
      <c r="P146">
        <v>0.10145682720300001</v>
      </c>
      <c r="Q146">
        <v>0.105439097789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</row>
    <row r="147" spans="1:55" x14ac:dyDescent="0.2">
      <c r="A147" s="224"/>
      <c r="B147" s="224">
        <v>146</v>
      </c>
      <c r="C147" s="224" t="s">
        <v>919</v>
      </c>
      <c r="D147" s="224">
        <v>-2.3040000000000001E-2</v>
      </c>
      <c r="E147" s="224">
        <v>0.66681000000000001</v>
      </c>
      <c r="F147" s="78" t="s">
        <v>952</v>
      </c>
      <c r="H147" s="78">
        <f t="shared" si="1"/>
        <v>7</v>
      </c>
      <c r="I147" s="78">
        <v>143</v>
      </c>
      <c r="K147">
        <v>0.125117275518</v>
      </c>
      <c r="L147">
        <v>0.111686573584</v>
      </c>
      <c r="M147">
        <v>9.5419222654000005E-2</v>
      </c>
      <c r="N147">
        <v>0.100630926925</v>
      </c>
      <c r="O147">
        <v>0.102025506076</v>
      </c>
      <c r="P147">
        <v>0.10362253928200001</v>
      </c>
      <c r="Q147">
        <v>0.10555936192199999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</row>
    <row r="148" spans="1:55" x14ac:dyDescent="0.2">
      <c r="A148" s="224"/>
      <c r="B148" s="224">
        <v>147</v>
      </c>
      <c r="C148" s="224" t="s">
        <v>919</v>
      </c>
      <c r="D148" s="224">
        <v>0.15804000000000001</v>
      </c>
      <c r="E148" s="224">
        <v>0.57864000000000004</v>
      </c>
      <c r="F148" s="78" t="s">
        <v>952</v>
      </c>
      <c r="H148" s="78">
        <f t="shared" si="1"/>
        <v>7</v>
      </c>
      <c r="I148" s="78">
        <v>144</v>
      </c>
      <c r="K148">
        <v>0.120270612692</v>
      </c>
      <c r="L148">
        <v>0.107068141862</v>
      </c>
      <c r="M148">
        <v>0.10801651696</v>
      </c>
      <c r="N148">
        <v>0.103336925601</v>
      </c>
      <c r="O148">
        <v>0.10315849260899999</v>
      </c>
      <c r="P148">
        <v>0.104543751502</v>
      </c>
      <c r="Q148">
        <v>0.105074701563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</row>
    <row r="149" spans="1:55" x14ac:dyDescent="0.2">
      <c r="A149" s="224"/>
      <c r="B149" s="224">
        <v>148</v>
      </c>
      <c r="C149" s="224" t="s">
        <v>919</v>
      </c>
      <c r="D149" s="224">
        <v>0.51946000000000003</v>
      </c>
      <c r="E149" s="224">
        <v>0.52171000000000001</v>
      </c>
      <c r="F149" s="78" t="s">
        <v>952</v>
      </c>
      <c r="H149" s="78">
        <f t="shared" si="1"/>
        <v>7</v>
      </c>
      <c r="I149" s="78">
        <v>145</v>
      </c>
      <c r="K149">
        <v>0.10665107045199999</v>
      </c>
      <c r="L149">
        <v>0.106615845931</v>
      </c>
      <c r="M149">
        <v>0.101728529892</v>
      </c>
      <c r="N149">
        <v>0.10502067893100001</v>
      </c>
      <c r="O149">
        <v>0.104323787608</v>
      </c>
      <c r="P149">
        <v>0.105791934478</v>
      </c>
      <c r="Q149">
        <v>0.10579889840499999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</row>
    <row r="150" spans="1:55" x14ac:dyDescent="0.2">
      <c r="A150" s="224"/>
      <c r="B150" s="224">
        <v>149</v>
      </c>
      <c r="C150" s="224" t="s">
        <v>919</v>
      </c>
      <c r="D150" s="224">
        <v>-0.20677999999999999</v>
      </c>
      <c r="E150" s="224">
        <v>0.36587999999999998</v>
      </c>
      <c r="F150" s="78" t="s">
        <v>952</v>
      </c>
      <c r="I150" s="78">
        <v>146</v>
      </c>
      <c r="J150" s="78" t="s">
        <v>66</v>
      </c>
      <c r="K150" t="s">
        <v>387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</row>
    <row r="151" spans="1:55" x14ac:dyDescent="0.2">
      <c r="A151" s="224"/>
      <c r="B151" s="224">
        <v>150</v>
      </c>
      <c r="C151" s="224" t="s">
        <v>919</v>
      </c>
      <c r="D151" s="224">
        <v>-0.1691</v>
      </c>
      <c r="E151" s="224">
        <v>0.33055000000000001</v>
      </c>
      <c r="F151" s="78" t="s">
        <v>952</v>
      </c>
      <c r="H151" s="78">
        <f t="shared" si="1"/>
        <v>10</v>
      </c>
      <c r="K151">
        <v>-4.8228452716000003</v>
      </c>
      <c r="L151">
        <v>-2.3751996153400001</v>
      </c>
      <c r="M151">
        <v>-1.2419386014</v>
      </c>
      <c r="N151">
        <v>0.34564348525900002</v>
      </c>
      <c r="O151">
        <v>0.39751622653000002</v>
      </c>
      <c r="P151">
        <v>0.39281798074399998</v>
      </c>
      <c r="Q151">
        <v>0.34809313017600002</v>
      </c>
      <c r="R151">
        <v>0.290838072595</v>
      </c>
      <c r="S151">
        <v>0.23433243560399999</v>
      </c>
      <c r="T151">
        <v>0.19060985422400001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</row>
    <row r="152" spans="1:55" x14ac:dyDescent="0.2">
      <c r="A152" s="224"/>
      <c r="B152" s="224">
        <v>151</v>
      </c>
      <c r="C152" s="224" t="s">
        <v>919</v>
      </c>
      <c r="D152" s="224">
        <v>-0.13028999999999999</v>
      </c>
      <c r="E152" s="224">
        <v>0.32007999999999998</v>
      </c>
      <c r="F152" s="78" t="s">
        <v>952</v>
      </c>
      <c r="J152" s="78" t="s">
        <v>66</v>
      </c>
      <c r="K152" t="s">
        <v>388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</row>
    <row r="153" spans="1:55" x14ac:dyDescent="0.2">
      <c r="A153" s="224"/>
      <c r="B153" s="224">
        <v>152</v>
      </c>
      <c r="C153" s="224" t="s">
        <v>919</v>
      </c>
      <c r="D153" s="224">
        <v>-8.4644999999999998E-2</v>
      </c>
      <c r="E153" s="224">
        <v>0.31911</v>
      </c>
      <c r="F153" s="78" t="s">
        <v>952</v>
      </c>
      <c r="K153" s="78">
        <v>-0.01</v>
      </c>
      <c r="L153" s="78">
        <v>-0.01</v>
      </c>
      <c r="M153" s="78">
        <v>-0.01</v>
      </c>
      <c r="N153" s="78">
        <v>-0.01</v>
      </c>
      <c r="O153" s="78">
        <v>-0.01</v>
      </c>
      <c r="P153" s="78">
        <v>-0.01</v>
      </c>
      <c r="Q153" s="78">
        <v>-0.01</v>
      </c>
      <c r="R153" s="78">
        <v>-0.01</v>
      </c>
    </row>
    <row r="154" spans="1:55" x14ac:dyDescent="0.2">
      <c r="A154" s="224"/>
      <c r="B154" s="224">
        <v>153</v>
      </c>
      <c r="C154" s="224" t="s">
        <v>919</v>
      </c>
      <c r="D154" s="224">
        <v>-4.7482999999999997E-2</v>
      </c>
      <c r="E154" s="224">
        <v>0.31981999999999999</v>
      </c>
      <c r="F154" s="78" t="s">
        <v>952</v>
      </c>
      <c r="J154" s="78" t="s">
        <v>66</v>
      </c>
      <c r="K154" s="78" t="s">
        <v>389</v>
      </c>
    </row>
    <row r="155" spans="1:55" x14ac:dyDescent="0.2">
      <c r="A155" s="224"/>
      <c r="B155" s="224">
        <v>154</v>
      </c>
      <c r="C155" s="224" t="s">
        <v>919</v>
      </c>
      <c r="D155" s="224">
        <v>-2.1189E-2</v>
      </c>
      <c r="E155" s="224">
        <v>0.32795000000000002</v>
      </c>
      <c r="F155" s="78" t="s">
        <v>952</v>
      </c>
      <c r="H155" s="78">
        <f>COUNT(J155:BX155)</f>
        <v>7</v>
      </c>
      <c r="K155" s="78">
        <v>1.37458150606</v>
      </c>
      <c r="L155" s="78">
        <v>2.1321897218900002E-2</v>
      </c>
      <c r="M155" s="78">
        <v>-0.74933304810599999</v>
      </c>
      <c r="N155" s="78">
        <v>-0.74448214042600003</v>
      </c>
      <c r="O155" s="78">
        <v>-0.87332451445699999</v>
      </c>
      <c r="P155" s="78">
        <v>-1.007849795</v>
      </c>
      <c r="Q155" s="78">
        <v>-1.0070075109000001</v>
      </c>
    </row>
    <row r="156" spans="1:55" x14ac:dyDescent="0.2">
      <c r="A156" s="224"/>
      <c r="B156" s="224">
        <v>155</v>
      </c>
      <c r="C156" s="224" t="s">
        <v>919</v>
      </c>
      <c r="D156" s="224">
        <v>5.0268999999999999E-3</v>
      </c>
      <c r="E156" s="224">
        <v>0.35466999999999999</v>
      </c>
      <c r="F156" s="78" t="s">
        <v>952</v>
      </c>
      <c r="J156" s="78" t="s">
        <v>66</v>
      </c>
      <c r="K156" s="78" t="s">
        <v>5</v>
      </c>
    </row>
    <row r="157" spans="1:55" x14ac:dyDescent="0.2">
      <c r="A157" s="224"/>
      <c r="B157" s="224">
        <v>156</v>
      </c>
      <c r="C157" s="224" t="s">
        <v>919</v>
      </c>
      <c r="D157" s="224">
        <v>7.5008000000000005E-2</v>
      </c>
      <c r="E157" s="224">
        <v>0.68174999999999997</v>
      </c>
      <c r="F157" s="78" t="s">
        <v>952</v>
      </c>
      <c r="H157" s="78">
        <f>COUNT(J157:BX157)</f>
        <v>15</v>
      </c>
      <c r="K157" s="78">
        <v>6.4999999999999997E-3</v>
      </c>
      <c r="L157" s="78">
        <v>0.13478499999999999</v>
      </c>
      <c r="M157" s="78">
        <v>0.270712071</v>
      </c>
      <c r="N157" s="78">
        <v>0.40984878000000002</v>
      </c>
      <c r="O157" s="78">
        <v>0.64849341400000005</v>
      </c>
      <c r="P157" s="78">
        <v>0.80226610700000001</v>
      </c>
      <c r="Q157" s="78">
        <v>0.94187425000000002</v>
      </c>
      <c r="R157" s="78">
        <v>1.073735967</v>
      </c>
      <c r="S157" s="78">
        <v>1.1933118920000001</v>
      </c>
      <c r="T157" s="78">
        <v>1.324234567</v>
      </c>
      <c r="U157" s="78">
        <v>1.3937217989999999</v>
      </c>
      <c r="V157" s="78">
        <v>1.466418255</v>
      </c>
      <c r="W157" s="78">
        <v>1.594059136</v>
      </c>
      <c r="X157" s="78">
        <v>1.653830315</v>
      </c>
      <c r="Y157" s="78">
        <v>1.7718080490000001</v>
      </c>
    </row>
    <row r="158" spans="1:55" x14ac:dyDescent="0.2">
      <c r="A158" s="224"/>
      <c r="B158" s="224">
        <v>157</v>
      </c>
      <c r="C158" s="224" t="s">
        <v>919</v>
      </c>
      <c r="D158" s="224">
        <v>0.1084</v>
      </c>
      <c r="E158" s="224">
        <v>0.57701999999999998</v>
      </c>
      <c r="F158" s="78" t="s">
        <v>952</v>
      </c>
      <c r="J158" s="78" t="s">
        <v>66</v>
      </c>
      <c r="K158" s="78" t="s">
        <v>390</v>
      </c>
    </row>
    <row r="159" spans="1:55" x14ac:dyDescent="0.2">
      <c r="A159" s="224"/>
      <c r="B159" s="224">
        <v>158</v>
      </c>
      <c r="C159" s="224" t="s">
        <v>919</v>
      </c>
      <c r="D159" s="224">
        <v>-0.24143999999999999</v>
      </c>
      <c r="E159" s="224">
        <v>0.50446000000000002</v>
      </c>
      <c r="F159" s="78" t="s">
        <v>952</v>
      </c>
      <c r="H159" s="78">
        <f>COUNT(J159:BX159)</f>
        <v>1</v>
      </c>
      <c r="J159" s="78">
        <v>1.0791279489100001</v>
      </c>
    </row>
    <row r="160" spans="1:55" x14ac:dyDescent="0.2">
      <c r="A160" s="224"/>
      <c r="B160" s="224">
        <v>159</v>
      </c>
      <c r="C160" s="224" t="s">
        <v>919</v>
      </c>
      <c r="D160" s="224">
        <v>0.10014000000000001</v>
      </c>
      <c r="E160" s="224">
        <v>0.36498000000000003</v>
      </c>
      <c r="F160" s="78" t="s">
        <v>952</v>
      </c>
      <c r="J160" s="78" t="s">
        <v>66</v>
      </c>
      <c r="K160" s="78" t="s">
        <v>391</v>
      </c>
    </row>
    <row r="161" spans="1:42" x14ac:dyDescent="0.2">
      <c r="A161" s="224"/>
      <c r="B161" s="224">
        <v>160</v>
      </c>
      <c r="C161" s="224" t="s">
        <v>919</v>
      </c>
      <c r="D161" s="224">
        <v>4.4435000000000002E-2</v>
      </c>
      <c r="E161" s="224">
        <v>0.33361000000000002</v>
      </c>
      <c r="F161" s="78" t="s">
        <v>952</v>
      </c>
      <c r="H161" s="78">
        <f>COUNT(J161:BX161)</f>
        <v>1</v>
      </c>
      <c r="J161" s="78">
        <v>5.3186897099900001</v>
      </c>
    </row>
    <row r="162" spans="1:42" x14ac:dyDescent="0.2">
      <c r="A162" s="224"/>
      <c r="B162" s="224">
        <v>161</v>
      </c>
      <c r="C162" s="224" t="s">
        <v>919</v>
      </c>
      <c r="D162" s="224">
        <v>1.4682000000000001E-2</v>
      </c>
      <c r="E162" s="224">
        <v>0.32028000000000001</v>
      </c>
      <c r="F162" s="78" t="s">
        <v>952</v>
      </c>
      <c r="J162" s="78" t="s">
        <v>66</v>
      </c>
      <c r="K162" s="78" t="s">
        <v>392</v>
      </c>
    </row>
    <row r="163" spans="1:42" x14ac:dyDescent="0.2">
      <c r="A163" s="224"/>
      <c r="B163" s="224">
        <v>162</v>
      </c>
      <c r="C163" s="224" t="s">
        <v>919</v>
      </c>
      <c r="D163" s="224">
        <v>-8.6148000000000006E-3</v>
      </c>
      <c r="E163" s="224">
        <v>0.31911</v>
      </c>
      <c r="F163" s="78" t="s">
        <v>952</v>
      </c>
      <c r="H163" s="78">
        <f>COUNT(J163:BX163)</f>
        <v>1</v>
      </c>
      <c r="J163" s="78">
        <v>-2.7385171861200002</v>
      </c>
    </row>
    <row r="164" spans="1:42" x14ac:dyDescent="0.2">
      <c r="A164" s="224"/>
      <c r="B164" s="224">
        <v>163</v>
      </c>
      <c r="C164" s="224" t="s">
        <v>919</v>
      </c>
      <c r="D164" s="224">
        <v>-2.2772000000000001E-2</v>
      </c>
      <c r="E164" s="224">
        <v>0.31983</v>
      </c>
      <c r="F164" s="78" t="s">
        <v>952</v>
      </c>
      <c r="J164" s="78" t="s">
        <v>66</v>
      </c>
      <c r="K164" s="78" t="s">
        <v>393</v>
      </c>
    </row>
    <row r="165" spans="1:42" x14ac:dyDescent="0.2">
      <c r="A165" s="224"/>
      <c r="B165" s="224">
        <v>164</v>
      </c>
      <c r="C165" s="224" t="s">
        <v>919</v>
      </c>
      <c r="D165" s="224">
        <v>-2.8649999999999998E-2</v>
      </c>
      <c r="E165" s="224">
        <v>0.32668000000000003</v>
      </c>
      <c r="F165" s="78" t="s">
        <v>952</v>
      </c>
      <c r="H165" s="78">
        <f t="shared" si="1"/>
        <v>32</v>
      </c>
      <c r="K165" s="78">
        <v>-0.53907696430300001</v>
      </c>
      <c r="L165" s="78">
        <v>-0.12879788337299999</v>
      </c>
      <c r="M165" s="78">
        <v>0.103922179952</v>
      </c>
      <c r="N165" s="78">
        <v>-0.109033772377</v>
      </c>
      <c r="O165" s="78">
        <v>-0.15366489928900001</v>
      </c>
      <c r="P165" s="78">
        <v>-0.22578693906799999</v>
      </c>
      <c r="Q165" s="78">
        <v>-0.31810280531899998</v>
      </c>
      <c r="R165" s="78">
        <v>-0.20375542786299999</v>
      </c>
      <c r="S165" s="78">
        <v>-3.0340332806999999E-3</v>
      </c>
      <c r="T165" s="78">
        <v>-8.4264346599499995E-2</v>
      </c>
      <c r="U165" s="78">
        <v>-5.3406140655600003E-2</v>
      </c>
      <c r="V165" s="78">
        <v>4.4003034901599999E-2</v>
      </c>
      <c r="W165" s="78">
        <v>6.8848702674000006E-2</v>
      </c>
      <c r="X165" s="78">
        <v>-2.62087818456E-2</v>
      </c>
      <c r="Y165" s="78">
        <v>-0.13748102422799999</v>
      </c>
      <c r="Z165" s="78">
        <v>-0.23993545134300001</v>
      </c>
      <c r="AA165" s="78">
        <v>-0.37247558108700002</v>
      </c>
      <c r="AB165" s="78">
        <v>-0.39449176592500002</v>
      </c>
      <c r="AC165" s="78">
        <v>-0.28438678091300001</v>
      </c>
      <c r="AD165" s="78">
        <v>-0.32620598865700001</v>
      </c>
      <c r="AE165" s="78">
        <v>-0.10275078231199999</v>
      </c>
      <c r="AF165" s="78">
        <v>9.0883288280999994E-2</v>
      </c>
      <c r="AG165" s="78">
        <v>9.1886180127899994E-2</v>
      </c>
      <c r="AH165" s="78">
        <v>0.14699538707000001</v>
      </c>
      <c r="AI165" s="78">
        <v>4.85863044602E-2</v>
      </c>
      <c r="AJ165" s="78">
        <v>0.221934208287</v>
      </c>
      <c r="AK165" s="78">
        <v>0.38478513653099999</v>
      </c>
      <c r="AL165" s="78">
        <v>0.40762388622500001</v>
      </c>
      <c r="AM165" s="78">
        <v>0.62218680002000004</v>
      </c>
      <c r="AN165" s="78">
        <v>0.58321588664699997</v>
      </c>
      <c r="AO165" s="78">
        <v>0.39992197013199998</v>
      </c>
      <c r="AP165" s="78">
        <v>0.48806640312999999</v>
      </c>
    </row>
    <row r="166" spans="1:42" x14ac:dyDescent="0.2">
      <c r="A166" s="224"/>
      <c r="B166" s="224">
        <v>165</v>
      </c>
      <c r="C166" s="224" t="s">
        <v>919</v>
      </c>
      <c r="D166" s="224">
        <v>-4.1188000000000002E-2</v>
      </c>
      <c r="E166" s="224">
        <v>0.35225000000000001</v>
      </c>
      <c r="F166" s="78" t="s">
        <v>952</v>
      </c>
      <c r="J166" s="78" t="s">
        <v>66</v>
      </c>
      <c r="K166" s="78" t="s">
        <v>394</v>
      </c>
    </row>
    <row r="167" spans="1:42" x14ac:dyDescent="0.2">
      <c r="A167" s="224"/>
      <c r="B167" s="224">
        <v>166</v>
      </c>
      <c r="C167" s="224" t="s">
        <v>919</v>
      </c>
      <c r="D167" s="224">
        <v>3.1688000000000001E-2</v>
      </c>
      <c r="E167" s="224">
        <v>0.68194999999999995</v>
      </c>
      <c r="F167" s="78" t="s">
        <v>952</v>
      </c>
      <c r="H167" s="78">
        <f t="shared" si="1"/>
        <v>32</v>
      </c>
      <c r="K167" s="78">
        <v>-0.17607738081800001</v>
      </c>
      <c r="L167" s="78">
        <v>-0.20439168263800001</v>
      </c>
      <c r="M167" s="78">
        <v>-5.0672530496199998E-2</v>
      </c>
      <c r="N167" s="78">
        <v>-8.3745697203200006E-2</v>
      </c>
      <c r="O167" s="78">
        <v>5.91822893394E-2</v>
      </c>
      <c r="P167" s="78">
        <v>3.9418916387399999E-2</v>
      </c>
      <c r="Q167" s="78">
        <v>-6.7782550174099995E-2</v>
      </c>
      <c r="R167" s="78">
        <v>-0.13677105436500001</v>
      </c>
      <c r="S167" s="78">
        <v>-0.107445551587</v>
      </c>
      <c r="T167" s="78">
        <v>8.2346009164000006E-2</v>
      </c>
      <c r="U167" s="78">
        <v>-1.40162883188E-2</v>
      </c>
      <c r="V167" s="78">
        <v>-8.8377460236000002E-2</v>
      </c>
      <c r="W167" s="78">
        <v>-2.4326397057200001E-2</v>
      </c>
      <c r="X167" s="78">
        <v>5.91693456975E-2</v>
      </c>
      <c r="Y167" s="78">
        <v>0.18935333232099999</v>
      </c>
      <c r="Z167" s="78">
        <v>0.19914303012099999</v>
      </c>
      <c r="AA167" s="78">
        <v>0.25710190274900002</v>
      </c>
      <c r="AB167" s="78">
        <v>0.18107234871200001</v>
      </c>
      <c r="AC167" s="78">
        <v>0.119048066944</v>
      </c>
      <c r="AD167" s="78">
        <v>0.13500332226199999</v>
      </c>
      <c r="AE167" s="78">
        <v>5.9084754748999997E-2</v>
      </c>
      <c r="AF167" s="78">
        <v>6.4859876796500002E-2</v>
      </c>
      <c r="AG167" s="78">
        <v>8.0267307965999998E-2</v>
      </c>
      <c r="AH167" s="78">
        <v>-1.97538152928E-2</v>
      </c>
      <c r="AI167" s="78">
        <v>0.123417133321</v>
      </c>
      <c r="AJ167" s="78">
        <v>-6.5164399294400002E-2</v>
      </c>
      <c r="AK167" s="78">
        <v>-5.3751466308199998E-2</v>
      </c>
      <c r="AL167" s="78">
        <v>-8.1893567917800003E-2</v>
      </c>
      <c r="AM167" s="78">
        <v>-0.20617538007700001</v>
      </c>
      <c r="AN167" s="78">
        <v>-5.18694305378E-2</v>
      </c>
      <c r="AO167" s="78">
        <v>-0.120647564493</v>
      </c>
      <c r="AP167" s="78">
        <v>-9.5605419715199993E-2</v>
      </c>
    </row>
    <row r="168" spans="1:42" x14ac:dyDescent="0.2">
      <c r="A168" s="224"/>
      <c r="B168" s="224">
        <v>167</v>
      </c>
      <c r="C168" s="224" t="s">
        <v>919</v>
      </c>
      <c r="D168" s="224">
        <v>6.2593999999999997E-2</v>
      </c>
      <c r="E168" s="224">
        <v>0.55774999999999997</v>
      </c>
      <c r="F168" s="78" t="s">
        <v>952</v>
      </c>
      <c r="J168" s="78" t="s">
        <v>66</v>
      </c>
      <c r="K168" s="78" t="s">
        <v>395</v>
      </c>
    </row>
    <row r="169" spans="1:42" x14ac:dyDescent="0.2">
      <c r="A169" s="224"/>
      <c r="B169" s="224">
        <v>168</v>
      </c>
      <c r="C169" s="224" t="s">
        <v>919</v>
      </c>
      <c r="D169" s="224">
        <v>0.37669999999999998</v>
      </c>
      <c r="E169" s="224">
        <v>0.50104000000000004</v>
      </c>
      <c r="F169" s="78" t="s">
        <v>952</v>
      </c>
      <c r="H169" s="78">
        <f t="shared" si="1"/>
        <v>32</v>
      </c>
      <c r="K169" s="78">
        <v>-0.17683410148100001</v>
      </c>
      <c r="L169" s="78">
        <v>-0.135381805849</v>
      </c>
      <c r="M169" s="78">
        <v>3.0066126846000001E-2</v>
      </c>
      <c r="N169" s="78">
        <v>-0.342390679616</v>
      </c>
      <c r="O169" s="78">
        <v>-0.44793465019299999</v>
      </c>
      <c r="P169" s="78">
        <v>-9.5398765652999998E-2</v>
      </c>
      <c r="Q169" s="78">
        <v>-0.25117343608999998</v>
      </c>
      <c r="R169" s="78">
        <v>-8.9335319245000003E-2</v>
      </c>
      <c r="S169" s="78">
        <v>0.16208594798500001</v>
      </c>
      <c r="T169" s="78">
        <v>-0.11463309112</v>
      </c>
      <c r="U169" s="78">
        <v>-9.7110091178500002E-3</v>
      </c>
      <c r="V169" s="78">
        <v>5.8025734789700002E-2</v>
      </c>
      <c r="W169" s="78">
        <v>-0.118066654427</v>
      </c>
      <c r="X169" s="78">
        <v>-0.154906289429</v>
      </c>
      <c r="Y169" s="78">
        <v>-9.45570657143E-3</v>
      </c>
      <c r="Z169" s="78">
        <v>-3.41397592835E-2</v>
      </c>
      <c r="AA169" s="78">
        <v>8.6986810417400001E-2</v>
      </c>
      <c r="AB169" s="78">
        <v>7.7362454777100007E-2</v>
      </c>
      <c r="AC169" s="78">
        <v>0.190231137286</v>
      </c>
      <c r="AD169" s="78">
        <v>0.1137590654</v>
      </c>
      <c r="AE169" s="78">
        <v>0.230317650756</v>
      </c>
      <c r="AF169" s="78">
        <v>0.32562672312199997</v>
      </c>
      <c r="AG169" s="78">
        <v>6.7616975466900001E-2</v>
      </c>
      <c r="AH169" s="78">
        <v>-5.4654234640099997E-2</v>
      </c>
      <c r="AI169" s="78">
        <v>-9.5362094571899994E-2</v>
      </c>
      <c r="AJ169" s="78">
        <v>-0.105299408095</v>
      </c>
      <c r="AK169" s="78">
        <v>6.7518156508799998E-2</v>
      </c>
      <c r="AL169" s="78">
        <v>0.36912088240800001</v>
      </c>
      <c r="AM169" s="78">
        <v>0.316395511091</v>
      </c>
      <c r="AN169" s="78">
        <v>9.2108970861400005E-2</v>
      </c>
      <c r="AO169" s="78">
        <v>1.07841728024E-2</v>
      </c>
      <c r="AP169" s="78">
        <v>3.6670684865800003E-2</v>
      </c>
    </row>
    <row r="170" spans="1:42" x14ac:dyDescent="0.2">
      <c r="A170" s="224"/>
      <c r="B170" s="224">
        <v>169</v>
      </c>
      <c r="C170" s="224" t="s">
        <v>919</v>
      </c>
      <c r="D170" s="224">
        <v>-0.13025</v>
      </c>
      <c r="E170" s="224">
        <v>0.36204999999999998</v>
      </c>
      <c r="F170" s="78" t="s">
        <v>952</v>
      </c>
      <c r="J170" s="78" t="s">
        <v>66</v>
      </c>
      <c r="K170" s="78" t="s">
        <v>396</v>
      </c>
    </row>
    <row r="171" spans="1:42" x14ac:dyDescent="0.2">
      <c r="A171" s="224"/>
      <c r="B171" s="224">
        <v>170</v>
      </c>
      <c r="C171" s="224" t="s">
        <v>919</v>
      </c>
      <c r="D171" s="224">
        <v>-0.11816</v>
      </c>
      <c r="E171" s="224">
        <v>0.33056000000000002</v>
      </c>
      <c r="F171" s="78" t="s">
        <v>952</v>
      </c>
      <c r="J171" s="78">
        <v>1</v>
      </c>
    </row>
    <row r="172" spans="1:42" x14ac:dyDescent="0.2">
      <c r="A172" s="224"/>
      <c r="B172" s="224">
        <v>171</v>
      </c>
      <c r="C172" s="224" t="s">
        <v>919</v>
      </c>
      <c r="D172" s="224">
        <v>-0.10460999999999999</v>
      </c>
      <c r="E172" s="224">
        <v>0.32113999999999998</v>
      </c>
      <c r="F172" s="78" t="s">
        <v>952</v>
      </c>
      <c r="J172" s="78" t="s">
        <v>66</v>
      </c>
      <c r="K172" s="78" t="s">
        <v>397</v>
      </c>
    </row>
    <row r="173" spans="1:42" x14ac:dyDescent="0.2">
      <c r="A173" s="224"/>
      <c r="B173" s="224">
        <v>172</v>
      </c>
      <c r="C173" s="224" t="s">
        <v>919</v>
      </c>
      <c r="D173" s="224">
        <v>-7.8809000000000004E-2</v>
      </c>
      <c r="E173" s="224">
        <v>0.32618000000000003</v>
      </c>
      <c r="F173" s="78" t="s">
        <v>952</v>
      </c>
      <c r="J173" s="78">
        <v>3</v>
      </c>
    </row>
    <row r="174" spans="1:42" x14ac:dyDescent="0.2">
      <c r="A174" s="224"/>
      <c r="B174" s="224">
        <v>173</v>
      </c>
      <c r="C174" s="224" t="s">
        <v>919</v>
      </c>
      <c r="D174" s="224">
        <v>-5.4991999999999999E-2</v>
      </c>
      <c r="E174" s="224">
        <v>0.34172000000000002</v>
      </c>
      <c r="F174" s="78" t="s">
        <v>952</v>
      </c>
      <c r="J174" s="78" t="s">
        <v>66</v>
      </c>
      <c r="K174" s="78" t="s">
        <v>398</v>
      </c>
    </row>
    <row r="175" spans="1:42" x14ac:dyDescent="0.2">
      <c r="A175" s="224"/>
      <c r="B175" s="224">
        <v>174</v>
      </c>
      <c r="C175" s="224" t="s">
        <v>919</v>
      </c>
      <c r="D175" s="224">
        <v>-3.5706000000000002E-2</v>
      </c>
      <c r="E175" s="224">
        <v>0.37647999999999998</v>
      </c>
      <c r="F175" s="78" t="s">
        <v>952</v>
      </c>
      <c r="J175" s="78">
        <v>0.9</v>
      </c>
    </row>
    <row r="176" spans="1:42" x14ac:dyDescent="0.2">
      <c r="A176" s="224"/>
      <c r="B176" s="224">
        <v>175</v>
      </c>
      <c r="C176" s="224" t="s">
        <v>919</v>
      </c>
      <c r="D176" s="224">
        <v>5.1539000000000001E-2</v>
      </c>
      <c r="E176" s="224">
        <v>0.46155000000000002</v>
      </c>
      <c r="F176" s="78" t="s">
        <v>952</v>
      </c>
      <c r="J176" s="78" t="s">
        <v>66</v>
      </c>
      <c r="K176" s="78" t="s">
        <v>399</v>
      </c>
    </row>
    <row r="177" spans="1:60" x14ac:dyDescent="0.2">
      <c r="A177" s="224"/>
      <c r="B177" s="224">
        <v>176</v>
      </c>
      <c r="C177" s="224" t="s">
        <v>919</v>
      </c>
      <c r="D177" s="224">
        <v>2.2110000000000001E-2</v>
      </c>
      <c r="E177" s="224">
        <v>0.69069000000000003</v>
      </c>
      <c r="F177" s="78" t="s">
        <v>952</v>
      </c>
      <c r="J177" s="78">
        <v>5</v>
      </c>
    </row>
    <row r="178" spans="1:60" x14ac:dyDescent="0.2">
      <c r="A178" s="224"/>
      <c r="B178" s="224">
        <v>177</v>
      </c>
      <c r="C178" s="224" t="s">
        <v>919</v>
      </c>
      <c r="D178" s="224">
        <v>0.40043000000000001</v>
      </c>
      <c r="E178" s="224">
        <v>0.56167</v>
      </c>
      <c r="F178" s="78" t="s">
        <v>952</v>
      </c>
      <c r="J178" s="78" t="s">
        <v>66</v>
      </c>
      <c r="K178" s="78" t="s">
        <v>400</v>
      </c>
    </row>
    <row r="179" spans="1:60" x14ac:dyDescent="0.2">
      <c r="A179" s="224"/>
      <c r="B179" s="224">
        <v>178</v>
      </c>
      <c r="C179" s="224" t="s">
        <v>919</v>
      </c>
      <c r="D179" s="224">
        <v>3.1205E-2</v>
      </c>
      <c r="E179" s="224">
        <v>0.45121</v>
      </c>
      <c r="F179" s="78" t="s">
        <v>952</v>
      </c>
      <c r="K179" s="78">
        <v>0</v>
      </c>
      <c r="L179" s="78">
        <v>0</v>
      </c>
      <c r="M179" s="78">
        <v>0</v>
      </c>
      <c r="N179" s="78">
        <v>0</v>
      </c>
      <c r="O179" s="78">
        <v>0</v>
      </c>
      <c r="P179" s="78">
        <v>0</v>
      </c>
      <c r="Q179" s="78">
        <v>0</v>
      </c>
      <c r="R179" s="78">
        <v>0</v>
      </c>
      <c r="S179" s="78">
        <v>0</v>
      </c>
      <c r="T179" s="78">
        <v>0</v>
      </c>
      <c r="U179" s="78">
        <v>0</v>
      </c>
      <c r="V179" s="78">
        <v>0</v>
      </c>
      <c r="W179" s="78">
        <v>0</v>
      </c>
      <c r="X179" s="78">
        <v>0</v>
      </c>
      <c r="Y179" s="78">
        <v>0</v>
      </c>
      <c r="Z179" s="78">
        <v>0</v>
      </c>
      <c r="AA179" s="78">
        <v>0</v>
      </c>
      <c r="AB179" s="78">
        <v>0</v>
      </c>
      <c r="AC179" s="78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8">
        <v>0</v>
      </c>
      <c r="AJ179" s="78">
        <v>0</v>
      </c>
      <c r="AK179" s="78">
        <v>0</v>
      </c>
      <c r="AL179" s="78">
        <v>0</v>
      </c>
      <c r="AM179" s="78">
        <v>0</v>
      </c>
      <c r="AN179" s="78">
        <v>0</v>
      </c>
      <c r="AO179" s="78">
        <v>0</v>
      </c>
      <c r="AP179" s="78">
        <v>0</v>
      </c>
      <c r="AQ179" s="78">
        <v>0</v>
      </c>
      <c r="AR179" s="78">
        <v>0</v>
      </c>
      <c r="AS179" s="78">
        <v>0</v>
      </c>
      <c r="AT179" s="78">
        <v>0</v>
      </c>
      <c r="AU179" s="78">
        <v>0</v>
      </c>
      <c r="AV179" s="78">
        <v>0</v>
      </c>
      <c r="AW179" s="78">
        <v>0</v>
      </c>
      <c r="AX179" s="78">
        <v>0</v>
      </c>
      <c r="AY179" s="78">
        <v>0</v>
      </c>
      <c r="AZ179" s="78">
        <v>0</v>
      </c>
      <c r="BA179" s="78">
        <v>0</v>
      </c>
      <c r="BB179" s="78">
        <v>0</v>
      </c>
      <c r="BC179" s="78">
        <v>0</v>
      </c>
      <c r="BD179" s="78">
        <v>0</v>
      </c>
      <c r="BE179" s="78">
        <v>0</v>
      </c>
      <c r="BF179" s="78">
        <v>0</v>
      </c>
      <c r="BG179" s="78">
        <v>0</v>
      </c>
      <c r="BH179" s="78">
        <v>0</v>
      </c>
    </row>
    <row r="180" spans="1:60" x14ac:dyDescent="0.2">
      <c r="A180" s="224"/>
      <c r="B180" s="224">
        <v>179</v>
      </c>
      <c r="C180" s="224" t="s">
        <v>919</v>
      </c>
      <c r="D180" s="224">
        <v>-0.25646999999999998</v>
      </c>
      <c r="E180" s="224">
        <v>0.37079000000000001</v>
      </c>
      <c r="F180" s="78" t="s">
        <v>952</v>
      </c>
      <c r="J180" s="78" t="s">
        <v>66</v>
      </c>
      <c r="K180" s="78" t="s">
        <v>401</v>
      </c>
    </row>
    <row r="181" spans="1:60" x14ac:dyDescent="0.2">
      <c r="A181" s="224"/>
      <c r="B181" s="224">
        <v>180</v>
      </c>
      <c r="C181" s="224" t="s">
        <v>919</v>
      </c>
      <c r="D181" s="224">
        <v>-0.2316</v>
      </c>
      <c r="E181" s="224">
        <v>0.34628999999999999</v>
      </c>
      <c r="F181" s="78" t="s">
        <v>952</v>
      </c>
      <c r="K181" s="78">
        <v>0</v>
      </c>
      <c r="L181" s="78">
        <v>0</v>
      </c>
      <c r="M181" s="78">
        <v>0</v>
      </c>
      <c r="N181" s="78">
        <v>0</v>
      </c>
      <c r="O181" s="78">
        <v>0</v>
      </c>
      <c r="P181" s="78">
        <v>0</v>
      </c>
      <c r="Q181" s="78">
        <v>0</v>
      </c>
      <c r="R181" s="78">
        <v>0</v>
      </c>
      <c r="S181" s="78">
        <v>0</v>
      </c>
      <c r="T181" s="78">
        <v>0</v>
      </c>
      <c r="U181" s="78">
        <v>0</v>
      </c>
      <c r="V181" s="78">
        <v>0</v>
      </c>
      <c r="W181" s="78">
        <v>0</v>
      </c>
      <c r="X181" s="78">
        <v>0</v>
      </c>
      <c r="Y181" s="78">
        <v>0</v>
      </c>
      <c r="Z181" s="78">
        <v>0</v>
      </c>
      <c r="AA181" s="78">
        <v>0</v>
      </c>
      <c r="AB181" s="78">
        <v>0</v>
      </c>
      <c r="AC181" s="78">
        <v>0</v>
      </c>
      <c r="AD181" s="78">
        <v>0</v>
      </c>
      <c r="AE181" s="78">
        <v>0</v>
      </c>
      <c r="AF181" s="78">
        <v>0</v>
      </c>
      <c r="AG181" s="78">
        <v>0</v>
      </c>
      <c r="AH181" s="78">
        <v>0</v>
      </c>
      <c r="AI181" s="78">
        <v>0</v>
      </c>
      <c r="AJ181" s="78">
        <v>0</v>
      </c>
      <c r="AK181" s="78">
        <v>0</v>
      </c>
      <c r="AL181" s="78">
        <v>0</v>
      </c>
      <c r="AM181" s="78">
        <v>0</v>
      </c>
      <c r="AN181" s="78">
        <v>0</v>
      </c>
      <c r="AO181" s="78">
        <v>0</v>
      </c>
      <c r="AP181" s="78">
        <v>0</v>
      </c>
      <c r="AQ181" s="78">
        <v>0</v>
      </c>
      <c r="AR181" s="78">
        <v>0</v>
      </c>
      <c r="AS181" s="78">
        <v>0</v>
      </c>
      <c r="AT181" s="78">
        <v>0</v>
      </c>
      <c r="AU181" s="78">
        <v>0</v>
      </c>
      <c r="AV181" s="78">
        <v>0</v>
      </c>
      <c r="AW181" s="78">
        <v>0</v>
      </c>
      <c r="AX181" s="78">
        <v>0</v>
      </c>
      <c r="AY181" s="78">
        <v>0</v>
      </c>
      <c r="AZ181" s="78">
        <v>0</v>
      </c>
      <c r="BA181" s="78">
        <v>0</v>
      </c>
      <c r="BB181" s="78">
        <v>0</v>
      </c>
      <c r="BC181" s="78">
        <v>0</v>
      </c>
      <c r="BD181" s="78">
        <v>0</v>
      </c>
      <c r="BE181" s="78">
        <v>0</v>
      </c>
      <c r="BF181" s="78">
        <v>0</v>
      </c>
      <c r="BG181" s="78">
        <v>0</v>
      </c>
      <c r="BH181" s="78">
        <v>0</v>
      </c>
    </row>
    <row r="182" spans="1:60" x14ac:dyDescent="0.2">
      <c r="A182" s="224"/>
      <c r="B182" s="224">
        <v>181</v>
      </c>
      <c r="C182" s="224" t="s">
        <v>919</v>
      </c>
      <c r="D182" s="224">
        <v>-0.21259</v>
      </c>
      <c r="E182" s="224">
        <v>0.36347000000000002</v>
      </c>
      <c r="F182" s="78" t="s">
        <v>952</v>
      </c>
      <c r="J182" s="78" t="s">
        <v>66</v>
      </c>
      <c r="K182" s="78" t="s">
        <v>402</v>
      </c>
    </row>
    <row r="183" spans="1:60" x14ac:dyDescent="0.2">
      <c r="A183" s="224"/>
      <c r="B183" s="224">
        <v>182</v>
      </c>
      <c r="C183" s="224" t="s">
        <v>919</v>
      </c>
      <c r="D183" s="224">
        <v>-4.5227000000000003E-2</v>
      </c>
      <c r="E183" s="224">
        <v>0.39001999999999998</v>
      </c>
      <c r="F183" s="78" t="s">
        <v>952</v>
      </c>
      <c r="K183" s="78">
        <v>0</v>
      </c>
      <c r="L183" s="78">
        <v>0</v>
      </c>
      <c r="M183" s="78">
        <v>0</v>
      </c>
      <c r="N183" s="78">
        <v>0</v>
      </c>
      <c r="O183" s="78">
        <v>0</v>
      </c>
      <c r="P183" s="78">
        <v>0</v>
      </c>
      <c r="Q183" s="78">
        <v>0</v>
      </c>
      <c r="R183" s="78">
        <v>0</v>
      </c>
      <c r="S183" s="78">
        <v>0</v>
      </c>
      <c r="T183" s="78">
        <v>0</v>
      </c>
      <c r="U183" s="78">
        <v>0</v>
      </c>
      <c r="V183" s="78">
        <v>0</v>
      </c>
      <c r="W183" s="78">
        <v>0</v>
      </c>
      <c r="X183" s="78">
        <v>0</v>
      </c>
      <c r="Y183" s="78">
        <v>0</v>
      </c>
      <c r="Z183" s="78">
        <v>0</v>
      </c>
      <c r="AA183" s="78">
        <v>0</v>
      </c>
      <c r="AB183" s="78">
        <v>0</v>
      </c>
      <c r="AC183" s="78">
        <v>0</v>
      </c>
      <c r="AD183" s="78">
        <v>0</v>
      </c>
      <c r="AE183" s="78">
        <v>0</v>
      </c>
      <c r="AF183" s="78">
        <v>0</v>
      </c>
      <c r="AG183" s="78">
        <v>0</v>
      </c>
      <c r="AH183" s="78">
        <v>0</v>
      </c>
      <c r="AI183" s="78">
        <v>0</v>
      </c>
      <c r="AJ183" s="78">
        <v>0</v>
      </c>
      <c r="AK183" s="78">
        <v>0</v>
      </c>
      <c r="AL183" s="78">
        <v>0</v>
      </c>
      <c r="AM183" s="78">
        <v>0</v>
      </c>
      <c r="AN183" s="78">
        <v>0</v>
      </c>
      <c r="AO183" s="78">
        <v>0</v>
      </c>
      <c r="AP183" s="78">
        <v>0</v>
      </c>
      <c r="AQ183" s="78">
        <v>0</v>
      </c>
      <c r="AR183" s="78">
        <v>0</v>
      </c>
      <c r="AS183" s="78">
        <v>0</v>
      </c>
      <c r="AT183" s="78">
        <v>0</v>
      </c>
      <c r="AU183" s="78">
        <v>0</v>
      </c>
      <c r="AV183" s="78">
        <v>0</v>
      </c>
      <c r="AW183" s="78">
        <v>0</v>
      </c>
      <c r="AX183" s="78">
        <v>0</v>
      </c>
      <c r="AY183" s="78">
        <v>0</v>
      </c>
      <c r="AZ183" s="78">
        <v>0</v>
      </c>
      <c r="BA183" s="78">
        <v>0</v>
      </c>
      <c r="BB183" s="78">
        <v>0</v>
      </c>
      <c r="BC183" s="78">
        <v>0</v>
      </c>
      <c r="BD183" s="78">
        <v>0</v>
      </c>
      <c r="BE183" s="78">
        <v>0</v>
      </c>
      <c r="BF183" s="78">
        <v>0</v>
      </c>
      <c r="BG183" s="78">
        <v>0</v>
      </c>
      <c r="BH183" s="78">
        <v>0</v>
      </c>
    </row>
    <row r="184" spans="1:60" x14ac:dyDescent="0.2">
      <c r="A184" s="224"/>
      <c r="B184" s="224">
        <v>183</v>
      </c>
      <c r="C184" s="224" t="s">
        <v>919</v>
      </c>
      <c r="D184" s="224">
        <v>-3.9660000000000001E-2</v>
      </c>
      <c r="E184" s="224">
        <v>0.37967000000000001</v>
      </c>
      <c r="F184" s="78" t="s">
        <v>952</v>
      </c>
      <c r="J184" s="78" t="s">
        <v>66</v>
      </c>
      <c r="K184" s="78" t="s">
        <v>405</v>
      </c>
    </row>
    <row r="185" spans="1:60" x14ac:dyDescent="0.2">
      <c r="A185" s="224"/>
      <c r="B185" s="224">
        <v>184</v>
      </c>
      <c r="C185" s="224" t="s">
        <v>919</v>
      </c>
      <c r="D185" s="224">
        <v>-3.5969000000000001E-2</v>
      </c>
      <c r="E185" s="224">
        <v>0.41225000000000001</v>
      </c>
      <c r="F185" s="78" t="s">
        <v>952</v>
      </c>
      <c r="H185" s="78">
        <f>COUNT(K185:BX185)</f>
        <v>5</v>
      </c>
      <c r="K185" s="78">
        <v>0</v>
      </c>
      <c r="L185" s="78">
        <v>0</v>
      </c>
      <c r="M185" s="78">
        <v>0</v>
      </c>
      <c r="N185" s="78">
        <v>0</v>
      </c>
      <c r="O185" s="78">
        <v>0</v>
      </c>
    </row>
    <row r="186" spans="1:60" x14ac:dyDescent="0.2">
      <c r="A186" s="224"/>
      <c r="B186" s="224">
        <v>185</v>
      </c>
      <c r="C186" s="224" t="s">
        <v>919</v>
      </c>
      <c r="D186" s="224">
        <v>0.36778</v>
      </c>
      <c r="E186" s="224">
        <v>0.46671000000000001</v>
      </c>
      <c r="F186" s="78" t="s">
        <v>952</v>
      </c>
    </row>
    <row r="187" spans="1:60" x14ac:dyDescent="0.2">
      <c r="A187" s="224"/>
      <c r="B187" s="224">
        <v>186</v>
      </c>
      <c r="C187" s="224" t="s">
        <v>919</v>
      </c>
      <c r="D187" s="224">
        <v>-4.4246000000000001E-2</v>
      </c>
      <c r="E187" s="224">
        <v>0.6835</v>
      </c>
      <c r="F187" s="78" t="s">
        <v>952</v>
      </c>
    </row>
    <row r="188" spans="1:60" x14ac:dyDescent="0.2">
      <c r="A188" s="224"/>
      <c r="B188" s="224">
        <v>187</v>
      </c>
      <c r="C188" s="224" t="s">
        <v>919</v>
      </c>
      <c r="D188" s="224">
        <v>-0.17745</v>
      </c>
      <c r="E188" s="224">
        <v>0.56542000000000003</v>
      </c>
      <c r="F188" s="78" t="s">
        <v>952</v>
      </c>
    </row>
    <row r="189" spans="1:60" x14ac:dyDescent="0.2">
      <c r="A189" s="224"/>
      <c r="B189" s="224">
        <v>188</v>
      </c>
      <c r="C189" s="224" t="s">
        <v>919</v>
      </c>
      <c r="D189" s="224">
        <v>-0.14288999999999999</v>
      </c>
      <c r="E189" s="224">
        <v>0.45517999999999997</v>
      </c>
      <c r="F189" s="78" t="s">
        <v>952</v>
      </c>
    </row>
    <row r="190" spans="1:60" x14ac:dyDescent="0.2">
      <c r="A190" s="224"/>
      <c r="B190" s="224">
        <v>189</v>
      </c>
      <c r="C190" s="224" t="s">
        <v>919</v>
      </c>
      <c r="D190" s="224">
        <v>1.0194999999999999E-2</v>
      </c>
      <c r="E190" s="224">
        <v>0.45408999999999999</v>
      </c>
      <c r="F190" s="78" t="s">
        <v>952</v>
      </c>
    </row>
    <row r="191" spans="1:60" x14ac:dyDescent="0.2">
      <c r="A191" s="224"/>
      <c r="B191" s="224">
        <v>190</v>
      </c>
      <c r="C191" s="224" t="s">
        <v>919</v>
      </c>
      <c r="D191" s="224">
        <v>0.13350000000000001</v>
      </c>
      <c r="E191" s="224">
        <v>0.38002999999999998</v>
      </c>
      <c r="F191" s="78" t="s">
        <v>952</v>
      </c>
    </row>
    <row r="192" spans="1:60" x14ac:dyDescent="0.2">
      <c r="A192" s="224"/>
      <c r="B192" s="224">
        <v>191</v>
      </c>
      <c r="C192" s="224" t="s">
        <v>919</v>
      </c>
      <c r="D192" s="224">
        <v>0.12959000000000001</v>
      </c>
      <c r="E192" s="224">
        <v>0.38163000000000002</v>
      </c>
      <c r="F192" s="78" t="s">
        <v>952</v>
      </c>
    </row>
    <row r="193" spans="1:6" x14ac:dyDescent="0.2">
      <c r="A193" s="224"/>
      <c r="B193" s="224">
        <v>192</v>
      </c>
      <c r="C193" s="224" t="s">
        <v>919</v>
      </c>
      <c r="D193" s="224">
        <v>-3.7208999999999999E-2</v>
      </c>
      <c r="E193" s="224">
        <v>0.45910000000000001</v>
      </c>
      <c r="F193" s="78" t="s">
        <v>952</v>
      </c>
    </row>
    <row r="194" spans="1:6" x14ac:dyDescent="0.2">
      <c r="A194" s="224"/>
      <c r="B194" s="224">
        <v>193</v>
      </c>
      <c r="C194" s="224" t="s">
        <v>919</v>
      </c>
      <c r="D194" s="224">
        <v>-2.6571000000000001E-2</v>
      </c>
      <c r="E194" s="224">
        <v>0.56103000000000003</v>
      </c>
      <c r="F194" s="78" t="s">
        <v>952</v>
      </c>
    </row>
    <row r="195" spans="1:6" x14ac:dyDescent="0.2">
      <c r="A195" s="224"/>
      <c r="B195" s="224">
        <v>194</v>
      </c>
      <c r="C195" s="224" t="s">
        <v>919</v>
      </c>
      <c r="D195" s="224">
        <v>-1.6216999999999999E-2</v>
      </c>
      <c r="E195" s="224">
        <v>0.63078000000000001</v>
      </c>
      <c r="F195" s="78" t="s">
        <v>952</v>
      </c>
    </row>
    <row r="196" spans="1:6" x14ac:dyDescent="0.2">
      <c r="A196" s="224"/>
      <c r="B196" s="224">
        <v>195</v>
      </c>
      <c r="C196" s="224" t="s">
        <v>919</v>
      </c>
      <c r="D196" s="224">
        <v>0.17129</v>
      </c>
      <c r="E196" s="224">
        <v>0.42988999999999999</v>
      </c>
      <c r="F196" s="78" t="s">
        <v>952</v>
      </c>
    </row>
    <row r="197" spans="1:6" x14ac:dyDescent="0.2">
      <c r="A197" s="224"/>
      <c r="B197" s="224">
        <v>196</v>
      </c>
      <c r="C197" s="224" t="s">
        <v>919</v>
      </c>
      <c r="D197" s="224">
        <v>-8.0655000000000004E-2</v>
      </c>
      <c r="E197" s="224">
        <v>0.68632000000000004</v>
      </c>
      <c r="F197" s="78" t="s">
        <v>952</v>
      </c>
    </row>
    <row r="198" spans="1:6" x14ac:dyDescent="0.2">
      <c r="A198" s="224"/>
      <c r="B198" s="224">
        <v>197</v>
      </c>
      <c r="C198" s="224" t="s">
        <v>919</v>
      </c>
      <c r="D198" s="224">
        <v>0.38306000000000001</v>
      </c>
      <c r="E198" s="224">
        <v>0.59347000000000005</v>
      </c>
      <c r="F198" s="78" t="s">
        <v>952</v>
      </c>
    </row>
    <row r="199" spans="1:6" x14ac:dyDescent="0.2">
      <c r="A199" s="224"/>
      <c r="B199" s="224">
        <v>198</v>
      </c>
      <c r="C199" s="224" t="s">
        <v>919</v>
      </c>
      <c r="D199" s="224">
        <v>0.13718</v>
      </c>
      <c r="E199" s="224">
        <v>0.50143000000000004</v>
      </c>
      <c r="F199" s="78" t="s">
        <v>952</v>
      </c>
    </row>
    <row r="200" spans="1:6" x14ac:dyDescent="0.2">
      <c r="A200" s="224"/>
      <c r="B200" s="224">
        <v>199</v>
      </c>
      <c r="C200" s="224" t="s">
        <v>919</v>
      </c>
      <c r="D200" s="224">
        <v>4.0797E-2</v>
      </c>
      <c r="E200" s="224">
        <v>0.46655000000000002</v>
      </c>
      <c r="F200" s="78" t="s">
        <v>952</v>
      </c>
    </row>
    <row r="201" spans="1:6" x14ac:dyDescent="0.2">
      <c r="A201" s="224"/>
      <c r="B201" s="224">
        <v>200</v>
      </c>
      <c r="C201" s="224" t="s">
        <v>919</v>
      </c>
      <c r="D201" s="224">
        <v>-7.7221999999999999E-2</v>
      </c>
      <c r="E201" s="224">
        <v>0.37397000000000002</v>
      </c>
      <c r="F201" s="78" t="s">
        <v>952</v>
      </c>
    </row>
    <row r="202" spans="1:6" x14ac:dyDescent="0.2">
      <c r="A202" s="224"/>
      <c r="B202" s="224">
        <v>201</v>
      </c>
      <c r="C202" s="224" t="s">
        <v>919</v>
      </c>
      <c r="D202" s="224">
        <v>-6.0479999999999999E-2</v>
      </c>
      <c r="E202" s="224">
        <v>0.35476000000000002</v>
      </c>
      <c r="F202" s="78" t="s">
        <v>952</v>
      </c>
    </row>
    <row r="203" spans="1:6" x14ac:dyDescent="0.2">
      <c r="A203" s="224"/>
      <c r="B203" s="224">
        <v>202</v>
      </c>
      <c r="C203" s="224" t="s">
        <v>919</v>
      </c>
      <c r="D203" s="224">
        <v>-5.2698000000000002E-2</v>
      </c>
      <c r="E203" s="224">
        <v>0.37833</v>
      </c>
      <c r="F203" s="78" t="s">
        <v>952</v>
      </c>
    </row>
    <row r="204" spans="1:6" x14ac:dyDescent="0.2">
      <c r="A204" s="224"/>
      <c r="B204" s="224">
        <v>203</v>
      </c>
      <c r="C204" s="224" t="s">
        <v>919</v>
      </c>
      <c r="D204" s="224">
        <v>-6.5388000000000002E-2</v>
      </c>
      <c r="E204" s="224">
        <v>0.56310000000000004</v>
      </c>
      <c r="F204" s="78" t="s">
        <v>952</v>
      </c>
    </row>
    <row r="205" spans="1:6" x14ac:dyDescent="0.2">
      <c r="A205" s="224"/>
      <c r="B205" s="224">
        <v>204</v>
      </c>
      <c r="C205" s="224" t="s">
        <v>919</v>
      </c>
      <c r="D205" s="224">
        <v>-1.0763E-2</v>
      </c>
      <c r="E205" s="224">
        <v>0.64320999999999995</v>
      </c>
      <c r="F205" s="78" t="s">
        <v>952</v>
      </c>
    </row>
    <row r="206" spans="1:6" x14ac:dyDescent="0.2">
      <c r="A206" s="224"/>
      <c r="B206" s="224">
        <v>205</v>
      </c>
      <c r="C206" s="224" t="s">
        <v>919</v>
      </c>
      <c r="D206" s="224">
        <v>-0.21382000000000001</v>
      </c>
      <c r="E206" s="224">
        <v>0.43025000000000002</v>
      </c>
      <c r="F206" s="78" t="s">
        <v>952</v>
      </c>
    </row>
    <row r="207" spans="1:6" x14ac:dyDescent="0.2">
      <c r="A207" s="224"/>
      <c r="B207" s="224">
        <v>206</v>
      </c>
      <c r="C207" s="224" t="s">
        <v>919</v>
      </c>
      <c r="D207" s="224">
        <v>-0.10604</v>
      </c>
      <c r="E207" s="224">
        <v>0.69045999999999996</v>
      </c>
      <c r="F207" s="78" t="s">
        <v>952</v>
      </c>
    </row>
    <row r="208" spans="1:6" x14ac:dyDescent="0.2">
      <c r="A208" s="224"/>
      <c r="B208" s="224">
        <v>207</v>
      </c>
      <c r="C208" s="224" t="s">
        <v>919</v>
      </c>
      <c r="D208" s="224">
        <v>1.528E-2</v>
      </c>
      <c r="E208" s="224">
        <v>0.59933000000000003</v>
      </c>
      <c r="F208" s="78" t="s">
        <v>952</v>
      </c>
    </row>
    <row r="209" spans="1:6" x14ac:dyDescent="0.2">
      <c r="A209" s="224"/>
      <c r="B209" s="224">
        <v>208</v>
      </c>
      <c r="C209" s="224" t="s">
        <v>919</v>
      </c>
      <c r="D209" s="224">
        <v>-7.2588E-2</v>
      </c>
      <c r="E209" s="224">
        <v>0.52358000000000005</v>
      </c>
      <c r="F209" s="78" t="s">
        <v>952</v>
      </c>
    </row>
    <row r="210" spans="1:6" x14ac:dyDescent="0.2">
      <c r="A210" s="224"/>
      <c r="B210" s="224">
        <v>209</v>
      </c>
      <c r="C210" s="224" t="s">
        <v>919</v>
      </c>
      <c r="D210" s="224">
        <v>5.6764000000000002E-2</v>
      </c>
      <c r="E210" s="224">
        <v>0.36387000000000003</v>
      </c>
      <c r="F210" s="78" t="s">
        <v>952</v>
      </c>
    </row>
    <row r="211" spans="1:6" x14ac:dyDescent="0.2">
      <c r="A211" s="224"/>
      <c r="B211" s="224">
        <v>210</v>
      </c>
      <c r="C211" s="224" t="s">
        <v>919</v>
      </c>
      <c r="D211" s="224">
        <v>6.7115999999999995E-2</v>
      </c>
      <c r="E211" s="224">
        <v>0.33062000000000002</v>
      </c>
      <c r="F211" s="78" t="s">
        <v>952</v>
      </c>
    </row>
    <row r="212" spans="1:6" x14ac:dyDescent="0.2">
      <c r="A212" s="224"/>
      <c r="B212" s="224">
        <v>211</v>
      </c>
      <c r="C212" s="224" t="s">
        <v>919</v>
      </c>
      <c r="D212" s="224">
        <v>7.5524999999999995E-2</v>
      </c>
      <c r="E212" s="224">
        <v>0.32795999999999997</v>
      </c>
      <c r="F212" s="78" t="s">
        <v>952</v>
      </c>
    </row>
    <row r="213" spans="1:6" x14ac:dyDescent="0.2">
      <c r="A213" s="224"/>
      <c r="B213" s="224">
        <v>212</v>
      </c>
      <c r="C213" s="224" t="s">
        <v>919</v>
      </c>
      <c r="D213" s="224">
        <v>6.7218E-2</v>
      </c>
      <c r="E213" s="224">
        <v>0.34500999999999998</v>
      </c>
      <c r="F213" s="78" t="s">
        <v>952</v>
      </c>
    </row>
    <row r="214" spans="1:6" x14ac:dyDescent="0.2">
      <c r="A214" s="224"/>
      <c r="B214" s="224">
        <v>213</v>
      </c>
      <c r="C214" s="224" t="s">
        <v>919</v>
      </c>
      <c r="D214" s="224">
        <v>6.6464999999999996E-2</v>
      </c>
      <c r="E214" s="224">
        <v>0.39007999999999998</v>
      </c>
      <c r="F214" s="78" t="s">
        <v>952</v>
      </c>
    </row>
    <row r="215" spans="1:6" x14ac:dyDescent="0.2">
      <c r="A215" s="224"/>
      <c r="B215" s="224">
        <v>214</v>
      </c>
      <c r="C215" s="224" t="s">
        <v>919</v>
      </c>
      <c r="D215" s="224">
        <v>7.9699000000000002E-3</v>
      </c>
      <c r="E215" s="224">
        <v>0.64644999999999997</v>
      </c>
      <c r="F215" s="78" t="s">
        <v>952</v>
      </c>
    </row>
    <row r="216" spans="1:6" x14ac:dyDescent="0.2">
      <c r="A216" s="224"/>
      <c r="B216" s="224">
        <v>215</v>
      </c>
      <c r="C216" s="224" t="s">
        <v>919</v>
      </c>
      <c r="D216" s="224">
        <v>-0.17771999999999999</v>
      </c>
      <c r="E216" s="224">
        <v>0.43740000000000001</v>
      </c>
      <c r="F216" s="78" t="s">
        <v>952</v>
      </c>
    </row>
    <row r="217" spans="1:6" x14ac:dyDescent="0.2">
      <c r="A217" s="224"/>
      <c r="B217" s="224">
        <v>216</v>
      </c>
      <c r="C217" s="224" t="s">
        <v>919</v>
      </c>
      <c r="D217" s="224">
        <v>-6.4396999999999996E-2</v>
      </c>
      <c r="E217" s="224">
        <v>0.67256000000000005</v>
      </c>
      <c r="F217" s="78" t="s">
        <v>952</v>
      </c>
    </row>
    <row r="218" spans="1:6" x14ac:dyDescent="0.2">
      <c r="A218" s="224"/>
      <c r="B218" s="224">
        <v>217</v>
      </c>
      <c r="C218" s="224" t="s">
        <v>919</v>
      </c>
      <c r="D218" s="224">
        <v>0.24385000000000001</v>
      </c>
      <c r="E218" s="224">
        <v>0.5323</v>
      </c>
      <c r="F218" s="78" t="s">
        <v>952</v>
      </c>
    </row>
    <row r="219" spans="1:6" x14ac:dyDescent="0.2">
      <c r="A219" s="224"/>
      <c r="B219" s="224">
        <v>218</v>
      </c>
      <c r="C219" s="224" t="s">
        <v>919</v>
      </c>
      <c r="D219" s="224">
        <v>0.15859999999999999</v>
      </c>
      <c r="E219" s="224">
        <v>0.48008000000000001</v>
      </c>
      <c r="F219" s="78" t="s">
        <v>952</v>
      </c>
    </row>
    <row r="220" spans="1:6" x14ac:dyDescent="0.2">
      <c r="A220" s="224"/>
      <c r="B220" s="224">
        <v>219</v>
      </c>
      <c r="C220" s="224" t="s">
        <v>919</v>
      </c>
      <c r="D220" s="224">
        <v>-1.5689999999999999E-2</v>
      </c>
      <c r="E220" s="224">
        <v>0.35574</v>
      </c>
      <c r="F220" s="78" t="s">
        <v>952</v>
      </c>
    </row>
    <row r="221" spans="1:6" x14ac:dyDescent="0.2">
      <c r="A221" s="224"/>
      <c r="B221" s="224">
        <v>220</v>
      </c>
      <c r="C221" s="224" t="s">
        <v>919</v>
      </c>
      <c r="D221" s="224">
        <v>-2.3435000000000001E-2</v>
      </c>
      <c r="E221" s="224">
        <v>0.33089000000000002</v>
      </c>
      <c r="F221" s="78" t="s">
        <v>952</v>
      </c>
    </row>
    <row r="222" spans="1:6" x14ac:dyDescent="0.2">
      <c r="A222" s="224"/>
      <c r="B222" s="224">
        <v>221</v>
      </c>
      <c r="C222" s="224" t="s">
        <v>919</v>
      </c>
      <c r="D222" s="224">
        <v>-2.9437000000000001E-2</v>
      </c>
      <c r="E222" s="224">
        <v>0.33595000000000003</v>
      </c>
      <c r="F222" s="78" t="s">
        <v>952</v>
      </c>
    </row>
    <row r="223" spans="1:6" x14ac:dyDescent="0.2">
      <c r="A223" s="224"/>
      <c r="B223" s="224">
        <v>222</v>
      </c>
      <c r="C223" s="224" t="s">
        <v>919</v>
      </c>
      <c r="D223" s="224">
        <v>-2.3394000000000002E-2</v>
      </c>
      <c r="E223" s="224">
        <v>0.37026999999999999</v>
      </c>
      <c r="F223" s="78" t="s">
        <v>952</v>
      </c>
    </row>
    <row r="224" spans="1:6" x14ac:dyDescent="0.2">
      <c r="A224" s="224"/>
      <c r="B224" s="224">
        <v>223</v>
      </c>
      <c r="C224" s="224" t="s">
        <v>919</v>
      </c>
      <c r="D224" s="224">
        <v>-8.2874000000000003E-3</v>
      </c>
      <c r="E224" s="224">
        <v>0.53713</v>
      </c>
      <c r="F224" s="78" t="s">
        <v>952</v>
      </c>
    </row>
    <row r="225" spans="1:6" x14ac:dyDescent="0.2">
      <c r="A225" s="224"/>
      <c r="B225" s="224">
        <v>224</v>
      </c>
      <c r="C225" s="224" t="s">
        <v>919</v>
      </c>
      <c r="D225" s="224">
        <v>-7.4168999999999997E-3</v>
      </c>
      <c r="E225" s="224">
        <v>0.64598999999999995</v>
      </c>
      <c r="F225" s="78" t="s">
        <v>952</v>
      </c>
    </row>
    <row r="226" spans="1:6" x14ac:dyDescent="0.2">
      <c r="A226" s="224"/>
      <c r="B226" s="224">
        <v>225</v>
      </c>
      <c r="C226" s="224" t="s">
        <v>919</v>
      </c>
      <c r="D226" s="224">
        <v>-0.23039000000000001</v>
      </c>
      <c r="E226" s="224">
        <v>0.45926</v>
      </c>
      <c r="F226" s="78" t="s">
        <v>952</v>
      </c>
    </row>
    <row r="227" spans="1:6" x14ac:dyDescent="0.2">
      <c r="A227" s="224"/>
      <c r="B227" s="224">
        <v>226</v>
      </c>
      <c r="C227" s="224" t="s">
        <v>919</v>
      </c>
      <c r="D227" s="224">
        <v>-9.1488E-2</v>
      </c>
      <c r="E227" s="224">
        <v>0.67259000000000002</v>
      </c>
      <c r="F227" s="78" t="s">
        <v>952</v>
      </c>
    </row>
    <row r="228" spans="1:6" x14ac:dyDescent="0.2">
      <c r="A228" s="224"/>
      <c r="B228" s="224">
        <v>227</v>
      </c>
      <c r="C228" s="224" t="s">
        <v>919</v>
      </c>
      <c r="D228" s="224">
        <v>-0.52744000000000002</v>
      </c>
      <c r="E228" s="224">
        <v>0.49864999999999998</v>
      </c>
      <c r="F228" s="78" t="s">
        <v>952</v>
      </c>
    </row>
    <row r="229" spans="1:6" x14ac:dyDescent="0.2">
      <c r="A229" s="224"/>
      <c r="B229" s="224">
        <v>228</v>
      </c>
      <c r="C229" s="224" t="s">
        <v>919</v>
      </c>
      <c r="D229" s="224">
        <v>0.16131999999999999</v>
      </c>
      <c r="E229" s="224">
        <v>0.35926999999999998</v>
      </c>
      <c r="F229" s="78" t="s">
        <v>952</v>
      </c>
    </row>
    <row r="230" spans="1:6" x14ac:dyDescent="0.2">
      <c r="A230" s="224"/>
      <c r="B230" s="224">
        <v>229</v>
      </c>
      <c r="C230" s="224" t="s">
        <v>919</v>
      </c>
      <c r="D230" s="224">
        <v>9.8773E-2</v>
      </c>
      <c r="E230" s="224">
        <v>0.32958999999999999</v>
      </c>
      <c r="F230" s="78" t="s">
        <v>952</v>
      </c>
    </row>
    <row r="231" spans="1:6" x14ac:dyDescent="0.2">
      <c r="A231" s="224"/>
      <c r="B231" s="224">
        <v>230</v>
      </c>
      <c r="C231" s="224" t="s">
        <v>919</v>
      </c>
      <c r="D231" s="224">
        <v>6.6941000000000001E-2</v>
      </c>
      <c r="E231" s="224">
        <v>0.32382</v>
      </c>
      <c r="F231" s="78" t="s">
        <v>952</v>
      </c>
    </row>
    <row r="232" spans="1:6" x14ac:dyDescent="0.2">
      <c r="A232" s="224"/>
      <c r="B232" s="224">
        <v>231</v>
      </c>
      <c r="C232" s="224" t="s">
        <v>919</v>
      </c>
      <c r="D232" s="224">
        <v>5.756E-2</v>
      </c>
      <c r="E232" s="224">
        <v>0.33378999999999998</v>
      </c>
      <c r="F232" s="78" t="s">
        <v>952</v>
      </c>
    </row>
    <row r="233" spans="1:6" x14ac:dyDescent="0.2">
      <c r="A233" s="224"/>
      <c r="B233" s="224">
        <v>232</v>
      </c>
      <c r="C233" s="224" t="s">
        <v>919</v>
      </c>
      <c r="D233" s="224">
        <v>4.9078999999999998E-2</v>
      </c>
      <c r="E233" s="224">
        <v>0.36765999999999999</v>
      </c>
      <c r="F233" s="78" t="s">
        <v>952</v>
      </c>
    </row>
    <row r="234" spans="1:6" x14ac:dyDescent="0.2">
      <c r="A234" s="224"/>
      <c r="B234" s="224">
        <v>233</v>
      </c>
      <c r="C234" s="224" t="s">
        <v>919</v>
      </c>
      <c r="D234" s="224">
        <v>3.4605999999999998E-2</v>
      </c>
      <c r="E234" s="224">
        <v>0.53847999999999996</v>
      </c>
      <c r="F234" s="78" t="s">
        <v>952</v>
      </c>
    </row>
    <row r="235" spans="1:6" x14ac:dyDescent="0.2">
      <c r="A235" s="224"/>
      <c r="B235" s="224">
        <v>234</v>
      </c>
      <c r="C235" s="224" t="s">
        <v>919</v>
      </c>
      <c r="D235" s="224">
        <v>2.8611999999999999E-2</v>
      </c>
      <c r="E235" s="224">
        <v>0.64049</v>
      </c>
      <c r="F235" s="78" t="s">
        <v>952</v>
      </c>
    </row>
    <row r="236" spans="1:6" x14ac:dyDescent="0.2">
      <c r="A236" s="224"/>
      <c r="B236" s="224">
        <v>235</v>
      </c>
      <c r="C236" s="224" t="s">
        <v>919</v>
      </c>
      <c r="D236" s="224">
        <v>0.12204</v>
      </c>
      <c r="E236" s="224">
        <v>0.47361999999999999</v>
      </c>
      <c r="F236" s="78" t="s">
        <v>952</v>
      </c>
    </row>
    <row r="237" spans="1:6" x14ac:dyDescent="0.2">
      <c r="A237" s="224"/>
      <c r="B237" s="224">
        <v>236</v>
      </c>
      <c r="C237" s="224" t="s">
        <v>919</v>
      </c>
      <c r="D237" s="224">
        <v>-8.6798E-2</v>
      </c>
      <c r="E237" s="224">
        <v>0.66937999999999998</v>
      </c>
      <c r="F237" s="78" t="s">
        <v>952</v>
      </c>
    </row>
    <row r="238" spans="1:6" x14ac:dyDescent="0.2">
      <c r="A238" s="224"/>
      <c r="B238" s="224">
        <v>237</v>
      </c>
      <c r="C238" s="224" t="s">
        <v>919</v>
      </c>
      <c r="D238" s="224">
        <v>-3.2849999999999997E-2</v>
      </c>
      <c r="E238" s="224">
        <v>0.51924000000000003</v>
      </c>
      <c r="F238" s="78" t="s">
        <v>952</v>
      </c>
    </row>
    <row r="239" spans="1:6" x14ac:dyDescent="0.2">
      <c r="A239" s="224"/>
      <c r="B239" s="224">
        <v>238</v>
      </c>
      <c r="C239" s="224" t="s">
        <v>919</v>
      </c>
      <c r="D239" s="224">
        <v>-0.20437</v>
      </c>
      <c r="E239" s="224">
        <v>0.4042</v>
      </c>
      <c r="F239" s="78" t="s">
        <v>952</v>
      </c>
    </row>
    <row r="240" spans="1:6" x14ac:dyDescent="0.2">
      <c r="A240" s="224"/>
      <c r="B240" s="224">
        <v>239</v>
      </c>
      <c r="C240" s="224" t="s">
        <v>919</v>
      </c>
      <c r="D240" s="224">
        <v>8.2344000000000001E-2</v>
      </c>
      <c r="E240" s="224">
        <v>0.34678999999999999</v>
      </c>
      <c r="F240" s="78" t="s">
        <v>952</v>
      </c>
    </row>
    <row r="241" spans="1:6" x14ac:dyDescent="0.2">
      <c r="A241" s="224"/>
      <c r="B241" s="224">
        <v>240</v>
      </c>
      <c r="C241" s="224" t="s">
        <v>919</v>
      </c>
      <c r="D241" s="224">
        <v>7.5122999999999995E-2</v>
      </c>
      <c r="E241" s="224">
        <v>0.32946999999999999</v>
      </c>
      <c r="F241" s="78" t="s">
        <v>952</v>
      </c>
    </row>
    <row r="242" spans="1:6" x14ac:dyDescent="0.2">
      <c r="A242" s="224"/>
      <c r="B242" s="224">
        <v>241</v>
      </c>
      <c r="C242" s="224" t="s">
        <v>919</v>
      </c>
      <c r="D242" s="224">
        <v>6.6368999999999997E-2</v>
      </c>
      <c r="E242" s="224">
        <v>0.32916000000000001</v>
      </c>
      <c r="F242" s="78" t="s">
        <v>952</v>
      </c>
    </row>
    <row r="243" spans="1:6" x14ac:dyDescent="0.2">
      <c r="A243" s="224"/>
      <c r="B243" s="224">
        <v>242</v>
      </c>
      <c r="C243" s="224" t="s">
        <v>919</v>
      </c>
      <c r="D243" s="224">
        <v>5.7475999999999999E-2</v>
      </c>
      <c r="E243" s="224">
        <v>0.34287000000000001</v>
      </c>
      <c r="F243" s="78" t="s">
        <v>952</v>
      </c>
    </row>
    <row r="244" spans="1:6" x14ac:dyDescent="0.2">
      <c r="A244" s="224"/>
      <c r="B244" s="224">
        <v>243</v>
      </c>
      <c r="C244" s="224" t="s">
        <v>919</v>
      </c>
      <c r="D244" s="224">
        <v>5.0074E-2</v>
      </c>
      <c r="E244" s="224">
        <v>0.38125999999999999</v>
      </c>
      <c r="F244" s="78" t="s">
        <v>952</v>
      </c>
    </row>
    <row r="245" spans="1:6" x14ac:dyDescent="0.2">
      <c r="A245" s="224"/>
      <c r="B245" s="224">
        <v>244</v>
      </c>
      <c r="C245" s="224" t="s">
        <v>919</v>
      </c>
      <c r="D245" s="224">
        <v>4.5161E-2</v>
      </c>
      <c r="E245" s="224">
        <v>0.62948000000000004</v>
      </c>
      <c r="F245" s="78" t="s">
        <v>952</v>
      </c>
    </row>
    <row r="246" spans="1:6" x14ac:dyDescent="0.2">
      <c r="A246" s="224"/>
      <c r="B246" s="224">
        <v>245</v>
      </c>
      <c r="C246" s="224" t="s">
        <v>919</v>
      </c>
      <c r="D246" s="224">
        <v>-5.2532000000000002E-2</v>
      </c>
      <c r="E246" s="224">
        <v>0.47838999999999998</v>
      </c>
      <c r="F246" s="78" t="s">
        <v>952</v>
      </c>
    </row>
    <row r="247" spans="1:6" x14ac:dyDescent="0.2">
      <c r="A247" s="224"/>
      <c r="B247" s="224">
        <v>246</v>
      </c>
      <c r="C247" s="224" t="s">
        <v>919</v>
      </c>
      <c r="D247" s="224">
        <v>-3.4243000000000003E-2</v>
      </c>
      <c r="E247" s="224">
        <v>0.66208</v>
      </c>
      <c r="F247" s="78" t="s">
        <v>952</v>
      </c>
    </row>
    <row r="248" spans="1:6" x14ac:dyDescent="0.2">
      <c r="A248" s="224"/>
      <c r="B248" s="224">
        <v>247</v>
      </c>
      <c r="C248" s="224" t="s">
        <v>919</v>
      </c>
      <c r="D248" s="224">
        <v>0.32377</v>
      </c>
      <c r="E248" s="224">
        <v>0.54459000000000002</v>
      </c>
      <c r="F248" s="78" t="s">
        <v>952</v>
      </c>
    </row>
    <row r="249" spans="1:6" x14ac:dyDescent="0.2">
      <c r="A249" s="224"/>
      <c r="B249" s="224">
        <v>248</v>
      </c>
      <c r="C249" s="224" t="s">
        <v>919</v>
      </c>
      <c r="D249" s="224">
        <v>-0.12912000000000001</v>
      </c>
      <c r="E249" s="224">
        <v>0.47376000000000001</v>
      </c>
      <c r="F249" s="78" t="s">
        <v>952</v>
      </c>
    </row>
    <row r="250" spans="1:6" x14ac:dyDescent="0.2">
      <c r="A250" s="224"/>
      <c r="B250" s="224">
        <v>249</v>
      </c>
      <c r="C250" s="224" t="s">
        <v>919</v>
      </c>
      <c r="D250" s="224">
        <v>-0.11695999999999999</v>
      </c>
      <c r="E250" s="224">
        <v>0.45185999999999998</v>
      </c>
      <c r="F250" s="78" t="s">
        <v>952</v>
      </c>
    </row>
    <row r="251" spans="1:6" x14ac:dyDescent="0.2">
      <c r="A251" s="224"/>
      <c r="B251" s="224">
        <v>250</v>
      </c>
      <c r="C251" s="224" t="s">
        <v>919</v>
      </c>
      <c r="D251" s="224">
        <v>-1.2463999999999999E-2</v>
      </c>
      <c r="E251" s="224">
        <v>0.35919000000000001</v>
      </c>
      <c r="F251" s="78" t="s">
        <v>952</v>
      </c>
    </row>
    <row r="252" spans="1:6" x14ac:dyDescent="0.2">
      <c r="A252" s="224"/>
      <c r="B252" s="224">
        <v>251</v>
      </c>
      <c r="C252" s="224" t="s">
        <v>919</v>
      </c>
      <c r="D252" s="224">
        <v>-2.1465E-3</v>
      </c>
      <c r="E252" s="224">
        <v>0.33471000000000001</v>
      </c>
      <c r="F252" s="78" t="s">
        <v>952</v>
      </c>
    </row>
    <row r="253" spans="1:6" x14ac:dyDescent="0.2">
      <c r="A253" s="224"/>
      <c r="B253" s="224">
        <v>252</v>
      </c>
      <c r="C253" s="224" t="s">
        <v>919</v>
      </c>
      <c r="D253" s="224">
        <v>4.6876000000000001E-3</v>
      </c>
      <c r="E253" s="224">
        <v>0.33082</v>
      </c>
      <c r="F253" s="78" t="s">
        <v>952</v>
      </c>
    </row>
    <row r="254" spans="1:6" x14ac:dyDescent="0.2">
      <c r="A254" s="224"/>
      <c r="B254" s="224">
        <v>253</v>
      </c>
      <c r="C254" s="224" t="s">
        <v>919</v>
      </c>
      <c r="D254" s="224">
        <v>6.4819999999999999E-3</v>
      </c>
      <c r="E254" s="224">
        <v>0.34377000000000002</v>
      </c>
      <c r="F254" s="78" t="s">
        <v>952</v>
      </c>
    </row>
    <row r="255" spans="1:6" x14ac:dyDescent="0.2">
      <c r="A255" s="224"/>
      <c r="B255" s="224">
        <v>254</v>
      </c>
      <c r="C255" s="224" t="s">
        <v>919</v>
      </c>
      <c r="D255" s="224">
        <v>4.6455999999999997E-3</v>
      </c>
      <c r="E255" s="224">
        <v>0.38303999999999999</v>
      </c>
      <c r="F255" s="78" t="s">
        <v>952</v>
      </c>
    </row>
    <row r="256" spans="1:6" x14ac:dyDescent="0.2">
      <c r="A256" s="224"/>
      <c r="B256" s="224">
        <v>255</v>
      </c>
      <c r="C256" s="224" t="s">
        <v>919</v>
      </c>
      <c r="D256" s="224">
        <v>-4.4657000000000002E-2</v>
      </c>
      <c r="E256" s="224">
        <v>0.52183999999999997</v>
      </c>
      <c r="F256" s="78" t="s">
        <v>952</v>
      </c>
    </row>
    <row r="257" spans="1:6" x14ac:dyDescent="0.2">
      <c r="A257" s="224"/>
      <c r="B257" s="224">
        <v>256</v>
      </c>
      <c r="C257" s="224" t="s">
        <v>919</v>
      </c>
      <c r="D257" s="224">
        <v>-6.2105E-2</v>
      </c>
      <c r="E257" s="224">
        <v>0.66452</v>
      </c>
      <c r="F257" s="78" t="s">
        <v>952</v>
      </c>
    </row>
    <row r="258" spans="1:6" x14ac:dyDescent="0.2">
      <c r="A258" s="224"/>
      <c r="B258" s="224">
        <v>257</v>
      </c>
      <c r="C258" s="224" t="s">
        <v>919</v>
      </c>
      <c r="D258" s="224">
        <v>-0.10375</v>
      </c>
      <c r="E258" s="224">
        <v>0.52788000000000002</v>
      </c>
      <c r="F258" s="78" t="s">
        <v>952</v>
      </c>
    </row>
    <row r="259" spans="1:6" x14ac:dyDescent="0.2">
      <c r="A259" s="224"/>
      <c r="B259" s="224">
        <v>258</v>
      </c>
      <c r="C259" s="224" t="s">
        <v>919</v>
      </c>
      <c r="D259" s="224">
        <v>7.5473999999999999E-2</v>
      </c>
      <c r="E259" s="224">
        <v>0.45582</v>
      </c>
      <c r="F259" s="78" t="s">
        <v>952</v>
      </c>
    </row>
    <row r="260" spans="1:6" x14ac:dyDescent="0.2">
      <c r="A260" s="224"/>
      <c r="B260" s="224">
        <v>259</v>
      </c>
      <c r="C260" s="224" t="s">
        <v>919</v>
      </c>
      <c r="D260" s="224">
        <v>2.9218999999999998E-3</v>
      </c>
      <c r="E260" s="224">
        <v>0.47175</v>
      </c>
      <c r="F260" s="78" t="s">
        <v>952</v>
      </c>
    </row>
    <row r="261" spans="1:6" x14ac:dyDescent="0.2">
      <c r="A261" s="224"/>
      <c r="B261" s="224">
        <v>260</v>
      </c>
      <c r="C261" s="224" t="s">
        <v>919</v>
      </c>
      <c r="D261" s="224">
        <v>-2.4871000000000001E-2</v>
      </c>
      <c r="E261" s="224">
        <v>0.38399</v>
      </c>
      <c r="F261" s="78" t="s">
        <v>952</v>
      </c>
    </row>
    <row r="262" spans="1:6" x14ac:dyDescent="0.2">
      <c r="A262" s="224"/>
      <c r="B262" s="224">
        <v>261</v>
      </c>
      <c r="C262" s="224" t="s">
        <v>919</v>
      </c>
      <c r="D262" s="224">
        <v>-3.1652E-2</v>
      </c>
      <c r="E262" s="224">
        <v>0.37680999999999998</v>
      </c>
      <c r="F262" s="78" t="s">
        <v>952</v>
      </c>
    </row>
    <row r="263" spans="1:6" x14ac:dyDescent="0.2">
      <c r="A263" s="224"/>
      <c r="B263" s="224">
        <v>262</v>
      </c>
      <c r="C263" s="224" t="s">
        <v>919</v>
      </c>
      <c r="D263" s="224">
        <v>2.0208E-2</v>
      </c>
      <c r="E263" s="224">
        <v>0.52359999999999995</v>
      </c>
      <c r="F263" s="78" t="s">
        <v>952</v>
      </c>
    </row>
    <row r="264" spans="1:6" x14ac:dyDescent="0.2">
      <c r="A264" s="224"/>
      <c r="B264" s="224">
        <v>263</v>
      </c>
      <c r="C264" s="224" t="s">
        <v>919</v>
      </c>
      <c r="D264" s="224">
        <v>3.9455999999999998E-2</v>
      </c>
      <c r="E264" s="224">
        <v>0.39183000000000001</v>
      </c>
      <c r="F264" s="78" t="s">
        <v>952</v>
      </c>
    </row>
    <row r="265" spans="1:6" x14ac:dyDescent="0.2">
      <c r="A265" s="224"/>
      <c r="B265" s="224">
        <v>264</v>
      </c>
      <c r="C265" s="224" t="s">
        <v>919</v>
      </c>
      <c r="D265" s="224">
        <v>4.2685000000000001E-2</v>
      </c>
      <c r="E265" s="224">
        <v>0.37557000000000001</v>
      </c>
      <c r="F265" s="78" t="s">
        <v>952</v>
      </c>
    </row>
    <row r="266" spans="1:6" x14ac:dyDescent="0.2">
      <c r="A266" s="224"/>
      <c r="B266" s="224">
        <v>265</v>
      </c>
      <c r="C266" s="224" t="s">
        <v>919</v>
      </c>
      <c r="D266" s="224">
        <v>4.1628999999999999E-2</v>
      </c>
      <c r="E266" s="224">
        <v>0.40194999999999997</v>
      </c>
      <c r="F266" s="78" t="s">
        <v>952</v>
      </c>
    </row>
    <row r="267" spans="1:6" x14ac:dyDescent="0.2">
      <c r="A267" s="224"/>
      <c r="B267" s="224">
        <v>266</v>
      </c>
      <c r="C267" s="224" t="s">
        <v>919</v>
      </c>
      <c r="D267" s="224">
        <v>-6.3252000000000003E-2</v>
      </c>
      <c r="E267" s="224">
        <v>0.64012000000000002</v>
      </c>
      <c r="F267" s="78" t="s">
        <v>952</v>
      </c>
    </row>
    <row r="268" spans="1:6" x14ac:dyDescent="0.2">
      <c r="A268" s="224"/>
      <c r="B268" s="224">
        <v>267</v>
      </c>
      <c r="C268" s="224" t="s">
        <v>919</v>
      </c>
      <c r="D268" s="224">
        <v>-0.49693999999999999</v>
      </c>
      <c r="E268" s="224">
        <v>0.43742999999999999</v>
      </c>
      <c r="F268" s="78" t="s">
        <v>952</v>
      </c>
    </row>
    <row r="269" spans="1:6" x14ac:dyDescent="0.2">
      <c r="A269" s="224"/>
      <c r="B269" s="224">
        <v>268</v>
      </c>
      <c r="C269" s="224" t="s">
        <v>919</v>
      </c>
      <c r="D269" s="224">
        <v>-0.10865</v>
      </c>
      <c r="E269" s="224">
        <v>0.41019</v>
      </c>
      <c r="F269" s="78" t="s">
        <v>952</v>
      </c>
    </row>
    <row r="270" spans="1:6" x14ac:dyDescent="0.2">
      <c r="A270" s="224"/>
      <c r="B270" s="224">
        <v>269</v>
      </c>
      <c r="C270" s="224" t="s">
        <v>919</v>
      </c>
      <c r="D270" s="224">
        <v>-7.1229000000000001E-2</v>
      </c>
      <c r="E270" s="224">
        <v>0.43245</v>
      </c>
      <c r="F270" s="78" t="s">
        <v>952</v>
      </c>
    </row>
    <row r="271" spans="1:6" x14ac:dyDescent="0.2">
      <c r="A271" s="224"/>
      <c r="B271" s="224">
        <v>270</v>
      </c>
      <c r="C271" s="224" t="s">
        <v>919</v>
      </c>
      <c r="D271" s="224">
        <v>0.13815</v>
      </c>
      <c r="E271" s="224">
        <v>0.37340000000000001</v>
      </c>
      <c r="F271" s="78" t="s">
        <v>952</v>
      </c>
    </row>
    <row r="272" spans="1:6" x14ac:dyDescent="0.2">
      <c r="A272" s="224"/>
      <c r="B272" s="224">
        <v>271</v>
      </c>
      <c r="C272" s="224" t="s">
        <v>919</v>
      </c>
      <c r="D272" s="224">
        <v>0.15776999999999999</v>
      </c>
      <c r="E272" s="224">
        <v>0.36867</v>
      </c>
      <c r="F272" s="78" t="s">
        <v>952</v>
      </c>
    </row>
    <row r="273" spans="1:6" x14ac:dyDescent="0.2">
      <c r="A273" s="224"/>
      <c r="B273" s="224">
        <v>272</v>
      </c>
      <c r="C273" s="224" t="s">
        <v>919</v>
      </c>
      <c r="D273" s="224">
        <v>9.2355999999999994E-2</v>
      </c>
      <c r="E273" s="224">
        <v>0.52671000000000001</v>
      </c>
      <c r="F273" s="78" t="s">
        <v>952</v>
      </c>
    </row>
    <row r="274" spans="1:6" x14ac:dyDescent="0.2">
      <c r="A274" s="224"/>
      <c r="B274" s="224">
        <v>273</v>
      </c>
      <c r="C274" s="224" t="s">
        <v>919</v>
      </c>
      <c r="D274" s="224">
        <v>0.11703</v>
      </c>
      <c r="E274" s="224">
        <v>0.4073</v>
      </c>
      <c r="F274" s="78" t="s">
        <v>952</v>
      </c>
    </row>
    <row r="275" spans="1:6" x14ac:dyDescent="0.2">
      <c r="A275" s="224"/>
      <c r="B275" s="224">
        <v>274</v>
      </c>
      <c r="C275" s="224" t="s">
        <v>919</v>
      </c>
      <c r="D275" s="224">
        <v>0.11742</v>
      </c>
      <c r="E275" s="224">
        <v>0.38191000000000003</v>
      </c>
      <c r="F275" s="78" t="s">
        <v>952</v>
      </c>
    </row>
    <row r="276" spans="1:6" x14ac:dyDescent="0.2">
      <c r="A276" s="224"/>
      <c r="B276" s="224">
        <v>275</v>
      </c>
      <c r="C276" s="224" t="s">
        <v>919</v>
      </c>
      <c r="D276" s="224">
        <v>0.11734</v>
      </c>
      <c r="E276" s="224">
        <v>0.40409</v>
      </c>
      <c r="F276" s="78" t="s">
        <v>952</v>
      </c>
    </row>
    <row r="277" spans="1:6" x14ac:dyDescent="0.2">
      <c r="A277" s="224"/>
      <c r="B277" s="224">
        <v>276</v>
      </c>
      <c r="C277" s="224" t="s">
        <v>919</v>
      </c>
      <c r="D277" s="224">
        <v>-0.28338000000000002</v>
      </c>
      <c r="E277" s="224">
        <v>0.63624000000000003</v>
      </c>
      <c r="F277" s="78" t="s">
        <v>952</v>
      </c>
    </row>
    <row r="278" spans="1:6" x14ac:dyDescent="0.2">
      <c r="A278" s="224"/>
      <c r="B278" s="224">
        <v>277</v>
      </c>
      <c r="C278" s="224" t="s">
        <v>919</v>
      </c>
      <c r="D278" s="224">
        <v>-0.70850000000000002</v>
      </c>
      <c r="E278" s="224">
        <v>0.41996</v>
      </c>
      <c r="F278" s="78" t="s">
        <v>952</v>
      </c>
    </row>
    <row r="279" spans="1:6" x14ac:dyDescent="0.2">
      <c r="A279" s="224"/>
      <c r="B279" s="224">
        <v>278</v>
      </c>
      <c r="C279" s="224" t="s">
        <v>919</v>
      </c>
      <c r="D279" s="224">
        <v>-0.33043</v>
      </c>
      <c r="E279" s="224">
        <v>0.39650999999999997</v>
      </c>
      <c r="F279" s="78" t="s">
        <v>952</v>
      </c>
    </row>
    <row r="280" spans="1:6" x14ac:dyDescent="0.2">
      <c r="A280" s="224"/>
      <c r="B280" s="224">
        <v>279</v>
      </c>
      <c r="C280" s="224" t="s">
        <v>919</v>
      </c>
      <c r="D280" s="224">
        <v>0.20702000000000001</v>
      </c>
      <c r="E280" s="224">
        <v>0.43411</v>
      </c>
      <c r="F280" s="78" t="s">
        <v>952</v>
      </c>
    </row>
    <row r="281" spans="1:6" x14ac:dyDescent="0.2">
      <c r="A281" s="224"/>
      <c r="B281" s="224">
        <v>280</v>
      </c>
      <c r="C281" s="224" t="s">
        <v>919</v>
      </c>
      <c r="D281" s="224">
        <v>0.15379000000000001</v>
      </c>
      <c r="E281" s="224">
        <v>0.42993999999999999</v>
      </c>
      <c r="F281" s="78" t="s">
        <v>952</v>
      </c>
    </row>
    <row r="282" spans="1:6" x14ac:dyDescent="0.2">
      <c r="A282" s="224"/>
      <c r="B282" s="224">
        <v>281</v>
      </c>
      <c r="C282" s="224" t="s">
        <v>919</v>
      </c>
      <c r="D282" s="224">
        <v>0.22203000000000001</v>
      </c>
      <c r="E282" s="224">
        <v>0.36587999999999998</v>
      </c>
      <c r="F282" s="78" t="s">
        <v>952</v>
      </c>
    </row>
    <row r="283" spans="1:6" x14ac:dyDescent="0.2">
      <c r="A283" s="224"/>
      <c r="B283" s="224">
        <v>282</v>
      </c>
      <c r="C283" s="224" t="s">
        <v>919</v>
      </c>
      <c r="D283" s="224">
        <v>0.22262000000000001</v>
      </c>
      <c r="E283" s="224">
        <v>0.36992999999999998</v>
      </c>
      <c r="F283" s="78" t="s">
        <v>952</v>
      </c>
    </row>
    <row r="284" spans="1:6" x14ac:dyDescent="0.2">
      <c r="A284" s="224"/>
      <c r="B284" s="224">
        <v>283</v>
      </c>
      <c r="C284" s="224" t="s">
        <v>919</v>
      </c>
      <c r="D284" s="224">
        <v>0.17291999999999999</v>
      </c>
      <c r="E284" s="224">
        <v>0.39345000000000002</v>
      </c>
      <c r="F284" s="78" t="s">
        <v>952</v>
      </c>
    </row>
    <row r="285" spans="1:6" x14ac:dyDescent="0.2">
      <c r="A285" s="224"/>
      <c r="B285" s="224">
        <v>284</v>
      </c>
      <c r="C285" s="224" t="s">
        <v>919</v>
      </c>
      <c r="D285" s="224">
        <v>0.1701</v>
      </c>
      <c r="E285" s="224">
        <v>0.37809999999999999</v>
      </c>
      <c r="F285" s="78" t="s">
        <v>952</v>
      </c>
    </row>
    <row r="286" spans="1:6" x14ac:dyDescent="0.2">
      <c r="A286" s="224"/>
      <c r="B286" s="224">
        <v>285</v>
      </c>
      <c r="C286" s="224" t="s">
        <v>919</v>
      </c>
      <c r="D286" s="224">
        <v>0.17383000000000001</v>
      </c>
      <c r="E286" s="224">
        <v>0.40505000000000002</v>
      </c>
      <c r="F286" s="78" t="s">
        <v>952</v>
      </c>
    </row>
    <row r="287" spans="1:6" x14ac:dyDescent="0.2">
      <c r="A287" s="224"/>
      <c r="B287" s="224">
        <v>286</v>
      </c>
      <c r="C287" s="224" t="s">
        <v>919</v>
      </c>
      <c r="D287" s="224">
        <v>-0.23017000000000001</v>
      </c>
      <c r="E287" s="224">
        <v>0.64422000000000001</v>
      </c>
      <c r="F287" s="78" t="s">
        <v>952</v>
      </c>
    </row>
    <row r="288" spans="1:6" x14ac:dyDescent="0.2">
      <c r="A288" s="224"/>
      <c r="B288" s="224">
        <v>287</v>
      </c>
      <c r="C288" s="224" t="s">
        <v>919</v>
      </c>
      <c r="D288" s="224">
        <v>-0.40636</v>
      </c>
      <c r="E288" s="224">
        <v>0.49545</v>
      </c>
      <c r="F288" s="78" t="s">
        <v>952</v>
      </c>
    </row>
    <row r="289" spans="1:6" x14ac:dyDescent="0.2">
      <c r="A289" s="224"/>
      <c r="B289" s="224">
        <v>288</v>
      </c>
      <c r="C289" s="224" t="s">
        <v>919</v>
      </c>
      <c r="D289" s="224">
        <v>-0.31111</v>
      </c>
      <c r="E289" s="224">
        <v>0.38186999999999999</v>
      </c>
      <c r="F289" s="78" t="s">
        <v>952</v>
      </c>
    </row>
    <row r="290" spans="1:6" x14ac:dyDescent="0.2">
      <c r="A290" s="224"/>
      <c r="B290" s="224">
        <v>289</v>
      </c>
      <c r="C290" s="224" t="s">
        <v>919</v>
      </c>
      <c r="D290" s="224">
        <v>-5.3343000000000002E-2</v>
      </c>
      <c r="E290" s="224">
        <v>0.41370000000000001</v>
      </c>
      <c r="F290" s="78" t="s">
        <v>952</v>
      </c>
    </row>
    <row r="291" spans="1:6" x14ac:dyDescent="0.2">
      <c r="A291" s="224"/>
      <c r="B291" s="224">
        <v>290</v>
      </c>
      <c r="C291" s="224" t="s">
        <v>919</v>
      </c>
      <c r="D291" s="224">
        <v>0.19481999999999999</v>
      </c>
      <c r="E291" s="224">
        <v>0.42521999999999999</v>
      </c>
      <c r="F291" s="78" t="s">
        <v>952</v>
      </c>
    </row>
    <row r="292" spans="1:6" x14ac:dyDescent="0.2">
      <c r="A292" s="224"/>
      <c r="B292" s="224">
        <v>291</v>
      </c>
      <c r="C292" s="224" t="s">
        <v>919</v>
      </c>
      <c r="D292" s="224">
        <v>0.1229</v>
      </c>
      <c r="E292" s="224">
        <v>0.34950999999999999</v>
      </c>
      <c r="F292" s="78" t="s">
        <v>952</v>
      </c>
    </row>
    <row r="293" spans="1:6" x14ac:dyDescent="0.2">
      <c r="A293" s="224"/>
      <c r="B293" s="224">
        <v>292</v>
      </c>
      <c r="C293" s="224" t="s">
        <v>919</v>
      </c>
      <c r="D293" s="224">
        <v>0.13589999999999999</v>
      </c>
      <c r="E293" s="224">
        <v>0.33034999999999998</v>
      </c>
      <c r="F293" s="78" t="s">
        <v>952</v>
      </c>
    </row>
    <row r="294" spans="1:6" x14ac:dyDescent="0.2">
      <c r="A294" s="224"/>
      <c r="B294" s="224">
        <v>293</v>
      </c>
      <c r="C294" s="224" t="s">
        <v>919</v>
      </c>
      <c r="D294" s="224">
        <v>0.14521000000000001</v>
      </c>
      <c r="E294" s="224">
        <v>0.34197</v>
      </c>
      <c r="F294" s="78" t="s">
        <v>952</v>
      </c>
    </row>
    <row r="295" spans="1:6" x14ac:dyDescent="0.2">
      <c r="A295" s="224"/>
      <c r="B295" s="224">
        <v>294</v>
      </c>
      <c r="C295" s="224" t="s">
        <v>919</v>
      </c>
      <c r="D295" s="224">
        <v>0.14948</v>
      </c>
      <c r="E295" s="224">
        <v>0.38106000000000001</v>
      </c>
      <c r="F295" s="78" t="s">
        <v>952</v>
      </c>
    </row>
    <row r="296" spans="1:6" x14ac:dyDescent="0.2">
      <c r="A296" s="224"/>
      <c r="B296" s="224">
        <v>295</v>
      </c>
      <c r="C296" s="224" t="s">
        <v>919</v>
      </c>
      <c r="D296" s="224">
        <v>0.25268000000000002</v>
      </c>
      <c r="E296" s="224">
        <v>0.56657999999999997</v>
      </c>
      <c r="F296" s="78" t="s">
        <v>952</v>
      </c>
    </row>
    <row r="297" spans="1:6" x14ac:dyDescent="0.2">
      <c r="A297" s="224"/>
      <c r="B297" s="224">
        <v>296</v>
      </c>
      <c r="C297" s="224" t="s">
        <v>919</v>
      </c>
      <c r="D297" s="224">
        <v>-0.12073</v>
      </c>
      <c r="E297" s="224">
        <v>0.66991000000000001</v>
      </c>
      <c r="F297" s="78" t="s">
        <v>952</v>
      </c>
    </row>
    <row r="298" spans="1:6" x14ac:dyDescent="0.2">
      <c r="A298" s="224"/>
      <c r="B298" s="224">
        <v>297</v>
      </c>
      <c r="C298" s="224" t="s">
        <v>919</v>
      </c>
      <c r="D298" s="224">
        <v>-0.27634999999999998</v>
      </c>
      <c r="E298" s="224">
        <v>0.53978000000000004</v>
      </c>
      <c r="F298" s="78" t="s">
        <v>952</v>
      </c>
    </row>
    <row r="299" spans="1:6" x14ac:dyDescent="0.2">
      <c r="A299" s="224"/>
      <c r="B299" s="224">
        <v>298</v>
      </c>
      <c r="C299" s="224" t="s">
        <v>919</v>
      </c>
      <c r="D299" s="224">
        <v>-0.39441999999999999</v>
      </c>
      <c r="E299" s="224">
        <v>0.43256</v>
      </c>
      <c r="F299" s="78" t="s">
        <v>952</v>
      </c>
    </row>
    <row r="300" spans="1:6" x14ac:dyDescent="0.2">
      <c r="A300" s="224"/>
      <c r="B300" s="224">
        <v>299</v>
      </c>
      <c r="C300" s="224" t="s">
        <v>919</v>
      </c>
      <c r="D300" s="224">
        <v>-5.2121000000000001E-2</v>
      </c>
      <c r="E300" s="224">
        <v>0.39221</v>
      </c>
      <c r="F300" s="78" t="s">
        <v>952</v>
      </c>
    </row>
    <row r="301" spans="1:6" x14ac:dyDescent="0.2">
      <c r="A301" s="224"/>
      <c r="B301" s="224">
        <v>300</v>
      </c>
      <c r="C301" s="224" t="s">
        <v>919</v>
      </c>
      <c r="D301" s="224">
        <v>3.1108E-2</v>
      </c>
      <c r="E301" s="224">
        <v>0.40288000000000002</v>
      </c>
      <c r="F301" s="78" t="s">
        <v>952</v>
      </c>
    </row>
    <row r="302" spans="1:6" x14ac:dyDescent="0.2">
      <c r="A302" s="224"/>
      <c r="B302" s="224">
        <v>301</v>
      </c>
      <c r="C302" s="224" t="s">
        <v>919</v>
      </c>
      <c r="D302" s="224">
        <v>0.10022</v>
      </c>
      <c r="E302" s="224">
        <v>0.39795999999999998</v>
      </c>
      <c r="F302" s="78" t="s">
        <v>952</v>
      </c>
    </row>
    <row r="303" spans="1:6" x14ac:dyDescent="0.2">
      <c r="A303" s="224"/>
      <c r="B303" s="224">
        <v>302</v>
      </c>
      <c r="C303" s="224" t="s">
        <v>919</v>
      </c>
      <c r="D303" s="224">
        <v>0.10095999999999999</v>
      </c>
      <c r="E303" s="224">
        <v>0.40182000000000001</v>
      </c>
      <c r="F303" s="78" t="s">
        <v>952</v>
      </c>
    </row>
    <row r="304" spans="1:6" x14ac:dyDescent="0.2">
      <c r="A304" s="224"/>
      <c r="B304" s="224">
        <v>303</v>
      </c>
      <c r="C304" s="224" t="s">
        <v>919</v>
      </c>
      <c r="D304" s="224">
        <v>0.14202999999999999</v>
      </c>
      <c r="E304" s="224">
        <v>0.58423000000000003</v>
      </c>
      <c r="F304" s="78" t="s">
        <v>952</v>
      </c>
    </row>
    <row r="305" spans="1:6" x14ac:dyDescent="0.2">
      <c r="A305" s="224"/>
      <c r="B305" s="224">
        <v>304</v>
      </c>
      <c r="C305" s="224" t="s">
        <v>919</v>
      </c>
      <c r="D305" s="224">
        <v>0.16256000000000001</v>
      </c>
      <c r="E305" s="224">
        <v>0.61892999999999998</v>
      </c>
      <c r="F305" s="78" t="s">
        <v>952</v>
      </c>
    </row>
    <row r="306" spans="1:6" x14ac:dyDescent="0.2">
      <c r="A306" s="224"/>
      <c r="B306" s="224">
        <v>305</v>
      </c>
      <c r="C306" s="224" t="s">
        <v>919</v>
      </c>
      <c r="D306" s="224">
        <v>0.30674000000000001</v>
      </c>
      <c r="E306" s="224">
        <v>0.59330000000000005</v>
      </c>
      <c r="F306" s="78" t="s">
        <v>952</v>
      </c>
    </row>
    <row r="307" spans="1:6" x14ac:dyDescent="0.2">
      <c r="A307" s="224"/>
      <c r="B307" s="224">
        <v>306</v>
      </c>
      <c r="C307" s="224" t="s">
        <v>919</v>
      </c>
      <c r="D307" s="224">
        <v>-0.12698000000000001</v>
      </c>
      <c r="E307" s="224">
        <v>0.67029000000000005</v>
      </c>
      <c r="F307" s="78" t="s">
        <v>952</v>
      </c>
    </row>
    <row r="308" spans="1:6" x14ac:dyDescent="0.2">
      <c r="A308" s="224"/>
      <c r="B308" s="224">
        <v>307</v>
      </c>
      <c r="C308" s="224" t="s">
        <v>919</v>
      </c>
      <c r="D308" s="224">
        <v>0.13464000000000001</v>
      </c>
      <c r="E308" s="224">
        <v>0.62114000000000003</v>
      </c>
      <c r="F308" s="78" t="s">
        <v>952</v>
      </c>
    </row>
    <row r="309" spans="1:6" x14ac:dyDescent="0.2">
      <c r="A309" s="224"/>
      <c r="B309" s="224">
        <v>308</v>
      </c>
      <c r="C309" s="224" t="s">
        <v>919</v>
      </c>
      <c r="D309" s="224">
        <v>-4.3251999999999999E-2</v>
      </c>
      <c r="E309" s="224">
        <v>0.47032000000000002</v>
      </c>
      <c r="F309" s="78" t="s">
        <v>952</v>
      </c>
    </row>
    <row r="310" spans="1:6" x14ac:dyDescent="0.2">
      <c r="A310" s="224"/>
      <c r="B310" s="224">
        <v>309</v>
      </c>
      <c r="C310" s="224" t="s">
        <v>919</v>
      </c>
      <c r="D310" s="224">
        <v>-0.16350999999999999</v>
      </c>
      <c r="E310" s="224">
        <v>0.40228999999999998</v>
      </c>
      <c r="F310" s="78" t="s">
        <v>952</v>
      </c>
    </row>
    <row r="311" spans="1:6" x14ac:dyDescent="0.2">
      <c r="A311" s="224"/>
      <c r="B311" s="224">
        <v>310</v>
      </c>
      <c r="C311" s="224" t="s">
        <v>919</v>
      </c>
      <c r="D311" s="224">
        <v>-0.22858999999999999</v>
      </c>
      <c r="E311" s="224">
        <v>0.40847</v>
      </c>
      <c r="F311" s="78" t="s">
        <v>952</v>
      </c>
    </row>
    <row r="312" spans="1:6" x14ac:dyDescent="0.2">
      <c r="A312" s="224"/>
      <c r="B312" s="224">
        <v>311</v>
      </c>
      <c r="C312" s="224" t="s">
        <v>919</v>
      </c>
      <c r="D312" s="224">
        <v>3.099E-2</v>
      </c>
      <c r="E312" s="224">
        <v>0.40620000000000001</v>
      </c>
      <c r="F312" s="78" t="s">
        <v>952</v>
      </c>
    </row>
    <row r="313" spans="1:6" x14ac:dyDescent="0.2">
      <c r="A313" s="224"/>
      <c r="B313" s="224">
        <v>312</v>
      </c>
      <c r="C313" s="224" t="s">
        <v>919</v>
      </c>
      <c r="D313" s="224">
        <v>3.5944999999999998E-2</v>
      </c>
      <c r="E313" s="224">
        <v>0.41558</v>
      </c>
      <c r="F313" s="78" t="s">
        <v>952</v>
      </c>
    </row>
    <row r="314" spans="1:6" x14ac:dyDescent="0.2">
      <c r="A314" s="224"/>
      <c r="B314" s="224">
        <v>313</v>
      </c>
      <c r="C314" s="224" t="s">
        <v>919</v>
      </c>
      <c r="D314" s="224">
        <v>3.3195000000000002E-2</v>
      </c>
      <c r="E314" s="224">
        <v>0.60111999999999999</v>
      </c>
      <c r="F314" s="78" t="s">
        <v>952</v>
      </c>
    </row>
    <row r="315" spans="1:6" x14ac:dyDescent="0.2">
      <c r="A315" s="224"/>
      <c r="B315" s="224">
        <v>314</v>
      </c>
      <c r="C315" s="224" t="s">
        <v>919</v>
      </c>
      <c r="D315" s="224">
        <v>0.10612000000000001</v>
      </c>
      <c r="E315" s="224">
        <v>0.62888999999999995</v>
      </c>
      <c r="F315" s="78" t="s">
        <v>952</v>
      </c>
    </row>
    <row r="316" spans="1:6" x14ac:dyDescent="0.2">
      <c r="A316" s="224"/>
      <c r="B316" s="224">
        <v>315</v>
      </c>
      <c r="C316" s="224" t="s">
        <v>919</v>
      </c>
      <c r="D316" s="224">
        <v>0.22142999999999999</v>
      </c>
      <c r="E316" s="224">
        <v>0.59599999999999997</v>
      </c>
      <c r="F316" s="78" t="s">
        <v>952</v>
      </c>
    </row>
    <row r="317" spans="1:6" x14ac:dyDescent="0.2">
      <c r="A317" s="224"/>
      <c r="B317" s="224">
        <v>316</v>
      </c>
      <c r="C317" s="224" t="s">
        <v>919</v>
      </c>
      <c r="D317" s="224">
        <v>-0.11599</v>
      </c>
      <c r="E317" s="224">
        <v>0.68045</v>
      </c>
      <c r="F317" s="78" t="s">
        <v>952</v>
      </c>
    </row>
    <row r="318" spans="1:6" x14ac:dyDescent="0.2">
      <c r="A318" s="224"/>
      <c r="B318" s="224">
        <v>317</v>
      </c>
      <c r="C318" s="224" t="s">
        <v>919</v>
      </c>
      <c r="D318" s="224">
        <v>-0.16452</v>
      </c>
      <c r="E318" s="224">
        <v>0.62173999999999996</v>
      </c>
      <c r="F318" s="78" t="s">
        <v>952</v>
      </c>
    </row>
    <row r="319" spans="1:6" x14ac:dyDescent="0.2">
      <c r="A319" s="224"/>
      <c r="B319" s="224">
        <v>318</v>
      </c>
      <c r="C319" s="224" t="s">
        <v>919</v>
      </c>
      <c r="D319" s="224">
        <v>3.0655000000000002E-2</v>
      </c>
      <c r="E319" s="224">
        <v>0.49484</v>
      </c>
      <c r="F319" s="78" t="s">
        <v>952</v>
      </c>
    </row>
    <row r="320" spans="1:6" x14ac:dyDescent="0.2">
      <c r="A320" s="224"/>
      <c r="B320" s="224">
        <v>319</v>
      </c>
      <c r="C320" s="224" t="s">
        <v>919</v>
      </c>
      <c r="D320" s="224">
        <v>-3.3632000000000002E-2</v>
      </c>
      <c r="E320" s="224">
        <v>0.42152000000000001</v>
      </c>
      <c r="F320" s="78" t="s">
        <v>952</v>
      </c>
    </row>
    <row r="321" spans="1:6" x14ac:dyDescent="0.2">
      <c r="A321" s="224"/>
      <c r="B321" s="224">
        <v>320</v>
      </c>
      <c r="C321" s="224" t="s">
        <v>919</v>
      </c>
      <c r="D321" s="224">
        <v>0.22283</v>
      </c>
      <c r="E321" s="224">
        <v>0.37282999999999999</v>
      </c>
      <c r="F321" s="78" t="s">
        <v>952</v>
      </c>
    </row>
    <row r="322" spans="1:6" x14ac:dyDescent="0.2">
      <c r="A322" s="224"/>
      <c r="B322" s="224">
        <v>321</v>
      </c>
      <c r="C322" s="224" t="s">
        <v>919</v>
      </c>
      <c r="D322" s="224">
        <v>-0.12958</v>
      </c>
      <c r="E322" s="224">
        <v>0.38496000000000002</v>
      </c>
      <c r="F322" s="78" t="s">
        <v>952</v>
      </c>
    </row>
    <row r="323" spans="1:6" x14ac:dyDescent="0.2">
      <c r="A323" s="224"/>
      <c r="B323" s="224">
        <v>322</v>
      </c>
      <c r="C323" s="224" t="s">
        <v>919</v>
      </c>
      <c r="D323" s="224">
        <v>1.5507999999999999E-2</v>
      </c>
      <c r="E323" s="224">
        <v>0.45734999999999998</v>
      </c>
      <c r="F323" s="78" t="s">
        <v>952</v>
      </c>
    </row>
    <row r="324" spans="1:6" x14ac:dyDescent="0.2">
      <c r="A324" s="224"/>
      <c r="B324" s="224">
        <v>323</v>
      </c>
      <c r="C324" s="224" t="s">
        <v>919</v>
      </c>
      <c r="D324" s="224">
        <v>2.9097999999999999E-2</v>
      </c>
      <c r="E324" s="224">
        <v>0.60250999999999999</v>
      </c>
      <c r="F324" s="78" t="s">
        <v>952</v>
      </c>
    </row>
    <row r="325" spans="1:6" x14ac:dyDescent="0.2">
      <c r="A325" s="224"/>
      <c r="B325" s="224">
        <v>324</v>
      </c>
      <c r="C325" s="224" t="s">
        <v>919</v>
      </c>
      <c r="D325" s="224">
        <v>4.3375999999999998E-2</v>
      </c>
      <c r="E325" s="224">
        <v>0.63371</v>
      </c>
      <c r="F325" s="78" t="s">
        <v>952</v>
      </c>
    </row>
    <row r="326" spans="1:6" x14ac:dyDescent="0.2">
      <c r="A326" s="224"/>
      <c r="B326" s="224">
        <v>325</v>
      </c>
      <c r="C326" s="224" t="s">
        <v>919</v>
      </c>
      <c r="D326" s="224">
        <v>0.10224999999999999</v>
      </c>
      <c r="E326" s="224">
        <v>0.58808000000000005</v>
      </c>
      <c r="F326" s="78" t="s">
        <v>952</v>
      </c>
    </row>
    <row r="327" spans="1:6" x14ac:dyDescent="0.2">
      <c r="A327" s="224"/>
      <c r="B327" s="224">
        <v>326</v>
      </c>
      <c r="C327" s="224" t="s">
        <v>919</v>
      </c>
      <c r="D327" s="224">
        <v>-0.11736000000000001</v>
      </c>
      <c r="E327" s="224">
        <v>0.68081000000000003</v>
      </c>
      <c r="F327" s="78" t="s">
        <v>952</v>
      </c>
    </row>
    <row r="328" spans="1:6" x14ac:dyDescent="0.2">
      <c r="A328" s="224"/>
      <c r="B328" s="224">
        <v>327</v>
      </c>
      <c r="C328" s="224" t="s">
        <v>919</v>
      </c>
      <c r="D328" s="224">
        <v>0.29875000000000002</v>
      </c>
      <c r="E328" s="224">
        <v>0.61470999999999998</v>
      </c>
      <c r="F328" s="78" t="s">
        <v>952</v>
      </c>
    </row>
    <row r="329" spans="1:6" x14ac:dyDescent="0.2">
      <c r="A329" s="224"/>
      <c r="B329" s="224">
        <v>328</v>
      </c>
      <c r="C329" s="224" t="s">
        <v>919</v>
      </c>
      <c r="D329" s="224">
        <v>0.15062</v>
      </c>
      <c r="E329" s="224">
        <v>0.48104999999999998</v>
      </c>
      <c r="F329" s="78" t="s">
        <v>952</v>
      </c>
    </row>
    <row r="330" spans="1:6" x14ac:dyDescent="0.2">
      <c r="A330" s="224"/>
      <c r="B330" s="224">
        <v>329</v>
      </c>
      <c r="C330" s="224" t="s">
        <v>919</v>
      </c>
      <c r="D330" s="224">
        <v>-0.30170000000000002</v>
      </c>
      <c r="E330" s="224">
        <v>0.44107000000000002</v>
      </c>
      <c r="F330" s="78" t="s">
        <v>952</v>
      </c>
    </row>
    <row r="331" spans="1:6" x14ac:dyDescent="0.2">
      <c r="A331" s="224"/>
      <c r="B331" s="224">
        <v>330</v>
      </c>
      <c r="C331" s="224" t="s">
        <v>919</v>
      </c>
      <c r="D331" s="224">
        <v>-0.32053999999999999</v>
      </c>
      <c r="E331" s="224">
        <v>0.39254</v>
      </c>
      <c r="F331" s="78" t="s">
        <v>952</v>
      </c>
    </row>
    <row r="332" spans="1:6" x14ac:dyDescent="0.2">
      <c r="A332" s="224"/>
      <c r="B332" s="224">
        <v>331</v>
      </c>
      <c r="C332" s="224" t="s">
        <v>919</v>
      </c>
      <c r="D332" s="224">
        <v>0.19241</v>
      </c>
      <c r="E332" s="224">
        <v>0.36592000000000002</v>
      </c>
      <c r="F332" s="78" t="s">
        <v>952</v>
      </c>
    </row>
    <row r="333" spans="1:6" x14ac:dyDescent="0.2">
      <c r="A333" s="224"/>
      <c r="B333" s="224">
        <v>332</v>
      </c>
      <c r="C333" s="224" t="s">
        <v>919</v>
      </c>
      <c r="D333" s="224">
        <v>-2.4558000000000002E-3</v>
      </c>
      <c r="E333" s="224">
        <v>0.44255</v>
      </c>
      <c r="F333" s="78" t="s">
        <v>952</v>
      </c>
    </row>
    <row r="334" spans="1:6" x14ac:dyDescent="0.2">
      <c r="A334" s="224"/>
      <c r="B334" s="224">
        <v>333</v>
      </c>
      <c r="C334" s="224" t="s">
        <v>919</v>
      </c>
      <c r="D334" s="224">
        <v>3.8945E-2</v>
      </c>
      <c r="E334" s="224">
        <v>0.58335999999999999</v>
      </c>
      <c r="F334" s="78" t="s">
        <v>952</v>
      </c>
    </row>
    <row r="335" spans="1:6" x14ac:dyDescent="0.2">
      <c r="A335" s="224"/>
      <c r="B335" s="224">
        <v>334</v>
      </c>
      <c r="C335" s="224" t="s">
        <v>919</v>
      </c>
      <c r="D335" s="224">
        <v>1.8113000000000001E-2</v>
      </c>
      <c r="E335" s="224">
        <v>0.63117000000000001</v>
      </c>
      <c r="F335" s="78" t="s">
        <v>952</v>
      </c>
    </row>
    <row r="336" spans="1:6" x14ac:dyDescent="0.2">
      <c r="A336" s="224"/>
      <c r="B336" s="224">
        <v>335</v>
      </c>
      <c r="C336" s="224" t="s">
        <v>919</v>
      </c>
      <c r="D336" s="224">
        <v>4.3215000000000003E-2</v>
      </c>
      <c r="E336" s="224">
        <v>0.58882999999999996</v>
      </c>
      <c r="F336" s="78" t="s">
        <v>952</v>
      </c>
    </row>
    <row r="337" spans="1:6" x14ac:dyDescent="0.2">
      <c r="A337" s="224"/>
      <c r="B337" s="224">
        <v>336</v>
      </c>
      <c r="C337" s="224" t="s">
        <v>919</v>
      </c>
      <c r="D337" s="224">
        <v>-0.11328000000000001</v>
      </c>
      <c r="E337" s="224">
        <v>0.68369000000000002</v>
      </c>
      <c r="F337" s="78" t="s">
        <v>952</v>
      </c>
    </row>
    <row r="338" spans="1:6" x14ac:dyDescent="0.2">
      <c r="A338" s="224"/>
      <c r="B338" s="224">
        <v>337</v>
      </c>
      <c r="C338" s="224" t="s">
        <v>919</v>
      </c>
      <c r="D338" s="224">
        <v>0.13108</v>
      </c>
      <c r="E338" s="224">
        <v>0.61231999999999998</v>
      </c>
      <c r="F338" s="78" t="s">
        <v>952</v>
      </c>
    </row>
    <row r="339" spans="1:6" x14ac:dyDescent="0.2">
      <c r="A339" s="224"/>
      <c r="B339" s="224">
        <v>338</v>
      </c>
      <c r="C339" s="224" t="s">
        <v>919</v>
      </c>
      <c r="D339" s="224">
        <v>-3.6576999999999998E-2</v>
      </c>
      <c r="E339" s="224">
        <v>0.4909</v>
      </c>
      <c r="F339" s="78" t="s">
        <v>952</v>
      </c>
    </row>
    <row r="340" spans="1:6" x14ac:dyDescent="0.2">
      <c r="A340" s="224"/>
      <c r="B340" s="224">
        <v>339</v>
      </c>
      <c r="C340" s="224" t="s">
        <v>919</v>
      </c>
      <c r="D340" s="224">
        <v>0.30724000000000001</v>
      </c>
      <c r="E340" s="224">
        <v>0.42408000000000001</v>
      </c>
      <c r="F340" s="78" t="s">
        <v>952</v>
      </c>
    </row>
    <row r="341" spans="1:6" x14ac:dyDescent="0.2">
      <c r="A341" s="224"/>
      <c r="B341" s="224">
        <v>340</v>
      </c>
      <c r="C341" s="224" t="s">
        <v>919</v>
      </c>
      <c r="D341" s="224">
        <v>-4.6711999999999997E-2</v>
      </c>
      <c r="E341" s="224">
        <v>0.44313999999999998</v>
      </c>
      <c r="F341" s="78" t="s">
        <v>952</v>
      </c>
    </row>
    <row r="342" spans="1:6" x14ac:dyDescent="0.2">
      <c r="A342" s="224"/>
      <c r="B342" s="224">
        <v>341</v>
      </c>
      <c r="C342" s="224" t="s">
        <v>919</v>
      </c>
      <c r="D342" s="224">
        <v>-2.2100000000000002E-2</v>
      </c>
      <c r="E342" s="224">
        <v>0.39372000000000001</v>
      </c>
      <c r="F342" s="78" t="s">
        <v>952</v>
      </c>
    </row>
    <row r="343" spans="1:6" x14ac:dyDescent="0.2">
      <c r="A343" s="224"/>
      <c r="B343" s="224">
        <v>342</v>
      </c>
      <c r="C343" s="224" t="s">
        <v>919</v>
      </c>
      <c r="D343" s="224">
        <v>4.5766000000000001E-2</v>
      </c>
      <c r="E343" s="224">
        <v>0.38035999999999998</v>
      </c>
      <c r="F343" s="78" t="s">
        <v>952</v>
      </c>
    </row>
    <row r="344" spans="1:6" x14ac:dyDescent="0.2">
      <c r="A344" s="224"/>
      <c r="B344" s="224">
        <v>343</v>
      </c>
      <c r="C344" s="224" t="s">
        <v>919</v>
      </c>
      <c r="D344" s="224">
        <v>-0.14831</v>
      </c>
      <c r="E344" s="224">
        <v>0.50510999999999995</v>
      </c>
      <c r="F344" s="78" t="s">
        <v>952</v>
      </c>
    </row>
    <row r="345" spans="1:6" x14ac:dyDescent="0.2">
      <c r="A345" s="224"/>
      <c r="B345" s="224">
        <v>344</v>
      </c>
      <c r="C345" s="224" t="s">
        <v>919</v>
      </c>
      <c r="D345" s="224">
        <v>-2.0656000000000001E-2</v>
      </c>
      <c r="E345" s="224">
        <v>0.61853000000000002</v>
      </c>
      <c r="F345" s="78" t="s">
        <v>952</v>
      </c>
    </row>
    <row r="346" spans="1:6" x14ac:dyDescent="0.2">
      <c r="A346" s="224"/>
      <c r="B346" s="224">
        <v>345</v>
      </c>
      <c r="C346" s="224" t="s">
        <v>919</v>
      </c>
      <c r="D346" s="224">
        <v>-9.6438999999999997E-2</v>
      </c>
      <c r="E346" s="224">
        <v>0.57425999999999999</v>
      </c>
      <c r="F346" s="78" t="s">
        <v>952</v>
      </c>
    </row>
    <row r="347" spans="1:6" x14ac:dyDescent="0.2">
      <c r="A347" s="224"/>
      <c r="B347" s="224">
        <v>346</v>
      </c>
      <c r="C347" s="224" t="s">
        <v>919</v>
      </c>
      <c r="D347" s="224">
        <v>-0.11645999999999999</v>
      </c>
      <c r="E347" s="224">
        <v>0.68362999999999996</v>
      </c>
      <c r="F347" s="78" t="s">
        <v>952</v>
      </c>
    </row>
    <row r="348" spans="1:6" x14ac:dyDescent="0.2">
      <c r="A348" s="224"/>
      <c r="B348" s="224">
        <v>347</v>
      </c>
      <c r="C348" s="224" t="s">
        <v>919</v>
      </c>
      <c r="D348" s="224">
        <v>-3.3904999999999999E-3</v>
      </c>
      <c r="E348" s="224">
        <v>0.60650000000000004</v>
      </c>
      <c r="F348" s="78" t="s">
        <v>952</v>
      </c>
    </row>
    <row r="349" spans="1:6" x14ac:dyDescent="0.2">
      <c r="A349" s="224"/>
      <c r="B349" s="224">
        <v>348</v>
      </c>
      <c r="C349" s="224" t="s">
        <v>919</v>
      </c>
      <c r="D349" s="224">
        <v>-3.0863999999999999E-2</v>
      </c>
      <c r="E349" s="224">
        <v>0.4894</v>
      </c>
      <c r="F349" s="78" t="s">
        <v>952</v>
      </c>
    </row>
    <row r="350" spans="1:6" x14ac:dyDescent="0.2">
      <c r="A350" s="224"/>
      <c r="B350" s="224">
        <v>349</v>
      </c>
      <c r="C350" s="224" t="s">
        <v>919</v>
      </c>
      <c r="D350" s="224">
        <v>-0.21912000000000001</v>
      </c>
      <c r="E350" s="224">
        <v>0.43197000000000002</v>
      </c>
      <c r="F350" s="78" t="s">
        <v>952</v>
      </c>
    </row>
    <row r="351" spans="1:6" x14ac:dyDescent="0.2">
      <c r="A351" s="224"/>
      <c r="B351" s="224">
        <v>350</v>
      </c>
      <c r="C351" s="224" t="s">
        <v>919</v>
      </c>
      <c r="D351" s="224">
        <v>-2.6626E-2</v>
      </c>
      <c r="E351" s="224">
        <v>0.43113000000000001</v>
      </c>
      <c r="F351" s="78" t="s">
        <v>952</v>
      </c>
    </row>
    <row r="352" spans="1:6" x14ac:dyDescent="0.2">
      <c r="A352" s="224"/>
      <c r="B352" s="224">
        <v>351</v>
      </c>
      <c r="C352" s="224" t="s">
        <v>919</v>
      </c>
      <c r="D352" s="224">
        <v>-9.1478000000000004E-2</v>
      </c>
      <c r="E352" s="224">
        <v>0.39799000000000001</v>
      </c>
      <c r="F352" s="78" t="s">
        <v>952</v>
      </c>
    </row>
    <row r="353" spans="1:6" x14ac:dyDescent="0.2">
      <c r="A353" s="224"/>
      <c r="B353" s="224">
        <v>352</v>
      </c>
      <c r="C353" s="224" t="s">
        <v>919</v>
      </c>
      <c r="D353" s="224">
        <v>-0.11261</v>
      </c>
      <c r="E353" s="224">
        <v>0.38389000000000001</v>
      </c>
      <c r="F353" s="78" t="s">
        <v>952</v>
      </c>
    </row>
    <row r="354" spans="1:6" x14ac:dyDescent="0.2">
      <c r="A354" s="224"/>
      <c r="B354" s="224">
        <v>353</v>
      </c>
      <c r="C354" s="224" t="s">
        <v>919</v>
      </c>
      <c r="D354" s="224">
        <v>0.39871000000000001</v>
      </c>
      <c r="E354" s="224">
        <v>0.38977000000000001</v>
      </c>
      <c r="F354" s="78" t="s">
        <v>952</v>
      </c>
    </row>
    <row r="355" spans="1:6" x14ac:dyDescent="0.2">
      <c r="A355" s="224"/>
      <c r="B355" s="224">
        <v>354</v>
      </c>
      <c r="C355" s="224" t="s">
        <v>919</v>
      </c>
      <c r="D355" s="224">
        <v>0.18142</v>
      </c>
      <c r="E355" s="224">
        <v>0.51912000000000003</v>
      </c>
      <c r="F355" s="78" t="s">
        <v>952</v>
      </c>
    </row>
    <row r="356" spans="1:6" x14ac:dyDescent="0.2">
      <c r="A356" s="224"/>
      <c r="B356" s="224">
        <v>355</v>
      </c>
      <c r="C356" s="224" t="s">
        <v>919</v>
      </c>
      <c r="D356" s="224">
        <v>2.0417000000000001E-2</v>
      </c>
      <c r="E356" s="224">
        <v>0.56938999999999995</v>
      </c>
      <c r="F356" s="78" t="s">
        <v>952</v>
      </c>
    </row>
    <row r="357" spans="1:6" x14ac:dyDescent="0.2">
      <c r="A357" s="224"/>
      <c r="B357" s="224">
        <v>356</v>
      </c>
      <c r="C357" s="224" t="s">
        <v>919</v>
      </c>
      <c r="D357" s="224">
        <v>-0.11665</v>
      </c>
      <c r="E357" s="224">
        <v>0.68366000000000005</v>
      </c>
      <c r="F357" s="78" t="s">
        <v>952</v>
      </c>
    </row>
    <row r="358" spans="1:6" x14ac:dyDescent="0.2">
      <c r="A358" s="224"/>
      <c r="B358" s="224">
        <v>357</v>
      </c>
      <c r="C358" s="224" t="s">
        <v>919</v>
      </c>
      <c r="D358" s="224">
        <v>-4.8121999999999998E-2</v>
      </c>
      <c r="E358" s="224">
        <v>0.61373999999999995</v>
      </c>
      <c r="F358" s="78" t="s">
        <v>952</v>
      </c>
    </row>
    <row r="359" spans="1:6" x14ac:dyDescent="0.2">
      <c r="A359" s="224"/>
      <c r="B359" s="224">
        <v>358</v>
      </c>
      <c r="C359" s="224" t="s">
        <v>919</v>
      </c>
      <c r="D359" s="224">
        <v>1.0184</v>
      </c>
      <c r="E359" s="224">
        <v>0.40804000000000001</v>
      </c>
      <c r="F359" s="78" t="s">
        <v>952</v>
      </c>
    </row>
    <row r="360" spans="1:6" x14ac:dyDescent="0.2">
      <c r="A360" s="224"/>
      <c r="B360" s="224">
        <v>359</v>
      </c>
      <c r="C360" s="224" t="s">
        <v>919</v>
      </c>
      <c r="D360" s="224">
        <v>0.12781999999999999</v>
      </c>
      <c r="E360" s="224">
        <v>0.42274</v>
      </c>
      <c r="F360" s="78" t="s">
        <v>952</v>
      </c>
    </row>
    <row r="361" spans="1:6" x14ac:dyDescent="0.2">
      <c r="A361" s="224"/>
      <c r="B361" s="224">
        <v>360</v>
      </c>
      <c r="C361" s="224" t="s">
        <v>919</v>
      </c>
      <c r="D361" s="224">
        <v>0.23921999999999999</v>
      </c>
      <c r="E361" s="224">
        <v>0.37075000000000002</v>
      </c>
      <c r="F361" s="78" t="s">
        <v>952</v>
      </c>
    </row>
    <row r="362" spans="1:6" x14ac:dyDescent="0.2">
      <c r="A362" s="224"/>
      <c r="B362" s="224">
        <v>361</v>
      </c>
      <c r="C362" s="224" t="s">
        <v>919</v>
      </c>
      <c r="D362" s="224">
        <v>-0.19908000000000001</v>
      </c>
      <c r="E362" s="224">
        <v>0.36523</v>
      </c>
      <c r="F362" s="78" t="s">
        <v>952</v>
      </c>
    </row>
    <row r="363" spans="1:6" x14ac:dyDescent="0.2">
      <c r="A363" s="224"/>
      <c r="B363" s="224">
        <v>362</v>
      </c>
      <c r="C363" s="224" t="s">
        <v>919</v>
      </c>
      <c r="D363" s="224">
        <v>0.15112</v>
      </c>
      <c r="E363" s="224">
        <v>0.39041999999999999</v>
      </c>
      <c r="F363" s="78" t="s">
        <v>952</v>
      </c>
    </row>
    <row r="364" spans="1:6" x14ac:dyDescent="0.2">
      <c r="A364" s="224"/>
      <c r="B364" s="224">
        <v>363</v>
      </c>
      <c r="C364" s="224" t="s">
        <v>919</v>
      </c>
      <c r="D364" s="224">
        <v>-0.32377</v>
      </c>
      <c r="E364" s="224">
        <v>0.38973999999999998</v>
      </c>
      <c r="F364" s="78" t="s">
        <v>952</v>
      </c>
    </row>
    <row r="365" spans="1:6" x14ac:dyDescent="0.2">
      <c r="A365" s="224"/>
      <c r="B365" s="224">
        <v>364</v>
      </c>
      <c r="C365" s="224" t="s">
        <v>919</v>
      </c>
      <c r="D365" s="224">
        <v>-0.30538999999999999</v>
      </c>
      <c r="E365" s="224">
        <v>0.40099000000000001</v>
      </c>
      <c r="F365" s="78" t="s">
        <v>952</v>
      </c>
    </row>
    <row r="366" spans="1:6" x14ac:dyDescent="0.2">
      <c r="A366" s="224"/>
      <c r="B366" s="224">
        <v>365</v>
      </c>
      <c r="C366" s="224" t="s">
        <v>919</v>
      </c>
      <c r="D366" s="224">
        <v>-0.54354000000000002</v>
      </c>
      <c r="E366" s="224">
        <v>0.52819000000000005</v>
      </c>
      <c r="F366" s="78" t="s">
        <v>952</v>
      </c>
    </row>
    <row r="367" spans="1:6" x14ac:dyDescent="0.2">
      <c r="A367" s="224"/>
      <c r="B367" s="224">
        <v>366</v>
      </c>
      <c r="C367" s="224" t="s">
        <v>919</v>
      </c>
      <c r="D367" s="224">
        <v>-0.11706999999999999</v>
      </c>
      <c r="E367" s="224">
        <v>0.68366000000000005</v>
      </c>
      <c r="F367" s="78" t="s">
        <v>952</v>
      </c>
    </row>
    <row r="368" spans="1:6" x14ac:dyDescent="0.2">
      <c r="A368" s="224"/>
      <c r="B368" s="224">
        <v>367</v>
      </c>
      <c r="C368" s="224" t="s">
        <v>919</v>
      </c>
      <c r="D368" s="224">
        <v>1.6331999999999999E-2</v>
      </c>
      <c r="E368" s="224">
        <v>0.61539999999999995</v>
      </c>
      <c r="F368" s="78" t="s">
        <v>952</v>
      </c>
    </row>
    <row r="369" spans="1:6" x14ac:dyDescent="0.2">
      <c r="A369" s="224"/>
      <c r="B369" s="224">
        <v>368</v>
      </c>
      <c r="C369" s="224" t="s">
        <v>919</v>
      </c>
      <c r="D369" s="224">
        <v>-0.63371999999999995</v>
      </c>
      <c r="E369" s="224">
        <v>0.46106000000000003</v>
      </c>
      <c r="F369" s="78" t="s">
        <v>952</v>
      </c>
    </row>
    <row r="370" spans="1:6" x14ac:dyDescent="0.2">
      <c r="A370" s="224"/>
      <c r="B370" s="224">
        <v>369</v>
      </c>
      <c r="C370" s="224" t="s">
        <v>919</v>
      </c>
      <c r="D370" s="224">
        <v>0.19853999999999999</v>
      </c>
      <c r="E370" s="224">
        <v>0.40614</v>
      </c>
      <c r="F370" s="78" t="s">
        <v>952</v>
      </c>
    </row>
    <row r="371" spans="1:6" x14ac:dyDescent="0.2">
      <c r="A371" s="224"/>
      <c r="B371" s="224">
        <v>370</v>
      </c>
      <c r="C371" s="224" t="s">
        <v>919</v>
      </c>
      <c r="D371" s="224">
        <v>-0.11897000000000001</v>
      </c>
      <c r="E371" s="224">
        <v>0.37480999999999998</v>
      </c>
      <c r="F371" s="78" t="s">
        <v>952</v>
      </c>
    </row>
    <row r="372" spans="1:6" x14ac:dyDescent="0.2">
      <c r="A372" s="224"/>
      <c r="B372" s="224">
        <v>371</v>
      </c>
      <c r="C372" s="224" t="s">
        <v>919</v>
      </c>
      <c r="D372" s="224">
        <v>0.17774000000000001</v>
      </c>
      <c r="E372" s="224">
        <v>0.42986999999999997</v>
      </c>
      <c r="F372" s="78" t="s">
        <v>952</v>
      </c>
    </row>
    <row r="373" spans="1:6" x14ac:dyDescent="0.2">
      <c r="A373" s="224"/>
      <c r="B373" s="224">
        <v>372</v>
      </c>
      <c r="C373" s="224" t="s">
        <v>919</v>
      </c>
      <c r="D373" s="224">
        <v>0.13533999999999999</v>
      </c>
      <c r="E373" s="224">
        <v>0.36562</v>
      </c>
      <c r="F373" s="78" t="s">
        <v>952</v>
      </c>
    </row>
    <row r="374" spans="1:6" x14ac:dyDescent="0.2">
      <c r="A374" s="224"/>
      <c r="B374" s="224">
        <v>373</v>
      </c>
      <c r="C374" s="224" t="s">
        <v>919</v>
      </c>
      <c r="D374" s="224">
        <v>0.15508</v>
      </c>
      <c r="E374" s="224">
        <v>0.35396</v>
      </c>
      <c r="F374" s="78" t="s">
        <v>952</v>
      </c>
    </row>
    <row r="375" spans="1:6" x14ac:dyDescent="0.2">
      <c r="A375" s="224"/>
      <c r="B375" s="224">
        <v>374</v>
      </c>
      <c r="C375" s="224" t="s">
        <v>919</v>
      </c>
      <c r="D375" s="224">
        <v>8.0729999999999996E-2</v>
      </c>
      <c r="E375" s="224">
        <v>0.36348000000000003</v>
      </c>
      <c r="F375" s="78" t="s">
        <v>952</v>
      </c>
    </row>
    <row r="376" spans="1:6" x14ac:dyDescent="0.2">
      <c r="A376" s="224"/>
      <c r="B376" s="224">
        <v>375</v>
      </c>
      <c r="C376" s="224" t="s">
        <v>919</v>
      </c>
      <c r="D376" s="224">
        <v>0.10599</v>
      </c>
      <c r="E376" s="224">
        <v>0.37441000000000002</v>
      </c>
      <c r="F376" s="78" t="s">
        <v>952</v>
      </c>
    </row>
    <row r="377" spans="1:6" x14ac:dyDescent="0.2">
      <c r="A377" s="224"/>
      <c r="B377" s="224">
        <v>376</v>
      </c>
      <c r="C377" s="224" t="s">
        <v>919</v>
      </c>
      <c r="D377" s="224">
        <v>-0.11642</v>
      </c>
      <c r="E377" s="224">
        <v>0.68354000000000004</v>
      </c>
      <c r="F377" s="78" t="s">
        <v>952</v>
      </c>
    </row>
    <row r="378" spans="1:6" x14ac:dyDescent="0.2">
      <c r="A378" s="224"/>
      <c r="B378" s="224">
        <v>377</v>
      </c>
      <c r="C378" s="224" t="s">
        <v>919</v>
      </c>
      <c r="D378" s="224">
        <v>7.9141000000000003E-2</v>
      </c>
      <c r="E378" s="224">
        <v>0.60911000000000004</v>
      </c>
      <c r="F378" s="78" t="s">
        <v>952</v>
      </c>
    </row>
    <row r="379" spans="1:6" x14ac:dyDescent="0.2">
      <c r="A379" s="224"/>
      <c r="B379" s="224">
        <v>378</v>
      </c>
      <c r="C379" s="224" t="s">
        <v>919</v>
      </c>
      <c r="D379" s="224">
        <v>-0.25024000000000002</v>
      </c>
      <c r="E379" s="224">
        <v>0.54013999999999995</v>
      </c>
      <c r="F379" s="78" t="s">
        <v>952</v>
      </c>
    </row>
    <row r="380" spans="1:6" x14ac:dyDescent="0.2">
      <c r="A380" s="224"/>
      <c r="B380" s="224">
        <v>379</v>
      </c>
      <c r="C380" s="224" t="s">
        <v>919</v>
      </c>
      <c r="D380" s="224">
        <v>0.30174000000000001</v>
      </c>
      <c r="E380" s="224">
        <v>0.45649000000000001</v>
      </c>
      <c r="F380" s="78" t="s">
        <v>952</v>
      </c>
    </row>
    <row r="381" spans="1:6" x14ac:dyDescent="0.2">
      <c r="A381" s="224"/>
      <c r="B381" s="224">
        <v>380</v>
      </c>
      <c r="C381" s="224" t="s">
        <v>919</v>
      </c>
      <c r="D381" s="224">
        <v>0.28294999999999998</v>
      </c>
      <c r="E381" s="224">
        <v>0.39304</v>
      </c>
      <c r="F381" s="78" t="s">
        <v>952</v>
      </c>
    </row>
    <row r="382" spans="1:6" x14ac:dyDescent="0.2">
      <c r="A382" s="224"/>
      <c r="B382" s="224">
        <v>381</v>
      </c>
      <c r="C382" s="224" t="s">
        <v>919</v>
      </c>
      <c r="D382" s="224">
        <v>6.5833000000000003E-2</v>
      </c>
      <c r="E382" s="224">
        <v>0.43447000000000002</v>
      </c>
      <c r="F382" s="78" t="s">
        <v>952</v>
      </c>
    </row>
    <row r="383" spans="1:6" x14ac:dyDescent="0.2">
      <c r="A383" s="224"/>
      <c r="B383" s="224">
        <v>382</v>
      </c>
      <c r="C383" s="224" t="s">
        <v>919</v>
      </c>
      <c r="D383" s="224">
        <v>-0.13722999999999999</v>
      </c>
      <c r="E383" s="224">
        <v>0.41061999999999999</v>
      </c>
      <c r="F383" s="78" t="s">
        <v>952</v>
      </c>
    </row>
    <row r="384" spans="1:6" x14ac:dyDescent="0.2">
      <c r="A384" s="224"/>
      <c r="B384" s="224">
        <v>383</v>
      </c>
      <c r="C384" s="224" t="s">
        <v>919</v>
      </c>
      <c r="D384" s="224">
        <v>-5.4293000000000001E-2</v>
      </c>
      <c r="E384" s="224">
        <v>0.33833000000000002</v>
      </c>
      <c r="F384" s="78" t="s">
        <v>952</v>
      </c>
    </row>
    <row r="385" spans="1:6" x14ac:dyDescent="0.2">
      <c r="A385" s="224"/>
      <c r="B385" s="224">
        <v>384</v>
      </c>
      <c r="C385" s="224" t="s">
        <v>919</v>
      </c>
      <c r="D385" s="224">
        <v>-4.5477999999999998E-2</v>
      </c>
      <c r="E385" s="224">
        <v>0.33694000000000002</v>
      </c>
      <c r="F385" s="78" t="s">
        <v>952</v>
      </c>
    </row>
    <row r="386" spans="1:6" x14ac:dyDescent="0.2">
      <c r="A386" s="224"/>
      <c r="B386" s="224">
        <v>385</v>
      </c>
      <c r="C386" s="224" t="s">
        <v>919</v>
      </c>
      <c r="D386" s="224">
        <v>-0.126</v>
      </c>
      <c r="E386" s="224">
        <v>0.35958000000000001</v>
      </c>
      <c r="F386" s="78" t="s">
        <v>952</v>
      </c>
    </row>
    <row r="387" spans="1:6" x14ac:dyDescent="0.2">
      <c r="A387" s="224"/>
      <c r="B387" s="224">
        <v>386</v>
      </c>
      <c r="C387" s="224" t="s">
        <v>919</v>
      </c>
      <c r="D387" s="224">
        <v>-0.10345</v>
      </c>
      <c r="E387" s="224">
        <v>0.68093000000000004</v>
      </c>
      <c r="F387" s="78" t="s">
        <v>952</v>
      </c>
    </row>
    <row r="388" spans="1:6" x14ac:dyDescent="0.2">
      <c r="A388" s="224"/>
      <c r="B388" s="224">
        <v>387</v>
      </c>
      <c r="C388" s="224" t="s">
        <v>919</v>
      </c>
      <c r="D388" s="224">
        <v>-2.002E-2</v>
      </c>
      <c r="E388" s="224">
        <v>0.58726999999999996</v>
      </c>
      <c r="F388" s="78" t="s">
        <v>952</v>
      </c>
    </row>
    <row r="389" spans="1:6" x14ac:dyDescent="0.2">
      <c r="A389" s="224"/>
      <c r="B389" s="224">
        <v>388</v>
      </c>
      <c r="C389" s="224" t="s">
        <v>919</v>
      </c>
      <c r="D389" s="224">
        <v>-0.44411</v>
      </c>
      <c r="E389" s="224">
        <v>0.52966000000000002</v>
      </c>
      <c r="F389" s="78" t="s">
        <v>952</v>
      </c>
    </row>
    <row r="390" spans="1:6" x14ac:dyDescent="0.2">
      <c r="A390" s="224"/>
      <c r="B390" s="224">
        <v>389</v>
      </c>
      <c r="C390" s="224" t="s">
        <v>919</v>
      </c>
      <c r="D390" s="224">
        <v>-0.30492999999999998</v>
      </c>
      <c r="E390" s="224">
        <v>0.44650000000000001</v>
      </c>
      <c r="F390" s="78" t="s">
        <v>952</v>
      </c>
    </row>
    <row r="391" spans="1:6" x14ac:dyDescent="0.2">
      <c r="A391" s="224"/>
      <c r="B391" s="224">
        <v>390</v>
      </c>
      <c r="C391" s="224" t="s">
        <v>919</v>
      </c>
      <c r="D391" s="224">
        <v>-5.2623000000000003E-2</v>
      </c>
      <c r="E391" s="224">
        <v>0.38974999999999999</v>
      </c>
      <c r="F391" s="78" t="s">
        <v>952</v>
      </c>
    </row>
    <row r="392" spans="1:6" x14ac:dyDescent="0.2">
      <c r="A392" s="224"/>
      <c r="B392" s="224">
        <v>391</v>
      </c>
      <c r="C392" s="224" t="s">
        <v>919</v>
      </c>
      <c r="D392" s="224">
        <v>4.5203E-2</v>
      </c>
      <c r="E392" s="224">
        <v>0.3594</v>
      </c>
      <c r="F392" s="78" t="s">
        <v>952</v>
      </c>
    </row>
    <row r="393" spans="1:6" x14ac:dyDescent="0.2">
      <c r="A393" s="224"/>
      <c r="B393" s="224">
        <v>392</v>
      </c>
      <c r="C393" s="224" t="s">
        <v>919</v>
      </c>
      <c r="D393" s="224">
        <v>0.25666</v>
      </c>
      <c r="E393" s="224">
        <v>0.40237000000000001</v>
      </c>
      <c r="F393" s="78" t="s">
        <v>952</v>
      </c>
    </row>
    <row r="394" spans="1:6" x14ac:dyDescent="0.2">
      <c r="A394" s="224"/>
      <c r="B394" s="224">
        <v>393</v>
      </c>
      <c r="C394" s="224" t="s">
        <v>919</v>
      </c>
      <c r="D394" s="224">
        <v>4.8221E-2</v>
      </c>
      <c r="E394" s="224">
        <v>0.34375</v>
      </c>
      <c r="F394" s="78" t="s">
        <v>952</v>
      </c>
    </row>
    <row r="395" spans="1:6" x14ac:dyDescent="0.2">
      <c r="A395" s="224"/>
      <c r="B395" s="224">
        <v>394</v>
      </c>
      <c r="C395" s="224" t="s">
        <v>919</v>
      </c>
      <c r="D395" s="224">
        <v>0.27062999999999998</v>
      </c>
      <c r="E395" s="224">
        <v>0.32645000000000002</v>
      </c>
      <c r="F395" s="78" t="s">
        <v>952</v>
      </c>
    </row>
    <row r="396" spans="1:6" x14ac:dyDescent="0.2">
      <c r="A396" s="224"/>
      <c r="B396" s="224">
        <v>395</v>
      </c>
      <c r="C396" s="224" t="s">
        <v>919</v>
      </c>
      <c r="D396" s="224">
        <v>0.30442000000000002</v>
      </c>
      <c r="E396" s="224">
        <v>0.34448000000000001</v>
      </c>
      <c r="F396" s="78" t="s">
        <v>952</v>
      </c>
    </row>
    <row r="397" spans="1:6" x14ac:dyDescent="0.2">
      <c r="A397" s="224"/>
      <c r="B397" s="224">
        <v>396</v>
      </c>
      <c r="C397" s="224" t="s">
        <v>919</v>
      </c>
      <c r="D397" s="224">
        <v>-9.7393999999999994E-2</v>
      </c>
      <c r="E397" s="224">
        <v>0.67956000000000005</v>
      </c>
      <c r="F397" s="78" t="s">
        <v>952</v>
      </c>
    </row>
    <row r="398" spans="1:6" x14ac:dyDescent="0.2">
      <c r="A398" s="224"/>
      <c r="B398" s="224">
        <v>397</v>
      </c>
      <c r="C398" s="224" t="s">
        <v>919</v>
      </c>
      <c r="D398" s="224">
        <v>-4.9738999999999998E-2</v>
      </c>
      <c r="E398" s="224">
        <v>0.43063000000000001</v>
      </c>
      <c r="F398" s="78" t="s">
        <v>952</v>
      </c>
    </row>
    <row r="399" spans="1:6" x14ac:dyDescent="0.2">
      <c r="A399" s="224"/>
      <c r="B399" s="224">
        <v>398</v>
      </c>
      <c r="C399" s="224" t="s">
        <v>919</v>
      </c>
      <c r="D399" s="224">
        <v>0.63034000000000001</v>
      </c>
      <c r="E399" s="224">
        <v>0.36201</v>
      </c>
      <c r="F399" s="78" t="s">
        <v>952</v>
      </c>
    </row>
    <row r="400" spans="1:6" x14ac:dyDescent="0.2">
      <c r="A400" s="224"/>
      <c r="B400" s="224">
        <v>399</v>
      </c>
      <c r="C400" s="224" t="s">
        <v>919</v>
      </c>
      <c r="D400" s="224">
        <v>-0.40609000000000001</v>
      </c>
      <c r="E400" s="224">
        <v>0.38645000000000002</v>
      </c>
      <c r="F400" s="78" t="s">
        <v>952</v>
      </c>
    </row>
    <row r="401" spans="1:6" x14ac:dyDescent="0.2">
      <c r="A401" s="224"/>
      <c r="B401" s="224">
        <v>400</v>
      </c>
      <c r="C401" s="224" t="s">
        <v>919</v>
      </c>
      <c r="D401" s="224">
        <v>-0.42131000000000002</v>
      </c>
      <c r="E401" s="224">
        <v>0.39058999999999999</v>
      </c>
      <c r="F401" s="78" t="s">
        <v>952</v>
      </c>
    </row>
    <row r="402" spans="1:6" x14ac:dyDescent="0.2">
      <c r="A402" s="224"/>
      <c r="B402" s="224">
        <v>401</v>
      </c>
      <c r="C402" s="224" t="s">
        <v>919</v>
      </c>
      <c r="D402" s="224">
        <v>-5.4688000000000001E-2</v>
      </c>
      <c r="E402" s="224">
        <v>0.36729000000000001</v>
      </c>
      <c r="F402" s="78" t="s">
        <v>952</v>
      </c>
    </row>
    <row r="403" spans="1:6" x14ac:dyDescent="0.2">
      <c r="A403" s="224"/>
      <c r="B403" s="224">
        <v>402</v>
      </c>
      <c r="C403" s="224" t="s">
        <v>919</v>
      </c>
      <c r="D403" s="224">
        <v>-0.10323</v>
      </c>
      <c r="E403" s="224">
        <v>0.33523999999999998</v>
      </c>
      <c r="F403" s="78" t="s">
        <v>952</v>
      </c>
    </row>
    <row r="404" spans="1:6" x14ac:dyDescent="0.2">
      <c r="A404" s="224"/>
      <c r="B404" s="224">
        <v>403</v>
      </c>
      <c r="C404" s="224" t="s">
        <v>919</v>
      </c>
      <c r="D404" s="224">
        <v>0.22933999999999999</v>
      </c>
      <c r="E404" s="224">
        <v>0.32796999999999998</v>
      </c>
      <c r="F404" s="78" t="s">
        <v>952</v>
      </c>
    </row>
    <row r="405" spans="1:6" x14ac:dyDescent="0.2">
      <c r="A405" s="224"/>
      <c r="B405" s="224">
        <v>404</v>
      </c>
      <c r="C405" s="224" t="s">
        <v>919</v>
      </c>
      <c r="D405" s="224">
        <v>0.11521000000000001</v>
      </c>
      <c r="E405" s="224">
        <v>0.33300999999999997</v>
      </c>
      <c r="F405" s="78" t="s">
        <v>952</v>
      </c>
    </row>
    <row r="406" spans="1:6" x14ac:dyDescent="0.2">
      <c r="A406" s="224"/>
      <c r="B406" s="224">
        <v>405</v>
      </c>
      <c r="C406" s="224" t="s">
        <v>919</v>
      </c>
      <c r="D406" s="224">
        <v>0.15755</v>
      </c>
      <c r="E406" s="224">
        <v>0.32275999999999999</v>
      </c>
      <c r="F406" s="78" t="s">
        <v>952</v>
      </c>
    </row>
    <row r="407" spans="1:6" x14ac:dyDescent="0.2">
      <c r="A407" s="224"/>
      <c r="B407" s="224">
        <v>406</v>
      </c>
      <c r="C407" s="224" t="s">
        <v>919</v>
      </c>
      <c r="D407" s="224">
        <v>-7.8566999999999998E-2</v>
      </c>
      <c r="E407" s="224">
        <v>0.67891999999999997</v>
      </c>
      <c r="F407" s="78" t="s">
        <v>952</v>
      </c>
    </row>
    <row r="408" spans="1:6" x14ac:dyDescent="0.2">
      <c r="A408" s="224"/>
      <c r="B408" s="224">
        <v>407</v>
      </c>
      <c r="C408" s="224" t="s">
        <v>919</v>
      </c>
      <c r="D408" s="224">
        <v>-0.86943000000000004</v>
      </c>
      <c r="E408" s="224">
        <v>0.46751999999999999</v>
      </c>
      <c r="F408" s="78" t="s">
        <v>952</v>
      </c>
    </row>
    <row r="409" spans="1:6" x14ac:dyDescent="0.2">
      <c r="A409" s="224"/>
      <c r="B409" s="224">
        <v>408</v>
      </c>
      <c r="C409" s="224" t="s">
        <v>919</v>
      </c>
      <c r="D409" s="224">
        <v>6.9278999999999993E-2</v>
      </c>
      <c r="E409" s="224">
        <v>0.31009999999999999</v>
      </c>
      <c r="F409" s="78" t="s">
        <v>952</v>
      </c>
    </row>
    <row r="410" spans="1:6" x14ac:dyDescent="0.2">
      <c r="A410" s="224"/>
      <c r="B410" s="224">
        <v>409</v>
      </c>
      <c r="C410" s="224" t="s">
        <v>919</v>
      </c>
      <c r="D410" s="224">
        <v>0.88582000000000005</v>
      </c>
      <c r="E410" s="224">
        <v>0.32336999999999999</v>
      </c>
      <c r="F410" s="78" t="s">
        <v>952</v>
      </c>
    </row>
    <row r="411" spans="1:6" x14ac:dyDescent="0.2">
      <c r="A411" s="224"/>
      <c r="B411" s="224">
        <v>410</v>
      </c>
      <c r="C411" s="224" t="s">
        <v>919</v>
      </c>
      <c r="D411" s="224">
        <v>0.13381000000000001</v>
      </c>
      <c r="E411" s="224">
        <v>0.37231999999999998</v>
      </c>
      <c r="F411" s="78" t="s">
        <v>952</v>
      </c>
    </row>
    <row r="412" spans="1:6" x14ac:dyDescent="0.2">
      <c r="A412" s="224"/>
      <c r="B412" s="224">
        <v>411</v>
      </c>
      <c r="C412" s="224" t="s">
        <v>919</v>
      </c>
      <c r="D412" s="224">
        <v>7.3019000000000001E-2</v>
      </c>
      <c r="E412" s="224">
        <v>0.40965000000000001</v>
      </c>
      <c r="F412" s="78" t="s">
        <v>952</v>
      </c>
    </row>
    <row r="413" spans="1:6" x14ac:dyDescent="0.2">
      <c r="A413" s="224"/>
      <c r="B413" s="224">
        <v>412</v>
      </c>
      <c r="C413" s="224" t="s">
        <v>919</v>
      </c>
      <c r="D413" s="224">
        <v>0.10587000000000001</v>
      </c>
      <c r="E413" s="224">
        <v>0.35619000000000001</v>
      </c>
      <c r="F413" s="78" t="s">
        <v>952</v>
      </c>
    </row>
    <row r="414" spans="1:6" x14ac:dyDescent="0.2">
      <c r="A414" s="224"/>
      <c r="B414" s="224">
        <v>413</v>
      </c>
      <c r="C414" s="224" t="s">
        <v>919</v>
      </c>
      <c r="D414" s="224">
        <v>-5.4593000000000003E-2</v>
      </c>
      <c r="E414" s="224">
        <v>0.34888999999999998</v>
      </c>
      <c r="F414" s="78" t="s">
        <v>952</v>
      </c>
    </row>
    <row r="415" spans="1:6" x14ac:dyDescent="0.2">
      <c r="A415" s="224"/>
      <c r="B415" s="224">
        <v>414</v>
      </c>
      <c r="C415" s="224" t="s">
        <v>919</v>
      </c>
      <c r="D415" s="224">
        <v>-0.10503</v>
      </c>
      <c r="E415" s="224">
        <v>0.34619</v>
      </c>
      <c r="F415" s="78" t="s">
        <v>952</v>
      </c>
    </row>
    <row r="416" spans="1:6" x14ac:dyDescent="0.2">
      <c r="A416" s="224"/>
      <c r="B416" s="224">
        <v>415</v>
      </c>
      <c r="C416" s="224" t="s">
        <v>919</v>
      </c>
      <c r="D416" s="224">
        <v>-0.16017999999999999</v>
      </c>
      <c r="E416" s="224">
        <v>0.32147999999999999</v>
      </c>
      <c r="F416" s="78" t="s">
        <v>952</v>
      </c>
    </row>
    <row r="417" spans="1:6" x14ac:dyDescent="0.2">
      <c r="A417" s="224"/>
      <c r="B417" s="224">
        <v>416</v>
      </c>
      <c r="C417" s="224" t="s">
        <v>919</v>
      </c>
      <c r="D417" s="224">
        <v>-2.8986999999999999E-2</v>
      </c>
      <c r="E417" s="224">
        <v>0.68752000000000002</v>
      </c>
      <c r="F417" s="78" t="s">
        <v>952</v>
      </c>
    </row>
    <row r="418" spans="1:6" x14ac:dyDescent="0.2">
      <c r="A418" s="224"/>
      <c r="B418" s="224">
        <v>417</v>
      </c>
      <c r="C418" s="224" t="s">
        <v>919</v>
      </c>
      <c r="D418" s="224">
        <v>7.8576999999999994E-2</v>
      </c>
      <c r="E418" s="224">
        <v>0.51810999999999996</v>
      </c>
      <c r="F418" s="78" t="s">
        <v>952</v>
      </c>
    </row>
    <row r="419" spans="1:6" x14ac:dyDescent="0.2">
      <c r="A419" s="224"/>
      <c r="B419" s="224">
        <v>418</v>
      </c>
      <c r="C419" s="224" t="s">
        <v>919</v>
      </c>
      <c r="D419" s="224">
        <v>-0.89798</v>
      </c>
      <c r="E419" s="224">
        <v>0.40700999999999998</v>
      </c>
      <c r="F419" s="78" t="s">
        <v>952</v>
      </c>
    </row>
    <row r="420" spans="1:6" x14ac:dyDescent="0.2">
      <c r="A420" s="224"/>
      <c r="B420" s="224">
        <v>419</v>
      </c>
      <c r="C420" s="224" t="s">
        <v>919</v>
      </c>
      <c r="D420" s="224">
        <v>-0.33357999999999999</v>
      </c>
      <c r="E420" s="224">
        <v>0.32341999999999999</v>
      </c>
      <c r="F420" s="78" t="s">
        <v>952</v>
      </c>
    </row>
    <row r="421" spans="1:6" x14ac:dyDescent="0.2">
      <c r="A421" s="224"/>
      <c r="B421" s="224">
        <v>420</v>
      </c>
      <c r="C421" s="224" t="s">
        <v>919</v>
      </c>
      <c r="D421" s="224">
        <v>0.87143000000000004</v>
      </c>
      <c r="E421" s="224">
        <v>0.30552000000000001</v>
      </c>
      <c r="F421" s="78" t="s">
        <v>952</v>
      </c>
    </row>
    <row r="422" spans="1:6" x14ac:dyDescent="0.2">
      <c r="A422" s="224"/>
      <c r="B422" s="224">
        <v>421</v>
      </c>
      <c r="C422" s="224" t="s">
        <v>919</v>
      </c>
      <c r="D422" s="224">
        <v>0.32544000000000001</v>
      </c>
      <c r="E422" s="224">
        <v>0.38044</v>
      </c>
      <c r="F422" s="78" t="s">
        <v>952</v>
      </c>
    </row>
    <row r="423" spans="1:6" x14ac:dyDescent="0.2">
      <c r="A423" s="224"/>
      <c r="B423" s="224">
        <v>422</v>
      </c>
      <c r="C423" s="224" t="s">
        <v>919</v>
      </c>
      <c r="D423" s="224">
        <v>3.1394999999999999E-2</v>
      </c>
      <c r="E423" s="224">
        <v>0.33751999999999999</v>
      </c>
      <c r="F423" s="78" t="s">
        <v>952</v>
      </c>
    </row>
    <row r="424" spans="1:6" x14ac:dyDescent="0.2">
      <c r="A424" s="224"/>
      <c r="B424" s="224">
        <v>423</v>
      </c>
      <c r="C424" s="224" t="s">
        <v>919</v>
      </c>
      <c r="D424" s="224">
        <v>3.1205E-3</v>
      </c>
      <c r="E424" s="224">
        <v>0.33764</v>
      </c>
      <c r="F424" s="78" t="s">
        <v>952</v>
      </c>
    </row>
    <row r="425" spans="1:6" x14ac:dyDescent="0.2">
      <c r="A425" s="224"/>
      <c r="B425" s="224">
        <v>424</v>
      </c>
      <c r="C425" s="224" t="s">
        <v>919</v>
      </c>
      <c r="D425" s="224">
        <v>-3.9616999999999999E-2</v>
      </c>
      <c r="E425" s="224">
        <v>0.33545999999999998</v>
      </c>
      <c r="F425" s="78" t="s">
        <v>952</v>
      </c>
    </row>
    <row r="426" spans="1:6" x14ac:dyDescent="0.2">
      <c r="A426" s="224"/>
      <c r="B426" s="224">
        <v>425</v>
      </c>
      <c r="C426" s="224" t="s">
        <v>919</v>
      </c>
      <c r="D426" s="224">
        <v>-9.7932000000000002E-3</v>
      </c>
      <c r="E426" s="224">
        <v>0.34227000000000002</v>
      </c>
      <c r="F426" s="78" t="s">
        <v>952</v>
      </c>
    </row>
    <row r="427" spans="1:6" x14ac:dyDescent="0.2">
      <c r="A427" s="224"/>
      <c r="B427" s="224">
        <v>426</v>
      </c>
      <c r="C427" s="224" t="s">
        <v>919</v>
      </c>
      <c r="D427" s="224">
        <v>-3.1295999999999997E-2</v>
      </c>
      <c r="E427" s="224">
        <v>0.68732000000000004</v>
      </c>
      <c r="F427" s="78" t="s">
        <v>952</v>
      </c>
    </row>
    <row r="428" spans="1:6" x14ac:dyDescent="0.2">
      <c r="A428" s="224"/>
      <c r="B428" s="224">
        <v>427</v>
      </c>
      <c r="C428" s="224" t="s">
        <v>919</v>
      </c>
      <c r="D428" s="224">
        <v>5.7801999999999999E-2</v>
      </c>
      <c r="E428" s="224">
        <v>0.53478999999999999</v>
      </c>
      <c r="F428" s="78" t="s">
        <v>952</v>
      </c>
    </row>
    <row r="429" spans="1:6" x14ac:dyDescent="0.2">
      <c r="A429" s="224"/>
      <c r="B429" s="224">
        <v>428</v>
      </c>
      <c r="C429" s="224" t="s">
        <v>919</v>
      </c>
      <c r="D429" s="224">
        <v>-0.36137000000000002</v>
      </c>
      <c r="E429" s="224">
        <v>0.43152000000000001</v>
      </c>
      <c r="F429" s="78" t="s">
        <v>952</v>
      </c>
    </row>
    <row r="430" spans="1:6" x14ac:dyDescent="0.2">
      <c r="A430" s="224"/>
      <c r="B430" s="224">
        <v>429</v>
      </c>
      <c r="C430" s="224" t="s">
        <v>919</v>
      </c>
      <c r="D430" s="224">
        <v>-0.71528000000000003</v>
      </c>
      <c r="E430" s="224">
        <v>0.38313999999999998</v>
      </c>
      <c r="F430" s="78" t="s">
        <v>952</v>
      </c>
    </row>
    <row r="431" spans="1:6" x14ac:dyDescent="0.2">
      <c r="A431" s="224"/>
      <c r="B431" s="224">
        <v>430</v>
      </c>
      <c r="C431" s="224" t="s">
        <v>919</v>
      </c>
      <c r="D431" s="224">
        <v>-0.33710000000000001</v>
      </c>
      <c r="E431" s="224">
        <v>0.31143999999999999</v>
      </c>
      <c r="F431" s="78" t="s">
        <v>952</v>
      </c>
    </row>
    <row r="432" spans="1:6" x14ac:dyDescent="0.2">
      <c r="A432" s="224"/>
      <c r="B432" s="224">
        <v>431</v>
      </c>
      <c r="C432" s="224" t="s">
        <v>919</v>
      </c>
      <c r="D432" s="224">
        <v>0.41949999999999998</v>
      </c>
      <c r="E432" s="224">
        <v>0.29712</v>
      </c>
      <c r="F432" s="78" t="s">
        <v>952</v>
      </c>
    </row>
    <row r="433" spans="1:6" x14ac:dyDescent="0.2">
      <c r="A433" s="224"/>
      <c r="B433" s="224">
        <v>432</v>
      </c>
      <c r="C433" s="224" t="s">
        <v>919</v>
      </c>
      <c r="D433" s="224">
        <v>0.29537999999999998</v>
      </c>
      <c r="E433" s="224">
        <v>0.30787999999999999</v>
      </c>
      <c r="F433" s="78" t="s">
        <v>952</v>
      </c>
    </row>
    <row r="434" spans="1:6" x14ac:dyDescent="0.2">
      <c r="A434" s="224"/>
      <c r="B434" s="224">
        <v>433</v>
      </c>
      <c r="C434" s="224" t="s">
        <v>919</v>
      </c>
      <c r="D434" s="224">
        <v>0.24995000000000001</v>
      </c>
      <c r="E434" s="224">
        <v>0.31292999999999999</v>
      </c>
      <c r="F434" s="78" t="s">
        <v>952</v>
      </c>
    </row>
    <row r="435" spans="1:6" x14ac:dyDescent="0.2">
      <c r="A435" s="224"/>
      <c r="B435" s="224">
        <v>434</v>
      </c>
      <c r="C435" s="224" t="s">
        <v>919</v>
      </c>
      <c r="D435" s="224">
        <v>0.21523</v>
      </c>
      <c r="E435" s="224">
        <v>0.31917000000000001</v>
      </c>
      <c r="F435" s="78" t="s">
        <v>952</v>
      </c>
    </row>
    <row r="436" spans="1:6" x14ac:dyDescent="0.2">
      <c r="A436" s="224"/>
      <c r="B436" s="224">
        <v>435</v>
      </c>
      <c r="C436" s="224" t="s">
        <v>919</v>
      </c>
      <c r="D436" s="224">
        <v>0.20718</v>
      </c>
      <c r="E436" s="224">
        <v>0.34014</v>
      </c>
      <c r="F436" s="78" t="s">
        <v>952</v>
      </c>
    </row>
    <row r="437" spans="1:6" x14ac:dyDescent="0.2">
      <c r="A437" s="224"/>
      <c r="B437" s="224">
        <v>436</v>
      </c>
      <c r="C437" s="224" t="s">
        <v>919</v>
      </c>
      <c r="D437" s="224">
        <v>-3.0641999999999999E-2</v>
      </c>
      <c r="E437" s="224">
        <v>0.68749000000000005</v>
      </c>
      <c r="F437" s="78" t="s">
        <v>952</v>
      </c>
    </row>
    <row r="438" spans="1:6" x14ac:dyDescent="0.2">
      <c r="A438" s="224"/>
      <c r="B438" s="224">
        <v>437</v>
      </c>
      <c r="C438" s="224" t="s">
        <v>919</v>
      </c>
      <c r="D438" s="224">
        <v>0.75221000000000005</v>
      </c>
      <c r="E438" s="224">
        <v>0.55581999999999998</v>
      </c>
      <c r="F438" s="78" t="s">
        <v>952</v>
      </c>
    </row>
    <row r="439" spans="1:6" x14ac:dyDescent="0.2">
      <c r="A439" s="224"/>
      <c r="B439" s="224">
        <v>438</v>
      </c>
      <c r="C439" s="224" t="s">
        <v>919</v>
      </c>
      <c r="D439" s="224">
        <v>0.40587000000000001</v>
      </c>
      <c r="E439" s="224">
        <v>0.38777</v>
      </c>
      <c r="F439" s="78" t="s">
        <v>952</v>
      </c>
    </row>
    <row r="440" spans="1:6" x14ac:dyDescent="0.2">
      <c r="A440" s="224"/>
      <c r="B440" s="224">
        <v>439</v>
      </c>
      <c r="C440" s="224" t="s">
        <v>919</v>
      </c>
      <c r="D440" s="224">
        <v>-1.0693999999999999</v>
      </c>
      <c r="E440" s="224">
        <v>0.37361</v>
      </c>
      <c r="F440" s="78" t="s">
        <v>952</v>
      </c>
    </row>
    <row r="441" spans="1:6" x14ac:dyDescent="0.2">
      <c r="A441" s="224"/>
      <c r="B441" s="224">
        <v>440</v>
      </c>
      <c r="C441" s="224" t="s">
        <v>919</v>
      </c>
      <c r="D441" s="224">
        <v>-0.81206</v>
      </c>
      <c r="E441" s="224">
        <v>0.34125</v>
      </c>
      <c r="F441" s="78" t="s">
        <v>952</v>
      </c>
    </row>
    <row r="442" spans="1:6" x14ac:dyDescent="0.2">
      <c r="A442" s="224"/>
      <c r="B442" s="224">
        <v>441</v>
      </c>
      <c r="C442" s="224" t="s">
        <v>919</v>
      </c>
      <c r="D442" s="224">
        <v>-0.27804000000000001</v>
      </c>
      <c r="E442" s="224">
        <v>0.30418000000000001</v>
      </c>
      <c r="F442" s="78" t="s">
        <v>952</v>
      </c>
    </row>
    <row r="443" spans="1:6" x14ac:dyDescent="0.2">
      <c r="A443" s="224"/>
      <c r="B443" s="224">
        <v>442</v>
      </c>
      <c r="C443" s="224" t="s">
        <v>919</v>
      </c>
      <c r="D443" s="224">
        <v>0.27732000000000001</v>
      </c>
      <c r="E443" s="224">
        <v>0.29651</v>
      </c>
      <c r="F443" s="78" t="s">
        <v>952</v>
      </c>
    </row>
    <row r="444" spans="1:6" x14ac:dyDescent="0.2">
      <c r="A444" s="224"/>
      <c r="B444" s="224">
        <v>443</v>
      </c>
      <c r="C444" s="224" t="s">
        <v>919</v>
      </c>
      <c r="D444" s="224">
        <v>0.28144999999999998</v>
      </c>
      <c r="E444" s="224">
        <v>0.31797999999999998</v>
      </c>
      <c r="F444" s="78" t="s">
        <v>952</v>
      </c>
    </row>
    <row r="445" spans="1:6" x14ac:dyDescent="0.2">
      <c r="A445" s="224"/>
      <c r="B445" s="224">
        <v>444</v>
      </c>
      <c r="C445" s="224" t="s">
        <v>919</v>
      </c>
      <c r="D445" s="224">
        <v>0.25749</v>
      </c>
      <c r="E445" s="224">
        <v>0.32322000000000001</v>
      </c>
      <c r="F445" s="78" t="s">
        <v>952</v>
      </c>
    </row>
    <row r="446" spans="1:6" x14ac:dyDescent="0.2">
      <c r="A446" s="224"/>
      <c r="B446" s="224">
        <v>445</v>
      </c>
      <c r="C446" s="224" t="s">
        <v>919</v>
      </c>
      <c r="D446" s="224">
        <v>0.21581</v>
      </c>
      <c r="E446" s="224">
        <v>0.33821000000000001</v>
      </c>
      <c r="F446" s="78" t="s">
        <v>952</v>
      </c>
    </row>
    <row r="447" spans="1:6" x14ac:dyDescent="0.2">
      <c r="A447" s="224"/>
      <c r="B447" s="224">
        <v>446</v>
      </c>
      <c r="C447" s="224" t="s">
        <v>919</v>
      </c>
      <c r="D447" s="224">
        <v>-2.8032000000000001E-2</v>
      </c>
      <c r="E447" s="224">
        <v>0.68822000000000005</v>
      </c>
      <c r="F447" s="78" t="s">
        <v>952</v>
      </c>
    </row>
    <row r="448" spans="1:6" x14ac:dyDescent="0.2">
      <c r="A448" s="224"/>
      <c r="B448" s="224">
        <v>447</v>
      </c>
      <c r="C448" s="224" t="s">
        <v>919</v>
      </c>
      <c r="D448" s="224">
        <v>0.48420999999999997</v>
      </c>
      <c r="E448" s="224">
        <v>0.54486999999999997</v>
      </c>
      <c r="F448" s="78" t="s">
        <v>952</v>
      </c>
    </row>
    <row r="449" spans="1:6" x14ac:dyDescent="0.2">
      <c r="A449" s="224"/>
      <c r="B449" s="224">
        <v>448</v>
      </c>
      <c r="C449" s="224" t="s">
        <v>919</v>
      </c>
      <c r="D449" s="224">
        <v>-1.5671999999999998E-2</v>
      </c>
      <c r="E449" s="224">
        <v>0.40617999999999999</v>
      </c>
      <c r="F449" s="78" t="s">
        <v>952</v>
      </c>
    </row>
    <row r="450" spans="1:6" x14ac:dyDescent="0.2">
      <c r="A450" s="224"/>
      <c r="B450" s="224">
        <v>449</v>
      </c>
      <c r="C450" s="224" t="s">
        <v>919</v>
      </c>
      <c r="D450" s="224">
        <v>0.90044999999999997</v>
      </c>
      <c r="E450" s="224">
        <v>0.36138999999999999</v>
      </c>
      <c r="F450" s="78" t="s">
        <v>952</v>
      </c>
    </row>
    <row r="451" spans="1:6" x14ac:dyDescent="0.2">
      <c r="A451" s="224"/>
      <c r="B451" s="224">
        <v>450</v>
      </c>
      <c r="C451" s="224" t="s">
        <v>919</v>
      </c>
      <c r="D451" s="224">
        <v>-1.4002000000000001E-2</v>
      </c>
      <c r="E451" s="224">
        <v>0.32501999999999998</v>
      </c>
      <c r="F451" s="78" t="s">
        <v>952</v>
      </c>
    </row>
    <row r="452" spans="1:6" x14ac:dyDescent="0.2">
      <c r="A452" s="224"/>
      <c r="B452" s="224">
        <v>451</v>
      </c>
      <c r="C452" s="224" t="s">
        <v>919</v>
      </c>
      <c r="D452" s="224">
        <v>-0.51248000000000005</v>
      </c>
      <c r="E452" s="224">
        <v>0.31537999999999999</v>
      </c>
      <c r="F452" s="78" t="s">
        <v>952</v>
      </c>
    </row>
    <row r="453" spans="1:6" x14ac:dyDescent="0.2">
      <c r="A453" s="224"/>
      <c r="B453" s="224">
        <v>452</v>
      </c>
      <c r="C453" s="224" t="s">
        <v>919</v>
      </c>
      <c r="D453" s="224">
        <v>-0.41886000000000001</v>
      </c>
      <c r="E453" s="224">
        <v>0.30635000000000001</v>
      </c>
      <c r="F453" s="78" t="s">
        <v>952</v>
      </c>
    </row>
    <row r="454" spans="1:6" x14ac:dyDescent="0.2">
      <c r="A454" s="224"/>
      <c r="B454" s="224">
        <v>453</v>
      </c>
      <c r="C454" s="224" t="s">
        <v>919</v>
      </c>
      <c r="D454" s="224">
        <v>-0.28362999999999999</v>
      </c>
      <c r="E454" s="224">
        <v>0.32361000000000001</v>
      </c>
      <c r="F454" s="78" t="s">
        <v>952</v>
      </c>
    </row>
    <row r="455" spans="1:6" x14ac:dyDescent="0.2">
      <c r="A455" s="224"/>
      <c r="B455" s="224">
        <v>454</v>
      </c>
      <c r="C455" s="224" t="s">
        <v>919</v>
      </c>
      <c r="D455" s="224">
        <v>-6.7960000000000007E-2</v>
      </c>
      <c r="E455" s="224">
        <v>0.35654000000000002</v>
      </c>
      <c r="F455" s="78" t="s">
        <v>952</v>
      </c>
    </row>
    <row r="456" spans="1:6" x14ac:dyDescent="0.2">
      <c r="A456" s="224"/>
      <c r="B456" s="224">
        <v>455</v>
      </c>
      <c r="C456" s="224" t="s">
        <v>919</v>
      </c>
      <c r="D456" s="224">
        <v>-4.4021999999999999E-2</v>
      </c>
      <c r="E456" s="224">
        <v>0.34704000000000002</v>
      </c>
      <c r="F456" s="78" t="s">
        <v>952</v>
      </c>
    </row>
    <row r="457" spans="1:6" x14ac:dyDescent="0.2">
      <c r="A457" s="224"/>
      <c r="B457" s="224">
        <v>456</v>
      </c>
      <c r="C457" s="224" t="s">
        <v>919</v>
      </c>
      <c r="D457" s="224">
        <v>-4.4594000000000002E-2</v>
      </c>
      <c r="E457" s="224">
        <v>0.68815000000000004</v>
      </c>
      <c r="F457" s="78" t="s">
        <v>952</v>
      </c>
    </row>
    <row r="458" spans="1:6" x14ac:dyDescent="0.2">
      <c r="A458" s="224"/>
      <c r="B458" s="224">
        <v>457</v>
      </c>
      <c r="C458" s="224" t="s">
        <v>919</v>
      </c>
      <c r="D458" s="224">
        <v>-0.4869</v>
      </c>
      <c r="E458" s="224">
        <v>0.42986000000000002</v>
      </c>
      <c r="F458" s="78" t="s">
        <v>952</v>
      </c>
    </row>
    <row r="459" spans="1:6" x14ac:dyDescent="0.2">
      <c r="A459" s="224"/>
      <c r="B459" s="224">
        <v>458</v>
      </c>
      <c r="C459" s="224" t="s">
        <v>919</v>
      </c>
      <c r="D459" s="224">
        <v>0.24340999999999999</v>
      </c>
      <c r="E459" s="224">
        <v>0.40207999999999999</v>
      </c>
      <c r="F459" s="78" t="s">
        <v>952</v>
      </c>
    </row>
    <row r="460" spans="1:6" x14ac:dyDescent="0.2">
      <c r="A460" s="224"/>
      <c r="B460" s="224">
        <v>459</v>
      </c>
      <c r="C460" s="224" t="s">
        <v>919</v>
      </c>
      <c r="D460" s="224">
        <v>0.15642</v>
      </c>
      <c r="E460" s="224">
        <v>0.38400000000000001</v>
      </c>
      <c r="F460" s="78" t="s">
        <v>952</v>
      </c>
    </row>
    <row r="461" spans="1:6" x14ac:dyDescent="0.2">
      <c r="A461" s="224"/>
      <c r="B461" s="224">
        <v>460</v>
      </c>
      <c r="C461" s="224" t="s">
        <v>919</v>
      </c>
      <c r="D461" s="224">
        <v>0.19739000000000001</v>
      </c>
      <c r="E461" s="224">
        <v>0.31784000000000001</v>
      </c>
      <c r="F461" s="78" t="s">
        <v>952</v>
      </c>
    </row>
    <row r="462" spans="1:6" x14ac:dyDescent="0.2">
      <c r="A462" s="224"/>
      <c r="B462" s="224">
        <v>461</v>
      </c>
      <c r="C462" s="224" t="s">
        <v>919</v>
      </c>
      <c r="D462" s="224">
        <v>0.20063</v>
      </c>
      <c r="E462" s="224">
        <v>0.29358000000000001</v>
      </c>
      <c r="F462" s="78" t="s">
        <v>952</v>
      </c>
    </row>
    <row r="463" spans="1:6" x14ac:dyDescent="0.2">
      <c r="A463" s="224"/>
      <c r="B463" s="224">
        <v>462</v>
      </c>
      <c r="C463" s="224" t="s">
        <v>919</v>
      </c>
      <c r="D463" s="224">
        <v>-0.29197000000000001</v>
      </c>
      <c r="E463" s="224">
        <v>0.32081999999999999</v>
      </c>
      <c r="F463" s="78" t="s">
        <v>952</v>
      </c>
    </row>
    <row r="464" spans="1:6" x14ac:dyDescent="0.2">
      <c r="A464" s="224"/>
      <c r="B464" s="224">
        <v>463</v>
      </c>
      <c r="C464" s="224" t="s">
        <v>919</v>
      </c>
      <c r="D464" s="224">
        <v>-3.7711000000000001E-2</v>
      </c>
      <c r="E464" s="224">
        <v>0.3392</v>
      </c>
      <c r="F464" s="78" t="s">
        <v>952</v>
      </c>
    </row>
    <row r="465" spans="1:6" x14ac:dyDescent="0.2">
      <c r="A465" s="224"/>
      <c r="B465" s="224">
        <v>464</v>
      </c>
      <c r="C465" s="224" t="s">
        <v>919</v>
      </c>
      <c r="D465" s="224">
        <v>3.8222999999999998E-3</v>
      </c>
      <c r="E465" s="224">
        <v>0.35826999999999998</v>
      </c>
      <c r="F465" s="78" t="s">
        <v>952</v>
      </c>
    </row>
    <row r="466" spans="1:6" x14ac:dyDescent="0.2">
      <c r="A466" s="224"/>
      <c r="B466" s="224">
        <v>465</v>
      </c>
      <c r="C466" s="224" t="s">
        <v>919</v>
      </c>
      <c r="D466" s="224">
        <v>5.9506000000000003E-2</v>
      </c>
      <c r="E466" s="224">
        <v>0.36016999999999999</v>
      </c>
      <c r="F466" s="78" t="s">
        <v>952</v>
      </c>
    </row>
    <row r="467" spans="1:6" x14ac:dyDescent="0.2">
      <c r="A467" s="224"/>
      <c r="B467" s="224">
        <v>466</v>
      </c>
      <c r="C467" s="224" t="s">
        <v>919</v>
      </c>
      <c r="D467" s="224">
        <v>-4.5629000000000003E-2</v>
      </c>
      <c r="E467" s="224">
        <v>0.68818000000000001</v>
      </c>
      <c r="F467" s="78" t="s">
        <v>952</v>
      </c>
    </row>
    <row r="468" spans="1:6" x14ac:dyDescent="0.2">
      <c r="A468" s="224"/>
      <c r="B468" s="224">
        <v>467</v>
      </c>
      <c r="C468" s="224" t="s">
        <v>919</v>
      </c>
      <c r="D468" s="224">
        <v>-0.49807000000000001</v>
      </c>
      <c r="E468" s="224">
        <v>0.45684999999999998</v>
      </c>
      <c r="F468" s="78" t="s">
        <v>952</v>
      </c>
    </row>
    <row r="469" spans="1:6" x14ac:dyDescent="0.2">
      <c r="A469" s="224"/>
      <c r="B469" s="224">
        <v>468</v>
      </c>
      <c r="C469" s="224" t="s">
        <v>919</v>
      </c>
      <c r="D469" s="224">
        <v>0.88675000000000004</v>
      </c>
      <c r="E469" s="224">
        <v>0.32386999999999999</v>
      </c>
      <c r="F469" s="78" t="s">
        <v>952</v>
      </c>
    </row>
    <row r="470" spans="1:6" x14ac:dyDescent="0.2">
      <c r="A470" s="224"/>
      <c r="B470" s="224">
        <v>469</v>
      </c>
      <c r="C470" s="224" t="s">
        <v>919</v>
      </c>
      <c r="D470" s="224">
        <v>0.46616000000000002</v>
      </c>
      <c r="E470" s="224">
        <v>0.34422999999999998</v>
      </c>
      <c r="F470" s="78" t="s">
        <v>952</v>
      </c>
    </row>
    <row r="471" spans="1:6" x14ac:dyDescent="0.2">
      <c r="A471" s="224"/>
      <c r="B471" s="224">
        <v>470</v>
      </c>
      <c r="C471" s="224" t="s">
        <v>919</v>
      </c>
      <c r="D471" s="224">
        <v>6.2964000000000006E-2</v>
      </c>
      <c r="E471" s="224">
        <v>0.33587</v>
      </c>
      <c r="F471" s="78" t="s">
        <v>952</v>
      </c>
    </row>
    <row r="472" spans="1:6" x14ac:dyDescent="0.2">
      <c r="A472" s="224"/>
      <c r="B472" s="224">
        <v>471</v>
      </c>
      <c r="C472" s="224" t="s">
        <v>919</v>
      </c>
      <c r="D472" s="224">
        <v>-0.20699000000000001</v>
      </c>
      <c r="E472" s="224">
        <v>0.29561999999999999</v>
      </c>
      <c r="F472" s="78" t="s">
        <v>952</v>
      </c>
    </row>
    <row r="473" spans="1:6" x14ac:dyDescent="0.2">
      <c r="A473" s="224"/>
      <c r="B473" s="224">
        <v>472</v>
      </c>
      <c r="C473" s="224" t="s">
        <v>919</v>
      </c>
      <c r="D473" s="224">
        <v>0.20927000000000001</v>
      </c>
      <c r="E473" s="224">
        <v>0.29751</v>
      </c>
      <c r="F473" s="78" t="s">
        <v>952</v>
      </c>
    </row>
    <row r="474" spans="1:6" x14ac:dyDescent="0.2">
      <c r="A474" s="224"/>
      <c r="B474" s="224">
        <v>473</v>
      </c>
      <c r="C474" s="224" t="s">
        <v>919</v>
      </c>
      <c r="D474" s="224">
        <v>-0.13986000000000001</v>
      </c>
      <c r="E474" s="224">
        <v>0.32052999999999998</v>
      </c>
      <c r="F474" s="78" t="s">
        <v>952</v>
      </c>
    </row>
    <row r="475" spans="1:6" x14ac:dyDescent="0.2">
      <c r="A475" s="224"/>
      <c r="B475" s="224">
        <v>474</v>
      </c>
      <c r="C475" s="224" t="s">
        <v>919</v>
      </c>
      <c r="D475" s="224">
        <v>-0.33787</v>
      </c>
      <c r="E475" s="224">
        <v>0.31079000000000001</v>
      </c>
      <c r="F475" s="78" t="s">
        <v>952</v>
      </c>
    </row>
    <row r="476" spans="1:6" x14ac:dyDescent="0.2">
      <c r="A476" s="224"/>
      <c r="B476" s="224">
        <v>475</v>
      </c>
      <c r="C476" s="224" t="s">
        <v>919</v>
      </c>
      <c r="D476" s="224">
        <v>-0.39672000000000002</v>
      </c>
      <c r="E476" s="224">
        <v>0.33204</v>
      </c>
      <c r="F476" s="78" t="s">
        <v>952</v>
      </c>
    </row>
    <row r="477" spans="1:6" x14ac:dyDescent="0.2">
      <c r="A477" s="224"/>
      <c r="B477" s="224">
        <v>476</v>
      </c>
      <c r="C477" s="224" t="s">
        <v>919</v>
      </c>
      <c r="D477" s="224">
        <v>-4.4753000000000001E-2</v>
      </c>
      <c r="E477" s="224">
        <v>0.68808000000000002</v>
      </c>
      <c r="F477" s="78" t="s">
        <v>952</v>
      </c>
    </row>
    <row r="478" spans="1:6" x14ac:dyDescent="0.2">
      <c r="A478" s="224"/>
      <c r="B478" s="224">
        <v>477</v>
      </c>
      <c r="C478" s="224" t="s">
        <v>919</v>
      </c>
      <c r="D478" s="224">
        <v>-0.17876</v>
      </c>
      <c r="E478" s="224">
        <v>0.51349</v>
      </c>
      <c r="F478" s="78" t="s">
        <v>952</v>
      </c>
    </row>
    <row r="479" spans="1:6" x14ac:dyDescent="0.2">
      <c r="A479" s="224"/>
      <c r="B479" s="224">
        <v>478</v>
      </c>
      <c r="C479" s="224" t="s">
        <v>919</v>
      </c>
      <c r="D479" s="224">
        <v>-0.64742</v>
      </c>
      <c r="E479" s="224">
        <v>0.31696000000000002</v>
      </c>
      <c r="F479" s="78" t="s">
        <v>952</v>
      </c>
    </row>
    <row r="480" spans="1:6" x14ac:dyDescent="0.2">
      <c r="A480" s="224"/>
      <c r="B480" s="224">
        <v>479</v>
      </c>
      <c r="C480" s="224" t="s">
        <v>919</v>
      </c>
      <c r="D480" s="224">
        <v>0.27301999999999998</v>
      </c>
      <c r="E480" s="224">
        <v>0.28272000000000003</v>
      </c>
      <c r="F480" s="78" t="s">
        <v>952</v>
      </c>
    </row>
    <row r="481" spans="1:6" x14ac:dyDescent="0.2">
      <c r="A481" s="224"/>
      <c r="B481" s="224">
        <v>480</v>
      </c>
      <c r="C481" s="224" t="s">
        <v>919</v>
      </c>
      <c r="D481" s="224">
        <v>0.38474999999999998</v>
      </c>
      <c r="E481" s="224">
        <v>0.30352000000000001</v>
      </c>
      <c r="F481" s="78" t="s">
        <v>952</v>
      </c>
    </row>
    <row r="482" spans="1:6" x14ac:dyDescent="0.2">
      <c r="A482" s="224"/>
      <c r="B482" s="224">
        <v>481</v>
      </c>
      <c r="C482" s="224" t="s">
        <v>919</v>
      </c>
      <c r="D482" s="224">
        <v>-9.4559000000000004E-2</v>
      </c>
      <c r="E482" s="224">
        <v>0.30965999999999999</v>
      </c>
      <c r="F482" s="78" t="s">
        <v>952</v>
      </c>
    </row>
    <row r="483" spans="1:6" x14ac:dyDescent="0.2">
      <c r="A483" s="224"/>
      <c r="B483" s="224">
        <v>482</v>
      </c>
      <c r="C483" s="224" t="s">
        <v>919</v>
      </c>
      <c r="D483" s="224">
        <v>2.1250999999999999E-2</v>
      </c>
      <c r="E483" s="224">
        <v>0.29776999999999998</v>
      </c>
      <c r="F483" s="78" t="s">
        <v>952</v>
      </c>
    </row>
    <row r="484" spans="1:6" x14ac:dyDescent="0.2">
      <c r="A484" s="224"/>
      <c r="B484" s="224">
        <v>483</v>
      </c>
      <c r="C484" s="224" t="s">
        <v>919</v>
      </c>
      <c r="D484" s="224">
        <v>0.20180000000000001</v>
      </c>
      <c r="E484" s="224">
        <v>0.27804000000000001</v>
      </c>
      <c r="F484" s="78" t="s">
        <v>952</v>
      </c>
    </row>
    <row r="485" spans="1:6" x14ac:dyDescent="0.2">
      <c r="A485" s="224"/>
      <c r="B485" s="224">
        <v>484</v>
      </c>
      <c r="C485" s="224" t="s">
        <v>919</v>
      </c>
      <c r="D485" s="224">
        <v>6.2706999999999999E-2</v>
      </c>
      <c r="E485" s="224">
        <v>0.29192000000000001</v>
      </c>
      <c r="F485" s="78" t="s">
        <v>952</v>
      </c>
    </row>
    <row r="486" spans="1:6" x14ac:dyDescent="0.2">
      <c r="A486" s="224"/>
      <c r="B486" s="224">
        <v>485</v>
      </c>
      <c r="C486" s="224" t="s">
        <v>919</v>
      </c>
      <c r="D486" s="224">
        <v>2.1961999999999999E-2</v>
      </c>
      <c r="E486" s="224">
        <v>0.31194</v>
      </c>
      <c r="F486" s="78" t="s">
        <v>952</v>
      </c>
    </row>
    <row r="487" spans="1:6" x14ac:dyDescent="0.2">
      <c r="A487" s="224"/>
      <c r="B487" s="224">
        <v>486</v>
      </c>
      <c r="C487" s="224" t="s">
        <v>919</v>
      </c>
      <c r="D487" s="224">
        <v>-3.1392999999999997E-2</v>
      </c>
      <c r="E487" s="224">
        <v>0.68806</v>
      </c>
      <c r="F487" s="78" t="s">
        <v>952</v>
      </c>
    </row>
    <row r="488" spans="1:6" x14ac:dyDescent="0.2">
      <c r="A488" s="224"/>
      <c r="B488" s="224">
        <v>487</v>
      </c>
      <c r="C488" s="224" t="s">
        <v>919</v>
      </c>
      <c r="D488" s="224">
        <v>-0.46804000000000001</v>
      </c>
      <c r="E488" s="224">
        <v>0.50939999999999996</v>
      </c>
      <c r="F488" s="78" t="s">
        <v>952</v>
      </c>
    </row>
    <row r="489" spans="1:6" x14ac:dyDescent="0.2">
      <c r="A489" s="224"/>
      <c r="B489" s="224">
        <v>488</v>
      </c>
      <c r="C489" s="224" t="s">
        <v>919</v>
      </c>
      <c r="D489" s="224">
        <v>-0.38646999999999998</v>
      </c>
      <c r="E489" s="224">
        <v>0.37342999999999998</v>
      </c>
      <c r="F489" s="78" t="s">
        <v>952</v>
      </c>
    </row>
    <row r="490" spans="1:6" x14ac:dyDescent="0.2">
      <c r="A490" s="224"/>
      <c r="B490" s="224">
        <v>489</v>
      </c>
      <c r="C490" s="224" t="s">
        <v>919</v>
      </c>
      <c r="D490" s="224">
        <v>-0.28148000000000001</v>
      </c>
      <c r="E490" s="224">
        <v>0.30610999999999999</v>
      </c>
      <c r="F490" s="78" t="s">
        <v>952</v>
      </c>
    </row>
    <row r="491" spans="1:6" x14ac:dyDescent="0.2">
      <c r="A491" s="224"/>
      <c r="B491" s="224">
        <v>490</v>
      </c>
      <c r="C491" s="224" t="s">
        <v>919</v>
      </c>
      <c r="D491" s="224">
        <v>0.29710999999999999</v>
      </c>
      <c r="E491" s="224">
        <v>0.27776000000000001</v>
      </c>
      <c r="F491" s="78" t="s">
        <v>952</v>
      </c>
    </row>
    <row r="492" spans="1:6" x14ac:dyDescent="0.2">
      <c r="A492" s="224"/>
      <c r="B492" s="224">
        <v>491</v>
      </c>
      <c r="C492" s="224" t="s">
        <v>919</v>
      </c>
      <c r="D492" s="224">
        <v>0.68598000000000003</v>
      </c>
      <c r="E492" s="224">
        <v>0.29066999999999998</v>
      </c>
      <c r="F492" s="78" t="s">
        <v>952</v>
      </c>
    </row>
    <row r="493" spans="1:6" x14ac:dyDescent="0.2">
      <c r="A493" s="224"/>
      <c r="B493" s="224">
        <v>492</v>
      </c>
      <c r="C493" s="224" t="s">
        <v>919</v>
      </c>
      <c r="D493" s="224">
        <v>9.4097E-2</v>
      </c>
      <c r="E493" s="224">
        <v>0.30654999999999999</v>
      </c>
      <c r="F493" s="78" t="s">
        <v>952</v>
      </c>
    </row>
    <row r="494" spans="1:6" x14ac:dyDescent="0.2">
      <c r="A494" s="224"/>
      <c r="B494" s="224">
        <v>493</v>
      </c>
      <c r="C494" s="224" t="s">
        <v>919</v>
      </c>
      <c r="D494" s="224">
        <v>-6.8748000000000004E-2</v>
      </c>
      <c r="E494" s="224">
        <v>0.28572999999999998</v>
      </c>
      <c r="F494" s="78" t="s">
        <v>952</v>
      </c>
    </row>
    <row r="495" spans="1:6" x14ac:dyDescent="0.2">
      <c r="A495" s="224"/>
      <c r="B495" s="224">
        <v>494</v>
      </c>
      <c r="C495" s="224" t="s">
        <v>919</v>
      </c>
      <c r="D495" s="224">
        <v>3.9059999999999997E-2</v>
      </c>
      <c r="E495" s="224">
        <v>0.28838999999999998</v>
      </c>
      <c r="F495" s="78" t="s">
        <v>952</v>
      </c>
    </row>
    <row r="496" spans="1:6" x14ac:dyDescent="0.2">
      <c r="A496" s="224"/>
      <c r="B496" s="224">
        <v>495</v>
      </c>
      <c r="C496" s="224" t="s">
        <v>919</v>
      </c>
      <c r="D496" s="224">
        <v>0.11988</v>
      </c>
      <c r="E496" s="224">
        <v>0.31813000000000002</v>
      </c>
      <c r="F496" s="78" t="s">
        <v>952</v>
      </c>
    </row>
    <row r="497" spans="1:6" x14ac:dyDescent="0.2">
      <c r="A497" s="224"/>
      <c r="B497" s="224">
        <v>496</v>
      </c>
      <c r="C497" s="224" t="s">
        <v>919</v>
      </c>
      <c r="D497" s="224">
        <v>-1.9323E-2</v>
      </c>
      <c r="E497" s="224">
        <v>0.68918999999999997</v>
      </c>
      <c r="F497" s="78" t="s">
        <v>952</v>
      </c>
    </row>
    <row r="498" spans="1:6" x14ac:dyDescent="0.2">
      <c r="A498" s="224"/>
      <c r="B498" s="224">
        <v>497</v>
      </c>
      <c r="C498" s="224" t="s">
        <v>919</v>
      </c>
      <c r="D498" s="224">
        <v>0.63829000000000002</v>
      </c>
      <c r="E498" s="224">
        <v>0.46494000000000002</v>
      </c>
      <c r="F498" s="78" t="s">
        <v>952</v>
      </c>
    </row>
    <row r="499" spans="1:6" x14ac:dyDescent="0.2">
      <c r="A499" s="224"/>
      <c r="B499" s="224">
        <v>498</v>
      </c>
      <c r="C499" s="224" t="s">
        <v>919</v>
      </c>
      <c r="D499" s="224">
        <v>-1.6947E-2</v>
      </c>
      <c r="E499" s="224">
        <v>0.36534</v>
      </c>
      <c r="F499" s="78" t="s">
        <v>952</v>
      </c>
    </row>
    <row r="500" spans="1:6" x14ac:dyDescent="0.2">
      <c r="A500" s="224"/>
      <c r="B500" s="224">
        <v>499</v>
      </c>
      <c r="C500" s="224" t="s">
        <v>919</v>
      </c>
      <c r="D500" s="224">
        <v>-7.5301000000000007E-2</v>
      </c>
      <c r="E500" s="224">
        <v>0.317</v>
      </c>
      <c r="F500" s="78" t="s">
        <v>952</v>
      </c>
    </row>
    <row r="501" spans="1:6" x14ac:dyDescent="0.2">
      <c r="A501" s="224"/>
      <c r="B501" s="224">
        <v>500</v>
      </c>
      <c r="C501" s="224" t="s">
        <v>919</v>
      </c>
      <c r="D501" s="224">
        <v>-0.31508000000000003</v>
      </c>
      <c r="E501" s="224">
        <v>0.28566999999999998</v>
      </c>
      <c r="F501" s="78" t="s">
        <v>952</v>
      </c>
    </row>
    <row r="502" spans="1:6" x14ac:dyDescent="0.2">
      <c r="A502" s="224"/>
      <c r="B502" s="224">
        <v>501</v>
      </c>
      <c r="C502" s="224" t="s">
        <v>919</v>
      </c>
      <c r="D502" s="224">
        <v>-1.3117999999999999E-2</v>
      </c>
      <c r="E502" s="224">
        <v>0.27365</v>
      </c>
      <c r="F502" s="78" t="s">
        <v>952</v>
      </c>
    </row>
    <row r="503" spans="1:6" x14ac:dyDescent="0.2">
      <c r="A503" s="224"/>
      <c r="B503" s="224">
        <v>502</v>
      </c>
      <c r="C503" s="224" t="s">
        <v>919</v>
      </c>
      <c r="D503" s="224">
        <v>-8.5719999999999998E-3</v>
      </c>
      <c r="E503" s="224">
        <v>0.28144999999999998</v>
      </c>
      <c r="F503" s="78" t="s">
        <v>952</v>
      </c>
    </row>
    <row r="504" spans="1:6" x14ac:dyDescent="0.2">
      <c r="A504" s="224"/>
      <c r="B504" s="224">
        <v>503</v>
      </c>
      <c r="C504" s="224" t="s">
        <v>919</v>
      </c>
      <c r="D504" s="224">
        <v>-2.4117E-2</v>
      </c>
      <c r="E504" s="224">
        <v>0.29247000000000001</v>
      </c>
      <c r="F504" s="78" t="s">
        <v>952</v>
      </c>
    </row>
    <row r="505" spans="1:6" x14ac:dyDescent="0.2">
      <c r="A505" s="224"/>
      <c r="B505" s="224">
        <v>504</v>
      </c>
      <c r="C505" s="224" t="s">
        <v>919</v>
      </c>
      <c r="D505" s="224">
        <v>-3.2121999999999998E-2</v>
      </c>
      <c r="E505" s="224">
        <v>0.29032999999999998</v>
      </c>
      <c r="F505" s="78" t="s">
        <v>952</v>
      </c>
    </row>
    <row r="506" spans="1:6" x14ac:dyDescent="0.2">
      <c r="A506" s="224"/>
      <c r="B506" s="224">
        <v>505</v>
      </c>
      <c r="C506" s="224" t="s">
        <v>919</v>
      </c>
      <c r="D506" s="224">
        <v>-0.13371</v>
      </c>
      <c r="E506" s="224">
        <v>0.30475999999999998</v>
      </c>
      <c r="F506" s="78" t="s">
        <v>952</v>
      </c>
    </row>
    <row r="507" spans="1:6" x14ac:dyDescent="0.2">
      <c r="A507" s="224"/>
      <c r="B507" s="224">
        <v>506</v>
      </c>
      <c r="C507" s="224" t="s">
        <v>919</v>
      </c>
      <c r="D507" s="224">
        <v>-2.2001E-2</v>
      </c>
      <c r="E507" s="224">
        <v>0.68962999999999997</v>
      </c>
      <c r="F507" s="78" t="s">
        <v>952</v>
      </c>
    </row>
    <row r="508" spans="1:6" x14ac:dyDescent="0.2">
      <c r="A508" s="224"/>
      <c r="B508" s="224">
        <v>507</v>
      </c>
      <c r="C508" s="224" t="s">
        <v>919</v>
      </c>
      <c r="D508" s="224">
        <v>-0.44607999999999998</v>
      </c>
      <c r="E508" s="224">
        <v>0.48429</v>
      </c>
      <c r="F508" s="78" t="s">
        <v>952</v>
      </c>
    </row>
    <row r="509" spans="1:6" x14ac:dyDescent="0.2">
      <c r="A509" s="224"/>
      <c r="B509" s="224">
        <v>508</v>
      </c>
      <c r="C509" s="224" t="s">
        <v>919</v>
      </c>
      <c r="D509" s="224">
        <v>0.81847000000000003</v>
      </c>
      <c r="E509" s="224">
        <v>0.30701000000000001</v>
      </c>
      <c r="F509" s="78" t="s">
        <v>952</v>
      </c>
    </row>
    <row r="510" spans="1:6" x14ac:dyDescent="0.2">
      <c r="A510" s="224"/>
      <c r="B510" s="224">
        <v>509</v>
      </c>
      <c r="C510" s="224" t="s">
        <v>919</v>
      </c>
      <c r="D510" s="224">
        <v>-7.1141999999999997E-2</v>
      </c>
      <c r="E510" s="224">
        <v>0.29605999999999999</v>
      </c>
      <c r="F510" s="78" t="s">
        <v>952</v>
      </c>
    </row>
    <row r="511" spans="1:6" x14ac:dyDescent="0.2">
      <c r="A511" s="224"/>
      <c r="B511" s="224">
        <v>510</v>
      </c>
      <c r="C511" s="224" t="s">
        <v>919</v>
      </c>
      <c r="D511" s="224">
        <v>0.10087</v>
      </c>
      <c r="E511" s="224">
        <v>0.29149999999999998</v>
      </c>
      <c r="F511" s="78" t="s">
        <v>952</v>
      </c>
    </row>
    <row r="512" spans="1:6" x14ac:dyDescent="0.2">
      <c r="A512" s="224"/>
      <c r="B512" s="224">
        <v>511</v>
      </c>
      <c r="C512" s="224" t="s">
        <v>919</v>
      </c>
      <c r="D512" s="224">
        <v>-0.14857000000000001</v>
      </c>
      <c r="E512" s="224">
        <v>0.28481000000000001</v>
      </c>
      <c r="F512" s="78" t="s">
        <v>952</v>
      </c>
    </row>
    <row r="513" spans="1:6" x14ac:dyDescent="0.2">
      <c r="A513" s="224"/>
      <c r="B513" s="224">
        <v>512</v>
      </c>
      <c r="C513" s="224" t="s">
        <v>919</v>
      </c>
      <c r="D513" s="224">
        <v>6.2306000000000002E-3</v>
      </c>
      <c r="E513" s="224">
        <v>0.27651999999999999</v>
      </c>
      <c r="F513" s="78" t="s">
        <v>952</v>
      </c>
    </row>
    <row r="514" spans="1:6" x14ac:dyDescent="0.2">
      <c r="A514" s="224"/>
      <c r="B514" s="224">
        <v>513</v>
      </c>
      <c r="C514" s="224" t="s">
        <v>919</v>
      </c>
      <c r="D514" s="224">
        <v>-1.7118000000000001E-2</v>
      </c>
      <c r="E514" s="224">
        <v>0.28859000000000001</v>
      </c>
      <c r="F514" s="78" t="s">
        <v>952</v>
      </c>
    </row>
    <row r="515" spans="1:6" x14ac:dyDescent="0.2">
      <c r="A515" s="224"/>
      <c r="B515" s="224">
        <v>514</v>
      </c>
      <c r="C515" s="224" t="s">
        <v>919</v>
      </c>
      <c r="D515" s="224">
        <v>-8.3690000000000001E-2</v>
      </c>
      <c r="E515" s="224">
        <v>0.30014000000000002</v>
      </c>
      <c r="F515" s="78" t="s">
        <v>952</v>
      </c>
    </row>
    <row r="516" spans="1:6" x14ac:dyDescent="0.2">
      <c r="A516" s="224"/>
      <c r="B516" s="224">
        <v>515</v>
      </c>
      <c r="C516" s="224" t="s">
        <v>919</v>
      </c>
      <c r="D516" s="224">
        <v>-0.13696</v>
      </c>
      <c r="E516" s="224">
        <v>0.29543999999999998</v>
      </c>
      <c r="F516" s="78" t="s">
        <v>952</v>
      </c>
    </row>
    <row r="517" spans="1:6" x14ac:dyDescent="0.2">
      <c r="A517" s="224"/>
      <c r="B517" s="224">
        <v>516</v>
      </c>
      <c r="C517" s="224" t="s">
        <v>919</v>
      </c>
      <c r="D517" s="224">
        <v>-1.9016999999999999E-2</v>
      </c>
      <c r="E517" s="224">
        <v>0.68991999999999998</v>
      </c>
      <c r="F517" s="78" t="s">
        <v>952</v>
      </c>
    </row>
    <row r="518" spans="1:6" x14ac:dyDescent="0.2">
      <c r="A518" s="224"/>
      <c r="B518" s="224">
        <v>517</v>
      </c>
      <c r="C518" s="224" t="s">
        <v>919</v>
      </c>
      <c r="D518" s="224">
        <v>-0.26001999999999997</v>
      </c>
      <c r="E518" s="224">
        <v>0.53081</v>
      </c>
      <c r="F518" s="78" t="s">
        <v>952</v>
      </c>
    </row>
    <row r="519" spans="1:6" x14ac:dyDescent="0.2">
      <c r="A519" s="224"/>
      <c r="B519" s="224">
        <v>518</v>
      </c>
      <c r="C519" s="224" t="s">
        <v>919</v>
      </c>
      <c r="D519" s="224">
        <v>-0.77849000000000002</v>
      </c>
      <c r="E519" s="224">
        <v>0.33066000000000001</v>
      </c>
      <c r="F519" s="78" t="s">
        <v>952</v>
      </c>
    </row>
    <row r="520" spans="1:6" x14ac:dyDescent="0.2">
      <c r="A520" s="224"/>
      <c r="B520" s="224">
        <v>519</v>
      </c>
      <c r="C520" s="224" t="s">
        <v>919</v>
      </c>
      <c r="D520" s="224">
        <v>0.85223000000000004</v>
      </c>
      <c r="E520" s="224">
        <v>0.28315000000000001</v>
      </c>
      <c r="F520" s="78" t="s">
        <v>952</v>
      </c>
    </row>
    <row r="521" spans="1:6" x14ac:dyDescent="0.2">
      <c r="A521" s="224"/>
      <c r="B521" s="224">
        <v>520</v>
      </c>
      <c r="C521" s="224" t="s">
        <v>919</v>
      </c>
      <c r="D521" s="224">
        <v>2.3695000000000001E-2</v>
      </c>
      <c r="E521" s="224">
        <v>0.28986000000000001</v>
      </c>
      <c r="F521" s="78" t="s">
        <v>952</v>
      </c>
    </row>
    <row r="522" spans="1:6" x14ac:dyDescent="0.2">
      <c r="A522" s="224"/>
      <c r="B522" s="224">
        <v>521</v>
      </c>
      <c r="C522" s="224" t="s">
        <v>919</v>
      </c>
      <c r="D522" s="224">
        <v>-0.12948999999999999</v>
      </c>
      <c r="E522" s="224">
        <v>0.30896000000000001</v>
      </c>
      <c r="F522" s="78" t="s">
        <v>952</v>
      </c>
    </row>
    <row r="523" spans="1:6" x14ac:dyDescent="0.2">
      <c r="A523" s="224"/>
      <c r="B523" s="224">
        <v>522</v>
      </c>
      <c r="C523" s="224" t="s">
        <v>919</v>
      </c>
      <c r="D523" s="224">
        <v>1.9134000000000002E-2</v>
      </c>
      <c r="E523" s="224">
        <v>0.29530000000000001</v>
      </c>
      <c r="F523" s="78" t="s">
        <v>952</v>
      </c>
    </row>
    <row r="524" spans="1:6" x14ac:dyDescent="0.2">
      <c r="A524" s="224"/>
      <c r="B524" s="224">
        <v>523</v>
      </c>
      <c r="C524" s="224" t="s">
        <v>919</v>
      </c>
      <c r="D524" s="224">
        <v>4.7757000000000001E-2</v>
      </c>
      <c r="E524" s="224">
        <v>0.28958</v>
      </c>
      <c r="F524" s="78" t="s">
        <v>952</v>
      </c>
    </row>
    <row r="525" spans="1:6" x14ac:dyDescent="0.2">
      <c r="A525" s="224"/>
      <c r="B525" s="224">
        <v>524</v>
      </c>
      <c r="C525" s="224" t="s">
        <v>919</v>
      </c>
      <c r="D525" s="224">
        <v>8.3098000000000005E-2</v>
      </c>
      <c r="E525" s="224">
        <v>0.30319000000000002</v>
      </c>
      <c r="F525" s="78" t="s">
        <v>952</v>
      </c>
    </row>
    <row r="526" spans="1:6" x14ac:dyDescent="0.2">
      <c r="A526" s="224"/>
      <c r="B526" s="224">
        <v>525</v>
      </c>
      <c r="C526" s="224" t="s">
        <v>919</v>
      </c>
      <c r="D526" s="224">
        <v>0.16111</v>
      </c>
      <c r="E526" s="224">
        <v>0.31467000000000001</v>
      </c>
      <c r="F526" s="78" t="s">
        <v>952</v>
      </c>
    </row>
    <row r="527" spans="1:6" x14ac:dyDescent="0.2">
      <c r="A527" s="224"/>
      <c r="B527" s="224">
        <v>526</v>
      </c>
      <c r="C527" s="224" t="s">
        <v>919</v>
      </c>
      <c r="D527" s="224">
        <v>-1.8758E-2</v>
      </c>
      <c r="E527" s="224">
        <v>0.68994</v>
      </c>
      <c r="F527" s="78" t="s">
        <v>952</v>
      </c>
    </row>
    <row r="528" spans="1:6" x14ac:dyDescent="0.2">
      <c r="A528" s="224"/>
      <c r="B528" s="224">
        <v>527</v>
      </c>
      <c r="C528" s="224" t="s">
        <v>919</v>
      </c>
      <c r="D528" s="224">
        <v>0.21795999999999999</v>
      </c>
      <c r="E528" s="224">
        <v>0.60311999999999999</v>
      </c>
      <c r="F528" s="78" t="s">
        <v>952</v>
      </c>
    </row>
    <row r="529" spans="1:6" x14ac:dyDescent="0.2">
      <c r="A529" s="224"/>
      <c r="B529" s="224">
        <v>528</v>
      </c>
      <c r="C529" s="224" t="s">
        <v>919</v>
      </c>
      <c r="D529" s="224">
        <v>2.9807E-2</v>
      </c>
      <c r="E529" s="224">
        <v>0.37990000000000002</v>
      </c>
      <c r="F529" s="78" t="s">
        <v>952</v>
      </c>
    </row>
    <row r="530" spans="1:6" x14ac:dyDescent="0.2">
      <c r="A530" s="224"/>
      <c r="B530" s="224">
        <v>529</v>
      </c>
      <c r="C530" s="224" t="s">
        <v>919</v>
      </c>
      <c r="D530" s="224">
        <v>-0.36492000000000002</v>
      </c>
      <c r="E530" s="224">
        <v>0.28682000000000002</v>
      </c>
      <c r="F530" s="78" t="s">
        <v>952</v>
      </c>
    </row>
    <row r="531" spans="1:6" x14ac:dyDescent="0.2">
      <c r="A531" s="224"/>
      <c r="B531" s="224">
        <v>530</v>
      </c>
      <c r="C531" s="224" t="s">
        <v>919</v>
      </c>
      <c r="D531" s="224">
        <v>0.45889999999999997</v>
      </c>
      <c r="E531" s="224">
        <v>0.28370000000000001</v>
      </c>
      <c r="F531" s="78" t="s">
        <v>952</v>
      </c>
    </row>
    <row r="532" spans="1:6" x14ac:dyDescent="0.2">
      <c r="A532" s="224"/>
      <c r="B532" s="224">
        <v>531</v>
      </c>
      <c r="C532" s="224" t="s">
        <v>919</v>
      </c>
      <c r="D532" s="224">
        <v>0.28349000000000002</v>
      </c>
      <c r="E532" s="224">
        <v>0.30104999999999998</v>
      </c>
      <c r="F532" s="78" t="s">
        <v>952</v>
      </c>
    </row>
    <row r="533" spans="1:6" x14ac:dyDescent="0.2">
      <c r="A533" s="224"/>
      <c r="B533" s="224">
        <v>532</v>
      </c>
      <c r="C533" s="224" t="s">
        <v>919</v>
      </c>
      <c r="D533" s="224">
        <v>-0.11262</v>
      </c>
      <c r="E533" s="224">
        <v>0.29957</v>
      </c>
      <c r="F533" s="78" t="s">
        <v>952</v>
      </c>
    </row>
    <row r="534" spans="1:6" x14ac:dyDescent="0.2">
      <c r="A534" s="224"/>
      <c r="B534" s="224">
        <v>533</v>
      </c>
      <c r="C534" s="224" t="s">
        <v>919</v>
      </c>
      <c r="D534" s="224">
        <v>-0.18457999999999999</v>
      </c>
      <c r="E534" s="224">
        <v>0.29518</v>
      </c>
      <c r="F534" s="78" t="s">
        <v>952</v>
      </c>
    </row>
    <row r="535" spans="1:6" x14ac:dyDescent="0.2">
      <c r="A535" s="224"/>
      <c r="B535" s="224">
        <v>534</v>
      </c>
      <c r="C535" s="224" t="s">
        <v>919</v>
      </c>
      <c r="D535" s="224">
        <v>-0.14524000000000001</v>
      </c>
      <c r="E535" s="224">
        <v>0.30475999999999998</v>
      </c>
      <c r="F535" s="78" t="s">
        <v>952</v>
      </c>
    </row>
    <row r="536" spans="1:6" x14ac:dyDescent="0.2">
      <c r="A536" s="224"/>
      <c r="B536" s="224">
        <v>535</v>
      </c>
      <c r="C536" s="224" t="s">
        <v>919</v>
      </c>
      <c r="D536" s="224">
        <v>-0.16402</v>
      </c>
      <c r="E536" s="224">
        <v>0.32262000000000002</v>
      </c>
      <c r="F536" s="78" t="s">
        <v>952</v>
      </c>
    </row>
    <row r="537" spans="1:6" x14ac:dyDescent="0.2">
      <c r="A537" s="224"/>
      <c r="B537" s="224">
        <v>536</v>
      </c>
      <c r="C537" s="224" t="s">
        <v>919</v>
      </c>
      <c r="D537" s="224">
        <v>-1.8768E-2</v>
      </c>
      <c r="E537" s="224">
        <v>0.68993000000000004</v>
      </c>
      <c r="F537" s="78" t="s">
        <v>952</v>
      </c>
    </row>
    <row r="538" spans="1:6" x14ac:dyDescent="0.2">
      <c r="A538" s="224"/>
      <c r="B538" s="224">
        <v>537</v>
      </c>
      <c r="C538" s="224" t="s">
        <v>919</v>
      </c>
      <c r="D538" s="224">
        <v>0.25372</v>
      </c>
      <c r="E538" s="224">
        <v>0.62097000000000002</v>
      </c>
      <c r="F538" s="78" t="s">
        <v>952</v>
      </c>
    </row>
    <row r="539" spans="1:6" x14ac:dyDescent="0.2">
      <c r="A539" s="224"/>
      <c r="B539" s="224">
        <v>538</v>
      </c>
      <c r="C539" s="224" t="s">
        <v>919</v>
      </c>
      <c r="D539" s="224">
        <v>0.70035999999999998</v>
      </c>
      <c r="E539" s="224">
        <v>0.40992000000000001</v>
      </c>
      <c r="F539" s="78" t="s">
        <v>952</v>
      </c>
    </row>
    <row r="540" spans="1:6" x14ac:dyDescent="0.2">
      <c r="A540" s="224"/>
      <c r="B540" s="224">
        <v>539</v>
      </c>
      <c r="C540" s="224" t="s">
        <v>919</v>
      </c>
      <c r="D540" s="224">
        <v>-0.13808999999999999</v>
      </c>
      <c r="E540" s="224">
        <v>0.30488999999999999</v>
      </c>
      <c r="F540" s="78" t="s">
        <v>952</v>
      </c>
    </row>
    <row r="541" spans="1:6" x14ac:dyDescent="0.2">
      <c r="A541" s="224"/>
      <c r="B541" s="224">
        <v>540</v>
      </c>
      <c r="C541" s="224" t="s">
        <v>919</v>
      </c>
      <c r="D541" s="224">
        <v>-0.36076999999999998</v>
      </c>
      <c r="E541" s="224">
        <v>0.28153</v>
      </c>
      <c r="F541" s="78" t="s">
        <v>952</v>
      </c>
    </row>
    <row r="542" spans="1:6" x14ac:dyDescent="0.2">
      <c r="A542" s="224"/>
      <c r="B542" s="224">
        <v>541</v>
      </c>
      <c r="C542" s="224" t="s">
        <v>919</v>
      </c>
      <c r="D542" s="224">
        <v>-0.15074000000000001</v>
      </c>
      <c r="E542" s="224">
        <v>0.28100000000000003</v>
      </c>
      <c r="F542" s="78" t="s">
        <v>952</v>
      </c>
    </row>
    <row r="543" spans="1:6" x14ac:dyDescent="0.2">
      <c r="A543" s="224"/>
      <c r="B543" s="224">
        <v>542</v>
      </c>
      <c r="C543" s="224" t="s">
        <v>919</v>
      </c>
      <c r="D543" s="224">
        <v>-8.7169999999999997E-2</v>
      </c>
      <c r="E543" s="224">
        <v>0.28634999999999999</v>
      </c>
      <c r="F543" s="78" t="s">
        <v>952</v>
      </c>
    </row>
    <row r="544" spans="1:6" x14ac:dyDescent="0.2">
      <c r="A544" s="224"/>
      <c r="B544" s="224">
        <v>543</v>
      </c>
      <c r="C544" s="224" t="s">
        <v>919</v>
      </c>
      <c r="D544" s="224">
        <v>-5.4123999999999999E-2</v>
      </c>
      <c r="E544" s="224">
        <v>0.29709000000000002</v>
      </c>
      <c r="F544" s="78" t="s">
        <v>952</v>
      </c>
    </row>
    <row r="545" spans="1:6" x14ac:dyDescent="0.2">
      <c r="A545" s="224"/>
      <c r="B545" s="224">
        <v>544</v>
      </c>
      <c r="C545" s="224" t="s">
        <v>919</v>
      </c>
      <c r="D545" s="224">
        <v>-8.6874000000000007E-2</v>
      </c>
      <c r="E545" s="224">
        <v>0.30686999999999998</v>
      </c>
      <c r="F545" s="78" t="s">
        <v>952</v>
      </c>
    </row>
    <row r="546" spans="1:6" x14ac:dyDescent="0.2">
      <c r="A546" s="224"/>
      <c r="B546" s="224">
        <v>545</v>
      </c>
      <c r="C546" s="224" t="s">
        <v>919</v>
      </c>
      <c r="D546" s="224">
        <v>-5.7551999999999999E-2</v>
      </c>
      <c r="E546" s="224">
        <v>0.32423000000000002</v>
      </c>
      <c r="F546" s="78" t="s">
        <v>952</v>
      </c>
    </row>
    <row r="547" spans="1:6" x14ac:dyDescent="0.2">
      <c r="A547" s="224"/>
      <c r="B547" s="224">
        <v>546</v>
      </c>
      <c r="C547" s="224" t="s">
        <v>919</v>
      </c>
      <c r="D547" s="224">
        <v>-1.7262E-2</v>
      </c>
      <c r="E547" s="224">
        <v>0.68976999999999999</v>
      </c>
      <c r="F547" s="78" t="s">
        <v>952</v>
      </c>
    </row>
    <row r="548" spans="1:6" x14ac:dyDescent="0.2">
      <c r="A548" s="224"/>
      <c r="B548" s="224">
        <v>547</v>
      </c>
      <c r="C548" s="224" t="s">
        <v>919</v>
      </c>
      <c r="D548" s="224">
        <v>9.9363000000000007E-2</v>
      </c>
      <c r="E548" s="224">
        <v>0.62419999999999998</v>
      </c>
      <c r="F548" s="78" t="s">
        <v>952</v>
      </c>
    </row>
    <row r="549" spans="1:6" x14ac:dyDescent="0.2">
      <c r="A549" s="224"/>
      <c r="B549" s="224">
        <v>548</v>
      </c>
      <c r="C549" s="224" t="s">
        <v>919</v>
      </c>
      <c r="D549" s="224">
        <v>-3.1206999999999999E-2</v>
      </c>
      <c r="E549" s="224">
        <v>0.41815999999999998</v>
      </c>
      <c r="F549" s="78" t="s">
        <v>952</v>
      </c>
    </row>
    <row r="550" spans="1:6" x14ac:dyDescent="0.2">
      <c r="A550" s="224"/>
      <c r="B550" s="224">
        <v>549</v>
      </c>
      <c r="C550" s="224" t="s">
        <v>919</v>
      </c>
      <c r="D550" s="224">
        <v>-2.5752000000000001E-2</v>
      </c>
      <c r="E550" s="224">
        <v>0.3241</v>
      </c>
      <c r="F550" s="78" t="s">
        <v>952</v>
      </c>
    </row>
    <row r="551" spans="1:6" x14ac:dyDescent="0.2">
      <c r="A551" s="224"/>
      <c r="B551" s="224">
        <v>550</v>
      </c>
      <c r="C551" s="224" t="s">
        <v>919</v>
      </c>
      <c r="D551" s="224">
        <v>-5.1174999999999998E-2</v>
      </c>
      <c r="E551" s="224">
        <v>0.28691</v>
      </c>
      <c r="F551" s="78" t="s">
        <v>952</v>
      </c>
    </row>
    <row r="552" spans="1:6" x14ac:dyDescent="0.2">
      <c r="A552" s="224"/>
      <c r="B552" s="224">
        <v>551</v>
      </c>
      <c r="C552" s="224" t="s">
        <v>919</v>
      </c>
      <c r="D552" s="224">
        <v>6.4896999999999996E-2</v>
      </c>
      <c r="E552" s="224">
        <v>0.27822999999999998</v>
      </c>
      <c r="F552" s="78" t="s">
        <v>952</v>
      </c>
    </row>
    <row r="553" spans="1:6" x14ac:dyDescent="0.2">
      <c r="A553" s="224"/>
      <c r="B553" s="224">
        <v>552</v>
      </c>
      <c r="C553" s="224" t="s">
        <v>919</v>
      </c>
      <c r="D553" s="224">
        <v>4.4488000000000002E-3</v>
      </c>
      <c r="E553" s="224">
        <v>0.28038000000000002</v>
      </c>
      <c r="F553" s="78" t="s">
        <v>952</v>
      </c>
    </row>
    <row r="554" spans="1:6" x14ac:dyDescent="0.2">
      <c r="A554" s="224"/>
      <c r="B554" s="224">
        <v>553</v>
      </c>
      <c r="C554" s="224" t="s">
        <v>919</v>
      </c>
      <c r="D554" s="224">
        <v>-4.1640999999999997E-2</v>
      </c>
      <c r="E554" s="224">
        <v>0.29037000000000002</v>
      </c>
      <c r="F554" s="78" t="s">
        <v>952</v>
      </c>
    </row>
    <row r="555" spans="1:6" x14ac:dyDescent="0.2">
      <c r="A555" s="224"/>
      <c r="B555" s="224">
        <v>554</v>
      </c>
      <c r="C555" s="224" t="s">
        <v>919</v>
      </c>
      <c r="D555" s="224">
        <v>-1.5633999999999999E-2</v>
      </c>
      <c r="E555" s="224">
        <v>0.30375999999999997</v>
      </c>
      <c r="F555" s="78" t="s">
        <v>952</v>
      </c>
    </row>
    <row r="556" spans="1:6" x14ac:dyDescent="0.2">
      <c r="A556" s="224"/>
      <c r="B556" s="224">
        <v>555</v>
      </c>
      <c r="C556" s="224" t="s">
        <v>919</v>
      </c>
      <c r="D556" s="224">
        <v>1.3962E-2</v>
      </c>
      <c r="E556" s="224">
        <v>0.31874999999999998</v>
      </c>
      <c r="F556" s="78" t="s">
        <v>952</v>
      </c>
    </row>
    <row r="557" spans="1:6" x14ac:dyDescent="0.2">
      <c r="A557" s="224"/>
      <c r="B557" s="224">
        <v>556</v>
      </c>
      <c r="C557" s="224" t="s">
        <v>919</v>
      </c>
      <c r="D557" s="224">
        <v>-3.0962E-2</v>
      </c>
      <c r="E557" s="224">
        <v>0.68949000000000005</v>
      </c>
      <c r="F557" s="78" t="s">
        <v>952</v>
      </c>
    </row>
    <row r="558" spans="1:6" x14ac:dyDescent="0.2">
      <c r="A558" s="224"/>
      <c r="B558" s="224">
        <v>557</v>
      </c>
      <c r="C558" s="224" t="s">
        <v>919</v>
      </c>
      <c r="D558" s="224">
        <v>-0.22241</v>
      </c>
      <c r="E558" s="224">
        <v>0.53373000000000004</v>
      </c>
      <c r="F558" s="78" t="s">
        <v>952</v>
      </c>
    </row>
    <row r="559" spans="1:6" x14ac:dyDescent="0.2">
      <c r="A559" s="224"/>
      <c r="B559" s="224">
        <v>558</v>
      </c>
      <c r="C559" s="224" t="s">
        <v>919</v>
      </c>
      <c r="D559" s="224">
        <v>-0.64276999999999995</v>
      </c>
      <c r="E559" s="224">
        <v>0.38577</v>
      </c>
      <c r="F559" s="78" t="s">
        <v>952</v>
      </c>
    </row>
    <row r="560" spans="1:6" x14ac:dyDescent="0.2">
      <c r="A560" s="224"/>
      <c r="B560" s="224">
        <v>559</v>
      </c>
      <c r="C560" s="224" t="s">
        <v>919</v>
      </c>
      <c r="D560" s="224">
        <v>2.6311000000000001E-2</v>
      </c>
      <c r="E560" s="224">
        <v>0.34210000000000002</v>
      </c>
      <c r="F560" s="78" t="s">
        <v>952</v>
      </c>
    </row>
    <row r="561" spans="1:6" x14ac:dyDescent="0.2">
      <c r="A561" s="224"/>
      <c r="B561" s="224">
        <v>560</v>
      </c>
      <c r="C561" s="224" t="s">
        <v>919</v>
      </c>
      <c r="D561" s="224">
        <v>3.8099000000000001E-2</v>
      </c>
      <c r="E561" s="224">
        <v>0.30270999999999998</v>
      </c>
      <c r="F561" s="78" t="s">
        <v>952</v>
      </c>
    </row>
    <row r="562" spans="1:6" x14ac:dyDescent="0.2">
      <c r="A562" s="224"/>
      <c r="B562" s="224">
        <v>561</v>
      </c>
      <c r="C562" s="224" t="s">
        <v>919</v>
      </c>
      <c r="D562" s="224">
        <v>0.11762</v>
      </c>
      <c r="E562" s="224">
        <v>0.27622000000000002</v>
      </c>
      <c r="F562" s="78" t="s">
        <v>952</v>
      </c>
    </row>
    <row r="563" spans="1:6" x14ac:dyDescent="0.2">
      <c r="A563" s="224"/>
      <c r="B563" s="224">
        <v>562</v>
      </c>
      <c r="C563" s="224" t="s">
        <v>919</v>
      </c>
      <c r="D563" s="224">
        <v>0.17172999999999999</v>
      </c>
      <c r="E563" s="224">
        <v>0.27528000000000002</v>
      </c>
      <c r="F563" s="78" t="s">
        <v>952</v>
      </c>
    </row>
    <row r="564" spans="1:6" x14ac:dyDescent="0.2">
      <c r="A564" s="224"/>
      <c r="B564" s="224">
        <v>563</v>
      </c>
      <c r="C564" s="224" t="s">
        <v>919</v>
      </c>
      <c r="D564" s="224">
        <v>0.16546</v>
      </c>
      <c r="E564" s="224">
        <v>0.28055000000000002</v>
      </c>
      <c r="F564" s="78" t="s">
        <v>952</v>
      </c>
    </row>
    <row r="565" spans="1:6" x14ac:dyDescent="0.2">
      <c r="A565" s="224"/>
      <c r="B565" s="224">
        <v>564</v>
      </c>
      <c r="C565" s="224" t="s">
        <v>919</v>
      </c>
      <c r="D565" s="224">
        <v>0.20705999999999999</v>
      </c>
      <c r="E565" s="224">
        <v>0.29410999999999998</v>
      </c>
      <c r="F565" s="78" t="s">
        <v>952</v>
      </c>
    </row>
    <row r="566" spans="1:6" x14ac:dyDescent="0.2">
      <c r="A566" s="224"/>
      <c r="B566" s="224">
        <v>565</v>
      </c>
      <c r="C566" s="224" t="s">
        <v>919</v>
      </c>
      <c r="D566" s="224">
        <v>0.16986000000000001</v>
      </c>
      <c r="E566" s="224">
        <v>0.31269000000000002</v>
      </c>
      <c r="F566" s="78" t="s">
        <v>952</v>
      </c>
    </row>
    <row r="567" spans="1:6" x14ac:dyDescent="0.2">
      <c r="A567" s="224"/>
      <c r="B567" s="224">
        <v>566</v>
      </c>
      <c r="C567" s="224" t="s">
        <v>919</v>
      </c>
      <c r="D567" s="224">
        <v>-2.7258000000000001E-2</v>
      </c>
      <c r="E567" s="224">
        <v>0.68876000000000004</v>
      </c>
      <c r="F567" s="78" t="s">
        <v>952</v>
      </c>
    </row>
    <row r="568" spans="1:6" x14ac:dyDescent="0.2">
      <c r="A568" s="224"/>
      <c r="B568" s="224">
        <v>567</v>
      </c>
      <c r="C568" s="224" t="s">
        <v>919</v>
      </c>
      <c r="D568" s="224">
        <v>-0.32745000000000002</v>
      </c>
      <c r="E568" s="224">
        <v>0.48277999999999999</v>
      </c>
      <c r="F568" s="78" t="s">
        <v>952</v>
      </c>
    </row>
    <row r="569" spans="1:6" x14ac:dyDescent="0.2">
      <c r="A569" s="224"/>
      <c r="B569" s="224">
        <v>568</v>
      </c>
      <c r="C569" s="224" t="s">
        <v>919</v>
      </c>
      <c r="D569" s="224">
        <v>0.11409</v>
      </c>
      <c r="E569" s="224">
        <v>0.32805000000000001</v>
      </c>
      <c r="F569" s="78" t="s">
        <v>952</v>
      </c>
    </row>
    <row r="570" spans="1:6" x14ac:dyDescent="0.2">
      <c r="A570" s="224"/>
      <c r="B570" s="224">
        <v>569</v>
      </c>
      <c r="C570" s="224" t="s">
        <v>919</v>
      </c>
      <c r="D570" s="224">
        <v>2.077E-2</v>
      </c>
      <c r="E570" s="224">
        <v>0.32490999999999998</v>
      </c>
      <c r="F570" s="78" t="s">
        <v>952</v>
      </c>
    </row>
    <row r="571" spans="1:6" x14ac:dyDescent="0.2">
      <c r="A571" s="224"/>
      <c r="B571" s="224">
        <v>570</v>
      </c>
      <c r="C571" s="224" t="s">
        <v>919</v>
      </c>
      <c r="D571" s="224">
        <v>-0.21207000000000001</v>
      </c>
      <c r="E571" s="224">
        <v>0.33148</v>
      </c>
      <c r="F571" s="78" t="s">
        <v>952</v>
      </c>
    </row>
    <row r="572" spans="1:6" x14ac:dyDescent="0.2">
      <c r="A572" s="224"/>
      <c r="B572" s="224">
        <v>571</v>
      </c>
      <c r="C572" s="224" t="s">
        <v>919</v>
      </c>
      <c r="D572" s="224">
        <v>-0.15786</v>
      </c>
      <c r="E572" s="224">
        <v>0.31008000000000002</v>
      </c>
      <c r="F572" s="78" t="s">
        <v>952</v>
      </c>
    </row>
    <row r="573" spans="1:6" x14ac:dyDescent="0.2">
      <c r="A573" s="224"/>
      <c r="B573" s="224">
        <v>572</v>
      </c>
      <c r="C573" s="224" t="s">
        <v>919</v>
      </c>
      <c r="D573" s="224">
        <v>1.2949E-2</v>
      </c>
      <c r="E573" s="224">
        <v>0.28421999999999997</v>
      </c>
      <c r="F573" s="78" t="s">
        <v>952</v>
      </c>
    </row>
    <row r="574" spans="1:6" x14ac:dyDescent="0.2">
      <c r="A574" s="224"/>
      <c r="B574" s="224">
        <v>573</v>
      </c>
      <c r="C574" s="224" t="s">
        <v>919</v>
      </c>
      <c r="D574" s="224">
        <v>0.11121</v>
      </c>
      <c r="E574" s="224">
        <v>0.29126999999999997</v>
      </c>
      <c r="F574" s="78" t="s">
        <v>952</v>
      </c>
    </row>
    <row r="575" spans="1:6" x14ac:dyDescent="0.2">
      <c r="A575" s="224"/>
      <c r="B575" s="224">
        <v>574</v>
      </c>
      <c r="C575" s="224" t="s">
        <v>919</v>
      </c>
      <c r="D575" s="224">
        <v>0.17338999999999999</v>
      </c>
      <c r="E575" s="224">
        <v>0.31723000000000001</v>
      </c>
      <c r="F575" s="78" t="s">
        <v>952</v>
      </c>
    </row>
    <row r="576" spans="1:6" x14ac:dyDescent="0.2">
      <c r="A576" s="224"/>
      <c r="B576" s="224">
        <v>575</v>
      </c>
      <c r="C576" s="224" t="s">
        <v>919</v>
      </c>
      <c r="D576" s="224">
        <v>0.29222999999999999</v>
      </c>
      <c r="E576" s="224">
        <v>0.32371</v>
      </c>
      <c r="F576" s="78" t="s">
        <v>952</v>
      </c>
    </row>
    <row r="577" spans="1:6" x14ac:dyDescent="0.2">
      <c r="A577" s="224"/>
      <c r="B577" s="224">
        <v>576</v>
      </c>
      <c r="C577" s="224" t="s">
        <v>919</v>
      </c>
      <c r="D577" s="224">
        <v>2.3237000000000001E-2</v>
      </c>
      <c r="E577" s="224">
        <v>0.70704999999999996</v>
      </c>
      <c r="F577" s="78" t="s">
        <v>952</v>
      </c>
    </row>
    <row r="578" spans="1:6" x14ac:dyDescent="0.2">
      <c r="A578" s="224"/>
      <c r="B578" s="224">
        <v>577</v>
      </c>
      <c r="C578" s="224" t="s">
        <v>919</v>
      </c>
      <c r="D578" s="224">
        <v>0.12157999999999999</v>
      </c>
      <c r="E578" s="224">
        <v>0.4768</v>
      </c>
      <c r="F578" s="78" t="s">
        <v>952</v>
      </c>
    </row>
    <row r="579" spans="1:6" x14ac:dyDescent="0.2">
      <c r="A579" s="224"/>
      <c r="B579" s="224">
        <v>578</v>
      </c>
      <c r="C579" s="224" t="s">
        <v>919</v>
      </c>
      <c r="D579" s="224">
        <v>-0.32507000000000003</v>
      </c>
      <c r="E579" s="224">
        <v>0.36947000000000002</v>
      </c>
      <c r="F579" s="78" t="s">
        <v>952</v>
      </c>
    </row>
    <row r="580" spans="1:6" x14ac:dyDescent="0.2">
      <c r="A580" s="224"/>
      <c r="B580" s="224">
        <v>579</v>
      </c>
      <c r="C580" s="224" t="s">
        <v>919</v>
      </c>
      <c r="D580" s="224">
        <v>0.40426000000000001</v>
      </c>
      <c r="E580" s="224">
        <v>0.28688999999999998</v>
      </c>
      <c r="F580" s="78" t="s">
        <v>952</v>
      </c>
    </row>
    <row r="581" spans="1:6" x14ac:dyDescent="0.2">
      <c r="A581" s="224"/>
      <c r="B581" s="224">
        <v>580</v>
      </c>
      <c r="C581" s="224" t="s">
        <v>919</v>
      </c>
      <c r="D581" s="224">
        <v>0.27090999999999998</v>
      </c>
      <c r="E581" s="224">
        <v>0.32624999999999998</v>
      </c>
      <c r="F581" s="78" t="s">
        <v>952</v>
      </c>
    </row>
    <row r="582" spans="1:6" x14ac:dyDescent="0.2">
      <c r="A582" s="224"/>
      <c r="B582" s="224">
        <v>581</v>
      </c>
      <c r="C582" s="224" t="s">
        <v>919</v>
      </c>
      <c r="D582" s="224">
        <v>-0.19056999999999999</v>
      </c>
      <c r="E582" s="224">
        <v>0.36087999999999998</v>
      </c>
      <c r="F582" s="78" t="s">
        <v>952</v>
      </c>
    </row>
    <row r="583" spans="1:6" x14ac:dyDescent="0.2">
      <c r="A583" s="224"/>
      <c r="B583" s="224">
        <v>582</v>
      </c>
      <c r="C583" s="224" t="s">
        <v>919</v>
      </c>
      <c r="D583" s="224">
        <v>-0.13222</v>
      </c>
      <c r="E583" s="224">
        <v>0.35988999999999999</v>
      </c>
      <c r="F583" s="78" t="s">
        <v>952</v>
      </c>
    </row>
    <row r="584" spans="1:6" x14ac:dyDescent="0.2">
      <c r="A584" s="224"/>
      <c r="B584" s="224">
        <v>583</v>
      </c>
      <c r="C584" s="224" t="s">
        <v>919</v>
      </c>
      <c r="D584" s="224">
        <v>-7.9641E-3</v>
      </c>
      <c r="E584" s="224">
        <v>0.31225000000000003</v>
      </c>
      <c r="F584" s="78" t="s">
        <v>952</v>
      </c>
    </row>
    <row r="585" spans="1:6" x14ac:dyDescent="0.2">
      <c r="A585" s="224"/>
      <c r="B585" s="224">
        <v>584</v>
      </c>
      <c r="C585" s="224" t="s">
        <v>919</v>
      </c>
      <c r="D585" s="224">
        <v>-5.7334999999999997E-2</v>
      </c>
      <c r="E585" s="224">
        <v>0.32574999999999998</v>
      </c>
      <c r="F585" s="78" t="s">
        <v>952</v>
      </c>
    </row>
    <row r="586" spans="1:6" x14ac:dyDescent="0.2">
      <c r="A586" s="224"/>
      <c r="B586" s="224">
        <v>585</v>
      </c>
      <c r="C586" s="224" t="s">
        <v>919</v>
      </c>
      <c r="D586" s="224">
        <v>-0.10682</v>
      </c>
      <c r="E586" s="224">
        <v>0.33027000000000001</v>
      </c>
      <c r="F586" s="78" t="s">
        <v>952</v>
      </c>
    </row>
    <row r="587" spans="1:6" x14ac:dyDescent="0.2">
      <c r="A587" s="224"/>
      <c r="B587" s="224">
        <v>586</v>
      </c>
      <c r="C587" s="224" t="s">
        <v>919</v>
      </c>
      <c r="D587" s="224">
        <v>-3.2265000000000002E-3</v>
      </c>
      <c r="E587" s="224">
        <v>0.70123999999999997</v>
      </c>
      <c r="F587" s="78" t="s">
        <v>952</v>
      </c>
    </row>
    <row r="588" spans="1:6" x14ac:dyDescent="0.2">
      <c r="A588" s="224"/>
      <c r="B588" s="224">
        <v>587</v>
      </c>
      <c r="C588" s="224" t="s">
        <v>919</v>
      </c>
      <c r="D588" s="224">
        <v>-1.1724E-2</v>
      </c>
      <c r="E588" s="224">
        <v>0.47360999999999998</v>
      </c>
      <c r="F588" s="78" t="s">
        <v>952</v>
      </c>
    </row>
    <row r="589" spans="1:6" x14ac:dyDescent="0.2">
      <c r="A589" s="224"/>
      <c r="B589" s="224">
        <v>588</v>
      </c>
      <c r="C589" s="224" t="s">
        <v>919</v>
      </c>
      <c r="D589" s="224">
        <v>-0.18744</v>
      </c>
      <c r="E589" s="224">
        <v>0.37938</v>
      </c>
      <c r="F589" s="78" t="s">
        <v>952</v>
      </c>
    </row>
    <row r="590" spans="1:6" x14ac:dyDescent="0.2">
      <c r="A590" s="224"/>
      <c r="B590" s="224">
        <v>589</v>
      </c>
      <c r="C590" s="224" t="s">
        <v>919</v>
      </c>
      <c r="D590" s="224">
        <v>-0.78052999999999995</v>
      </c>
      <c r="E590" s="224">
        <v>0.32374000000000003</v>
      </c>
      <c r="F590" s="78" t="s">
        <v>952</v>
      </c>
    </row>
    <row r="591" spans="1:6" x14ac:dyDescent="0.2">
      <c r="A591" s="224"/>
      <c r="B591" s="224">
        <v>590</v>
      </c>
      <c r="C591" s="224" t="s">
        <v>919</v>
      </c>
      <c r="D591" s="224">
        <v>0.27589000000000002</v>
      </c>
      <c r="E591" s="224">
        <v>0.29894999999999999</v>
      </c>
      <c r="F591" s="78" t="s">
        <v>952</v>
      </c>
    </row>
    <row r="592" spans="1:6" x14ac:dyDescent="0.2">
      <c r="A592" s="224"/>
      <c r="B592" s="224">
        <v>591</v>
      </c>
      <c r="C592" s="224" t="s">
        <v>919</v>
      </c>
      <c r="D592" s="224">
        <v>0.41847000000000001</v>
      </c>
      <c r="E592" s="224">
        <v>0.34315000000000001</v>
      </c>
      <c r="F592" s="78" t="s">
        <v>952</v>
      </c>
    </row>
    <row r="593" spans="1:6" x14ac:dyDescent="0.2">
      <c r="A593" s="224"/>
      <c r="B593" s="224">
        <v>592</v>
      </c>
      <c r="C593" s="224" t="s">
        <v>919</v>
      </c>
      <c r="D593" s="224">
        <v>0.19783000000000001</v>
      </c>
      <c r="E593" s="224">
        <v>0.35560999999999998</v>
      </c>
      <c r="F593" s="78" t="s">
        <v>952</v>
      </c>
    </row>
    <row r="594" spans="1:6" x14ac:dyDescent="0.2">
      <c r="A594" s="224"/>
      <c r="B594" s="224">
        <v>593</v>
      </c>
      <c r="C594" s="224" t="s">
        <v>919</v>
      </c>
      <c r="D594" s="224">
        <v>4.9322999999999999E-2</v>
      </c>
      <c r="E594" s="224">
        <v>0.31796000000000002</v>
      </c>
      <c r="F594" s="78" t="s">
        <v>952</v>
      </c>
    </row>
    <row r="595" spans="1:6" x14ac:dyDescent="0.2">
      <c r="A595" s="224"/>
      <c r="B595" s="224">
        <v>594</v>
      </c>
      <c r="C595" s="224" t="s">
        <v>919</v>
      </c>
      <c r="D595" s="224">
        <v>2.6138000000000002E-2</v>
      </c>
      <c r="E595" s="224">
        <v>0.30839</v>
      </c>
      <c r="F595" s="78" t="s">
        <v>952</v>
      </c>
    </row>
    <row r="596" spans="1:6" x14ac:dyDescent="0.2">
      <c r="A596" s="224"/>
      <c r="B596" s="224">
        <v>595</v>
      </c>
      <c r="C596" s="224" t="s">
        <v>919</v>
      </c>
      <c r="D596" s="224">
        <v>1.5284000000000001E-2</v>
      </c>
      <c r="E596" s="224">
        <v>0.32096999999999998</v>
      </c>
      <c r="F596" s="78" t="s">
        <v>952</v>
      </c>
    </row>
    <row r="597" spans="1:6" x14ac:dyDescent="0.2">
      <c r="A597" s="224"/>
      <c r="B597" s="224">
        <v>596</v>
      </c>
      <c r="C597" s="224" t="s">
        <v>919</v>
      </c>
      <c r="D597" s="224">
        <v>-6.4301999999999996E-3</v>
      </c>
      <c r="E597" s="224">
        <v>0.70281000000000005</v>
      </c>
      <c r="F597" s="78" t="s">
        <v>952</v>
      </c>
    </row>
    <row r="598" spans="1:6" x14ac:dyDescent="0.2">
      <c r="A598" s="224"/>
      <c r="B598" s="224">
        <v>597</v>
      </c>
      <c r="C598" s="224" t="s">
        <v>919</v>
      </c>
      <c r="D598" s="224">
        <v>0.27361999999999997</v>
      </c>
      <c r="E598" s="224">
        <v>0.54210000000000003</v>
      </c>
      <c r="F598" s="78" t="s">
        <v>952</v>
      </c>
    </row>
    <row r="599" spans="1:6" x14ac:dyDescent="0.2">
      <c r="A599" s="224"/>
      <c r="B599" s="224">
        <v>598</v>
      </c>
      <c r="C599" s="224" t="s">
        <v>919</v>
      </c>
      <c r="D599" s="224">
        <v>0.24632999999999999</v>
      </c>
      <c r="E599" s="224">
        <v>0.37607000000000002</v>
      </c>
      <c r="F599" s="78" t="s">
        <v>952</v>
      </c>
    </row>
    <row r="600" spans="1:6" x14ac:dyDescent="0.2">
      <c r="A600" s="224"/>
      <c r="B600" s="224">
        <v>599</v>
      </c>
      <c r="C600" s="224" t="s">
        <v>919</v>
      </c>
      <c r="D600" s="224">
        <v>0.26752999999999999</v>
      </c>
      <c r="E600" s="224">
        <v>0.33606999999999998</v>
      </c>
      <c r="F600" s="78" t="s">
        <v>952</v>
      </c>
    </row>
    <row r="601" spans="1:6" x14ac:dyDescent="0.2">
      <c r="A601" s="224"/>
      <c r="B601" s="224">
        <v>600</v>
      </c>
      <c r="C601" s="224" t="s">
        <v>919</v>
      </c>
      <c r="D601" s="224">
        <v>-0.70386000000000004</v>
      </c>
      <c r="E601" s="224">
        <v>0.33750999999999998</v>
      </c>
      <c r="F601" s="78" t="s">
        <v>952</v>
      </c>
    </row>
    <row r="602" spans="1:6" x14ac:dyDescent="0.2">
      <c r="A602" s="224"/>
      <c r="B602" s="224">
        <v>601</v>
      </c>
      <c r="C602" s="224" t="s">
        <v>919</v>
      </c>
      <c r="D602" s="224">
        <v>-0.20738999999999999</v>
      </c>
      <c r="E602" s="224">
        <v>0.32812999999999998</v>
      </c>
      <c r="F602" s="78" t="s">
        <v>952</v>
      </c>
    </row>
    <row r="603" spans="1:6" x14ac:dyDescent="0.2">
      <c r="A603" s="224"/>
      <c r="B603" s="224">
        <v>602</v>
      </c>
      <c r="C603" s="224" t="s">
        <v>919</v>
      </c>
      <c r="D603" s="224">
        <v>5.219E-2</v>
      </c>
      <c r="E603" s="224">
        <v>0.31546000000000002</v>
      </c>
      <c r="F603" s="78" t="s">
        <v>952</v>
      </c>
    </row>
    <row r="604" spans="1:6" x14ac:dyDescent="0.2">
      <c r="A604" s="224"/>
      <c r="B604" s="224">
        <v>603</v>
      </c>
      <c r="C604" s="224" t="s">
        <v>919</v>
      </c>
      <c r="D604" s="224">
        <v>4.6247999999999997E-2</v>
      </c>
      <c r="E604" s="224">
        <v>0.31413999999999997</v>
      </c>
      <c r="F604" s="78" t="s">
        <v>952</v>
      </c>
    </row>
    <row r="605" spans="1:6" x14ac:dyDescent="0.2">
      <c r="A605" s="224"/>
      <c r="B605" s="224">
        <v>604</v>
      </c>
      <c r="C605" s="224" t="s">
        <v>919</v>
      </c>
      <c r="D605" s="224">
        <v>2.2114000000000002E-2</v>
      </c>
      <c r="E605" s="224">
        <v>0.31713999999999998</v>
      </c>
      <c r="F605" s="78" t="s">
        <v>952</v>
      </c>
    </row>
    <row r="606" spans="1:6" x14ac:dyDescent="0.2">
      <c r="A606" s="224"/>
      <c r="B606" s="224">
        <v>605</v>
      </c>
      <c r="C606" s="224" t="s">
        <v>919</v>
      </c>
      <c r="D606" s="224">
        <v>9.6507999999999993E-3</v>
      </c>
      <c r="E606" s="224">
        <v>0.33511000000000002</v>
      </c>
      <c r="F606" s="78" t="s">
        <v>952</v>
      </c>
    </row>
    <row r="607" spans="1:6" x14ac:dyDescent="0.2">
      <c r="A607" s="224"/>
      <c r="B607" s="224">
        <v>606</v>
      </c>
      <c r="C607" s="224" t="s">
        <v>919</v>
      </c>
      <c r="D607" s="224">
        <v>6.8563999999999999E-7</v>
      </c>
      <c r="E607" s="224">
        <v>0.70711000000000002</v>
      </c>
      <c r="F607" s="78" t="s">
        <v>952</v>
      </c>
    </row>
    <row r="608" spans="1:6" x14ac:dyDescent="0.2">
      <c r="A608" s="224"/>
      <c r="B608" s="224">
        <v>607</v>
      </c>
      <c r="C608" s="224" t="s">
        <v>919</v>
      </c>
      <c r="D608" s="224">
        <v>6.4760999999999996E-4</v>
      </c>
      <c r="E608" s="224">
        <v>0.70733000000000001</v>
      </c>
      <c r="F608" s="78" t="s">
        <v>952</v>
      </c>
    </row>
    <row r="609" spans="1:6" x14ac:dyDescent="0.2">
      <c r="A609" s="224"/>
      <c r="B609" s="224">
        <v>608</v>
      </c>
      <c r="C609" s="224" t="s">
        <v>919</v>
      </c>
      <c r="D609" s="224">
        <v>1.3270000000000001E-2</v>
      </c>
      <c r="E609" s="224">
        <v>0.71145999999999998</v>
      </c>
      <c r="F609" s="78" t="s">
        <v>952</v>
      </c>
    </row>
    <row r="610" spans="1:6" x14ac:dyDescent="0.2">
      <c r="A610" s="224"/>
      <c r="B610" s="224">
        <v>609</v>
      </c>
      <c r="C610" s="224" t="s">
        <v>919</v>
      </c>
      <c r="D610" s="224">
        <v>9.0500999999999998E-2</v>
      </c>
      <c r="E610" s="224">
        <v>0.72287999999999997</v>
      </c>
      <c r="F610" s="78" t="s">
        <v>952</v>
      </c>
    </row>
    <row r="611" spans="1:6" x14ac:dyDescent="0.2">
      <c r="A611" s="224"/>
      <c r="B611" s="224">
        <v>610</v>
      </c>
      <c r="C611" s="224" t="s">
        <v>919</v>
      </c>
      <c r="D611" s="224">
        <v>0.12511</v>
      </c>
      <c r="E611" s="224">
        <v>0.64285000000000003</v>
      </c>
      <c r="F611" s="78" t="s">
        <v>952</v>
      </c>
    </row>
    <row r="612" spans="1:6" x14ac:dyDescent="0.2">
      <c r="A612" s="224"/>
      <c r="B612" s="224">
        <v>611</v>
      </c>
      <c r="C612" s="224" t="s">
        <v>919</v>
      </c>
      <c r="D612" s="224">
        <v>-0.19958000000000001</v>
      </c>
      <c r="E612" s="224">
        <v>0.64422000000000001</v>
      </c>
      <c r="F612" s="78" t="s">
        <v>952</v>
      </c>
    </row>
    <row r="613" spans="1:6" x14ac:dyDescent="0.2">
      <c r="A613" s="224"/>
      <c r="B613" s="224">
        <v>612</v>
      </c>
      <c r="C613" s="224" t="s">
        <v>919</v>
      </c>
      <c r="D613" s="224">
        <v>-5.2266E-2</v>
      </c>
      <c r="E613" s="224">
        <v>0.41021000000000002</v>
      </c>
      <c r="F613" s="78" t="s">
        <v>952</v>
      </c>
    </row>
    <row r="614" spans="1:6" x14ac:dyDescent="0.2">
      <c r="A614" s="224"/>
      <c r="B614" s="224">
        <v>613</v>
      </c>
      <c r="C614" s="224" t="s">
        <v>919</v>
      </c>
      <c r="D614" s="224">
        <v>-3.1165000000000002E-2</v>
      </c>
      <c r="E614" s="224">
        <v>0.37724000000000002</v>
      </c>
      <c r="F614" s="78" t="s">
        <v>952</v>
      </c>
    </row>
    <row r="615" spans="1:6" x14ac:dyDescent="0.2">
      <c r="A615" s="224"/>
      <c r="B615" s="224">
        <v>614</v>
      </c>
      <c r="C615" s="224" t="s">
        <v>919</v>
      </c>
      <c r="D615" s="224">
        <v>1.0776000000000001E-2</v>
      </c>
      <c r="E615" s="224">
        <v>0.37397999999999998</v>
      </c>
      <c r="F615" s="78" t="s">
        <v>952</v>
      </c>
    </row>
    <row r="616" spans="1:6" x14ac:dyDescent="0.2">
      <c r="A616" s="224"/>
      <c r="B616" s="224">
        <v>615</v>
      </c>
      <c r="C616" s="224" t="s">
        <v>919</v>
      </c>
      <c r="D616" s="224">
        <v>4.2708999999999997E-2</v>
      </c>
      <c r="E616" s="224">
        <v>0.40055000000000002</v>
      </c>
      <c r="F616" s="78" t="s">
        <v>952</v>
      </c>
    </row>
    <row r="617" spans="1:6" x14ac:dyDescent="0.2">
      <c r="A617" s="224"/>
      <c r="B617" s="224">
        <v>616</v>
      </c>
      <c r="C617" s="224" t="s">
        <v>920</v>
      </c>
      <c r="D617" s="224">
        <v>-1.2897000000000001</v>
      </c>
      <c r="E617" s="224">
        <v>0.81364000000000003</v>
      </c>
      <c r="F617" s="78" t="s">
        <v>953</v>
      </c>
    </row>
    <row r="618" spans="1:6" x14ac:dyDescent="0.2">
      <c r="A618" s="224"/>
      <c r="B618" s="224">
        <v>617</v>
      </c>
      <c r="C618" s="224" t="s">
        <v>920</v>
      </c>
      <c r="D618" s="224">
        <v>0.34638000000000002</v>
      </c>
      <c r="E618" s="224">
        <v>1.3606</v>
      </c>
      <c r="F618" s="78" t="s">
        <v>953</v>
      </c>
    </row>
    <row r="619" spans="1:6" x14ac:dyDescent="0.2">
      <c r="A619" s="224"/>
      <c r="B619" s="224">
        <v>618</v>
      </c>
      <c r="C619" s="224" t="s">
        <v>920</v>
      </c>
      <c r="D619" s="224">
        <v>1.1549</v>
      </c>
      <c r="E619" s="224">
        <v>1.5085</v>
      </c>
      <c r="F619" s="78" t="s">
        <v>953</v>
      </c>
    </row>
    <row r="620" spans="1:6" x14ac:dyDescent="0.2">
      <c r="A620" s="224"/>
      <c r="B620" s="224">
        <v>619</v>
      </c>
      <c r="C620" s="224" t="s">
        <v>920</v>
      </c>
      <c r="D620" s="224">
        <v>0.97138999999999998</v>
      </c>
      <c r="E620" s="224">
        <v>1.5215000000000001</v>
      </c>
      <c r="F620" s="78" t="s">
        <v>953</v>
      </c>
    </row>
    <row r="621" spans="1:6" x14ac:dyDescent="0.2">
      <c r="A621" s="224"/>
      <c r="B621" s="224">
        <v>620</v>
      </c>
      <c r="C621" s="224" t="s">
        <v>920</v>
      </c>
      <c r="D621" s="224">
        <v>0.98565000000000003</v>
      </c>
      <c r="E621" s="224">
        <v>2.2650999999999999</v>
      </c>
      <c r="F621" s="78" t="s">
        <v>953</v>
      </c>
    </row>
    <row r="622" spans="1:6" x14ac:dyDescent="0.2">
      <c r="A622" s="224"/>
      <c r="B622" s="224">
        <v>621</v>
      </c>
      <c r="C622" s="224" t="s">
        <v>920</v>
      </c>
      <c r="D622" s="224">
        <v>0.85758999999999996</v>
      </c>
      <c r="E622" s="224">
        <v>1.1288</v>
      </c>
      <c r="F622" s="78" t="s">
        <v>953</v>
      </c>
    </row>
    <row r="623" spans="1:6" x14ac:dyDescent="0.2">
      <c r="A623" s="224"/>
      <c r="B623" s="224">
        <v>622</v>
      </c>
      <c r="C623" s="224" t="s">
        <v>920</v>
      </c>
      <c r="D623" s="224">
        <v>0.72382000000000002</v>
      </c>
      <c r="E623" s="224">
        <v>0.93715999999999999</v>
      </c>
      <c r="F623" s="78" t="s">
        <v>953</v>
      </c>
    </row>
    <row r="624" spans="1:6" x14ac:dyDescent="0.2">
      <c r="A624" s="224"/>
      <c r="B624" s="224">
        <v>623</v>
      </c>
      <c r="C624" s="224" t="s">
        <v>920</v>
      </c>
      <c r="D624" s="224">
        <v>0.16073999999999999</v>
      </c>
      <c r="E624" s="224">
        <v>0.62124000000000001</v>
      </c>
      <c r="F624" s="78" t="s">
        <v>953</v>
      </c>
    </row>
    <row r="625" spans="1:6" x14ac:dyDescent="0.2">
      <c r="A625" s="224"/>
      <c r="B625" s="224">
        <v>624</v>
      </c>
      <c r="C625" s="224" t="s">
        <v>920</v>
      </c>
      <c r="D625" s="224">
        <v>0.10649</v>
      </c>
      <c r="E625" s="224">
        <v>0.62258000000000002</v>
      </c>
      <c r="F625" s="78" t="s">
        <v>953</v>
      </c>
    </row>
    <row r="626" spans="1:6" x14ac:dyDescent="0.2">
      <c r="A626" s="224"/>
      <c r="B626" s="224">
        <v>625</v>
      </c>
      <c r="C626" s="224" t="s">
        <v>920</v>
      </c>
      <c r="D626" s="224">
        <v>0.15709000000000001</v>
      </c>
      <c r="E626" s="224">
        <v>0.62280000000000002</v>
      </c>
      <c r="F626" s="78" t="s">
        <v>953</v>
      </c>
    </row>
    <row r="627" spans="1:6" x14ac:dyDescent="0.2">
      <c r="A627" s="224"/>
      <c r="B627" s="224">
        <v>626</v>
      </c>
      <c r="C627" s="224" t="s">
        <v>920</v>
      </c>
      <c r="D627" s="224">
        <v>0.15354000000000001</v>
      </c>
      <c r="E627" s="224">
        <v>0.629</v>
      </c>
      <c r="F627" s="78" t="s">
        <v>953</v>
      </c>
    </row>
    <row r="628" spans="1:6" x14ac:dyDescent="0.2">
      <c r="A628" s="224"/>
      <c r="B628" s="224">
        <v>627</v>
      </c>
      <c r="C628" s="224" t="s">
        <v>920</v>
      </c>
      <c r="D628" s="224">
        <v>0.21038999999999999</v>
      </c>
      <c r="E628" s="224">
        <v>0.63082000000000005</v>
      </c>
      <c r="F628" s="78" t="s">
        <v>953</v>
      </c>
    </row>
    <row r="629" spans="1:6" x14ac:dyDescent="0.2">
      <c r="A629" s="224"/>
      <c r="B629" s="224">
        <v>628</v>
      </c>
      <c r="C629" s="224" t="s">
        <v>920</v>
      </c>
      <c r="D629" s="224">
        <v>0.24393999999999999</v>
      </c>
      <c r="E629" s="224">
        <v>0.63183</v>
      </c>
      <c r="F629" s="78" t="s">
        <v>953</v>
      </c>
    </row>
    <row r="630" spans="1:6" x14ac:dyDescent="0.2">
      <c r="A630" s="224"/>
      <c r="B630" s="224">
        <v>629</v>
      </c>
      <c r="C630" s="224" t="s">
        <v>920</v>
      </c>
      <c r="D630" s="224">
        <v>0.28426000000000001</v>
      </c>
      <c r="E630" s="224">
        <v>0.60846</v>
      </c>
      <c r="F630" s="78" t="s">
        <v>953</v>
      </c>
    </row>
    <row r="631" spans="1:6" x14ac:dyDescent="0.2">
      <c r="A631" s="224"/>
      <c r="B631" s="224">
        <v>630</v>
      </c>
      <c r="C631" s="224" t="s">
        <v>920</v>
      </c>
      <c r="D631" s="224">
        <v>-3.7088999999999998E-3</v>
      </c>
      <c r="E631" s="224">
        <v>0.65947</v>
      </c>
      <c r="F631" s="78" t="s">
        <v>953</v>
      </c>
    </row>
    <row r="632" spans="1:6" x14ac:dyDescent="0.2">
      <c r="A632" s="224"/>
      <c r="B632" s="224">
        <v>631</v>
      </c>
      <c r="C632" s="224" t="s">
        <v>920</v>
      </c>
      <c r="D632" s="224">
        <v>-8.4378999999999996E-2</v>
      </c>
      <c r="E632" s="224">
        <v>0.65798000000000001</v>
      </c>
      <c r="F632" s="78" t="s">
        <v>953</v>
      </c>
    </row>
    <row r="633" spans="1:6" x14ac:dyDescent="0.2">
      <c r="A633" s="224"/>
      <c r="B633" s="224">
        <v>632</v>
      </c>
      <c r="C633" s="224" t="s">
        <v>920</v>
      </c>
      <c r="D633" s="224">
        <v>-7.5644000000000003E-2</v>
      </c>
      <c r="E633" s="224">
        <v>0.65786</v>
      </c>
      <c r="F633" s="78" t="s">
        <v>953</v>
      </c>
    </row>
    <row r="634" spans="1:6" x14ac:dyDescent="0.2">
      <c r="A634" s="224"/>
      <c r="B634" s="224">
        <v>633</v>
      </c>
      <c r="C634" s="224" t="s">
        <v>920</v>
      </c>
      <c r="D634" s="224">
        <v>7.3593000000000006E-2</v>
      </c>
      <c r="E634" s="224">
        <v>0.66320000000000001</v>
      </c>
      <c r="F634" s="78" t="s">
        <v>953</v>
      </c>
    </row>
    <row r="635" spans="1:6" x14ac:dyDescent="0.2">
      <c r="A635" s="224"/>
      <c r="B635" s="224">
        <v>634</v>
      </c>
      <c r="C635" s="224" t="s">
        <v>920</v>
      </c>
      <c r="D635" s="224">
        <v>6.3493999999999995E-2</v>
      </c>
      <c r="E635" s="224">
        <v>0.66508999999999996</v>
      </c>
      <c r="F635" s="78" t="s">
        <v>953</v>
      </c>
    </row>
    <row r="636" spans="1:6" x14ac:dyDescent="0.2">
      <c r="A636" s="224"/>
      <c r="B636" s="224">
        <v>635</v>
      </c>
      <c r="C636" s="224" t="s">
        <v>920</v>
      </c>
      <c r="D636" s="224">
        <v>0.17432</v>
      </c>
      <c r="E636" s="224">
        <v>0.66529000000000005</v>
      </c>
      <c r="F636" s="78" t="s">
        <v>953</v>
      </c>
    </row>
    <row r="637" spans="1:6" x14ac:dyDescent="0.2">
      <c r="A637" s="224"/>
      <c r="B637" s="224">
        <v>636</v>
      </c>
      <c r="C637" s="224" t="s">
        <v>920</v>
      </c>
      <c r="D637" s="224">
        <v>0.23132</v>
      </c>
      <c r="E637" s="224">
        <v>0.64534000000000002</v>
      </c>
      <c r="F637" s="78" t="s">
        <v>953</v>
      </c>
    </row>
    <row r="638" spans="1:6" x14ac:dyDescent="0.2">
      <c r="A638" s="224"/>
      <c r="B638" s="224">
        <v>637</v>
      </c>
      <c r="C638" s="224" t="s">
        <v>920</v>
      </c>
      <c r="D638" s="224">
        <v>4.922E-2</v>
      </c>
      <c r="E638" s="224">
        <v>0.64966000000000002</v>
      </c>
      <c r="F638" s="78" t="s">
        <v>953</v>
      </c>
    </row>
    <row r="639" spans="1:6" x14ac:dyDescent="0.2">
      <c r="A639" s="224"/>
      <c r="B639" s="224">
        <v>638</v>
      </c>
      <c r="C639" s="224" t="s">
        <v>920</v>
      </c>
      <c r="D639" s="224">
        <v>5.4008E-2</v>
      </c>
      <c r="E639" s="224">
        <v>0.65078999999999998</v>
      </c>
      <c r="F639" s="78" t="s">
        <v>953</v>
      </c>
    </row>
    <row r="640" spans="1:6" x14ac:dyDescent="0.2">
      <c r="A640" s="224"/>
      <c r="B640" s="224">
        <v>639</v>
      </c>
      <c r="C640" s="224" t="s">
        <v>920</v>
      </c>
      <c r="D640" s="224">
        <v>6.8428000000000003E-2</v>
      </c>
      <c r="E640" s="224">
        <v>0.65036000000000005</v>
      </c>
      <c r="F640" s="78" t="s">
        <v>953</v>
      </c>
    </row>
    <row r="641" spans="1:6" x14ac:dyDescent="0.2">
      <c r="A641" s="224"/>
      <c r="B641" s="224">
        <v>640</v>
      </c>
      <c r="C641" s="224" t="s">
        <v>920</v>
      </c>
      <c r="D641" s="224">
        <v>9.7185999999999995E-2</v>
      </c>
      <c r="E641" s="224">
        <v>0.65112000000000003</v>
      </c>
      <c r="F641" s="78" t="s">
        <v>953</v>
      </c>
    </row>
    <row r="642" spans="1:6" x14ac:dyDescent="0.2">
      <c r="A642" s="224"/>
      <c r="B642" s="224">
        <v>641</v>
      </c>
      <c r="C642" s="224" t="s">
        <v>920</v>
      </c>
      <c r="D642" s="224">
        <v>9.9181000000000005E-2</v>
      </c>
      <c r="E642" s="224">
        <v>0.65146000000000004</v>
      </c>
      <c r="F642" s="78" t="s">
        <v>953</v>
      </c>
    </row>
    <row r="643" spans="1:6" x14ac:dyDescent="0.2">
      <c r="A643" s="224"/>
      <c r="B643" s="224">
        <v>642</v>
      </c>
      <c r="C643" s="224" t="s">
        <v>920</v>
      </c>
      <c r="D643" s="224">
        <v>0.13375999999999999</v>
      </c>
      <c r="E643" s="224">
        <v>0.65144999999999997</v>
      </c>
      <c r="F643" s="78" t="s">
        <v>953</v>
      </c>
    </row>
    <row r="644" spans="1:6" x14ac:dyDescent="0.2">
      <c r="A644" s="224"/>
      <c r="B644" s="224">
        <v>643</v>
      </c>
      <c r="C644" s="224" t="s">
        <v>920</v>
      </c>
      <c r="D644" s="224">
        <v>0.13546</v>
      </c>
      <c r="E644" s="224">
        <v>0.64559999999999995</v>
      </c>
      <c r="F644" s="78" t="s">
        <v>953</v>
      </c>
    </row>
    <row r="645" spans="1:6" x14ac:dyDescent="0.2">
      <c r="A645" s="224"/>
      <c r="B645" s="224">
        <v>644</v>
      </c>
      <c r="C645" s="224" t="s">
        <v>920</v>
      </c>
      <c r="D645" s="224">
        <v>7.7395000000000005E-2</v>
      </c>
      <c r="E645" s="224">
        <v>0.65329000000000004</v>
      </c>
      <c r="F645" s="78" t="s">
        <v>953</v>
      </c>
    </row>
    <row r="646" spans="1:6" x14ac:dyDescent="0.2">
      <c r="A646" s="224"/>
      <c r="B646" s="224">
        <v>645</v>
      </c>
      <c r="C646" s="224" t="s">
        <v>920</v>
      </c>
      <c r="D646" s="224">
        <v>7.1152999999999994E-2</v>
      </c>
      <c r="E646" s="224">
        <v>0.65481999999999996</v>
      </c>
      <c r="F646" s="78" t="s">
        <v>953</v>
      </c>
    </row>
    <row r="647" spans="1:6" x14ac:dyDescent="0.2">
      <c r="A647" s="224"/>
      <c r="B647" s="224">
        <v>646</v>
      </c>
      <c r="C647" s="224" t="s">
        <v>920</v>
      </c>
      <c r="D647" s="224">
        <v>4.9354000000000002E-2</v>
      </c>
      <c r="E647" s="224">
        <v>0.65427999999999997</v>
      </c>
      <c r="F647" s="78" t="s">
        <v>953</v>
      </c>
    </row>
    <row r="648" spans="1:6" x14ac:dyDescent="0.2">
      <c r="A648" s="224"/>
      <c r="B648" s="224">
        <v>647</v>
      </c>
      <c r="C648" s="224" t="s">
        <v>920</v>
      </c>
      <c r="D648" s="224">
        <v>7.1395E-2</v>
      </c>
      <c r="E648" s="224">
        <v>0.65515999999999996</v>
      </c>
      <c r="F648" s="78" t="s">
        <v>953</v>
      </c>
    </row>
    <row r="649" spans="1:6" x14ac:dyDescent="0.2">
      <c r="A649" s="224"/>
      <c r="B649" s="224">
        <v>648</v>
      </c>
      <c r="C649" s="224" t="s">
        <v>920</v>
      </c>
      <c r="D649" s="224">
        <v>7.7457999999999999E-2</v>
      </c>
      <c r="E649" s="224">
        <v>0.65556000000000003</v>
      </c>
      <c r="F649" s="78" t="s">
        <v>953</v>
      </c>
    </row>
    <row r="650" spans="1:6" x14ac:dyDescent="0.2">
      <c r="A650" s="224"/>
      <c r="B650" s="224">
        <v>649</v>
      </c>
      <c r="C650" s="224" t="s">
        <v>920</v>
      </c>
      <c r="D650" s="224">
        <v>0.11432</v>
      </c>
      <c r="E650" s="224">
        <v>0.65539999999999998</v>
      </c>
      <c r="F650" s="78" t="s">
        <v>953</v>
      </c>
    </row>
    <row r="651" spans="1:6" x14ac:dyDescent="0.2">
      <c r="A651" s="224"/>
      <c r="B651" s="224">
        <v>650</v>
      </c>
      <c r="C651" s="224" t="s">
        <v>920</v>
      </c>
      <c r="D651" s="224">
        <v>0.11667</v>
      </c>
      <c r="E651" s="224">
        <v>0.64964999999999995</v>
      </c>
      <c r="F651" s="78" t="s">
        <v>953</v>
      </c>
    </row>
    <row r="652" spans="1:6" x14ac:dyDescent="0.2">
      <c r="A652" s="224"/>
      <c r="B652" s="224">
        <v>651</v>
      </c>
      <c r="C652" s="224" t="s">
        <v>920</v>
      </c>
      <c r="D652" s="224">
        <v>0.11713999999999999</v>
      </c>
      <c r="E652" s="224">
        <v>0.65007000000000004</v>
      </c>
      <c r="F652" s="78" t="s">
        <v>953</v>
      </c>
    </row>
    <row r="653" spans="1:6" x14ac:dyDescent="0.2">
      <c r="A653" s="224"/>
      <c r="B653" s="224">
        <v>652</v>
      </c>
      <c r="C653" s="224" t="s">
        <v>920</v>
      </c>
      <c r="D653" s="224">
        <v>0.11606</v>
      </c>
      <c r="E653" s="224">
        <v>0.64975000000000005</v>
      </c>
      <c r="F653" s="78" t="s">
        <v>953</v>
      </c>
    </row>
    <row r="654" spans="1:6" x14ac:dyDescent="0.2">
      <c r="A654" s="224"/>
      <c r="B654" s="224">
        <v>653</v>
      </c>
      <c r="C654" s="224" t="s">
        <v>920</v>
      </c>
      <c r="D654" s="224">
        <v>0.10452</v>
      </c>
      <c r="E654" s="224">
        <v>0.64997000000000005</v>
      </c>
      <c r="F654" s="78" t="s">
        <v>953</v>
      </c>
    </row>
    <row r="655" spans="1:6" x14ac:dyDescent="0.2">
      <c r="A655" s="224"/>
      <c r="B655" s="224">
        <v>654</v>
      </c>
      <c r="C655" s="224" t="s">
        <v>920</v>
      </c>
      <c r="D655" s="224">
        <v>8.0246999999999999E-2</v>
      </c>
      <c r="E655" s="224">
        <v>0.65027000000000001</v>
      </c>
      <c r="F655" s="78" t="s">
        <v>953</v>
      </c>
    </row>
    <row r="656" spans="1:6" x14ac:dyDescent="0.2">
      <c r="A656" s="224"/>
      <c r="B656" s="224">
        <v>655</v>
      </c>
      <c r="C656" s="224" t="s">
        <v>920</v>
      </c>
      <c r="D656" s="224">
        <v>7.3866000000000001E-2</v>
      </c>
      <c r="E656" s="224">
        <v>0.65085999999999999</v>
      </c>
      <c r="F656" s="78" t="s">
        <v>953</v>
      </c>
    </row>
    <row r="657" spans="1:6" x14ac:dyDescent="0.2">
      <c r="A657" s="224"/>
      <c r="B657" s="224">
        <v>656</v>
      </c>
      <c r="C657" s="224" t="s">
        <v>920</v>
      </c>
      <c r="D657" s="224">
        <v>0.10753</v>
      </c>
      <c r="E657" s="224">
        <v>0.65068000000000004</v>
      </c>
      <c r="F657" s="78" t="s">
        <v>953</v>
      </c>
    </row>
    <row r="658" spans="1:6" x14ac:dyDescent="0.2">
      <c r="A658" s="224"/>
      <c r="B658" s="224">
        <v>657</v>
      </c>
      <c r="C658" s="224" t="s">
        <v>920</v>
      </c>
      <c r="D658" s="224">
        <v>0.10224999999999999</v>
      </c>
      <c r="E658" s="224">
        <v>0.64441999999999999</v>
      </c>
      <c r="F658" s="78" t="s">
        <v>953</v>
      </c>
    </row>
    <row r="659" spans="1:6" x14ac:dyDescent="0.2">
      <c r="A659" s="224"/>
      <c r="B659" s="224">
        <v>658</v>
      </c>
      <c r="C659" s="224" t="s">
        <v>920</v>
      </c>
      <c r="D659" s="224">
        <v>9.8716999999999999E-2</v>
      </c>
      <c r="E659" s="224">
        <v>0.64007999999999998</v>
      </c>
      <c r="F659" s="78" t="s">
        <v>953</v>
      </c>
    </row>
    <row r="660" spans="1:6" x14ac:dyDescent="0.2">
      <c r="A660" s="224"/>
      <c r="B660" s="224">
        <v>659</v>
      </c>
      <c r="C660" s="224" t="s">
        <v>920</v>
      </c>
      <c r="D660" s="224">
        <v>0.16520000000000001</v>
      </c>
      <c r="E660" s="224">
        <v>0.63976</v>
      </c>
      <c r="F660" s="78" t="s">
        <v>953</v>
      </c>
    </row>
    <row r="661" spans="1:6" x14ac:dyDescent="0.2">
      <c r="A661" s="224"/>
      <c r="B661" s="224">
        <v>660</v>
      </c>
      <c r="C661" s="224" t="s">
        <v>920</v>
      </c>
      <c r="D661" s="224">
        <v>0.14943999999999999</v>
      </c>
      <c r="E661" s="224">
        <v>0.63995000000000002</v>
      </c>
      <c r="F661" s="78" t="s">
        <v>953</v>
      </c>
    </row>
    <row r="662" spans="1:6" x14ac:dyDescent="0.2">
      <c r="A662" s="224"/>
      <c r="B662" s="224">
        <v>661</v>
      </c>
      <c r="C662" s="224" t="s">
        <v>920</v>
      </c>
      <c r="D662" s="224">
        <v>0.1134</v>
      </c>
      <c r="E662" s="224">
        <v>0.64056999999999997</v>
      </c>
      <c r="F662" s="78" t="s">
        <v>953</v>
      </c>
    </row>
    <row r="663" spans="1:6" x14ac:dyDescent="0.2">
      <c r="A663" s="224"/>
      <c r="B663" s="224">
        <v>662</v>
      </c>
      <c r="C663" s="224" t="s">
        <v>920</v>
      </c>
      <c r="D663" s="224">
        <v>9.4407000000000005E-2</v>
      </c>
      <c r="E663" s="224">
        <v>0.64105000000000001</v>
      </c>
      <c r="F663" s="78" t="s">
        <v>953</v>
      </c>
    </row>
    <row r="664" spans="1:6" x14ac:dyDescent="0.2">
      <c r="A664" s="224"/>
      <c r="B664" s="224">
        <v>663</v>
      </c>
      <c r="C664" s="224" t="s">
        <v>920</v>
      </c>
      <c r="D664" s="224">
        <v>0.11837</v>
      </c>
      <c r="E664" s="224">
        <v>0.64080000000000004</v>
      </c>
      <c r="F664" s="78" t="s">
        <v>953</v>
      </c>
    </row>
    <row r="665" spans="1:6" x14ac:dyDescent="0.2">
      <c r="A665" s="224"/>
      <c r="B665" s="224">
        <v>664</v>
      </c>
      <c r="C665" s="224" t="s">
        <v>920</v>
      </c>
      <c r="D665" s="224">
        <v>0.10407</v>
      </c>
      <c r="E665" s="224">
        <v>0.63431000000000004</v>
      </c>
      <c r="F665" s="78" t="s">
        <v>953</v>
      </c>
    </row>
    <row r="666" spans="1:6" x14ac:dyDescent="0.2">
      <c r="A666" s="224"/>
      <c r="B666" s="224">
        <v>665</v>
      </c>
      <c r="C666" s="224" t="s">
        <v>920</v>
      </c>
      <c r="D666" s="224">
        <v>0.11498</v>
      </c>
      <c r="E666" s="224">
        <v>0.63541999999999998</v>
      </c>
      <c r="F666" s="78" t="s">
        <v>953</v>
      </c>
    </row>
    <row r="667" spans="1:6" x14ac:dyDescent="0.2">
      <c r="A667" s="224"/>
      <c r="B667" s="224">
        <v>666</v>
      </c>
      <c r="C667" s="224" t="s">
        <v>920</v>
      </c>
      <c r="D667" s="224">
        <v>0.1235</v>
      </c>
      <c r="E667" s="224">
        <v>0.63473000000000002</v>
      </c>
      <c r="F667" s="78" t="s">
        <v>953</v>
      </c>
    </row>
    <row r="668" spans="1:6" x14ac:dyDescent="0.2">
      <c r="A668" s="224"/>
      <c r="B668" s="224">
        <v>667</v>
      </c>
      <c r="C668" s="224" t="s">
        <v>920</v>
      </c>
      <c r="D668" s="224">
        <v>0.15748000000000001</v>
      </c>
      <c r="E668" s="224">
        <v>0.63485000000000003</v>
      </c>
      <c r="F668" s="78" t="s">
        <v>953</v>
      </c>
    </row>
    <row r="669" spans="1:6" x14ac:dyDescent="0.2">
      <c r="A669" s="224"/>
      <c r="B669" s="224">
        <v>668</v>
      </c>
      <c r="C669" s="224" t="s">
        <v>920</v>
      </c>
      <c r="D669" s="224">
        <v>0.12046</v>
      </c>
      <c r="E669" s="224">
        <v>0.63553000000000004</v>
      </c>
      <c r="F669" s="78" t="s">
        <v>953</v>
      </c>
    </row>
    <row r="670" spans="1:6" x14ac:dyDescent="0.2">
      <c r="A670" s="224"/>
      <c r="B670" s="224">
        <v>669</v>
      </c>
      <c r="C670" s="224" t="s">
        <v>920</v>
      </c>
      <c r="D670" s="224">
        <v>0.11713</v>
      </c>
      <c r="E670" s="224">
        <v>0.63590999999999998</v>
      </c>
      <c r="F670" s="78" t="s">
        <v>953</v>
      </c>
    </row>
    <row r="671" spans="1:6" x14ac:dyDescent="0.2">
      <c r="A671" s="224"/>
      <c r="B671" s="224">
        <v>670</v>
      </c>
      <c r="C671" s="224" t="s">
        <v>920</v>
      </c>
      <c r="D671" s="224">
        <v>0.10606</v>
      </c>
      <c r="E671" s="224">
        <v>0.63619999999999999</v>
      </c>
      <c r="F671" s="78" t="s">
        <v>953</v>
      </c>
    </row>
    <row r="672" spans="1:6" x14ac:dyDescent="0.2">
      <c r="A672" s="224"/>
      <c r="B672" s="224">
        <v>671</v>
      </c>
      <c r="C672" s="224" t="s">
        <v>920</v>
      </c>
      <c r="D672" s="224">
        <v>0.11438</v>
      </c>
      <c r="E672" s="224">
        <v>0.62966</v>
      </c>
      <c r="F672" s="78" t="s">
        <v>953</v>
      </c>
    </row>
    <row r="673" spans="1:6" x14ac:dyDescent="0.2">
      <c r="A673" s="224"/>
      <c r="B673" s="224">
        <v>672</v>
      </c>
      <c r="C673" s="224" t="s">
        <v>920</v>
      </c>
      <c r="D673" s="224">
        <v>0.15654999999999999</v>
      </c>
      <c r="E673" s="224">
        <v>0.63214000000000004</v>
      </c>
      <c r="F673" s="78" t="s">
        <v>953</v>
      </c>
    </row>
    <row r="674" spans="1:6" x14ac:dyDescent="0.2">
      <c r="A674" s="224"/>
      <c r="B674" s="224">
        <v>673</v>
      </c>
      <c r="C674" s="224" t="s">
        <v>920</v>
      </c>
      <c r="D674" s="224">
        <v>0.14971999999999999</v>
      </c>
      <c r="E674" s="224">
        <v>0.63180000000000003</v>
      </c>
      <c r="F674" s="78" t="s">
        <v>953</v>
      </c>
    </row>
    <row r="675" spans="1:6" x14ac:dyDescent="0.2">
      <c r="A675" s="224"/>
      <c r="B675" s="224">
        <v>674</v>
      </c>
      <c r="C675" s="224" t="s">
        <v>920</v>
      </c>
      <c r="D675" s="224">
        <v>0.11813</v>
      </c>
      <c r="E675" s="224">
        <v>0.63185999999999998</v>
      </c>
      <c r="F675" s="78" t="s">
        <v>953</v>
      </c>
    </row>
    <row r="676" spans="1:6" x14ac:dyDescent="0.2">
      <c r="A676" s="224"/>
      <c r="B676" s="224">
        <v>675</v>
      </c>
      <c r="C676" s="224" t="s">
        <v>920</v>
      </c>
      <c r="D676" s="224">
        <v>0.13109000000000001</v>
      </c>
      <c r="E676" s="224">
        <v>0.63253000000000004</v>
      </c>
      <c r="F676" s="78" t="s">
        <v>953</v>
      </c>
    </row>
    <row r="677" spans="1:6" x14ac:dyDescent="0.2">
      <c r="A677" s="224"/>
      <c r="B677" s="224">
        <v>676</v>
      </c>
      <c r="C677" s="224" t="s">
        <v>920</v>
      </c>
      <c r="D677" s="224">
        <v>0.12684999999999999</v>
      </c>
      <c r="E677" s="224">
        <v>0.63282000000000005</v>
      </c>
      <c r="F677" s="78" t="s">
        <v>953</v>
      </c>
    </row>
    <row r="678" spans="1:6" x14ac:dyDescent="0.2">
      <c r="A678" s="224"/>
      <c r="B678" s="224">
        <v>677</v>
      </c>
      <c r="C678" s="224" t="s">
        <v>920</v>
      </c>
      <c r="D678" s="224">
        <v>0.11307</v>
      </c>
      <c r="E678" s="224">
        <v>0.63314999999999999</v>
      </c>
      <c r="F678" s="78" t="s">
        <v>953</v>
      </c>
    </row>
    <row r="679" spans="1:6" x14ac:dyDescent="0.2">
      <c r="A679" s="224"/>
      <c r="B679" s="224">
        <v>678</v>
      </c>
      <c r="C679" s="224" t="s">
        <v>920</v>
      </c>
      <c r="D679" s="224">
        <v>0.11550000000000001</v>
      </c>
      <c r="E679" s="224">
        <v>0.62685999999999997</v>
      </c>
      <c r="F679" s="78" t="s">
        <v>953</v>
      </c>
    </row>
    <row r="680" spans="1:6" x14ac:dyDescent="0.2">
      <c r="A680" s="224"/>
      <c r="B680" s="224">
        <v>679</v>
      </c>
      <c r="C680" s="224" t="s">
        <v>920</v>
      </c>
      <c r="D680" s="224">
        <v>6.3767000000000004E-2</v>
      </c>
      <c r="E680" s="224">
        <v>0.64034000000000002</v>
      </c>
      <c r="F680" s="78" t="s">
        <v>953</v>
      </c>
    </row>
    <row r="681" spans="1:6" x14ac:dyDescent="0.2">
      <c r="A681" s="224"/>
      <c r="B681" s="224">
        <v>680</v>
      </c>
      <c r="C681" s="224" t="s">
        <v>920</v>
      </c>
      <c r="D681" s="224">
        <v>2.9606E-2</v>
      </c>
      <c r="E681" s="224">
        <v>0.64080000000000004</v>
      </c>
      <c r="F681" s="78" t="s">
        <v>953</v>
      </c>
    </row>
    <row r="682" spans="1:6" x14ac:dyDescent="0.2">
      <c r="A682" s="224"/>
      <c r="B682" s="224">
        <v>681</v>
      </c>
      <c r="C682" s="224" t="s">
        <v>920</v>
      </c>
      <c r="D682" s="224">
        <v>0.10355</v>
      </c>
      <c r="E682" s="224">
        <v>0.64087000000000005</v>
      </c>
      <c r="F682" s="78" t="s">
        <v>953</v>
      </c>
    </row>
    <row r="683" spans="1:6" x14ac:dyDescent="0.2">
      <c r="A683" s="224"/>
      <c r="B683" s="224">
        <v>682</v>
      </c>
      <c r="C683" s="224" t="s">
        <v>920</v>
      </c>
      <c r="D683" s="224">
        <v>0.12709000000000001</v>
      </c>
      <c r="E683" s="224">
        <v>0.64171</v>
      </c>
      <c r="F683" s="78" t="s">
        <v>953</v>
      </c>
    </row>
    <row r="684" spans="1:6" x14ac:dyDescent="0.2">
      <c r="A684" s="224"/>
      <c r="B684" s="224">
        <v>683</v>
      </c>
      <c r="C684" s="224" t="s">
        <v>920</v>
      </c>
      <c r="D684" s="224">
        <v>0.12581999999999999</v>
      </c>
      <c r="E684" s="224">
        <v>0.64200000000000002</v>
      </c>
      <c r="F684" s="78" t="s">
        <v>953</v>
      </c>
    </row>
    <row r="685" spans="1:6" x14ac:dyDescent="0.2">
      <c r="A685" s="224"/>
      <c r="B685" s="224">
        <v>684</v>
      </c>
      <c r="C685" s="224" t="s">
        <v>920</v>
      </c>
      <c r="D685" s="224">
        <v>0.11548</v>
      </c>
      <c r="E685" s="224">
        <v>0.64253000000000005</v>
      </c>
      <c r="F685" s="78" t="s">
        <v>953</v>
      </c>
    </row>
    <row r="686" spans="1:6" x14ac:dyDescent="0.2">
      <c r="A686" s="224"/>
      <c r="B686" s="224">
        <v>685</v>
      </c>
      <c r="C686" s="224" t="s">
        <v>920</v>
      </c>
      <c r="D686" s="224">
        <v>0.11858</v>
      </c>
      <c r="E686" s="224">
        <v>0.63690999999999998</v>
      </c>
      <c r="F686" s="78" t="s">
        <v>953</v>
      </c>
    </row>
    <row r="687" spans="1:6" x14ac:dyDescent="0.2">
      <c r="A687" s="224"/>
      <c r="B687" s="224">
        <v>686</v>
      </c>
      <c r="C687" s="224" t="s">
        <v>920</v>
      </c>
      <c r="D687" s="224">
        <v>0.12604000000000001</v>
      </c>
      <c r="E687" s="224">
        <v>0.63843000000000005</v>
      </c>
      <c r="F687" s="78" t="s">
        <v>953</v>
      </c>
    </row>
    <row r="688" spans="1:6" x14ac:dyDescent="0.2">
      <c r="A688" s="224"/>
      <c r="B688" s="224">
        <v>687</v>
      </c>
      <c r="C688" s="224" t="s">
        <v>920</v>
      </c>
      <c r="D688" s="224">
        <v>0.10680000000000001</v>
      </c>
      <c r="E688" s="224">
        <v>0.63863999999999999</v>
      </c>
      <c r="F688" s="78" t="s">
        <v>953</v>
      </c>
    </row>
    <row r="689" spans="1:6" x14ac:dyDescent="0.2">
      <c r="A689" s="224"/>
      <c r="B689" s="224">
        <v>688</v>
      </c>
      <c r="C689" s="224" t="s">
        <v>920</v>
      </c>
      <c r="D689" s="224">
        <v>8.2290000000000002E-2</v>
      </c>
      <c r="E689" s="224">
        <v>0.63851999999999998</v>
      </c>
      <c r="F689" s="78" t="s">
        <v>953</v>
      </c>
    </row>
    <row r="690" spans="1:6" x14ac:dyDescent="0.2">
      <c r="A690" s="224"/>
      <c r="B690" s="224">
        <v>689</v>
      </c>
      <c r="C690" s="224" t="s">
        <v>920</v>
      </c>
      <c r="D690" s="224">
        <v>9.8414000000000001E-2</v>
      </c>
      <c r="E690" s="224">
        <v>0.63859999999999995</v>
      </c>
      <c r="F690" s="78" t="s">
        <v>953</v>
      </c>
    </row>
    <row r="691" spans="1:6" x14ac:dyDescent="0.2">
      <c r="A691" s="224"/>
      <c r="B691" s="224">
        <v>690</v>
      </c>
      <c r="C691" s="224" t="s">
        <v>920</v>
      </c>
      <c r="D691" s="224">
        <v>0.10816000000000001</v>
      </c>
      <c r="E691" s="224">
        <v>0.63863000000000003</v>
      </c>
      <c r="F691" s="78" t="s">
        <v>953</v>
      </c>
    </row>
    <row r="692" spans="1:6" x14ac:dyDescent="0.2">
      <c r="A692" s="224"/>
      <c r="B692" s="224">
        <v>691</v>
      </c>
      <c r="C692" s="224" t="s">
        <v>920</v>
      </c>
      <c r="D692" s="224">
        <v>0.10642</v>
      </c>
      <c r="E692" s="224">
        <v>0.63871999999999995</v>
      </c>
      <c r="F692" s="78" t="s">
        <v>953</v>
      </c>
    </row>
    <row r="693" spans="1:6" x14ac:dyDescent="0.2">
      <c r="A693" s="224"/>
      <c r="B693" s="224">
        <v>692</v>
      </c>
      <c r="C693" s="224" t="s">
        <v>920</v>
      </c>
      <c r="D693" s="224">
        <v>0.10786</v>
      </c>
      <c r="E693" s="224">
        <v>0.63719000000000003</v>
      </c>
      <c r="F693" s="78" t="s">
        <v>953</v>
      </c>
    </row>
    <row r="694" spans="1:6" x14ac:dyDescent="0.2">
      <c r="A694" s="224"/>
      <c r="B694" s="224">
        <v>693</v>
      </c>
      <c r="C694" s="224" t="s">
        <v>920</v>
      </c>
      <c r="D694" s="224">
        <v>0.13597000000000001</v>
      </c>
      <c r="E694" s="224">
        <v>0.63885000000000003</v>
      </c>
      <c r="F694" s="78" t="s">
        <v>953</v>
      </c>
    </row>
    <row r="695" spans="1:6" x14ac:dyDescent="0.2">
      <c r="A695" s="224"/>
      <c r="B695" s="224">
        <v>694</v>
      </c>
      <c r="C695" s="224" t="s">
        <v>920</v>
      </c>
      <c r="D695" s="224">
        <v>0.11685</v>
      </c>
      <c r="E695" s="224">
        <v>0.63934000000000002</v>
      </c>
      <c r="F695" s="78" t="s">
        <v>953</v>
      </c>
    </row>
    <row r="696" spans="1:6" x14ac:dyDescent="0.2">
      <c r="A696" s="224"/>
      <c r="B696" s="224">
        <v>695</v>
      </c>
      <c r="C696" s="224" t="s">
        <v>920</v>
      </c>
      <c r="D696" s="224">
        <v>9.1847999999999999E-2</v>
      </c>
      <c r="E696" s="224">
        <v>0.63924000000000003</v>
      </c>
      <c r="F696" s="78" t="s">
        <v>953</v>
      </c>
    </row>
    <row r="697" spans="1:6" x14ac:dyDescent="0.2">
      <c r="A697" s="224"/>
      <c r="B697" s="224">
        <v>696</v>
      </c>
      <c r="C697" s="224" t="s">
        <v>920</v>
      </c>
      <c r="D697" s="224">
        <v>9.7240999999999994E-2</v>
      </c>
      <c r="E697" s="224">
        <v>0.63941000000000003</v>
      </c>
      <c r="F697" s="78" t="s">
        <v>953</v>
      </c>
    </row>
    <row r="698" spans="1:6" x14ac:dyDescent="0.2">
      <c r="A698" s="224"/>
      <c r="B698" s="224">
        <v>697</v>
      </c>
      <c r="C698" s="224" t="s">
        <v>920</v>
      </c>
      <c r="D698" s="224">
        <v>9.9804000000000004E-2</v>
      </c>
      <c r="E698" s="224">
        <v>0.63941999999999999</v>
      </c>
      <c r="F698" s="78" t="s">
        <v>953</v>
      </c>
    </row>
    <row r="699" spans="1:6" x14ac:dyDescent="0.2">
      <c r="A699" s="224"/>
      <c r="B699" s="224">
        <v>698</v>
      </c>
      <c r="C699" s="224" t="s">
        <v>920</v>
      </c>
      <c r="D699" s="224">
        <v>0.10145999999999999</v>
      </c>
      <c r="E699" s="224">
        <v>0.63953000000000004</v>
      </c>
      <c r="F699" s="78" t="s">
        <v>953</v>
      </c>
    </row>
    <row r="700" spans="1:6" x14ac:dyDescent="0.2">
      <c r="A700" s="224"/>
      <c r="B700" s="224">
        <v>699</v>
      </c>
      <c r="C700" s="224" t="s">
        <v>920</v>
      </c>
      <c r="D700" s="224">
        <v>0.10544000000000001</v>
      </c>
      <c r="E700" s="224">
        <v>0.63780999999999999</v>
      </c>
      <c r="F700" s="78" t="s">
        <v>953</v>
      </c>
    </row>
    <row r="701" spans="1:6" x14ac:dyDescent="0.2">
      <c r="A701" s="224"/>
      <c r="B701" s="224">
        <v>700</v>
      </c>
      <c r="C701" s="224" t="s">
        <v>920</v>
      </c>
      <c r="D701" s="224">
        <v>0.12512000000000001</v>
      </c>
      <c r="E701" s="224">
        <v>0.63973000000000002</v>
      </c>
      <c r="F701" s="78" t="s">
        <v>953</v>
      </c>
    </row>
    <row r="702" spans="1:6" x14ac:dyDescent="0.2">
      <c r="A702" s="224"/>
      <c r="B702" s="224">
        <v>701</v>
      </c>
      <c r="C702" s="224" t="s">
        <v>920</v>
      </c>
      <c r="D702" s="224">
        <v>0.11169</v>
      </c>
      <c r="E702" s="224">
        <v>0.64029000000000003</v>
      </c>
      <c r="F702" s="78" t="s">
        <v>953</v>
      </c>
    </row>
    <row r="703" spans="1:6" x14ac:dyDescent="0.2">
      <c r="A703" s="224"/>
      <c r="B703" s="224">
        <v>702</v>
      </c>
      <c r="C703" s="224" t="s">
        <v>920</v>
      </c>
      <c r="D703" s="224">
        <v>9.5419000000000004E-2</v>
      </c>
      <c r="E703" s="224">
        <v>0.64012999999999998</v>
      </c>
      <c r="F703" s="78" t="s">
        <v>953</v>
      </c>
    </row>
    <row r="704" spans="1:6" x14ac:dyDescent="0.2">
      <c r="A704" s="224"/>
      <c r="B704" s="224">
        <v>703</v>
      </c>
      <c r="C704" s="224" t="s">
        <v>920</v>
      </c>
      <c r="D704" s="224">
        <v>0.10063</v>
      </c>
      <c r="E704" s="224">
        <v>0.64034999999999997</v>
      </c>
      <c r="F704" s="78" t="s">
        <v>953</v>
      </c>
    </row>
    <row r="705" spans="1:6" x14ac:dyDescent="0.2">
      <c r="A705" s="224"/>
      <c r="B705" s="224">
        <v>704</v>
      </c>
      <c r="C705" s="224" t="s">
        <v>920</v>
      </c>
      <c r="D705" s="224">
        <v>0.10203</v>
      </c>
      <c r="E705" s="224">
        <v>0.64039999999999997</v>
      </c>
      <c r="F705" s="78" t="s">
        <v>953</v>
      </c>
    </row>
    <row r="706" spans="1:6" x14ac:dyDescent="0.2">
      <c r="A706" s="224"/>
      <c r="B706" s="224">
        <v>705</v>
      </c>
      <c r="C706" s="224" t="s">
        <v>920</v>
      </c>
      <c r="D706" s="224">
        <v>0.10362</v>
      </c>
      <c r="E706" s="224">
        <v>0.64051000000000002</v>
      </c>
      <c r="F706" s="78" t="s">
        <v>953</v>
      </c>
    </row>
    <row r="707" spans="1:6" x14ac:dyDescent="0.2">
      <c r="A707" s="224"/>
      <c r="B707" s="224">
        <v>706</v>
      </c>
      <c r="C707" s="224" t="s">
        <v>920</v>
      </c>
      <c r="D707" s="224">
        <v>0.10556</v>
      </c>
      <c r="E707" s="224">
        <v>0.63871</v>
      </c>
      <c r="F707" s="78" t="s">
        <v>953</v>
      </c>
    </row>
    <row r="708" spans="1:6" x14ac:dyDescent="0.2">
      <c r="A708" s="224"/>
      <c r="B708" s="224">
        <v>707</v>
      </c>
      <c r="C708" s="224" t="s">
        <v>920</v>
      </c>
      <c r="D708" s="224">
        <v>0.12027</v>
      </c>
      <c r="E708" s="224">
        <v>0.64093</v>
      </c>
      <c r="F708" s="78" t="s">
        <v>953</v>
      </c>
    </row>
    <row r="709" spans="1:6" x14ac:dyDescent="0.2">
      <c r="A709" s="224"/>
      <c r="B709" s="224">
        <v>708</v>
      </c>
      <c r="C709" s="224" t="s">
        <v>920</v>
      </c>
      <c r="D709" s="224">
        <v>0.10707</v>
      </c>
      <c r="E709" s="224">
        <v>0.64115999999999995</v>
      </c>
      <c r="F709" s="78" t="s">
        <v>953</v>
      </c>
    </row>
    <row r="710" spans="1:6" x14ac:dyDescent="0.2">
      <c r="A710" s="224"/>
      <c r="B710" s="224">
        <v>709</v>
      </c>
      <c r="C710" s="224" t="s">
        <v>920</v>
      </c>
      <c r="D710" s="224">
        <v>0.10802</v>
      </c>
      <c r="E710" s="224">
        <v>0.64093999999999995</v>
      </c>
      <c r="F710" s="78" t="s">
        <v>953</v>
      </c>
    </row>
    <row r="711" spans="1:6" x14ac:dyDescent="0.2">
      <c r="A711" s="224"/>
      <c r="B711" s="224">
        <v>710</v>
      </c>
      <c r="C711" s="224" t="s">
        <v>920</v>
      </c>
      <c r="D711" s="224">
        <v>0.10334</v>
      </c>
      <c r="E711" s="224">
        <v>0.64127999999999996</v>
      </c>
      <c r="F711" s="78" t="s">
        <v>953</v>
      </c>
    </row>
    <row r="712" spans="1:6" x14ac:dyDescent="0.2">
      <c r="A712" s="224"/>
      <c r="B712" s="224">
        <v>711</v>
      </c>
      <c r="C712" s="224" t="s">
        <v>920</v>
      </c>
      <c r="D712" s="224">
        <v>0.10316</v>
      </c>
      <c r="E712" s="224">
        <v>0.64132999999999996</v>
      </c>
      <c r="F712" s="78" t="s">
        <v>953</v>
      </c>
    </row>
    <row r="713" spans="1:6" x14ac:dyDescent="0.2">
      <c r="A713" s="224"/>
      <c r="B713" s="224">
        <v>712</v>
      </c>
      <c r="C713" s="224" t="s">
        <v>920</v>
      </c>
      <c r="D713" s="224">
        <v>0.10453999999999999</v>
      </c>
      <c r="E713" s="224">
        <v>0.64139999999999997</v>
      </c>
      <c r="F713" s="78" t="s">
        <v>953</v>
      </c>
    </row>
    <row r="714" spans="1:6" x14ac:dyDescent="0.2">
      <c r="A714" s="224"/>
      <c r="B714" s="224">
        <v>713</v>
      </c>
      <c r="C714" s="224" t="s">
        <v>920</v>
      </c>
      <c r="D714" s="224">
        <v>0.10507</v>
      </c>
      <c r="E714" s="224">
        <v>0.63963999999999999</v>
      </c>
      <c r="F714" s="78" t="s">
        <v>953</v>
      </c>
    </row>
    <row r="715" spans="1:6" x14ac:dyDescent="0.2">
      <c r="A715" s="224"/>
      <c r="B715" s="224">
        <v>714</v>
      </c>
      <c r="C715" s="224" t="s">
        <v>920</v>
      </c>
      <c r="D715" s="224">
        <v>0.10664999999999999</v>
      </c>
      <c r="E715" s="224">
        <v>0.6431</v>
      </c>
      <c r="F715" s="78" t="s">
        <v>953</v>
      </c>
    </row>
    <row r="716" spans="1:6" x14ac:dyDescent="0.2">
      <c r="A716" s="224"/>
      <c r="B716" s="224">
        <v>715</v>
      </c>
      <c r="C716" s="224" t="s">
        <v>920</v>
      </c>
      <c r="D716" s="224">
        <v>0.10662000000000001</v>
      </c>
      <c r="E716" s="224">
        <v>0.64317999999999997</v>
      </c>
      <c r="F716" s="78" t="s">
        <v>953</v>
      </c>
    </row>
    <row r="717" spans="1:6" x14ac:dyDescent="0.2">
      <c r="A717" s="224"/>
      <c r="B717" s="224">
        <v>716</v>
      </c>
      <c r="C717" s="224" t="s">
        <v>920</v>
      </c>
      <c r="D717" s="224">
        <v>0.10173</v>
      </c>
      <c r="E717" s="224">
        <v>0.64288999999999996</v>
      </c>
      <c r="F717" s="78" t="s">
        <v>953</v>
      </c>
    </row>
    <row r="718" spans="1:6" x14ac:dyDescent="0.2">
      <c r="A718" s="224"/>
      <c r="B718" s="224">
        <v>717</v>
      </c>
      <c r="C718" s="224" t="s">
        <v>920</v>
      </c>
      <c r="D718" s="224">
        <v>0.10502</v>
      </c>
      <c r="E718" s="224">
        <v>0.64324999999999999</v>
      </c>
      <c r="F718" s="78" t="s">
        <v>953</v>
      </c>
    </row>
    <row r="719" spans="1:6" x14ac:dyDescent="0.2">
      <c r="A719" s="224"/>
      <c r="B719" s="224">
        <v>718</v>
      </c>
      <c r="C719" s="224" t="s">
        <v>920</v>
      </c>
      <c r="D719" s="224">
        <v>0.10432</v>
      </c>
      <c r="E719" s="224">
        <v>0.64329999999999998</v>
      </c>
      <c r="F719" s="78" t="s">
        <v>953</v>
      </c>
    </row>
    <row r="720" spans="1:6" x14ac:dyDescent="0.2">
      <c r="A720" s="224"/>
      <c r="B720" s="224">
        <v>719</v>
      </c>
      <c r="C720" s="224" t="s">
        <v>920</v>
      </c>
      <c r="D720" s="224">
        <v>0.10579</v>
      </c>
      <c r="E720" s="224">
        <v>0.64336000000000004</v>
      </c>
      <c r="F720" s="78" t="s">
        <v>953</v>
      </c>
    </row>
    <row r="721" spans="1:6" x14ac:dyDescent="0.2">
      <c r="A721" s="224"/>
      <c r="B721" s="224">
        <v>720</v>
      </c>
      <c r="C721" s="224" t="s">
        <v>920</v>
      </c>
      <c r="D721" s="224">
        <v>0.10580000000000001</v>
      </c>
      <c r="E721" s="224">
        <v>0.64165000000000005</v>
      </c>
      <c r="F721" s="78" t="s">
        <v>953</v>
      </c>
    </row>
    <row r="722" spans="1:6" x14ac:dyDescent="0.2">
      <c r="A722" s="224"/>
      <c r="B722" s="224">
        <v>721</v>
      </c>
      <c r="C722" s="224" t="s">
        <v>921</v>
      </c>
      <c r="D722" s="224">
        <v>-4.8228</v>
      </c>
      <c r="E722" s="224">
        <v>1.3179000000000001</v>
      </c>
      <c r="F722" s="78" t="s">
        <v>952</v>
      </c>
    </row>
    <row r="723" spans="1:6" x14ac:dyDescent="0.2">
      <c r="A723" s="224"/>
      <c r="B723" s="224">
        <v>722</v>
      </c>
      <c r="C723" s="224" t="s">
        <v>921</v>
      </c>
      <c r="D723" s="224">
        <v>-2.3752</v>
      </c>
      <c r="E723" s="224">
        <v>0.75634999999999997</v>
      </c>
      <c r="F723" s="78" t="s">
        <v>952</v>
      </c>
    </row>
    <row r="724" spans="1:6" x14ac:dyDescent="0.2">
      <c r="A724" s="224"/>
      <c r="B724" s="224">
        <v>723</v>
      </c>
      <c r="C724" s="224" t="s">
        <v>921</v>
      </c>
      <c r="D724" s="224">
        <v>-1.2419</v>
      </c>
      <c r="E724" s="224">
        <v>0.58889000000000002</v>
      </c>
      <c r="F724" s="78" t="s">
        <v>952</v>
      </c>
    </row>
    <row r="725" spans="1:6" x14ac:dyDescent="0.2">
      <c r="A725" s="224"/>
      <c r="B725" s="224">
        <v>724</v>
      </c>
      <c r="C725" s="224" t="s">
        <v>921</v>
      </c>
      <c r="D725" s="224">
        <v>0.34564</v>
      </c>
      <c r="E725" s="224">
        <v>0.58772000000000002</v>
      </c>
      <c r="F725" s="78" t="s">
        <v>952</v>
      </c>
    </row>
    <row r="726" spans="1:6" x14ac:dyDescent="0.2">
      <c r="A726" s="224"/>
      <c r="B726" s="224">
        <v>725</v>
      </c>
      <c r="C726" s="224" t="s">
        <v>921</v>
      </c>
      <c r="D726" s="224">
        <v>0.39751999999999998</v>
      </c>
      <c r="E726" s="224">
        <v>0.32205</v>
      </c>
      <c r="F726" s="78" t="s">
        <v>952</v>
      </c>
    </row>
    <row r="727" spans="1:6" x14ac:dyDescent="0.2">
      <c r="A727" s="224"/>
      <c r="B727" s="224">
        <v>726</v>
      </c>
      <c r="C727" s="224" t="s">
        <v>921</v>
      </c>
      <c r="D727" s="224">
        <v>0.39282</v>
      </c>
      <c r="E727" s="224">
        <v>0.29114000000000001</v>
      </c>
      <c r="F727" s="78" t="s">
        <v>952</v>
      </c>
    </row>
    <row r="728" spans="1:6" x14ac:dyDescent="0.2">
      <c r="A728" s="224"/>
      <c r="B728" s="224">
        <v>727</v>
      </c>
      <c r="C728" s="224" t="s">
        <v>921</v>
      </c>
      <c r="D728" s="224">
        <v>0.34809000000000001</v>
      </c>
      <c r="E728" s="224">
        <v>0.28059000000000001</v>
      </c>
      <c r="F728" s="78" t="s">
        <v>952</v>
      </c>
    </row>
    <row r="729" spans="1:6" x14ac:dyDescent="0.2">
      <c r="A729" s="224"/>
      <c r="B729" s="224">
        <v>728</v>
      </c>
      <c r="C729" s="224" t="s">
        <v>921</v>
      </c>
      <c r="D729" s="224">
        <v>0.29083999999999999</v>
      </c>
      <c r="E729" s="224">
        <v>0.28487000000000001</v>
      </c>
      <c r="F729" s="78" t="s">
        <v>952</v>
      </c>
    </row>
    <row r="730" spans="1:6" x14ac:dyDescent="0.2">
      <c r="A730" s="224"/>
      <c r="B730" s="224">
        <v>729</v>
      </c>
      <c r="C730" s="224" t="s">
        <v>921</v>
      </c>
      <c r="D730" s="224">
        <v>0.23433000000000001</v>
      </c>
      <c r="E730" s="224">
        <v>0.30246000000000001</v>
      </c>
      <c r="F730" s="78" t="s">
        <v>952</v>
      </c>
    </row>
    <row r="731" spans="1:6" x14ac:dyDescent="0.2">
      <c r="A731" s="224"/>
      <c r="B731" s="224">
        <v>730</v>
      </c>
      <c r="C731" s="224" t="s">
        <v>921</v>
      </c>
      <c r="D731" s="224">
        <v>0.19061</v>
      </c>
      <c r="E731" s="224">
        <v>0.33400999999999997</v>
      </c>
      <c r="F731" s="78" t="s">
        <v>952</v>
      </c>
    </row>
    <row r="732" spans="1:6" x14ac:dyDescent="0.2">
      <c r="A732" s="224"/>
      <c r="B732" s="224">
        <v>731</v>
      </c>
      <c r="C732" s="224" t="s">
        <v>922</v>
      </c>
      <c r="D732" s="224">
        <v>1.3746</v>
      </c>
      <c r="E732" s="224">
        <v>0.46283999999999997</v>
      </c>
      <c r="F732" s="78" t="s">
        <v>953</v>
      </c>
    </row>
    <row r="733" spans="1:6" x14ac:dyDescent="0.2">
      <c r="A733" s="224"/>
      <c r="B733" s="224">
        <v>732</v>
      </c>
      <c r="C733" s="224" t="s">
        <v>922</v>
      </c>
      <c r="D733" s="224">
        <v>2.1322000000000001E-2</v>
      </c>
      <c r="E733" s="224">
        <v>1.1748000000000001</v>
      </c>
      <c r="F733" s="78" t="s">
        <v>953</v>
      </c>
    </row>
    <row r="734" spans="1:6" x14ac:dyDescent="0.2">
      <c r="A734" s="224"/>
      <c r="B734" s="224">
        <v>733</v>
      </c>
      <c r="C734" s="224" t="s">
        <v>922</v>
      </c>
      <c r="D734" s="224">
        <v>-0.74933000000000005</v>
      </c>
      <c r="E734" s="224">
        <v>1.3514999999999999</v>
      </c>
      <c r="F734" s="78" t="s">
        <v>953</v>
      </c>
    </row>
    <row r="735" spans="1:6" x14ac:dyDescent="0.2">
      <c r="A735" s="224"/>
      <c r="B735" s="224">
        <v>734</v>
      </c>
      <c r="C735" s="224" t="s">
        <v>922</v>
      </c>
      <c r="D735" s="224">
        <v>-0.74448000000000003</v>
      </c>
      <c r="E735" s="224">
        <v>1.3609</v>
      </c>
      <c r="F735" s="78" t="s">
        <v>953</v>
      </c>
    </row>
    <row r="736" spans="1:6" x14ac:dyDescent="0.2">
      <c r="A736" s="224"/>
      <c r="B736" s="224">
        <v>735</v>
      </c>
      <c r="C736" s="224" t="s">
        <v>922</v>
      </c>
      <c r="D736" s="224">
        <v>-0.87331999999999999</v>
      </c>
      <c r="E736" s="224">
        <v>2.1694</v>
      </c>
      <c r="F736" s="78" t="s">
        <v>953</v>
      </c>
    </row>
    <row r="737" spans="1:6" x14ac:dyDescent="0.2">
      <c r="A737" s="224"/>
      <c r="B737" s="224">
        <v>736</v>
      </c>
      <c r="C737" s="224" t="s">
        <v>922</v>
      </c>
      <c r="D737" s="224">
        <v>-1.0078</v>
      </c>
      <c r="E737" s="224">
        <v>1.1074999999999999</v>
      </c>
      <c r="F737" s="78" t="s">
        <v>953</v>
      </c>
    </row>
    <row r="738" spans="1:6" x14ac:dyDescent="0.2">
      <c r="A738" s="224"/>
      <c r="B738" s="224">
        <v>737</v>
      </c>
      <c r="C738" s="224" t="s">
        <v>922</v>
      </c>
      <c r="D738" s="224">
        <v>-1.0069999999999999</v>
      </c>
      <c r="E738" s="224">
        <v>0.95631999999999995</v>
      </c>
      <c r="F738" s="78" t="s">
        <v>953</v>
      </c>
    </row>
    <row r="739" spans="1:6" x14ac:dyDescent="0.2">
      <c r="A739" s="224"/>
      <c r="B739" s="224">
        <v>738</v>
      </c>
      <c r="C739" s="224" t="s">
        <v>923</v>
      </c>
      <c r="D739" s="224">
        <v>1.0790999999999999</v>
      </c>
      <c r="E739" s="224">
        <v>4.9209000000000003E-2</v>
      </c>
      <c r="F739" s="78" t="s">
        <v>953</v>
      </c>
    </row>
    <row r="740" spans="1:6" x14ac:dyDescent="0.2">
      <c r="A740" s="224"/>
      <c r="B740" s="224">
        <v>739</v>
      </c>
      <c r="C740" s="224" t="s">
        <v>924</v>
      </c>
      <c r="D740" s="224">
        <v>5.3186999999999998</v>
      </c>
      <c r="E740" s="224">
        <v>0.15024999999999999</v>
      </c>
      <c r="F740" s="78" t="s">
        <v>953</v>
      </c>
    </row>
    <row r="741" spans="1:6" x14ac:dyDescent="0.2">
      <c r="A741" s="224"/>
      <c r="B741" s="224">
        <v>740</v>
      </c>
      <c r="C741" s="224" t="s">
        <v>925</v>
      </c>
      <c r="D741" s="224">
        <v>-2.7385000000000002</v>
      </c>
      <c r="E741" s="224">
        <v>8.6914000000000005E-2</v>
      </c>
      <c r="F741" s="78" t="s">
        <v>953</v>
      </c>
    </row>
    <row r="742" spans="1:6" x14ac:dyDescent="0.2">
      <c r="A742" s="224"/>
      <c r="B742" s="224">
        <v>741</v>
      </c>
      <c r="C742" s="224" t="s">
        <v>926</v>
      </c>
      <c r="D742" s="224">
        <v>-0.53908</v>
      </c>
      <c r="E742" s="224">
        <v>0.18171000000000001</v>
      </c>
      <c r="F742" s="78" t="s">
        <v>953</v>
      </c>
    </row>
    <row r="743" spans="1:6" x14ac:dyDescent="0.2">
      <c r="A743" s="224"/>
      <c r="B743" s="224">
        <v>742</v>
      </c>
      <c r="C743" s="224" t="s">
        <v>926</v>
      </c>
      <c r="D743" s="224">
        <v>-0.1288</v>
      </c>
      <c r="E743" s="224">
        <v>0.15418999999999999</v>
      </c>
      <c r="F743" s="78" t="s">
        <v>953</v>
      </c>
    </row>
    <row r="744" spans="1:6" x14ac:dyDescent="0.2">
      <c r="A744" s="224"/>
      <c r="B744" s="224">
        <v>743</v>
      </c>
      <c r="C744" s="224" t="s">
        <v>926</v>
      </c>
      <c r="D744" s="224">
        <v>0.10392</v>
      </c>
      <c r="E744" s="224">
        <v>0.10893</v>
      </c>
      <c r="F744" s="78" t="s">
        <v>953</v>
      </c>
    </row>
    <row r="745" spans="1:6" x14ac:dyDescent="0.2">
      <c r="A745" s="224"/>
      <c r="B745" s="224">
        <v>744</v>
      </c>
      <c r="C745" s="224" t="s">
        <v>926</v>
      </c>
      <c r="D745" s="224">
        <v>-0.10903</v>
      </c>
      <c r="E745" s="224">
        <v>0.15992999999999999</v>
      </c>
      <c r="F745" s="78" t="s">
        <v>953</v>
      </c>
    </row>
    <row r="746" spans="1:6" x14ac:dyDescent="0.2">
      <c r="A746" s="224"/>
      <c r="B746" s="224">
        <v>745</v>
      </c>
      <c r="C746" s="224" t="s">
        <v>926</v>
      </c>
      <c r="D746" s="224">
        <v>-0.15365999999999999</v>
      </c>
      <c r="E746" s="224">
        <v>0.14152999999999999</v>
      </c>
      <c r="F746" s="78" t="s">
        <v>953</v>
      </c>
    </row>
    <row r="747" spans="1:6" x14ac:dyDescent="0.2">
      <c r="A747" s="224"/>
      <c r="B747" s="224">
        <v>746</v>
      </c>
      <c r="C747" s="224" t="s">
        <v>926</v>
      </c>
      <c r="D747" s="224">
        <v>-0.22578999999999999</v>
      </c>
      <c r="E747" s="224">
        <v>0.14680000000000001</v>
      </c>
      <c r="F747" s="78" t="s">
        <v>953</v>
      </c>
    </row>
    <row r="748" spans="1:6" x14ac:dyDescent="0.2">
      <c r="A748" s="224"/>
      <c r="B748" s="224">
        <v>747</v>
      </c>
      <c r="C748" s="224" t="s">
        <v>926</v>
      </c>
      <c r="D748" s="224">
        <v>-0.31809999999999999</v>
      </c>
      <c r="E748" s="224">
        <v>0.15489</v>
      </c>
      <c r="F748" s="78" t="s">
        <v>953</v>
      </c>
    </row>
    <row r="749" spans="1:6" x14ac:dyDescent="0.2">
      <c r="A749" s="224"/>
      <c r="B749" s="224">
        <v>748</v>
      </c>
      <c r="C749" s="224" t="s">
        <v>926</v>
      </c>
      <c r="D749" s="224">
        <v>-0.20376</v>
      </c>
      <c r="E749" s="224">
        <v>0.16194</v>
      </c>
      <c r="F749" s="78" t="s">
        <v>953</v>
      </c>
    </row>
    <row r="750" spans="1:6" x14ac:dyDescent="0.2">
      <c r="A750" s="224"/>
      <c r="B750" s="224">
        <v>749</v>
      </c>
      <c r="C750" s="224" t="s">
        <v>926</v>
      </c>
      <c r="D750" s="224">
        <v>-3.0339999999999998E-3</v>
      </c>
      <c r="E750" s="224">
        <v>0.13747000000000001</v>
      </c>
      <c r="F750" s="78" t="s">
        <v>953</v>
      </c>
    </row>
    <row r="751" spans="1:6" x14ac:dyDescent="0.2">
      <c r="A751" s="224"/>
      <c r="B751" s="224">
        <v>750</v>
      </c>
      <c r="C751" s="224" t="s">
        <v>926</v>
      </c>
      <c r="D751" s="224">
        <v>-8.4264000000000006E-2</v>
      </c>
      <c r="E751" s="224">
        <v>0.11139</v>
      </c>
      <c r="F751" s="78" t="s">
        <v>953</v>
      </c>
    </row>
    <row r="752" spans="1:6" x14ac:dyDescent="0.2">
      <c r="A752" s="224"/>
      <c r="B752" s="224">
        <v>751</v>
      </c>
      <c r="C752" s="224" t="s">
        <v>926</v>
      </c>
      <c r="D752" s="224">
        <v>-5.3406000000000002E-2</v>
      </c>
      <c r="E752" s="224">
        <v>0.12125</v>
      </c>
      <c r="F752" s="78" t="s">
        <v>953</v>
      </c>
    </row>
    <row r="753" spans="1:6" x14ac:dyDescent="0.2">
      <c r="A753" s="224"/>
      <c r="B753" s="224">
        <v>752</v>
      </c>
      <c r="C753" s="224" t="s">
        <v>926</v>
      </c>
      <c r="D753" s="224">
        <v>4.4003E-2</v>
      </c>
      <c r="E753" s="224">
        <v>0.12409000000000001</v>
      </c>
      <c r="F753" s="78" t="s">
        <v>953</v>
      </c>
    </row>
    <row r="754" spans="1:6" x14ac:dyDescent="0.2">
      <c r="A754" s="224"/>
      <c r="B754" s="224">
        <v>753</v>
      </c>
      <c r="C754" s="224" t="s">
        <v>926</v>
      </c>
      <c r="D754" s="224">
        <v>6.8848999999999994E-2</v>
      </c>
      <c r="E754" s="224">
        <v>0.10612000000000001</v>
      </c>
      <c r="F754" s="78" t="s">
        <v>953</v>
      </c>
    </row>
    <row r="755" spans="1:6" x14ac:dyDescent="0.2">
      <c r="A755" s="224"/>
      <c r="B755" s="224">
        <v>754</v>
      </c>
      <c r="C755" s="224" t="s">
        <v>926</v>
      </c>
      <c r="D755" s="224">
        <v>-2.6209E-2</v>
      </c>
      <c r="E755" s="224">
        <v>0.11923</v>
      </c>
      <c r="F755" s="78" t="s">
        <v>953</v>
      </c>
    </row>
    <row r="756" spans="1:6" x14ac:dyDescent="0.2">
      <c r="A756" s="224"/>
      <c r="B756" s="224">
        <v>755</v>
      </c>
      <c r="C756" s="224" t="s">
        <v>926</v>
      </c>
      <c r="D756" s="224">
        <v>-0.13747999999999999</v>
      </c>
      <c r="E756" s="224">
        <v>0.13338</v>
      </c>
      <c r="F756" s="78" t="s">
        <v>953</v>
      </c>
    </row>
    <row r="757" spans="1:6" x14ac:dyDescent="0.2">
      <c r="A757" s="224"/>
      <c r="B757" s="224">
        <v>756</v>
      </c>
      <c r="C757" s="224" t="s">
        <v>926</v>
      </c>
      <c r="D757" s="224">
        <v>-0.23993999999999999</v>
      </c>
      <c r="E757" s="224">
        <v>0.12719</v>
      </c>
      <c r="F757" s="78" t="s">
        <v>953</v>
      </c>
    </row>
    <row r="758" spans="1:6" x14ac:dyDescent="0.2">
      <c r="A758" s="224"/>
      <c r="B758" s="224">
        <v>757</v>
      </c>
      <c r="C758" s="224" t="s">
        <v>926</v>
      </c>
      <c r="D758" s="224">
        <v>-0.37247999999999998</v>
      </c>
      <c r="E758" s="224">
        <v>0.1134</v>
      </c>
      <c r="F758" s="78" t="s">
        <v>953</v>
      </c>
    </row>
    <row r="759" spans="1:6" x14ac:dyDescent="0.2">
      <c r="A759" s="224"/>
      <c r="B759" s="224">
        <v>758</v>
      </c>
      <c r="C759" s="224" t="s">
        <v>926</v>
      </c>
      <c r="D759" s="224">
        <v>-0.39449000000000001</v>
      </c>
      <c r="E759" s="224">
        <v>0.12078999999999999</v>
      </c>
      <c r="F759" s="78" t="s">
        <v>953</v>
      </c>
    </row>
    <row r="760" spans="1:6" x14ac:dyDescent="0.2">
      <c r="A760" s="224"/>
      <c r="B760" s="224">
        <v>759</v>
      </c>
      <c r="C760" s="224" t="s">
        <v>926</v>
      </c>
      <c r="D760" s="224">
        <v>-0.28438999999999998</v>
      </c>
      <c r="E760" s="224">
        <v>0.11768000000000001</v>
      </c>
      <c r="F760" s="78" t="s">
        <v>953</v>
      </c>
    </row>
    <row r="761" spans="1:6" x14ac:dyDescent="0.2">
      <c r="A761" s="224"/>
      <c r="B761" s="224">
        <v>760</v>
      </c>
      <c r="C761" s="224" t="s">
        <v>926</v>
      </c>
      <c r="D761" s="224">
        <v>-0.32621</v>
      </c>
      <c r="E761" s="224">
        <v>0.12773999999999999</v>
      </c>
      <c r="F761" s="78" t="s">
        <v>953</v>
      </c>
    </row>
    <row r="762" spans="1:6" x14ac:dyDescent="0.2">
      <c r="A762" s="224"/>
      <c r="B762" s="224">
        <v>761</v>
      </c>
      <c r="C762" s="224" t="s">
        <v>926</v>
      </c>
      <c r="D762" s="224">
        <v>-0.10274999999999999</v>
      </c>
      <c r="E762" s="224">
        <v>0.10296</v>
      </c>
      <c r="F762" s="78" t="s">
        <v>953</v>
      </c>
    </row>
    <row r="763" spans="1:6" x14ac:dyDescent="0.2">
      <c r="A763" s="224"/>
      <c r="B763" s="224">
        <v>762</v>
      </c>
      <c r="C763" s="224" t="s">
        <v>926</v>
      </c>
      <c r="D763" s="224">
        <v>9.0883000000000005E-2</v>
      </c>
      <c r="E763" s="224">
        <v>0.10836</v>
      </c>
      <c r="F763" s="78" t="s">
        <v>953</v>
      </c>
    </row>
    <row r="764" spans="1:6" x14ac:dyDescent="0.2">
      <c r="A764" s="224"/>
      <c r="B764" s="224">
        <v>763</v>
      </c>
      <c r="C764" s="224" t="s">
        <v>926</v>
      </c>
      <c r="D764" s="224">
        <v>9.1885999999999995E-2</v>
      </c>
      <c r="E764" s="224">
        <v>0.11433</v>
      </c>
      <c r="F764" s="78" t="s">
        <v>953</v>
      </c>
    </row>
    <row r="765" spans="1:6" x14ac:dyDescent="0.2">
      <c r="A765" s="224"/>
      <c r="B765" s="224">
        <v>764</v>
      </c>
      <c r="C765" s="224" t="s">
        <v>926</v>
      </c>
      <c r="D765" s="224">
        <v>0.14699999999999999</v>
      </c>
      <c r="E765" s="224">
        <v>0.12820999999999999</v>
      </c>
      <c r="F765" s="78" t="s">
        <v>953</v>
      </c>
    </row>
    <row r="766" spans="1:6" x14ac:dyDescent="0.2">
      <c r="A766" s="224"/>
      <c r="B766" s="224">
        <v>765</v>
      </c>
      <c r="C766" s="224" t="s">
        <v>926</v>
      </c>
      <c r="D766" s="224">
        <v>4.8585999999999997E-2</v>
      </c>
      <c r="E766" s="224">
        <v>0.13974</v>
      </c>
      <c r="F766" s="78" t="s">
        <v>953</v>
      </c>
    </row>
    <row r="767" spans="1:6" x14ac:dyDescent="0.2">
      <c r="A767" s="224"/>
      <c r="B767" s="224">
        <v>766</v>
      </c>
      <c r="C767" s="224" t="s">
        <v>926</v>
      </c>
      <c r="D767" s="224">
        <v>0.22192999999999999</v>
      </c>
      <c r="E767" s="224">
        <v>0.13350000000000001</v>
      </c>
      <c r="F767" s="78" t="s">
        <v>953</v>
      </c>
    </row>
    <row r="768" spans="1:6" x14ac:dyDescent="0.2">
      <c r="A768" s="224"/>
      <c r="B768" s="224">
        <v>767</v>
      </c>
      <c r="C768" s="224" t="s">
        <v>926</v>
      </c>
      <c r="D768" s="224">
        <v>0.38479000000000002</v>
      </c>
      <c r="E768" s="224">
        <v>0.121</v>
      </c>
      <c r="F768" s="78" t="s">
        <v>953</v>
      </c>
    </row>
    <row r="769" spans="1:6" x14ac:dyDescent="0.2">
      <c r="A769" s="224"/>
      <c r="B769" s="224">
        <v>768</v>
      </c>
      <c r="C769" s="224" t="s">
        <v>926</v>
      </c>
      <c r="D769" s="224">
        <v>0.40761999999999998</v>
      </c>
      <c r="E769" s="224">
        <v>0.12947</v>
      </c>
      <c r="F769" s="78" t="s">
        <v>953</v>
      </c>
    </row>
    <row r="770" spans="1:6" x14ac:dyDescent="0.2">
      <c r="A770" s="224"/>
      <c r="B770" s="224">
        <v>769</v>
      </c>
      <c r="C770" s="224" t="s">
        <v>926</v>
      </c>
      <c r="D770" s="224">
        <v>0.62219000000000002</v>
      </c>
      <c r="E770" s="224">
        <v>9.9264000000000005E-2</v>
      </c>
      <c r="F770" s="78" t="s">
        <v>953</v>
      </c>
    </row>
    <row r="771" spans="1:6" x14ac:dyDescent="0.2">
      <c r="A771" s="224"/>
      <c r="B771" s="224">
        <v>770</v>
      </c>
      <c r="C771" s="224" t="s">
        <v>926</v>
      </c>
      <c r="D771" s="224">
        <v>0.58321999999999996</v>
      </c>
      <c r="E771" s="224">
        <v>0.10188</v>
      </c>
      <c r="F771" s="78" t="s">
        <v>953</v>
      </c>
    </row>
    <row r="772" spans="1:6" x14ac:dyDescent="0.2">
      <c r="A772" s="224"/>
      <c r="B772" s="224">
        <v>771</v>
      </c>
      <c r="C772" s="224" t="s">
        <v>926</v>
      </c>
      <c r="D772" s="224">
        <v>0.39992</v>
      </c>
      <c r="E772" s="224">
        <v>0.1547</v>
      </c>
      <c r="F772" s="78" t="s">
        <v>953</v>
      </c>
    </row>
    <row r="773" spans="1:6" x14ac:dyDescent="0.2">
      <c r="A773" s="224"/>
      <c r="B773" s="224">
        <v>772</v>
      </c>
      <c r="C773" s="224" t="s">
        <v>926</v>
      </c>
      <c r="D773" s="224">
        <v>0.48807</v>
      </c>
      <c r="E773" s="224">
        <v>0.16120000000000001</v>
      </c>
      <c r="F773" s="78" t="s">
        <v>953</v>
      </c>
    </row>
    <row r="774" spans="1:6" x14ac:dyDescent="0.2">
      <c r="A774" s="224"/>
      <c r="B774" s="224">
        <v>773</v>
      </c>
      <c r="C774" s="224" t="s">
        <v>927</v>
      </c>
      <c r="D774" s="224">
        <v>-0.17607999999999999</v>
      </c>
      <c r="E774" s="224">
        <v>0.12966</v>
      </c>
      <c r="F774" s="78" t="s">
        <v>953</v>
      </c>
    </row>
    <row r="775" spans="1:6" x14ac:dyDescent="0.2">
      <c r="A775" s="224"/>
      <c r="B775" s="224">
        <v>774</v>
      </c>
      <c r="C775" s="224" t="s">
        <v>927</v>
      </c>
      <c r="D775" s="224">
        <v>-0.20438999999999999</v>
      </c>
      <c r="E775" s="224">
        <v>8.3703E-2</v>
      </c>
      <c r="F775" s="78" t="s">
        <v>953</v>
      </c>
    </row>
    <row r="776" spans="1:6" x14ac:dyDescent="0.2">
      <c r="A776" s="224"/>
      <c r="B776" s="224">
        <v>775</v>
      </c>
      <c r="C776" s="224" t="s">
        <v>927</v>
      </c>
      <c r="D776" s="224">
        <v>-5.0673000000000003E-2</v>
      </c>
      <c r="E776" s="224">
        <v>6.1090999999999999E-2</v>
      </c>
      <c r="F776" s="78" t="s">
        <v>953</v>
      </c>
    </row>
    <row r="777" spans="1:6" x14ac:dyDescent="0.2">
      <c r="A777" s="224"/>
      <c r="B777" s="224">
        <v>776</v>
      </c>
      <c r="C777" s="224" t="s">
        <v>927</v>
      </c>
      <c r="D777" s="224">
        <v>-8.3746000000000001E-2</v>
      </c>
      <c r="E777" s="224">
        <v>7.6540999999999998E-2</v>
      </c>
      <c r="F777" s="78" t="s">
        <v>953</v>
      </c>
    </row>
    <row r="778" spans="1:6" x14ac:dyDescent="0.2">
      <c r="A778" s="224"/>
      <c r="B778" s="224">
        <v>777</v>
      </c>
      <c r="C778" s="224" t="s">
        <v>927</v>
      </c>
      <c r="D778" s="224">
        <v>5.9181999999999998E-2</v>
      </c>
      <c r="E778" s="224">
        <v>6.8877999999999995E-2</v>
      </c>
      <c r="F778" s="78" t="s">
        <v>953</v>
      </c>
    </row>
    <row r="779" spans="1:6" x14ac:dyDescent="0.2">
      <c r="A779" s="224"/>
      <c r="B779" s="224">
        <v>778</v>
      </c>
      <c r="C779" s="224" t="s">
        <v>927</v>
      </c>
      <c r="D779" s="224">
        <v>3.9419000000000003E-2</v>
      </c>
      <c r="E779" s="224">
        <v>5.7880000000000001E-2</v>
      </c>
      <c r="F779" s="78" t="s">
        <v>953</v>
      </c>
    </row>
    <row r="780" spans="1:6" x14ac:dyDescent="0.2">
      <c r="A780" s="224"/>
      <c r="B780" s="224">
        <v>779</v>
      </c>
      <c r="C780" s="224" t="s">
        <v>927</v>
      </c>
      <c r="D780" s="224">
        <v>-6.7782999999999996E-2</v>
      </c>
      <c r="E780" s="224">
        <v>7.0823999999999998E-2</v>
      </c>
      <c r="F780" s="78" t="s">
        <v>953</v>
      </c>
    </row>
    <row r="781" spans="1:6" x14ac:dyDescent="0.2">
      <c r="A781" s="224"/>
      <c r="B781" s="224">
        <v>780</v>
      </c>
      <c r="C781" s="224" t="s">
        <v>927</v>
      </c>
      <c r="D781" s="224">
        <v>-0.13677</v>
      </c>
      <c r="E781" s="224">
        <v>6.7357E-2</v>
      </c>
      <c r="F781" s="78" t="s">
        <v>953</v>
      </c>
    </row>
    <row r="782" spans="1:6" x14ac:dyDescent="0.2">
      <c r="A782" s="224"/>
      <c r="B782" s="224">
        <v>781</v>
      </c>
      <c r="C782" s="224" t="s">
        <v>927</v>
      </c>
      <c r="D782" s="224">
        <v>-0.10745</v>
      </c>
      <c r="E782" s="224">
        <v>6.1150999999999997E-2</v>
      </c>
      <c r="F782" s="78" t="s">
        <v>953</v>
      </c>
    </row>
    <row r="783" spans="1:6" x14ac:dyDescent="0.2">
      <c r="A783" s="224"/>
      <c r="B783" s="224">
        <v>782</v>
      </c>
      <c r="C783" s="224" t="s">
        <v>927</v>
      </c>
      <c r="D783" s="224">
        <v>8.2346000000000003E-2</v>
      </c>
      <c r="E783" s="224">
        <v>6.6765000000000005E-2</v>
      </c>
      <c r="F783" s="78" t="s">
        <v>953</v>
      </c>
    </row>
    <row r="784" spans="1:6" x14ac:dyDescent="0.2">
      <c r="A784" s="224"/>
      <c r="B784" s="224">
        <v>783</v>
      </c>
      <c r="C784" s="224" t="s">
        <v>927</v>
      </c>
      <c r="D784" s="224">
        <v>-1.4016000000000001E-2</v>
      </c>
      <c r="E784" s="224">
        <v>6.3315999999999997E-2</v>
      </c>
      <c r="F784" s="78" t="s">
        <v>953</v>
      </c>
    </row>
    <row r="785" spans="1:6" x14ac:dyDescent="0.2">
      <c r="A785" s="224"/>
      <c r="B785" s="224">
        <v>784</v>
      </c>
      <c r="C785" s="224" t="s">
        <v>927</v>
      </c>
      <c r="D785" s="224">
        <v>-8.8376999999999997E-2</v>
      </c>
      <c r="E785" s="224">
        <v>5.1664000000000002E-2</v>
      </c>
      <c r="F785" s="78" t="s">
        <v>953</v>
      </c>
    </row>
    <row r="786" spans="1:6" x14ac:dyDescent="0.2">
      <c r="A786" s="224"/>
      <c r="B786" s="224">
        <v>785</v>
      </c>
      <c r="C786" s="224" t="s">
        <v>927</v>
      </c>
      <c r="D786" s="224">
        <v>-2.4326E-2</v>
      </c>
      <c r="E786" s="224">
        <v>4.7420999999999998E-2</v>
      </c>
      <c r="F786" s="78" t="s">
        <v>953</v>
      </c>
    </row>
    <row r="787" spans="1:6" x14ac:dyDescent="0.2">
      <c r="A787" s="224"/>
      <c r="B787" s="224">
        <v>786</v>
      </c>
      <c r="C787" s="224" t="s">
        <v>927</v>
      </c>
      <c r="D787" s="224">
        <v>5.9168999999999999E-2</v>
      </c>
      <c r="E787" s="224">
        <v>6.8473000000000006E-2</v>
      </c>
      <c r="F787" s="78" t="s">
        <v>953</v>
      </c>
    </row>
    <row r="788" spans="1:6" x14ac:dyDescent="0.2">
      <c r="A788" s="224"/>
      <c r="B788" s="224">
        <v>787</v>
      </c>
      <c r="C788" s="224" t="s">
        <v>927</v>
      </c>
      <c r="D788" s="224">
        <v>0.18934999999999999</v>
      </c>
      <c r="E788" s="224">
        <v>4.5830999999999997E-2</v>
      </c>
      <c r="F788" s="78" t="s">
        <v>953</v>
      </c>
    </row>
    <row r="789" spans="1:6" x14ac:dyDescent="0.2">
      <c r="A789" s="224"/>
      <c r="B789" s="224">
        <v>788</v>
      </c>
      <c r="C789" s="224" t="s">
        <v>927</v>
      </c>
      <c r="D789" s="224">
        <v>0.19914000000000001</v>
      </c>
      <c r="E789" s="224">
        <v>6.2342000000000002E-2</v>
      </c>
      <c r="F789" s="78" t="s">
        <v>953</v>
      </c>
    </row>
    <row r="790" spans="1:6" x14ac:dyDescent="0.2">
      <c r="A790" s="224"/>
      <c r="B790" s="224">
        <v>789</v>
      </c>
      <c r="C790" s="224" t="s">
        <v>927</v>
      </c>
      <c r="D790" s="224">
        <v>0.2571</v>
      </c>
      <c r="E790" s="224">
        <v>5.1278999999999998E-2</v>
      </c>
      <c r="F790" s="78" t="s">
        <v>953</v>
      </c>
    </row>
    <row r="791" spans="1:6" x14ac:dyDescent="0.2">
      <c r="A791" s="224"/>
      <c r="B791" s="224">
        <v>790</v>
      </c>
      <c r="C791" s="224" t="s">
        <v>927</v>
      </c>
      <c r="D791" s="224">
        <v>0.18107000000000001</v>
      </c>
      <c r="E791" s="224">
        <v>6.0475000000000001E-2</v>
      </c>
      <c r="F791" s="78" t="s">
        <v>953</v>
      </c>
    </row>
    <row r="792" spans="1:6" x14ac:dyDescent="0.2">
      <c r="A792" s="224"/>
      <c r="B792" s="224">
        <v>791</v>
      </c>
      <c r="C792" s="224" t="s">
        <v>927</v>
      </c>
      <c r="D792" s="224">
        <v>0.11905</v>
      </c>
      <c r="E792" s="224">
        <v>6.1425E-2</v>
      </c>
      <c r="F792" s="78" t="s">
        <v>953</v>
      </c>
    </row>
    <row r="793" spans="1:6" x14ac:dyDescent="0.2">
      <c r="A793" s="224"/>
      <c r="B793" s="224">
        <v>792</v>
      </c>
      <c r="C793" s="224" t="s">
        <v>927</v>
      </c>
      <c r="D793" s="224">
        <v>0.13500000000000001</v>
      </c>
      <c r="E793" s="224">
        <v>5.5107999999999997E-2</v>
      </c>
      <c r="F793" s="78" t="s">
        <v>953</v>
      </c>
    </row>
    <row r="794" spans="1:6" x14ac:dyDescent="0.2">
      <c r="A794" s="224"/>
      <c r="B794" s="224">
        <v>793</v>
      </c>
      <c r="C794" s="224" t="s">
        <v>927</v>
      </c>
      <c r="D794" s="224">
        <v>5.9084999999999999E-2</v>
      </c>
      <c r="E794" s="224">
        <v>5.7069000000000002E-2</v>
      </c>
      <c r="F794" s="78" t="s">
        <v>953</v>
      </c>
    </row>
    <row r="795" spans="1:6" x14ac:dyDescent="0.2">
      <c r="A795" s="224"/>
      <c r="B795" s="224">
        <v>794</v>
      </c>
      <c r="C795" s="224" t="s">
        <v>927</v>
      </c>
      <c r="D795" s="224">
        <v>6.4860000000000001E-2</v>
      </c>
      <c r="E795" s="224">
        <v>6.5389000000000003E-2</v>
      </c>
      <c r="F795" s="78" t="s">
        <v>953</v>
      </c>
    </row>
    <row r="796" spans="1:6" x14ac:dyDescent="0.2">
      <c r="A796" s="224"/>
      <c r="B796" s="224">
        <v>795</v>
      </c>
      <c r="C796" s="224" t="s">
        <v>927</v>
      </c>
      <c r="D796" s="224">
        <v>8.0267000000000005E-2</v>
      </c>
      <c r="E796" s="224">
        <v>4.1239999999999999E-2</v>
      </c>
      <c r="F796" s="78" t="s">
        <v>953</v>
      </c>
    </row>
    <row r="797" spans="1:6" x14ac:dyDescent="0.2">
      <c r="A797" s="224"/>
      <c r="B797" s="224">
        <v>796</v>
      </c>
      <c r="C797" s="224" t="s">
        <v>927</v>
      </c>
      <c r="D797" s="224">
        <v>-1.9754000000000001E-2</v>
      </c>
      <c r="E797" s="224">
        <v>4.1848999999999997E-2</v>
      </c>
      <c r="F797" s="78" t="s">
        <v>953</v>
      </c>
    </row>
    <row r="798" spans="1:6" x14ac:dyDescent="0.2">
      <c r="A798" s="224"/>
      <c r="B798" s="224">
        <v>797</v>
      </c>
      <c r="C798" s="224" t="s">
        <v>927</v>
      </c>
      <c r="D798" s="224">
        <v>0.12342</v>
      </c>
      <c r="E798" s="224">
        <v>3.9982999999999998E-2</v>
      </c>
      <c r="F798" s="78" t="s">
        <v>953</v>
      </c>
    </row>
    <row r="799" spans="1:6" x14ac:dyDescent="0.2">
      <c r="A799" s="224"/>
      <c r="B799" s="224">
        <v>798</v>
      </c>
      <c r="C799" s="224" t="s">
        <v>927</v>
      </c>
      <c r="D799" s="224">
        <v>-6.5164E-2</v>
      </c>
      <c r="E799" s="224">
        <v>5.8193000000000002E-2</v>
      </c>
      <c r="F799" s="78" t="s">
        <v>953</v>
      </c>
    </row>
    <row r="800" spans="1:6" x14ac:dyDescent="0.2">
      <c r="A800" s="224"/>
      <c r="B800" s="224">
        <v>799</v>
      </c>
      <c r="C800" s="224" t="s">
        <v>927</v>
      </c>
      <c r="D800" s="224">
        <v>-5.3751E-2</v>
      </c>
      <c r="E800" s="224">
        <v>5.0827999999999998E-2</v>
      </c>
      <c r="F800" s="78" t="s">
        <v>953</v>
      </c>
    </row>
    <row r="801" spans="1:6" x14ac:dyDescent="0.2">
      <c r="A801" s="224"/>
      <c r="B801" s="224">
        <v>800</v>
      </c>
      <c r="C801" s="224" t="s">
        <v>927</v>
      </c>
      <c r="D801" s="224">
        <v>-8.1893999999999995E-2</v>
      </c>
      <c r="E801" s="224">
        <v>4.8257000000000001E-2</v>
      </c>
      <c r="F801" s="78" t="s">
        <v>953</v>
      </c>
    </row>
    <row r="802" spans="1:6" x14ac:dyDescent="0.2">
      <c r="A802" s="224"/>
      <c r="B802" s="224">
        <v>801</v>
      </c>
      <c r="C802" s="224" t="s">
        <v>927</v>
      </c>
      <c r="D802" s="224">
        <v>-0.20618</v>
      </c>
      <c r="E802" s="224">
        <v>4.2165000000000001E-2</v>
      </c>
      <c r="F802" s="78" t="s">
        <v>953</v>
      </c>
    </row>
    <row r="803" spans="1:6" x14ac:dyDescent="0.2">
      <c r="A803" s="224"/>
      <c r="B803" s="224">
        <v>802</v>
      </c>
      <c r="C803" s="224" t="s">
        <v>927</v>
      </c>
      <c r="D803" s="224">
        <v>-5.1868999999999998E-2</v>
      </c>
      <c r="E803" s="224">
        <v>4.1016999999999998E-2</v>
      </c>
      <c r="F803" s="78" t="s">
        <v>953</v>
      </c>
    </row>
    <row r="804" spans="1:6" x14ac:dyDescent="0.2">
      <c r="A804" s="224"/>
      <c r="B804" s="224">
        <v>803</v>
      </c>
      <c r="C804" s="224" t="s">
        <v>927</v>
      </c>
      <c r="D804" s="224">
        <v>-0.12064999999999999</v>
      </c>
      <c r="E804" s="224">
        <v>4.9971000000000002E-2</v>
      </c>
      <c r="F804" s="78" t="s">
        <v>953</v>
      </c>
    </row>
    <row r="805" spans="1:6" x14ac:dyDescent="0.2">
      <c r="A805" s="224"/>
      <c r="B805" s="224">
        <v>804</v>
      </c>
      <c r="C805" s="224" t="s">
        <v>927</v>
      </c>
      <c r="D805" s="224">
        <v>-9.5604999999999996E-2</v>
      </c>
      <c r="E805" s="224">
        <v>4.6080000000000003E-2</v>
      </c>
      <c r="F805" s="78" t="s">
        <v>953</v>
      </c>
    </row>
    <row r="806" spans="1:6" x14ac:dyDescent="0.2">
      <c r="A806" s="224"/>
      <c r="B806" s="224">
        <v>805</v>
      </c>
      <c r="C806" s="224" t="s">
        <v>928</v>
      </c>
      <c r="D806" s="224">
        <v>-0.17682999999999999</v>
      </c>
      <c r="E806" s="224">
        <v>0.14651</v>
      </c>
      <c r="F806" s="78" t="s">
        <v>953</v>
      </c>
    </row>
    <row r="807" spans="1:6" x14ac:dyDescent="0.2">
      <c r="A807" s="224"/>
      <c r="B807" s="224">
        <v>806</v>
      </c>
      <c r="C807" s="224" t="s">
        <v>928</v>
      </c>
      <c r="D807" s="224">
        <v>-0.13538</v>
      </c>
      <c r="E807" s="224">
        <v>0.10276</v>
      </c>
      <c r="F807" s="78" t="s">
        <v>953</v>
      </c>
    </row>
    <row r="808" spans="1:6" x14ac:dyDescent="0.2">
      <c r="A808" s="224"/>
      <c r="B808" s="224">
        <v>807</v>
      </c>
      <c r="C808" s="224" t="s">
        <v>928</v>
      </c>
      <c r="D808" s="224">
        <v>3.0065999999999999E-2</v>
      </c>
      <c r="E808" s="224">
        <v>0.11124000000000001</v>
      </c>
      <c r="F808" s="78" t="s">
        <v>953</v>
      </c>
    </row>
    <row r="809" spans="1:6" x14ac:dyDescent="0.2">
      <c r="A809" s="224"/>
      <c r="B809" s="224">
        <v>808</v>
      </c>
      <c r="C809" s="224" t="s">
        <v>928</v>
      </c>
      <c r="D809" s="224">
        <v>-0.34239000000000003</v>
      </c>
      <c r="E809" s="224">
        <v>0.12825</v>
      </c>
      <c r="F809" s="78" t="s">
        <v>953</v>
      </c>
    </row>
    <row r="810" spans="1:6" x14ac:dyDescent="0.2">
      <c r="A810" s="224"/>
      <c r="B810" s="224">
        <v>809</v>
      </c>
      <c r="C810" s="224" t="s">
        <v>928</v>
      </c>
      <c r="D810" s="224">
        <v>-0.44792999999999999</v>
      </c>
      <c r="E810" s="224">
        <v>0.12166</v>
      </c>
      <c r="F810" s="78" t="s">
        <v>953</v>
      </c>
    </row>
    <row r="811" spans="1:6" x14ac:dyDescent="0.2">
      <c r="A811" s="224"/>
      <c r="B811" s="224">
        <v>810</v>
      </c>
      <c r="C811" s="224" t="s">
        <v>928</v>
      </c>
      <c r="D811" s="224">
        <v>-9.5398999999999998E-2</v>
      </c>
      <c r="E811" s="224">
        <v>0.1154</v>
      </c>
      <c r="F811" s="78" t="s">
        <v>953</v>
      </c>
    </row>
    <row r="812" spans="1:6" x14ac:dyDescent="0.2">
      <c r="A812" s="224"/>
      <c r="B812" s="224">
        <v>811</v>
      </c>
      <c r="C812" s="224" t="s">
        <v>928</v>
      </c>
      <c r="D812" s="224">
        <v>-0.25117</v>
      </c>
      <c r="E812" s="224">
        <v>0.16697000000000001</v>
      </c>
      <c r="F812" s="78" t="s">
        <v>953</v>
      </c>
    </row>
    <row r="813" spans="1:6" x14ac:dyDescent="0.2">
      <c r="A813" s="224"/>
      <c r="B813" s="224">
        <v>812</v>
      </c>
      <c r="C813" s="224" t="s">
        <v>928</v>
      </c>
      <c r="D813" s="224">
        <v>-8.9334999999999998E-2</v>
      </c>
      <c r="E813" s="224">
        <v>0.12759000000000001</v>
      </c>
      <c r="F813" s="78" t="s">
        <v>953</v>
      </c>
    </row>
    <row r="814" spans="1:6" x14ac:dyDescent="0.2">
      <c r="A814" s="224"/>
      <c r="B814" s="224">
        <v>813</v>
      </c>
      <c r="C814" s="224" t="s">
        <v>928</v>
      </c>
      <c r="D814" s="224">
        <v>0.16209000000000001</v>
      </c>
      <c r="E814" s="224">
        <v>7.1939000000000003E-2</v>
      </c>
      <c r="F814" s="78" t="s">
        <v>953</v>
      </c>
    </row>
    <row r="815" spans="1:6" x14ac:dyDescent="0.2">
      <c r="A815" s="224"/>
      <c r="B815" s="224">
        <v>814</v>
      </c>
      <c r="C815" s="224" t="s">
        <v>928</v>
      </c>
      <c r="D815" s="224">
        <v>-0.11463</v>
      </c>
      <c r="E815" s="224">
        <v>8.6752999999999997E-2</v>
      </c>
      <c r="F815" s="78" t="s">
        <v>953</v>
      </c>
    </row>
    <row r="816" spans="1:6" x14ac:dyDescent="0.2">
      <c r="A816" s="224"/>
      <c r="B816" s="224">
        <v>815</v>
      </c>
      <c r="C816" s="224" t="s">
        <v>928</v>
      </c>
      <c r="D816" s="224">
        <v>-9.7109999999999991E-3</v>
      </c>
      <c r="E816" s="224">
        <v>8.6329000000000003E-2</v>
      </c>
      <c r="F816" s="78" t="s">
        <v>953</v>
      </c>
    </row>
    <row r="817" spans="1:6" x14ac:dyDescent="0.2">
      <c r="A817" s="224"/>
      <c r="B817" s="224">
        <v>816</v>
      </c>
      <c r="C817" s="224" t="s">
        <v>928</v>
      </c>
      <c r="D817" s="224">
        <v>5.8026000000000001E-2</v>
      </c>
      <c r="E817" s="224">
        <v>7.7024999999999996E-2</v>
      </c>
      <c r="F817" s="78" t="s">
        <v>953</v>
      </c>
    </row>
    <row r="818" spans="1:6" x14ac:dyDescent="0.2">
      <c r="A818" s="224"/>
      <c r="B818" s="224">
        <v>817</v>
      </c>
      <c r="C818" s="224" t="s">
        <v>928</v>
      </c>
      <c r="D818" s="224">
        <v>-0.11806999999999999</v>
      </c>
      <c r="E818" s="224">
        <v>0.10269</v>
      </c>
      <c r="F818" s="78" t="s">
        <v>953</v>
      </c>
    </row>
    <row r="819" spans="1:6" x14ac:dyDescent="0.2">
      <c r="A819" s="224"/>
      <c r="B819" s="224">
        <v>818</v>
      </c>
      <c r="C819" s="224" t="s">
        <v>928</v>
      </c>
      <c r="D819" s="224">
        <v>-0.15490999999999999</v>
      </c>
      <c r="E819" s="224">
        <v>0.11872000000000001</v>
      </c>
      <c r="F819" s="78" t="s">
        <v>953</v>
      </c>
    </row>
    <row r="820" spans="1:6" x14ac:dyDescent="0.2">
      <c r="A820" s="224"/>
      <c r="B820" s="224">
        <v>819</v>
      </c>
      <c r="C820" s="224" t="s">
        <v>928</v>
      </c>
      <c r="D820" s="224">
        <v>-9.4556999999999992E-3</v>
      </c>
      <c r="E820" s="224">
        <v>8.3415000000000003E-2</v>
      </c>
      <c r="F820" s="78" t="s">
        <v>953</v>
      </c>
    </row>
    <row r="821" spans="1:6" x14ac:dyDescent="0.2">
      <c r="A821" s="224"/>
      <c r="B821" s="224">
        <v>820</v>
      </c>
      <c r="C821" s="224" t="s">
        <v>928</v>
      </c>
      <c r="D821" s="224">
        <v>-3.4139999999999997E-2</v>
      </c>
      <c r="E821" s="224">
        <v>8.7695999999999996E-2</v>
      </c>
      <c r="F821" s="78" t="s">
        <v>953</v>
      </c>
    </row>
    <row r="822" spans="1:6" x14ac:dyDescent="0.2">
      <c r="A822" s="224"/>
      <c r="B822" s="224">
        <v>821</v>
      </c>
      <c r="C822" s="224" t="s">
        <v>928</v>
      </c>
      <c r="D822" s="224">
        <v>8.6986999999999995E-2</v>
      </c>
      <c r="E822" s="224">
        <v>8.9132000000000003E-2</v>
      </c>
      <c r="F822" s="78" t="s">
        <v>953</v>
      </c>
    </row>
    <row r="823" spans="1:6" x14ac:dyDescent="0.2">
      <c r="A823" s="224"/>
      <c r="B823" s="224">
        <v>822</v>
      </c>
      <c r="C823" s="224" t="s">
        <v>928</v>
      </c>
      <c r="D823" s="224">
        <v>7.7362E-2</v>
      </c>
      <c r="E823" s="224">
        <v>9.4626000000000002E-2</v>
      </c>
      <c r="F823" s="78" t="s">
        <v>953</v>
      </c>
    </row>
    <row r="824" spans="1:6" x14ac:dyDescent="0.2">
      <c r="A824" s="224"/>
      <c r="B824" s="224">
        <v>823</v>
      </c>
      <c r="C824" s="224" t="s">
        <v>928</v>
      </c>
      <c r="D824" s="224">
        <v>0.19023000000000001</v>
      </c>
      <c r="E824" s="224">
        <v>8.4782999999999997E-2</v>
      </c>
      <c r="F824" s="78" t="s">
        <v>953</v>
      </c>
    </row>
    <row r="825" spans="1:6" x14ac:dyDescent="0.2">
      <c r="A825" s="224"/>
      <c r="B825" s="224">
        <v>824</v>
      </c>
      <c r="C825" s="224" t="s">
        <v>928</v>
      </c>
      <c r="D825" s="224">
        <v>0.11376</v>
      </c>
      <c r="E825" s="224">
        <v>7.6433000000000001E-2</v>
      </c>
      <c r="F825" s="78" t="s">
        <v>953</v>
      </c>
    </row>
    <row r="826" spans="1:6" x14ac:dyDescent="0.2">
      <c r="A826" s="224"/>
      <c r="B826" s="224">
        <v>825</v>
      </c>
      <c r="C826" s="224" t="s">
        <v>928</v>
      </c>
      <c r="D826" s="224">
        <v>0.23032</v>
      </c>
      <c r="E826" s="224">
        <v>8.7400000000000005E-2</v>
      </c>
      <c r="F826" s="78" t="s">
        <v>953</v>
      </c>
    </row>
    <row r="827" spans="1:6" x14ac:dyDescent="0.2">
      <c r="A827" s="224"/>
      <c r="B827" s="224">
        <v>826</v>
      </c>
      <c r="C827" s="224" t="s">
        <v>928</v>
      </c>
      <c r="D827" s="224">
        <v>0.32562999999999998</v>
      </c>
      <c r="E827" s="224">
        <v>9.5017000000000004E-2</v>
      </c>
      <c r="F827" s="78" t="s">
        <v>953</v>
      </c>
    </row>
    <row r="828" spans="1:6" x14ac:dyDescent="0.2">
      <c r="A828" s="224"/>
      <c r="B828" s="224">
        <v>827</v>
      </c>
      <c r="C828" s="224" t="s">
        <v>928</v>
      </c>
      <c r="D828" s="224">
        <v>6.7616999999999997E-2</v>
      </c>
      <c r="E828" s="224">
        <v>0.12314</v>
      </c>
      <c r="F828" s="78" t="s">
        <v>953</v>
      </c>
    </row>
    <row r="829" spans="1:6" x14ac:dyDescent="0.2">
      <c r="A829" s="224"/>
      <c r="B829" s="224">
        <v>828</v>
      </c>
      <c r="C829" s="224" t="s">
        <v>928</v>
      </c>
      <c r="D829" s="224">
        <v>-5.4654000000000001E-2</v>
      </c>
      <c r="E829" s="224">
        <v>0.1419</v>
      </c>
      <c r="F829" s="78" t="s">
        <v>953</v>
      </c>
    </row>
    <row r="830" spans="1:6" x14ac:dyDescent="0.2">
      <c r="A830" s="224"/>
      <c r="B830" s="224">
        <v>829</v>
      </c>
      <c r="C830" s="224" t="s">
        <v>928</v>
      </c>
      <c r="D830" s="224">
        <v>-9.5362000000000002E-2</v>
      </c>
      <c r="E830" s="224">
        <v>9.5494999999999997E-2</v>
      </c>
      <c r="F830" s="78" t="s">
        <v>953</v>
      </c>
    </row>
    <row r="831" spans="1:6" x14ac:dyDescent="0.2">
      <c r="A831" s="224"/>
      <c r="B831" s="224">
        <v>830</v>
      </c>
      <c r="C831" s="224" t="s">
        <v>928</v>
      </c>
      <c r="D831" s="224">
        <v>-0.1053</v>
      </c>
      <c r="E831" s="224">
        <v>8.2730999999999999E-2</v>
      </c>
      <c r="F831" s="78" t="s">
        <v>953</v>
      </c>
    </row>
    <row r="832" spans="1:6" x14ac:dyDescent="0.2">
      <c r="A832" s="224"/>
      <c r="B832" s="224">
        <v>831</v>
      </c>
      <c r="C832" s="224" t="s">
        <v>928</v>
      </c>
      <c r="D832" s="224">
        <v>6.7517999999999995E-2</v>
      </c>
      <c r="E832" s="224">
        <v>0.10052</v>
      </c>
      <c r="F832" s="78" t="s">
        <v>953</v>
      </c>
    </row>
    <row r="833" spans="1:6" x14ac:dyDescent="0.2">
      <c r="A833" s="224"/>
      <c r="B833" s="224">
        <v>832</v>
      </c>
      <c r="C833" s="224" t="s">
        <v>928</v>
      </c>
      <c r="D833" s="224">
        <v>0.36912</v>
      </c>
      <c r="E833" s="224">
        <v>6.5370999999999999E-2</v>
      </c>
      <c r="F833" s="78" t="s">
        <v>953</v>
      </c>
    </row>
    <row r="834" spans="1:6" x14ac:dyDescent="0.2">
      <c r="A834" s="224"/>
      <c r="B834" s="224">
        <v>833</v>
      </c>
      <c r="C834" s="224" t="s">
        <v>928</v>
      </c>
      <c r="D834" s="224">
        <v>0.31640000000000001</v>
      </c>
      <c r="E834" s="224">
        <v>9.2723E-2</v>
      </c>
      <c r="F834" s="78" t="s">
        <v>953</v>
      </c>
    </row>
    <row r="835" spans="1:6" x14ac:dyDescent="0.2">
      <c r="A835" s="224"/>
      <c r="B835" s="224">
        <v>834</v>
      </c>
      <c r="C835" s="224" t="s">
        <v>928</v>
      </c>
      <c r="D835" s="224">
        <v>9.2108999999999996E-2</v>
      </c>
      <c r="E835" s="224">
        <v>8.9855000000000004E-2</v>
      </c>
      <c r="F835" s="78" t="s">
        <v>953</v>
      </c>
    </row>
    <row r="836" spans="1:6" x14ac:dyDescent="0.2">
      <c r="A836" s="224"/>
      <c r="B836" s="224">
        <v>835</v>
      </c>
      <c r="C836" s="224" t="s">
        <v>928</v>
      </c>
      <c r="D836" s="224">
        <v>1.0784E-2</v>
      </c>
      <c r="E836" s="224">
        <v>0.10537000000000001</v>
      </c>
      <c r="F836" s="78" t="s">
        <v>953</v>
      </c>
    </row>
    <row r="837" spans="1:6" x14ac:dyDescent="0.2">
      <c r="A837" s="224"/>
      <c r="B837" s="224">
        <v>836</v>
      </c>
      <c r="C837" s="224" t="s">
        <v>928</v>
      </c>
      <c r="D837" s="224">
        <v>3.6671000000000002E-2</v>
      </c>
      <c r="E837" s="224">
        <v>0.11481</v>
      </c>
      <c r="F837" s="78" t="s">
        <v>953</v>
      </c>
    </row>
    <row r="838" spans="1:6" x14ac:dyDescent="0.2">
      <c r="A838" s="224"/>
      <c r="B838" s="224">
        <v>837</v>
      </c>
      <c r="C838" s="224" t="s">
        <v>218</v>
      </c>
      <c r="D838" s="224">
        <v>0</v>
      </c>
      <c r="E838" s="224">
        <v>0.65932999999999997</v>
      </c>
      <c r="F838" s="78" t="s">
        <v>951</v>
      </c>
    </row>
    <row r="839" spans="1:6" x14ac:dyDescent="0.2">
      <c r="A839" s="224"/>
      <c r="B839" s="224">
        <v>838</v>
      </c>
      <c r="C839" s="224" t="s">
        <v>218</v>
      </c>
      <c r="D839" s="224">
        <v>0</v>
      </c>
      <c r="E839" s="224">
        <v>0.65932999999999997</v>
      </c>
      <c r="F839" s="78" t="s">
        <v>951</v>
      </c>
    </row>
    <row r="840" spans="1:6" x14ac:dyDescent="0.2">
      <c r="A840" s="224"/>
      <c r="B840" s="224">
        <v>839</v>
      </c>
      <c r="C840" s="224" t="s">
        <v>218</v>
      </c>
      <c r="D840" s="224">
        <v>0</v>
      </c>
      <c r="E840" s="224">
        <v>0.65932999999999997</v>
      </c>
      <c r="F840" s="78" t="s">
        <v>951</v>
      </c>
    </row>
    <row r="841" spans="1:6" x14ac:dyDescent="0.2">
      <c r="A841" s="224"/>
      <c r="B841" s="224">
        <v>840</v>
      </c>
      <c r="C841" s="224" t="s">
        <v>218</v>
      </c>
      <c r="D841" s="224">
        <v>0</v>
      </c>
      <c r="E841" s="224">
        <v>0.65932999999999997</v>
      </c>
      <c r="F841" s="78" t="s">
        <v>951</v>
      </c>
    </row>
    <row r="842" spans="1:6" x14ac:dyDescent="0.2">
      <c r="A842" s="224"/>
      <c r="B842" s="224">
        <v>841</v>
      </c>
      <c r="C842" s="224" t="s">
        <v>218</v>
      </c>
      <c r="D842" s="224">
        <v>0</v>
      </c>
      <c r="E842" s="224">
        <v>0.65932999999999997</v>
      </c>
      <c r="F842" s="78" t="s">
        <v>951</v>
      </c>
    </row>
    <row r="843" spans="1:6" x14ac:dyDescent="0.2">
      <c r="A843" s="224"/>
      <c r="B843" s="224">
        <v>842</v>
      </c>
      <c r="C843" s="224" t="s">
        <v>929</v>
      </c>
      <c r="D843" s="224">
        <v>1.4891000000000001</v>
      </c>
      <c r="E843" s="224">
        <v>9.6796999999999994E-2</v>
      </c>
    </row>
    <row r="844" spans="1:6" x14ac:dyDescent="0.2">
      <c r="A844" s="224"/>
      <c r="B844" s="224">
        <v>843</v>
      </c>
      <c r="C844" s="224" t="s">
        <v>930</v>
      </c>
      <c r="D844" s="224">
        <v>18552</v>
      </c>
      <c r="E844" s="224">
        <v>4045.2</v>
      </c>
    </row>
    <row r="845" spans="1:6" x14ac:dyDescent="0.2">
      <c r="A845" s="224"/>
      <c r="B845" s="224">
        <v>844</v>
      </c>
      <c r="C845" s="224" t="s">
        <v>930</v>
      </c>
      <c r="D845" s="224">
        <v>7289.8</v>
      </c>
      <c r="E845" s="224">
        <v>1515.2</v>
      </c>
    </row>
    <row r="846" spans="1:6" x14ac:dyDescent="0.2">
      <c r="A846" s="224"/>
      <c r="B846" s="224">
        <v>845</v>
      </c>
      <c r="C846" s="224" t="s">
        <v>930</v>
      </c>
      <c r="D846" s="224">
        <v>5040</v>
      </c>
      <c r="E846" s="224">
        <v>834.6</v>
      </c>
    </row>
    <row r="847" spans="1:6" x14ac:dyDescent="0.2">
      <c r="A847" s="224"/>
      <c r="B847" s="224">
        <v>846</v>
      </c>
      <c r="C847" s="224" t="s">
        <v>930</v>
      </c>
      <c r="D847" s="224">
        <v>3845.4</v>
      </c>
      <c r="E847" s="224">
        <v>762.35</v>
      </c>
    </row>
    <row r="848" spans="1:6" x14ac:dyDescent="0.2">
      <c r="A848" s="224"/>
      <c r="B848" s="224">
        <v>847</v>
      </c>
      <c r="C848" s="224" t="s">
        <v>930</v>
      </c>
      <c r="D848" s="224">
        <v>5731.6</v>
      </c>
      <c r="E848" s="224">
        <v>822.44</v>
      </c>
    </row>
    <row r="849" spans="1:5" x14ac:dyDescent="0.2">
      <c r="A849" s="224"/>
      <c r="B849" s="224">
        <v>848</v>
      </c>
      <c r="C849" s="224" t="s">
        <v>930</v>
      </c>
      <c r="D849" s="224">
        <v>679.94</v>
      </c>
      <c r="E849" s="224">
        <v>125.66</v>
      </c>
    </row>
    <row r="850" spans="1:5" x14ac:dyDescent="0.2">
      <c r="A850" s="224"/>
      <c r="B850" s="224">
        <v>849</v>
      </c>
      <c r="C850" s="224" t="s">
        <v>930</v>
      </c>
      <c r="D850" s="224">
        <v>712.48</v>
      </c>
      <c r="E850" s="224">
        <v>128.99</v>
      </c>
    </row>
    <row r="851" spans="1:5" x14ac:dyDescent="0.2">
      <c r="A851" s="224"/>
      <c r="B851" s="224">
        <v>850</v>
      </c>
      <c r="C851" s="224" t="s">
        <v>930</v>
      </c>
      <c r="D851" s="224">
        <v>153.16999999999999</v>
      </c>
      <c r="E851" s="224">
        <v>37.079000000000001</v>
      </c>
    </row>
    <row r="852" spans="1:5" x14ac:dyDescent="0.2">
      <c r="A852" s="224"/>
      <c r="B852" s="224">
        <v>851</v>
      </c>
      <c r="C852" s="224" t="s">
        <v>930</v>
      </c>
      <c r="D852" s="224">
        <v>36.933999999999997</v>
      </c>
      <c r="E852" s="224">
        <v>10.381</v>
      </c>
    </row>
    <row r="853" spans="1:5" x14ac:dyDescent="0.2">
      <c r="A853" s="224"/>
      <c r="B853" s="224">
        <v>852</v>
      </c>
      <c r="C853" s="224" t="s">
        <v>930</v>
      </c>
      <c r="D853" s="224">
        <v>26.922999999999998</v>
      </c>
      <c r="E853" s="224">
        <v>8.3025000000000002</v>
      </c>
    </row>
    <row r="854" spans="1:5" x14ac:dyDescent="0.2">
      <c r="A854" s="224"/>
      <c r="B854" s="224">
        <v>853</v>
      </c>
      <c r="C854" s="224" t="s">
        <v>930</v>
      </c>
      <c r="D854" s="224">
        <v>28.739000000000001</v>
      </c>
      <c r="E854" s="224">
        <v>8.8740000000000006</v>
      </c>
    </row>
    <row r="855" spans="1:5" x14ac:dyDescent="0.2">
      <c r="A855" s="224"/>
      <c r="B855" s="224">
        <v>854</v>
      </c>
      <c r="C855" s="224" t="s">
        <v>930</v>
      </c>
      <c r="D855" s="224">
        <v>25.175999999999998</v>
      </c>
      <c r="E855" s="224">
        <v>7.8861999999999997</v>
      </c>
    </row>
    <row r="856" spans="1:5" x14ac:dyDescent="0.2">
      <c r="A856" s="224"/>
      <c r="B856" s="224">
        <v>855</v>
      </c>
      <c r="C856" s="224" t="s">
        <v>930</v>
      </c>
      <c r="D856" s="224">
        <v>19.759</v>
      </c>
      <c r="E856" s="224">
        <v>6.5711000000000004</v>
      </c>
    </row>
    <row r="857" spans="1:5" x14ac:dyDescent="0.2">
      <c r="A857" s="224"/>
      <c r="B857" s="224">
        <v>856</v>
      </c>
      <c r="C857" s="224" t="s">
        <v>930</v>
      </c>
      <c r="D857" s="224">
        <v>10.372</v>
      </c>
      <c r="E857" s="224">
        <v>3.6141999999999999</v>
      </c>
    </row>
    <row r="858" spans="1:5" x14ac:dyDescent="0.2">
      <c r="A858" s="224"/>
      <c r="B858" s="224">
        <v>857</v>
      </c>
      <c r="C858" s="224" t="s">
        <v>930</v>
      </c>
      <c r="D858" s="224">
        <v>11.411</v>
      </c>
      <c r="E858" s="224">
        <v>4.1539999999999999</v>
      </c>
    </row>
    <row r="859" spans="1:5" x14ac:dyDescent="0.2">
      <c r="A859" s="224"/>
      <c r="B859" s="224">
        <v>858</v>
      </c>
      <c r="C859" s="224" t="s">
        <v>55</v>
      </c>
      <c r="D859" s="224">
        <v>0.60587000000000002</v>
      </c>
      <c r="E859" s="224">
        <v>8.6555999999999994E-2</v>
      </c>
    </row>
    <row r="860" spans="1:5" x14ac:dyDescent="0.2">
      <c r="A860" s="224"/>
      <c r="B860" s="224">
        <v>859</v>
      </c>
      <c r="C860" s="224" t="s">
        <v>716</v>
      </c>
      <c r="D860" s="224">
        <v>4618</v>
      </c>
      <c r="E860" s="224">
        <v>489.92</v>
      </c>
    </row>
    <row r="861" spans="1:5" x14ac:dyDescent="0.2">
      <c r="A861" s="224"/>
      <c r="B861" s="224">
        <v>860</v>
      </c>
      <c r="C861" s="224" t="s">
        <v>931</v>
      </c>
      <c r="D861" s="224">
        <v>0.57401999999999997</v>
      </c>
      <c r="E861" s="224">
        <v>8.8806999999999997E-2</v>
      </c>
    </row>
    <row r="862" spans="1:5" x14ac:dyDescent="0.2">
      <c r="A862" s="224"/>
      <c r="B862" s="224">
        <v>861</v>
      </c>
      <c r="C862" s="224" t="s">
        <v>932</v>
      </c>
      <c r="D862" s="224">
        <v>0.58789999999999998</v>
      </c>
      <c r="E862" s="224">
        <v>9.7036999999999998E-2</v>
      </c>
    </row>
    <row r="863" spans="1:5" x14ac:dyDescent="0.2">
      <c r="A863" s="224"/>
      <c r="B863" s="224">
        <v>862</v>
      </c>
      <c r="C863" s="224" t="s">
        <v>933</v>
      </c>
      <c r="D863" s="224">
        <v>0.58508000000000004</v>
      </c>
      <c r="E863" s="224">
        <v>9.6878000000000006E-2</v>
      </c>
    </row>
    <row r="864" spans="1:5" x14ac:dyDescent="0.2">
      <c r="A864" s="224"/>
      <c r="B864" s="224">
        <v>863</v>
      </c>
      <c r="C864" s="224" t="s">
        <v>934</v>
      </c>
      <c r="D864" s="224">
        <v>0.41586000000000001</v>
      </c>
      <c r="E864" s="224">
        <v>4.2828999999999999E-2</v>
      </c>
    </row>
    <row r="865" spans="1:5" x14ac:dyDescent="0.2">
      <c r="A865" s="224"/>
      <c r="B865" s="224">
        <v>864</v>
      </c>
      <c r="C865" s="224" t="s">
        <v>935</v>
      </c>
      <c r="D865" s="224">
        <v>0.42592000000000002</v>
      </c>
      <c r="E865" s="224">
        <v>4.9031999999999999E-2</v>
      </c>
    </row>
    <row r="866" spans="1:5" x14ac:dyDescent="0.2">
      <c r="A866" s="224"/>
      <c r="B866" s="224">
        <v>865</v>
      </c>
      <c r="C866" s="224" t="s">
        <v>936</v>
      </c>
      <c r="D866" s="224">
        <v>0.42387000000000002</v>
      </c>
      <c r="E866" s="224">
        <v>4.9084000000000003E-2</v>
      </c>
    </row>
    <row r="867" spans="1:5" x14ac:dyDescent="0.2">
      <c r="A867" s="224"/>
      <c r="B867" s="224">
        <v>866</v>
      </c>
      <c r="C867" s="224" t="s">
        <v>937</v>
      </c>
      <c r="D867" s="224">
        <v>1.4724999999999999</v>
      </c>
      <c r="E867" s="224">
        <v>0.11904000000000001</v>
      </c>
    </row>
    <row r="868" spans="1:5" x14ac:dyDescent="0.2">
      <c r="A868" s="224"/>
      <c r="B868" s="224">
        <v>867</v>
      </c>
      <c r="C868" s="224" t="s">
        <v>937</v>
      </c>
      <c r="D868" s="224">
        <v>1.4724999999999999</v>
      </c>
      <c r="E868" s="224">
        <v>0.11904000000000001</v>
      </c>
    </row>
    <row r="869" spans="1:5" x14ac:dyDescent="0.2">
      <c r="A869" s="224"/>
      <c r="B869" s="224">
        <v>868</v>
      </c>
      <c r="C869" s="224" t="s">
        <v>937</v>
      </c>
      <c r="D869" s="224">
        <v>1.4724999999999999</v>
      </c>
      <c r="E869" s="224">
        <v>0.11904000000000001</v>
      </c>
    </row>
    <row r="870" spans="1:5" x14ac:dyDescent="0.2">
      <c r="A870" s="224"/>
      <c r="B870" s="224">
        <v>869</v>
      </c>
      <c r="C870" s="224" t="s">
        <v>937</v>
      </c>
      <c r="D870" s="224">
        <v>1.4724999999999999</v>
      </c>
      <c r="E870" s="224">
        <v>0.11904000000000001</v>
      </c>
    </row>
    <row r="871" spans="1:5" x14ac:dyDescent="0.2">
      <c r="A871" s="224"/>
      <c r="B871" s="224">
        <v>870</v>
      </c>
      <c r="C871" s="224" t="s">
        <v>937</v>
      </c>
      <c r="D871" s="224">
        <v>1.4724999999999999</v>
      </c>
      <c r="E871" s="224">
        <v>0.11904000000000001</v>
      </c>
    </row>
    <row r="872" spans="1:5" x14ac:dyDescent="0.2">
      <c r="A872" s="224"/>
      <c r="B872" s="224">
        <v>871</v>
      </c>
      <c r="C872" s="224" t="s">
        <v>8</v>
      </c>
      <c r="D872" s="224">
        <v>0.27695999999999998</v>
      </c>
      <c r="E872" s="224">
        <v>5.5728E-2</v>
      </c>
    </row>
    <row r="873" spans="1:5" x14ac:dyDescent="0.2">
      <c r="A873" s="224"/>
      <c r="B873" s="224">
        <v>872</v>
      </c>
      <c r="C873" s="224" t="s">
        <v>220</v>
      </c>
      <c r="D873" s="224">
        <v>0.39277000000000001</v>
      </c>
      <c r="E873" s="224">
        <v>3.6743999999999999E-2</v>
      </c>
    </row>
    <row r="874" spans="1:5" x14ac:dyDescent="0.2">
      <c r="A874" s="224"/>
      <c r="B874" s="224">
        <v>873</v>
      </c>
      <c r="C874" s="224" t="s">
        <v>221</v>
      </c>
      <c r="D874" s="224">
        <v>0.49897000000000002</v>
      </c>
      <c r="E874" s="224">
        <v>4.8658E-2</v>
      </c>
    </row>
    <row r="875" spans="1:5" x14ac:dyDescent="0.2">
      <c r="A875" s="224"/>
      <c r="B875" s="224">
        <v>874</v>
      </c>
      <c r="C875" s="224" t="s">
        <v>43</v>
      </c>
      <c r="D875" s="224">
        <v>441.41</v>
      </c>
      <c r="E875" s="224">
        <v>111.08</v>
      </c>
    </row>
    <row r="876" spans="1:5" x14ac:dyDescent="0.2">
      <c r="A876" s="224"/>
      <c r="B876" s="224">
        <v>875</v>
      </c>
      <c r="C876" s="224" t="s">
        <v>43</v>
      </c>
      <c r="D876" s="224">
        <v>562.29</v>
      </c>
      <c r="E876" s="224">
        <v>125.39</v>
      </c>
    </row>
    <row r="877" spans="1:5" x14ac:dyDescent="0.2">
      <c r="A877" s="224"/>
      <c r="B877" s="224">
        <v>876</v>
      </c>
      <c r="C877" s="224" t="s">
        <v>43</v>
      </c>
      <c r="D877" s="224">
        <v>671.01</v>
      </c>
      <c r="E877" s="224">
        <v>147.4</v>
      </c>
    </row>
    <row r="878" spans="1:5" x14ac:dyDescent="0.2">
      <c r="A878" s="224"/>
      <c r="B878" s="224">
        <v>877</v>
      </c>
      <c r="C878" s="224" t="s">
        <v>43</v>
      </c>
      <c r="D878" s="224">
        <v>848.22</v>
      </c>
      <c r="E878" s="224">
        <v>166.33</v>
      </c>
    </row>
    <row r="879" spans="1:5" x14ac:dyDescent="0.2">
      <c r="A879" s="224"/>
      <c r="B879" s="224">
        <v>878</v>
      </c>
      <c r="C879" s="224" t="s">
        <v>43</v>
      </c>
      <c r="D879" s="224">
        <v>1047.4000000000001</v>
      </c>
      <c r="E879" s="224">
        <v>198.11</v>
      </c>
    </row>
    <row r="880" spans="1:5" x14ac:dyDescent="0.2">
      <c r="A880" s="224"/>
      <c r="B880" s="224">
        <v>879</v>
      </c>
      <c r="C880" s="224" t="s">
        <v>43</v>
      </c>
      <c r="D880" s="224">
        <v>1325.1</v>
      </c>
      <c r="E880" s="224">
        <v>243.1</v>
      </c>
    </row>
    <row r="881" spans="1:5" x14ac:dyDescent="0.2">
      <c r="A881" s="224"/>
      <c r="B881" s="224">
        <v>880</v>
      </c>
      <c r="C881" s="224" t="s">
        <v>43</v>
      </c>
      <c r="D881" s="224">
        <v>1661.4</v>
      </c>
      <c r="E881" s="224">
        <v>297.35000000000002</v>
      </c>
    </row>
    <row r="882" spans="1:5" x14ac:dyDescent="0.2">
      <c r="A882" s="224"/>
      <c r="B882" s="224">
        <v>881</v>
      </c>
      <c r="C882" s="224" t="s">
        <v>43</v>
      </c>
      <c r="D882" s="224">
        <v>1873.3</v>
      </c>
      <c r="E882" s="224">
        <v>330.83</v>
      </c>
    </row>
    <row r="883" spans="1:5" x14ac:dyDescent="0.2">
      <c r="A883" s="224"/>
      <c r="B883" s="224">
        <v>882</v>
      </c>
      <c r="C883" s="224" t="s">
        <v>43</v>
      </c>
      <c r="D883" s="224">
        <v>1798.5</v>
      </c>
      <c r="E883" s="224">
        <v>326.70999999999998</v>
      </c>
    </row>
    <row r="884" spans="1:5" x14ac:dyDescent="0.2">
      <c r="A884" s="224"/>
      <c r="B884" s="224">
        <v>883</v>
      </c>
      <c r="C884" s="224" t="s">
        <v>43</v>
      </c>
      <c r="D884" s="224">
        <v>1429</v>
      </c>
      <c r="E884" s="224">
        <v>305.95</v>
      </c>
    </row>
    <row r="885" spans="1:5" x14ac:dyDescent="0.2">
      <c r="A885" s="224"/>
      <c r="B885" s="224">
        <v>884</v>
      </c>
      <c r="C885" s="224" t="s">
        <v>43</v>
      </c>
      <c r="D885" s="224">
        <v>975.96</v>
      </c>
      <c r="E885" s="224">
        <v>263.13</v>
      </c>
    </row>
    <row r="886" spans="1:5" x14ac:dyDescent="0.2">
      <c r="A886" s="224"/>
      <c r="B886" s="224">
        <v>885</v>
      </c>
      <c r="C886" s="224" t="s">
        <v>43</v>
      </c>
      <c r="D886" s="224">
        <v>810.96</v>
      </c>
      <c r="E886" s="224">
        <v>198.86</v>
      </c>
    </row>
    <row r="887" spans="1:5" x14ac:dyDescent="0.2">
      <c r="A887" s="224"/>
      <c r="B887" s="224">
        <v>886</v>
      </c>
      <c r="C887" s="224" t="s">
        <v>43</v>
      </c>
      <c r="D887" s="224">
        <v>837.99</v>
      </c>
      <c r="E887" s="224">
        <v>150.22999999999999</v>
      </c>
    </row>
    <row r="888" spans="1:5" x14ac:dyDescent="0.2">
      <c r="A888" s="224"/>
      <c r="B888" s="224">
        <v>887</v>
      </c>
      <c r="C888" s="224" t="s">
        <v>43</v>
      </c>
      <c r="D888" s="224">
        <v>909.7</v>
      </c>
      <c r="E888" s="224">
        <v>126.72</v>
      </c>
    </row>
    <row r="889" spans="1:5" x14ac:dyDescent="0.2">
      <c r="A889" s="224"/>
      <c r="B889" s="224">
        <v>888</v>
      </c>
      <c r="C889" s="224" t="s">
        <v>43</v>
      </c>
      <c r="D889" s="224">
        <v>958.65</v>
      </c>
      <c r="E889" s="224">
        <v>118.13</v>
      </c>
    </row>
    <row r="890" spans="1:5" x14ac:dyDescent="0.2">
      <c r="A890" s="224"/>
      <c r="B890" s="224">
        <v>889</v>
      </c>
      <c r="C890" s="224" t="s">
        <v>43</v>
      </c>
      <c r="D890" s="224">
        <v>942.07</v>
      </c>
      <c r="E890" s="224">
        <v>112.72</v>
      </c>
    </row>
    <row r="891" spans="1:5" x14ac:dyDescent="0.2">
      <c r="A891" s="224"/>
      <c r="B891" s="224">
        <v>890</v>
      </c>
      <c r="C891" s="224" t="s">
        <v>43</v>
      </c>
      <c r="D891" s="224">
        <v>1058</v>
      </c>
      <c r="E891" s="224">
        <v>108.88</v>
      </c>
    </row>
    <row r="892" spans="1:5" x14ac:dyDescent="0.2">
      <c r="A892" s="224"/>
      <c r="B892" s="224">
        <v>891</v>
      </c>
      <c r="C892" s="224" t="s">
        <v>43</v>
      </c>
      <c r="D892" s="224">
        <v>1751.5</v>
      </c>
      <c r="E892" s="224">
        <v>127.77</v>
      </c>
    </row>
    <row r="893" spans="1:5" x14ac:dyDescent="0.2">
      <c r="A893" s="224"/>
      <c r="B893" s="224">
        <v>892</v>
      </c>
      <c r="C893" s="224" t="s">
        <v>43</v>
      </c>
      <c r="D893" s="224">
        <v>2676.9</v>
      </c>
      <c r="E893" s="224">
        <v>171.62</v>
      </c>
    </row>
    <row r="894" spans="1:5" x14ac:dyDescent="0.2">
      <c r="A894" s="224"/>
      <c r="B894" s="224">
        <v>893</v>
      </c>
      <c r="C894" s="224" t="s">
        <v>43</v>
      </c>
      <c r="D894" s="224">
        <v>3302.2</v>
      </c>
      <c r="E894" s="224">
        <v>197.38</v>
      </c>
    </row>
    <row r="895" spans="1:5" x14ac:dyDescent="0.2">
      <c r="A895" s="224"/>
      <c r="B895" s="224">
        <v>894</v>
      </c>
      <c r="C895" s="224" t="s">
        <v>43</v>
      </c>
      <c r="D895" s="224">
        <v>3513.5</v>
      </c>
      <c r="E895" s="224">
        <v>200.06</v>
      </c>
    </row>
    <row r="896" spans="1:5" x14ac:dyDescent="0.2">
      <c r="A896" s="224"/>
      <c r="B896" s="224">
        <v>895</v>
      </c>
      <c r="C896" s="224" t="s">
        <v>43</v>
      </c>
      <c r="D896" s="224">
        <v>3765.8</v>
      </c>
      <c r="E896" s="224">
        <v>195.31</v>
      </c>
    </row>
    <row r="897" spans="1:5" x14ac:dyDescent="0.2">
      <c r="A897" s="224"/>
      <c r="B897" s="224">
        <v>896</v>
      </c>
      <c r="C897" s="224" t="s">
        <v>43</v>
      </c>
      <c r="D897" s="224">
        <v>3986.8</v>
      </c>
      <c r="E897" s="224">
        <v>189.48</v>
      </c>
    </row>
    <row r="898" spans="1:5" x14ac:dyDescent="0.2">
      <c r="A898" s="224"/>
      <c r="B898" s="224">
        <v>897</v>
      </c>
      <c r="C898" s="224" t="s">
        <v>43</v>
      </c>
      <c r="D898" s="224">
        <v>4104.2</v>
      </c>
      <c r="E898" s="224">
        <v>179.98</v>
      </c>
    </row>
    <row r="899" spans="1:5" x14ac:dyDescent="0.2">
      <c r="A899" s="224"/>
      <c r="B899" s="224">
        <v>898</v>
      </c>
      <c r="C899" s="224" t="s">
        <v>43</v>
      </c>
      <c r="D899" s="224">
        <v>4099.2</v>
      </c>
      <c r="E899" s="224">
        <v>166.01</v>
      </c>
    </row>
    <row r="900" spans="1:5" x14ac:dyDescent="0.2">
      <c r="A900" s="224"/>
      <c r="B900" s="224">
        <v>899</v>
      </c>
      <c r="C900" s="224" t="s">
        <v>43</v>
      </c>
      <c r="D900" s="224">
        <v>3700.3</v>
      </c>
      <c r="E900" s="224">
        <v>150.33000000000001</v>
      </c>
    </row>
    <row r="901" spans="1:5" x14ac:dyDescent="0.2">
      <c r="A901" s="224"/>
      <c r="B901" s="224">
        <v>900</v>
      </c>
      <c r="C901" s="224" t="s">
        <v>43</v>
      </c>
      <c r="D901" s="224">
        <v>2995</v>
      </c>
      <c r="E901" s="224">
        <v>131.26</v>
      </c>
    </row>
    <row r="902" spans="1:5" x14ac:dyDescent="0.2">
      <c r="A902" s="224"/>
      <c r="B902" s="224">
        <v>901</v>
      </c>
      <c r="C902" s="224" t="s">
        <v>43</v>
      </c>
      <c r="D902" s="224">
        <v>2251.1999999999998</v>
      </c>
      <c r="E902" s="224">
        <v>112.79</v>
      </c>
    </row>
    <row r="903" spans="1:5" x14ac:dyDescent="0.2">
      <c r="A903" s="224"/>
      <c r="B903" s="224">
        <v>902</v>
      </c>
      <c r="C903" s="224" t="s">
        <v>43</v>
      </c>
      <c r="D903" s="224">
        <v>2355.1</v>
      </c>
      <c r="E903" s="224">
        <v>108.09</v>
      </c>
    </row>
    <row r="904" spans="1:5" x14ac:dyDescent="0.2">
      <c r="A904" s="224"/>
      <c r="B904" s="224">
        <v>903</v>
      </c>
      <c r="C904" s="224" t="s">
        <v>43</v>
      </c>
      <c r="D904" s="224">
        <v>3229.4</v>
      </c>
      <c r="E904" s="224">
        <v>125.09</v>
      </c>
    </row>
    <row r="905" spans="1:5" x14ac:dyDescent="0.2">
      <c r="A905" s="224"/>
      <c r="B905" s="224">
        <v>904</v>
      </c>
      <c r="C905" s="224" t="s">
        <v>43</v>
      </c>
      <c r="D905" s="224">
        <v>3516.7</v>
      </c>
      <c r="E905" s="224">
        <v>131.44</v>
      </c>
    </row>
    <row r="906" spans="1:5" x14ac:dyDescent="0.2">
      <c r="A906" s="224"/>
      <c r="B906" s="224">
        <v>905</v>
      </c>
      <c r="C906" s="224" t="s">
        <v>43</v>
      </c>
      <c r="D906" s="224">
        <v>3716.2</v>
      </c>
      <c r="E906" s="224">
        <v>136.63</v>
      </c>
    </row>
    <row r="907" spans="1:5" x14ac:dyDescent="0.2">
      <c r="A907" s="224"/>
      <c r="B907" s="224">
        <v>906</v>
      </c>
      <c r="C907" s="224" t="s">
        <v>43</v>
      </c>
      <c r="D907" s="224">
        <v>3713.8</v>
      </c>
      <c r="E907" s="224">
        <v>140.58000000000001</v>
      </c>
    </row>
    <row r="908" spans="1:5" x14ac:dyDescent="0.2">
      <c r="A908" s="224"/>
      <c r="B908" s="224">
        <v>907</v>
      </c>
      <c r="C908" s="224" t="s">
        <v>43</v>
      </c>
      <c r="D908" s="224">
        <v>3510.5</v>
      </c>
      <c r="E908" s="224">
        <v>137.75</v>
      </c>
    </row>
    <row r="909" spans="1:5" x14ac:dyDescent="0.2">
      <c r="A909" s="224"/>
      <c r="B909" s="224">
        <v>908</v>
      </c>
      <c r="C909" s="224" t="s">
        <v>43</v>
      </c>
      <c r="D909" s="224">
        <v>3271</v>
      </c>
      <c r="E909" s="224">
        <v>129.78</v>
      </c>
    </row>
    <row r="910" spans="1:5" x14ac:dyDescent="0.2">
      <c r="A910" s="224"/>
      <c r="B910" s="224">
        <v>909</v>
      </c>
      <c r="C910" s="224" t="s">
        <v>43</v>
      </c>
      <c r="D910" s="224">
        <v>3284.4</v>
      </c>
      <c r="E910" s="224">
        <v>122.71</v>
      </c>
    </row>
    <row r="911" spans="1:5" x14ac:dyDescent="0.2">
      <c r="A911" s="224"/>
      <c r="B911" s="224">
        <v>910</v>
      </c>
      <c r="C911" s="224" t="s">
        <v>43</v>
      </c>
      <c r="D911" s="224">
        <v>3324.3</v>
      </c>
      <c r="E911" s="224">
        <v>119.91</v>
      </c>
    </row>
    <row r="912" spans="1:5" x14ac:dyDescent="0.2">
      <c r="A912" s="224"/>
      <c r="B912" s="224">
        <v>911</v>
      </c>
      <c r="C912" s="224" t="s">
        <v>43</v>
      </c>
      <c r="D912" s="224">
        <v>3362.8</v>
      </c>
      <c r="E912" s="224">
        <v>125.5</v>
      </c>
    </row>
    <row r="913" spans="1:5" x14ac:dyDescent="0.2">
      <c r="A913" s="224"/>
      <c r="B913" s="224">
        <v>912</v>
      </c>
      <c r="C913" s="224" t="s">
        <v>43</v>
      </c>
      <c r="D913" s="224">
        <v>3193.5</v>
      </c>
      <c r="E913" s="224">
        <v>119.42</v>
      </c>
    </row>
    <row r="914" spans="1:5" x14ac:dyDescent="0.2">
      <c r="A914" s="224"/>
      <c r="B914" s="224">
        <v>913</v>
      </c>
      <c r="C914" s="224" t="s">
        <v>43</v>
      </c>
      <c r="D914" s="224">
        <v>3381.2</v>
      </c>
      <c r="E914" s="224">
        <v>116.65</v>
      </c>
    </row>
    <row r="915" spans="1:5" x14ac:dyDescent="0.2">
      <c r="A915" s="224"/>
      <c r="B915" s="224">
        <v>914</v>
      </c>
      <c r="C915" s="224" t="s">
        <v>43</v>
      </c>
      <c r="D915" s="224">
        <v>3468.4</v>
      </c>
      <c r="E915" s="224">
        <v>115.84</v>
      </c>
    </row>
    <row r="916" spans="1:5" x14ac:dyDescent="0.2">
      <c r="A916" s="224"/>
      <c r="B916" s="224">
        <v>915</v>
      </c>
      <c r="C916" s="224" t="s">
        <v>43</v>
      </c>
      <c r="D916" s="224">
        <v>3161.3</v>
      </c>
      <c r="E916" s="224">
        <v>111.25</v>
      </c>
    </row>
    <row r="917" spans="1:5" x14ac:dyDescent="0.2">
      <c r="A917" s="224"/>
      <c r="B917" s="224">
        <v>916</v>
      </c>
      <c r="C917" s="224" t="s">
        <v>43</v>
      </c>
      <c r="D917" s="224">
        <v>2584.4</v>
      </c>
      <c r="E917" s="224">
        <v>102.18</v>
      </c>
    </row>
    <row r="918" spans="1:5" x14ac:dyDescent="0.2">
      <c r="A918" s="224"/>
      <c r="B918" s="224">
        <v>917</v>
      </c>
      <c r="C918" s="224" t="s">
        <v>43</v>
      </c>
      <c r="D918" s="224">
        <v>2142</v>
      </c>
      <c r="E918" s="224">
        <v>100.82</v>
      </c>
    </row>
    <row r="919" spans="1:5" x14ac:dyDescent="0.2">
      <c r="A919" s="224"/>
      <c r="B919" s="224">
        <v>918</v>
      </c>
      <c r="C919" s="224" t="s">
        <v>43</v>
      </c>
      <c r="D919" s="224">
        <v>1555.7</v>
      </c>
      <c r="E919" s="224">
        <v>87.459000000000003</v>
      </c>
    </row>
    <row r="920" spans="1:5" x14ac:dyDescent="0.2">
      <c r="A920" s="224"/>
      <c r="B920" s="224">
        <v>919</v>
      </c>
      <c r="C920" s="224" t="s">
        <v>43</v>
      </c>
      <c r="D920" s="224">
        <v>1658.1</v>
      </c>
      <c r="E920" s="224">
        <v>101.59</v>
      </c>
    </row>
    <row r="921" spans="1:5" x14ac:dyDescent="0.2">
      <c r="A921" s="224"/>
      <c r="B921" s="224">
        <v>920</v>
      </c>
      <c r="C921" s="224" t="s">
        <v>43</v>
      </c>
      <c r="D921" s="224">
        <v>1783.8</v>
      </c>
      <c r="E921" s="224">
        <v>114.56</v>
      </c>
    </row>
    <row r="922" spans="1:5" x14ac:dyDescent="0.2">
      <c r="A922" s="224"/>
      <c r="B922" s="224">
        <v>921</v>
      </c>
      <c r="C922" s="224" t="s">
        <v>43</v>
      </c>
      <c r="D922" s="224">
        <v>2047.8</v>
      </c>
      <c r="E922" s="224">
        <v>152.22999999999999</v>
      </c>
    </row>
    <row r="923" spans="1:5" x14ac:dyDescent="0.2">
      <c r="A923" s="224"/>
      <c r="B923" s="224">
        <v>922</v>
      </c>
      <c r="C923" s="224" t="s">
        <v>43</v>
      </c>
      <c r="D923" s="224">
        <v>2303.8000000000002</v>
      </c>
      <c r="E923" s="224">
        <v>222.08</v>
      </c>
    </row>
    <row r="924" spans="1:5" x14ac:dyDescent="0.2">
      <c r="A924" s="224"/>
      <c r="B924" s="224">
        <v>923</v>
      </c>
      <c r="C924" s="224" t="s">
        <v>43</v>
      </c>
      <c r="D924" s="224">
        <v>2650.8</v>
      </c>
      <c r="E924" s="224">
        <v>313.11</v>
      </c>
    </row>
    <row r="925" spans="1:5" x14ac:dyDescent="0.2">
      <c r="A925" s="224"/>
      <c r="B925" s="224">
        <v>924</v>
      </c>
      <c r="C925" s="224" t="s">
        <v>700</v>
      </c>
      <c r="D925" s="224">
        <v>4.9114000000000004</v>
      </c>
      <c r="E925" s="224">
        <v>0.2853</v>
      </c>
    </row>
    <row r="926" spans="1:5" x14ac:dyDescent="0.2">
      <c r="A926" s="224"/>
      <c r="B926" s="224">
        <v>925</v>
      </c>
      <c r="C926" s="224" t="s">
        <v>701</v>
      </c>
      <c r="D926" s="224">
        <v>0.59914999999999996</v>
      </c>
      <c r="E926" s="224">
        <v>4.7822999999999997E-2</v>
      </c>
    </row>
    <row r="927" spans="1:5" x14ac:dyDescent="0.2">
      <c r="A927" s="224"/>
      <c r="B927" s="224">
        <v>926</v>
      </c>
      <c r="C927" s="224" t="s">
        <v>267</v>
      </c>
      <c r="D927" s="224">
        <v>1707.3</v>
      </c>
      <c r="E927" s="224">
        <v>285.8</v>
      </c>
    </row>
    <row r="928" spans="1:5" x14ac:dyDescent="0.2">
      <c r="A928" s="224"/>
      <c r="B928" s="224">
        <v>927</v>
      </c>
      <c r="C928" s="224" t="s">
        <v>239</v>
      </c>
      <c r="D928" s="224">
        <v>0.74199000000000004</v>
      </c>
      <c r="E928" s="224">
        <v>0.26163999999999998</v>
      </c>
    </row>
    <row r="929" spans="1:5" x14ac:dyDescent="0.2">
      <c r="A929" s="224"/>
      <c r="B929" s="224">
        <v>928</v>
      </c>
      <c r="C929" s="224" t="s">
        <v>60</v>
      </c>
      <c r="D929" s="224">
        <v>0.50005999999999995</v>
      </c>
      <c r="E929" s="224">
        <v>0.14574000000000001</v>
      </c>
    </row>
    <row r="930" spans="1:5" x14ac:dyDescent="0.2">
      <c r="A930" s="224"/>
      <c r="B930" s="224">
        <v>929</v>
      </c>
      <c r="C930" s="224" t="s">
        <v>65</v>
      </c>
      <c r="D930" s="224">
        <v>-0.29842000000000002</v>
      </c>
      <c r="E930" s="224">
        <v>0.35261999999999999</v>
      </c>
    </row>
    <row r="931" spans="1:5" x14ac:dyDescent="0.2">
      <c r="A931" s="224"/>
      <c r="B931" s="224">
        <v>930</v>
      </c>
      <c r="C931" s="224" t="s">
        <v>61</v>
      </c>
      <c r="D931" s="224">
        <v>-0.69303000000000003</v>
      </c>
      <c r="E931" s="224">
        <v>0.29144999999999999</v>
      </c>
    </row>
    <row r="932" spans="1:5" x14ac:dyDescent="0.2">
      <c r="A932" s="224"/>
      <c r="B932" s="224">
        <v>931</v>
      </c>
      <c r="C932" s="224" t="s">
        <v>314</v>
      </c>
      <c r="D932" s="224">
        <v>0.69777</v>
      </c>
      <c r="E932" s="224">
        <v>5.2635000000000001E-2</v>
      </c>
    </row>
    <row r="933" spans="1:5" x14ac:dyDescent="0.2">
      <c r="A933" s="224"/>
      <c r="B933" s="224">
        <v>932</v>
      </c>
      <c r="C933" s="224" t="s">
        <v>294</v>
      </c>
      <c r="D933" s="224">
        <v>0.40301999999999999</v>
      </c>
      <c r="E933" s="224">
        <v>0.20000999999999999</v>
      </c>
    </row>
    <row r="934" spans="1:5" x14ac:dyDescent="0.2">
      <c r="A934" s="224"/>
      <c r="B934" s="224">
        <v>933</v>
      </c>
      <c r="C934" s="224" t="s">
        <v>240</v>
      </c>
      <c r="D934" s="224">
        <v>24229</v>
      </c>
      <c r="E934" s="224">
        <v>3317.4</v>
      </c>
    </row>
    <row r="935" spans="1:5" x14ac:dyDescent="0.2">
      <c r="A935" s="224"/>
      <c r="B935" s="224">
        <v>934</v>
      </c>
      <c r="C935" s="224" t="s">
        <v>241</v>
      </c>
      <c r="D935" s="224">
        <v>1834.3</v>
      </c>
      <c r="E935" s="224">
        <v>236.97</v>
      </c>
    </row>
    <row r="936" spans="1:5" x14ac:dyDescent="0.2">
      <c r="A936" s="224"/>
      <c r="B936" s="224">
        <v>935</v>
      </c>
      <c r="C936" s="224" t="s">
        <v>59</v>
      </c>
      <c r="D936" s="224">
        <v>3414.2</v>
      </c>
      <c r="E936" s="224">
        <v>620.38</v>
      </c>
    </row>
    <row r="937" spans="1:5" x14ac:dyDescent="0.2">
      <c r="A937" s="224"/>
      <c r="B937" s="224">
        <v>936</v>
      </c>
      <c r="C937" s="224" t="s">
        <v>833</v>
      </c>
      <c r="D937" s="224">
        <v>0.15</v>
      </c>
      <c r="E937" s="224">
        <v>5.9168999999999999E-2</v>
      </c>
    </row>
    <row r="938" spans="1:5" x14ac:dyDescent="0.2">
      <c r="A938" s="224"/>
      <c r="B938" s="224">
        <v>937</v>
      </c>
      <c r="C938" s="224" t="s">
        <v>833</v>
      </c>
      <c r="D938" s="224">
        <v>0.18171999999999999</v>
      </c>
      <c r="E938" s="224">
        <v>7.1794999999999998E-2</v>
      </c>
    </row>
    <row r="939" spans="1:5" x14ac:dyDescent="0.2">
      <c r="A939" s="224"/>
      <c r="B939" s="224">
        <v>938</v>
      </c>
      <c r="C939" s="224" t="s">
        <v>833</v>
      </c>
      <c r="D939" s="224">
        <v>0.21406</v>
      </c>
      <c r="E939" s="224">
        <v>8.4711999999999996E-2</v>
      </c>
    </row>
    <row r="940" spans="1:5" x14ac:dyDescent="0.2">
      <c r="A940" s="224"/>
      <c r="B940" s="224">
        <v>939</v>
      </c>
      <c r="C940" s="224" t="s">
        <v>833</v>
      </c>
      <c r="D940" s="224">
        <v>0.24704999999999999</v>
      </c>
      <c r="E940" s="224">
        <v>9.7932000000000005E-2</v>
      </c>
    </row>
    <row r="941" spans="1:5" x14ac:dyDescent="0.2">
      <c r="A941" s="224"/>
      <c r="B941" s="224">
        <v>940</v>
      </c>
      <c r="C941" s="224" t="s">
        <v>833</v>
      </c>
      <c r="D941" s="224">
        <v>0.28071000000000002</v>
      </c>
      <c r="E941" s="224">
        <v>0.11147</v>
      </c>
    </row>
    <row r="942" spans="1:5" x14ac:dyDescent="0.2">
      <c r="A942" s="224"/>
      <c r="B942" s="224">
        <v>941</v>
      </c>
      <c r="C942" s="224" t="s">
        <v>833</v>
      </c>
      <c r="D942" s="224">
        <v>0.31507000000000002</v>
      </c>
      <c r="E942" s="224">
        <v>0.12534000000000001</v>
      </c>
    </row>
    <row r="943" spans="1:5" x14ac:dyDescent="0.2">
      <c r="A943" s="224"/>
      <c r="B943" s="224">
        <v>942</v>
      </c>
      <c r="C943" s="224" t="s">
        <v>833</v>
      </c>
      <c r="D943" s="224">
        <v>0.35015000000000002</v>
      </c>
      <c r="E943" s="224">
        <v>0.13955999999999999</v>
      </c>
    </row>
    <row r="944" spans="1:5" x14ac:dyDescent="0.2">
      <c r="A944" s="224"/>
      <c r="B944" s="224">
        <v>943</v>
      </c>
      <c r="C944" s="224" t="s">
        <v>833</v>
      </c>
      <c r="D944" s="224">
        <v>0.38599</v>
      </c>
      <c r="E944" s="224">
        <v>0.15414</v>
      </c>
    </row>
    <row r="945" spans="1:5" x14ac:dyDescent="0.2">
      <c r="A945" s="224"/>
      <c r="B945" s="224">
        <v>944</v>
      </c>
      <c r="C945" s="224" t="s">
        <v>833</v>
      </c>
      <c r="D945" s="224">
        <v>0.42260999999999999</v>
      </c>
      <c r="E945" s="224">
        <v>0.16911000000000001</v>
      </c>
    </row>
    <row r="946" spans="1:5" x14ac:dyDescent="0.2">
      <c r="A946" s="224"/>
      <c r="B946" s="224">
        <v>945</v>
      </c>
      <c r="C946" s="224" t="s">
        <v>833</v>
      </c>
      <c r="D946" s="224">
        <v>0.46005000000000001</v>
      </c>
      <c r="E946" s="224">
        <v>0.18447</v>
      </c>
    </row>
    <row r="947" spans="1:5" x14ac:dyDescent="0.2">
      <c r="A947" s="224"/>
      <c r="B947" s="224">
        <v>946</v>
      </c>
      <c r="C947" s="224" t="s">
        <v>833</v>
      </c>
      <c r="D947" s="224">
        <v>0.49834000000000001</v>
      </c>
      <c r="E947" s="224">
        <v>0.20025999999999999</v>
      </c>
    </row>
    <row r="948" spans="1:5" x14ac:dyDescent="0.2">
      <c r="A948" s="224"/>
      <c r="B948" s="224">
        <v>947</v>
      </c>
      <c r="C948" s="224" t="s">
        <v>833</v>
      </c>
      <c r="D948" s="224">
        <v>0.53752999999999995</v>
      </c>
      <c r="E948" s="224">
        <v>0.2165</v>
      </c>
    </row>
    <row r="949" spans="1:5" x14ac:dyDescent="0.2">
      <c r="A949" s="224"/>
      <c r="B949" s="224">
        <v>948</v>
      </c>
      <c r="C949" s="224" t="s">
        <v>833</v>
      </c>
      <c r="D949" s="224">
        <v>0.57764000000000004</v>
      </c>
      <c r="E949" s="224">
        <v>0.23319999999999999</v>
      </c>
    </row>
    <row r="950" spans="1:5" x14ac:dyDescent="0.2">
      <c r="A950" s="224"/>
      <c r="B950" s="224">
        <v>949</v>
      </c>
      <c r="C950" s="224" t="s">
        <v>833</v>
      </c>
      <c r="D950" s="224">
        <v>0.61872000000000005</v>
      </c>
      <c r="E950" s="224">
        <v>0.25040000000000001</v>
      </c>
    </row>
    <row r="951" spans="1:5" x14ac:dyDescent="0.2">
      <c r="A951" s="224"/>
      <c r="B951" s="224">
        <v>950</v>
      </c>
      <c r="C951" s="224" t="s">
        <v>833</v>
      </c>
      <c r="D951" s="224">
        <v>0.66081999999999996</v>
      </c>
      <c r="E951" s="224">
        <v>0.26812000000000002</v>
      </c>
    </row>
    <row r="952" spans="1:5" x14ac:dyDescent="0.2">
      <c r="A952" s="224"/>
      <c r="B952" s="224">
        <v>951</v>
      </c>
      <c r="C952" s="224" t="s">
        <v>833</v>
      </c>
      <c r="D952" s="224">
        <v>0.70398000000000005</v>
      </c>
      <c r="E952" s="224">
        <v>0.28638999999999998</v>
      </c>
    </row>
    <row r="953" spans="1:5" x14ac:dyDescent="0.2">
      <c r="A953" s="224"/>
      <c r="B953" s="224">
        <v>952</v>
      </c>
      <c r="C953" s="224" t="s">
        <v>833</v>
      </c>
      <c r="D953" s="224">
        <v>0.74826000000000004</v>
      </c>
      <c r="E953" s="224">
        <v>0.30525000000000002</v>
      </c>
    </row>
    <row r="954" spans="1:5" x14ac:dyDescent="0.2">
      <c r="A954" s="224"/>
      <c r="B954" s="224">
        <v>953</v>
      </c>
      <c r="C954" s="224" t="s">
        <v>833</v>
      </c>
      <c r="D954" s="224">
        <v>0.79371000000000003</v>
      </c>
      <c r="E954" s="224">
        <v>0.32473000000000002</v>
      </c>
    </row>
    <row r="955" spans="1:5" x14ac:dyDescent="0.2">
      <c r="A955" s="224"/>
      <c r="B955" s="224">
        <v>954</v>
      </c>
      <c r="C955" s="224" t="s">
        <v>833</v>
      </c>
      <c r="D955" s="224">
        <v>0.84038999999999997</v>
      </c>
      <c r="E955" s="224">
        <v>0.34487000000000001</v>
      </c>
    </row>
    <row r="956" spans="1:5" x14ac:dyDescent="0.2">
      <c r="A956" s="224"/>
      <c r="B956" s="224">
        <v>955</v>
      </c>
      <c r="C956" s="224" t="s">
        <v>833</v>
      </c>
      <c r="D956" s="224">
        <v>0.88834999999999997</v>
      </c>
      <c r="E956" s="224">
        <v>0.36570999999999998</v>
      </c>
    </row>
    <row r="957" spans="1:5" x14ac:dyDescent="0.2">
      <c r="A957" s="224"/>
      <c r="B957" s="224">
        <v>956</v>
      </c>
      <c r="C957" s="224" t="s">
        <v>242</v>
      </c>
      <c r="D957" s="224">
        <v>1.6392</v>
      </c>
      <c r="E957" s="224">
        <v>0.29233999999999999</v>
      </c>
    </row>
    <row r="958" spans="1:5" x14ac:dyDescent="0.2">
      <c r="A958" s="224"/>
      <c r="B958" s="224">
        <v>957</v>
      </c>
      <c r="C958" s="224" t="s">
        <v>242</v>
      </c>
      <c r="D958" s="224">
        <v>1.6077999999999999</v>
      </c>
      <c r="E958" s="224">
        <v>0.28938000000000003</v>
      </c>
    </row>
    <row r="959" spans="1:5" x14ac:dyDescent="0.2">
      <c r="A959" s="224"/>
      <c r="B959" s="224">
        <v>958</v>
      </c>
      <c r="C959" s="224" t="s">
        <v>242</v>
      </c>
      <c r="D959" s="224">
        <v>1.5765</v>
      </c>
      <c r="E959" s="224">
        <v>0.28644999999999998</v>
      </c>
    </row>
    <row r="960" spans="1:5" x14ac:dyDescent="0.2">
      <c r="A960" s="224"/>
      <c r="B960" s="224">
        <v>959</v>
      </c>
      <c r="C960" s="224" t="s">
        <v>242</v>
      </c>
      <c r="D960" s="224">
        <v>1.5455000000000001</v>
      </c>
      <c r="E960" s="224">
        <v>0.28355999999999998</v>
      </c>
    </row>
    <row r="961" spans="1:5" x14ac:dyDescent="0.2">
      <c r="A961" s="224"/>
      <c r="B961" s="224">
        <v>960</v>
      </c>
      <c r="C961" s="224" t="s">
        <v>242</v>
      </c>
      <c r="D961" s="224">
        <v>1.5146999999999999</v>
      </c>
      <c r="E961" s="224">
        <v>0.28069</v>
      </c>
    </row>
    <row r="962" spans="1:5" x14ac:dyDescent="0.2">
      <c r="A962" s="224"/>
      <c r="B962" s="224">
        <v>961</v>
      </c>
      <c r="C962" s="224" t="s">
        <v>242</v>
      </c>
      <c r="D962" s="224">
        <v>1.4841</v>
      </c>
      <c r="E962" s="224">
        <v>0.27783999999999998</v>
      </c>
    </row>
    <row r="963" spans="1:5" x14ac:dyDescent="0.2">
      <c r="A963" s="224"/>
      <c r="B963" s="224">
        <v>962</v>
      </c>
      <c r="C963" s="224" t="s">
        <v>242</v>
      </c>
      <c r="D963" s="224">
        <v>1.4537</v>
      </c>
      <c r="E963" s="224">
        <v>0.27503</v>
      </c>
    </row>
    <row r="964" spans="1:5" x14ac:dyDescent="0.2">
      <c r="A964" s="224"/>
      <c r="B964" s="224">
        <v>963</v>
      </c>
      <c r="C964" s="224" t="s">
        <v>242</v>
      </c>
      <c r="D964" s="224">
        <v>1.4235</v>
      </c>
      <c r="E964" s="224">
        <v>0.27223999999999998</v>
      </c>
    </row>
    <row r="965" spans="1:5" x14ac:dyDescent="0.2">
      <c r="A965" s="224"/>
      <c r="B965" s="224">
        <v>964</v>
      </c>
      <c r="C965" s="224" t="s">
        <v>242</v>
      </c>
      <c r="D965" s="224">
        <v>1.3935</v>
      </c>
      <c r="E965" s="224">
        <v>0.26948</v>
      </c>
    </row>
    <row r="966" spans="1:5" x14ac:dyDescent="0.2">
      <c r="A966" s="224"/>
      <c r="B966" s="224">
        <v>965</v>
      </c>
      <c r="C966" s="224" t="s">
        <v>242</v>
      </c>
      <c r="D966" s="224">
        <v>1.3636999999999999</v>
      </c>
      <c r="E966" s="224">
        <v>0.26674999999999999</v>
      </c>
    </row>
    <row r="967" spans="1:5" x14ac:dyDescent="0.2">
      <c r="A967" s="224"/>
      <c r="B967" s="224">
        <v>966</v>
      </c>
      <c r="C967" s="224" t="s">
        <v>242</v>
      </c>
      <c r="D967" s="224">
        <v>1.3341000000000001</v>
      </c>
      <c r="E967" s="224">
        <v>0.26404</v>
      </c>
    </row>
    <row r="968" spans="1:5" x14ac:dyDescent="0.2">
      <c r="A968" s="224"/>
      <c r="B968" s="224">
        <v>967</v>
      </c>
      <c r="C968" s="224" t="s">
        <v>242</v>
      </c>
      <c r="D968" s="224">
        <v>1.3047</v>
      </c>
      <c r="E968" s="224">
        <v>0.26135000000000003</v>
      </c>
    </row>
    <row r="969" spans="1:5" x14ac:dyDescent="0.2">
      <c r="A969" s="224"/>
      <c r="B969" s="224">
        <v>968</v>
      </c>
      <c r="C969" s="224" t="s">
        <v>242</v>
      </c>
      <c r="D969" s="224">
        <v>1.2756000000000001</v>
      </c>
      <c r="E969" s="224">
        <v>0.25868999999999998</v>
      </c>
    </row>
    <row r="970" spans="1:5" x14ac:dyDescent="0.2">
      <c r="A970" s="224"/>
      <c r="B970" s="224">
        <v>969</v>
      </c>
      <c r="C970" s="224" t="s">
        <v>242</v>
      </c>
      <c r="D970" s="224">
        <v>1.2466999999999999</v>
      </c>
      <c r="E970" s="224">
        <v>0.25603999999999999</v>
      </c>
    </row>
    <row r="971" spans="1:5" x14ac:dyDescent="0.2">
      <c r="A971" s="224"/>
      <c r="B971" s="224">
        <v>970</v>
      </c>
      <c r="C971" s="224" t="s">
        <v>242</v>
      </c>
      <c r="D971" s="224">
        <v>1.218</v>
      </c>
      <c r="E971" s="224">
        <v>0.25341999999999998</v>
      </c>
    </row>
    <row r="972" spans="1:5" x14ac:dyDescent="0.2">
      <c r="A972" s="224"/>
      <c r="B972" s="224">
        <v>971</v>
      </c>
      <c r="C972" s="224" t="s">
        <v>242</v>
      </c>
      <c r="D972" s="224">
        <v>1.1895</v>
      </c>
      <c r="E972" s="224">
        <v>0.25081999999999999</v>
      </c>
    </row>
    <row r="973" spans="1:5" x14ac:dyDescent="0.2">
      <c r="A973" s="224"/>
      <c r="B973" s="224">
        <v>972</v>
      </c>
      <c r="C973" s="224" t="s">
        <v>242</v>
      </c>
      <c r="D973" s="224">
        <v>1.1613</v>
      </c>
      <c r="E973" s="224">
        <v>0.24823999999999999</v>
      </c>
    </row>
    <row r="974" spans="1:5" x14ac:dyDescent="0.2">
      <c r="A974" s="224"/>
      <c r="B974" s="224">
        <v>973</v>
      </c>
      <c r="C974" s="224" t="s">
        <v>242</v>
      </c>
      <c r="D974" s="224">
        <v>1.1333</v>
      </c>
      <c r="E974" s="224">
        <v>0.24567</v>
      </c>
    </row>
    <row r="975" spans="1:5" x14ac:dyDescent="0.2">
      <c r="A975" s="224"/>
      <c r="B975" s="224">
        <v>974</v>
      </c>
      <c r="C975" s="224" t="s">
        <v>242</v>
      </c>
      <c r="D975" s="224">
        <v>1.1054999999999999</v>
      </c>
      <c r="E975" s="224">
        <v>0.24312</v>
      </c>
    </row>
    <row r="976" spans="1:5" x14ac:dyDescent="0.2">
      <c r="A976" s="224"/>
      <c r="B976" s="224">
        <v>975</v>
      </c>
      <c r="C976" s="224" t="s">
        <v>242</v>
      </c>
      <c r="D976" s="224">
        <v>1.0780000000000001</v>
      </c>
      <c r="E976" s="224">
        <v>0.24059</v>
      </c>
    </row>
    <row r="977" spans="1:5" x14ac:dyDescent="0.2">
      <c r="A977" s="224"/>
      <c r="B977" s="224">
        <v>976</v>
      </c>
      <c r="C977" s="224" t="s">
        <v>938</v>
      </c>
      <c r="D977" s="224">
        <v>1.0558000000000001</v>
      </c>
      <c r="E977" s="224">
        <v>0.12504999999999999</v>
      </c>
    </row>
    <row r="978" spans="1:5" x14ac:dyDescent="0.2">
      <c r="A978" s="224"/>
      <c r="B978" s="224">
        <v>977</v>
      </c>
      <c r="C978" s="224" t="s">
        <v>938</v>
      </c>
      <c r="D978" s="224">
        <v>1.0356000000000001</v>
      </c>
      <c r="E978" s="224">
        <v>0.12501000000000001</v>
      </c>
    </row>
    <row r="979" spans="1:5" x14ac:dyDescent="0.2">
      <c r="A979" s="224"/>
      <c r="B979" s="224">
        <v>978</v>
      </c>
      <c r="C979" s="224" t="s">
        <v>938</v>
      </c>
      <c r="D979" s="224">
        <v>1.0155000000000001</v>
      </c>
      <c r="E979" s="224">
        <v>0.12496</v>
      </c>
    </row>
    <row r="980" spans="1:5" x14ac:dyDescent="0.2">
      <c r="A980" s="224"/>
      <c r="B980" s="224">
        <v>979</v>
      </c>
      <c r="C980" s="224" t="s">
        <v>938</v>
      </c>
      <c r="D980" s="224">
        <v>0.99550000000000005</v>
      </c>
      <c r="E980" s="224">
        <v>0.1249</v>
      </c>
    </row>
    <row r="981" spans="1:5" x14ac:dyDescent="0.2">
      <c r="A981" s="224"/>
      <c r="B981" s="224">
        <v>980</v>
      </c>
      <c r="C981" s="224" t="s">
        <v>938</v>
      </c>
      <c r="D981" s="224">
        <v>0.97565000000000002</v>
      </c>
      <c r="E981" s="224">
        <v>0.12483</v>
      </c>
    </row>
    <row r="982" spans="1:5" x14ac:dyDescent="0.2">
      <c r="A982" s="224"/>
      <c r="B982" s="224">
        <v>981</v>
      </c>
      <c r="C982" s="224" t="s">
        <v>938</v>
      </c>
      <c r="D982" s="224">
        <v>0.95592999999999995</v>
      </c>
      <c r="E982" s="224">
        <v>0.12475</v>
      </c>
    </row>
    <row r="983" spans="1:5" x14ac:dyDescent="0.2">
      <c r="A983" s="224"/>
      <c r="B983" s="224">
        <v>982</v>
      </c>
      <c r="C983" s="224" t="s">
        <v>938</v>
      </c>
      <c r="D983" s="224">
        <v>0.93633999999999995</v>
      </c>
      <c r="E983" s="224">
        <v>0.12466000000000001</v>
      </c>
    </row>
    <row r="984" spans="1:5" x14ac:dyDescent="0.2">
      <c r="A984" s="224"/>
      <c r="B984" s="224">
        <v>983</v>
      </c>
      <c r="C984" s="224" t="s">
        <v>938</v>
      </c>
      <c r="D984" s="224">
        <v>0.91688999999999998</v>
      </c>
      <c r="E984" s="224">
        <v>0.12456</v>
      </c>
    </row>
    <row r="985" spans="1:5" x14ac:dyDescent="0.2">
      <c r="A985" s="224"/>
      <c r="B985" s="224">
        <v>984</v>
      </c>
      <c r="C985" s="224" t="s">
        <v>938</v>
      </c>
      <c r="D985" s="224">
        <v>0.89756000000000002</v>
      </c>
      <c r="E985" s="224">
        <v>0.12445000000000001</v>
      </c>
    </row>
    <row r="986" spans="1:5" x14ac:dyDescent="0.2">
      <c r="A986" s="224"/>
      <c r="B986" s="224">
        <v>985</v>
      </c>
      <c r="C986" s="224" t="s">
        <v>938</v>
      </c>
      <c r="D986" s="224">
        <v>0.87836999999999998</v>
      </c>
      <c r="E986" s="224">
        <v>0.12432</v>
      </c>
    </row>
    <row r="987" spans="1:5" x14ac:dyDescent="0.2">
      <c r="A987" s="224"/>
      <c r="B987" s="224">
        <v>986</v>
      </c>
      <c r="C987" s="224" t="s">
        <v>938</v>
      </c>
      <c r="D987" s="224">
        <v>0.85933000000000004</v>
      </c>
      <c r="E987" s="224">
        <v>0.12418</v>
      </c>
    </row>
    <row r="988" spans="1:5" x14ac:dyDescent="0.2">
      <c r="A988" s="224"/>
      <c r="B988" s="224">
        <v>987</v>
      </c>
      <c r="C988" s="224" t="s">
        <v>938</v>
      </c>
      <c r="D988" s="224">
        <v>0.84040999999999999</v>
      </c>
      <c r="E988" s="224">
        <v>0.12402000000000001</v>
      </c>
    </row>
    <row r="989" spans="1:5" x14ac:dyDescent="0.2">
      <c r="A989" s="224"/>
      <c r="B989" s="224">
        <v>988</v>
      </c>
      <c r="C989" s="224" t="s">
        <v>938</v>
      </c>
      <c r="D989" s="224">
        <v>0.82164999999999999</v>
      </c>
      <c r="E989" s="224">
        <v>0.12385</v>
      </c>
    </row>
    <row r="990" spans="1:5" x14ac:dyDescent="0.2">
      <c r="A990" s="224"/>
      <c r="B990" s="224">
        <v>989</v>
      </c>
      <c r="C990" s="224" t="s">
        <v>938</v>
      </c>
      <c r="D990" s="224">
        <v>0.80301999999999996</v>
      </c>
      <c r="E990" s="224">
        <v>0.12366000000000001</v>
      </c>
    </row>
    <row r="991" spans="1:5" x14ac:dyDescent="0.2">
      <c r="A991" s="224"/>
      <c r="B991" s="224">
        <v>990</v>
      </c>
      <c r="C991" s="224" t="s">
        <v>938</v>
      </c>
      <c r="D991" s="224">
        <v>0.78454000000000002</v>
      </c>
      <c r="E991" s="224">
        <v>0.12346</v>
      </c>
    </row>
    <row r="992" spans="1:5" x14ac:dyDescent="0.2">
      <c r="A992" s="224"/>
      <c r="B992" s="224">
        <v>991</v>
      </c>
      <c r="C992" s="224" t="s">
        <v>938</v>
      </c>
      <c r="D992" s="224">
        <v>0.76619999999999999</v>
      </c>
      <c r="E992" s="224">
        <v>0.12323000000000001</v>
      </c>
    </row>
    <row r="993" spans="1:5" x14ac:dyDescent="0.2">
      <c r="A993" s="224"/>
      <c r="B993" s="224">
        <v>992</v>
      </c>
      <c r="C993" s="224" t="s">
        <v>938</v>
      </c>
      <c r="D993" s="224">
        <v>0.74800999999999995</v>
      </c>
      <c r="E993" s="224">
        <v>0.12299</v>
      </c>
    </row>
    <row r="994" spans="1:5" x14ac:dyDescent="0.2">
      <c r="A994" s="224"/>
      <c r="B994" s="224">
        <v>993</v>
      </c>
      <c r="C994" s="224" t="s">
        <v>938</v>
      </c>
      <c r="D994" s="224">
        <v>0.72997999999999996</v>
      </c>
      <c r="E994" s="224">
        <v>0.12273000000000001</v>
      </c>
    </row>
    <row r="995" spans="1:5" x14ac:dyDescent="0.2">
      <c r="A995" s="224"/>
      <c r="B995" s="224">
        <v>994</v>
      </c>
      <c r="C995" s="224" t="s">
        <v>938</v>
      </c>
      <c r="D995" s="224">
        <v>0.71209</v>
      </c>
      <c r="E995" s="224">
        <v>0.12245</v>
      </c>
    </row>
    <row r="996" spans="1:5" x14ac:dyDescent="0.2">
      <c r="A996" s="224"/>
      <c r="B996" s="224">
        <v>995</v>
      </c>
      <c r="C996" s="224" t="s">
        <v>938</v>
      </c>
      <c r="D996" s="224">
        <v>0.69435999999999998</v>
      </c>
      <c r="E996" s="224">
        <v>0.12214999999999999</v>
      </c>
    </row>
    <row r="997" spans="1:5" x14ac:dyDescent="0.2">
      <c r="A997" s="224"/>
      <c r="B997" s="224">
        <v>996</v>
      </c>
      <c r="C997" s="224" t="s">
        <v>939</v>
      </c>
      <c r="D997" s="224">
        <v>1.3435999999999999</v>
      </c>
      <c r="E997" s="224">
        <v>0.27012000000000003</v>
      </c>
    </row>
    <row r="998" spans="1:5" x14ac:dyDescent="0.2">
      <c r="A998" s="224"/>
      <c r="B998" s="224">
        <v>997</v>
      </c>
      <c r="C998" s="224" t="s">
        <v>939</v>
      </c>
      <c r="D998" s="224">
        <v>1.2937000000000001</v>
      </c>
      <c r="E998" s="224">
        <v>0.26694000000000001</v>
      </c>
    </row>
    <row r="999" spans="1:5" x14ac:dyDescent="0.2">
      <c r="A999" s="224"/>
      <c r="B999" s="224">
        <v>998</v>
      </c>
      <c r="C999" s="224" t="s">
        <v>939</v>
      </c>
      <c r="D999" s="224">
        <v>1.2466999999999999</v>
      </c>
      <c r="E999" s="224">
        <v>0.26405000000000001</v>
      </c>
    </row>
    <row r="1000" spans="1:5" x14ac:dyDescent="0.2">
      <c r="A1000" s="224"/>
      <c r="B1000" s="224">
        <v>999</v>
      </c>
      <c r="C1000" s="224" t="s">
        <v>939</v>
      </c>
      <c r="D1000" s="224">
        <v>1.2021999999999999</v>
      </c>
      <c r="E1000" s="224">
        <v>0.26138</v>
      </c>
    </row>
    <row r="1001" spans="1:5" x14ac:dyDescent="0.2">
      <c r="A1001" s="224"/>
      <c r="B1001" s="224">
        <v>1000</v>
      </c>
      <c r="C1001" s="224" t="s">
        <v>939</v>
      </c>
      <c r="D1001" s="224">
        <v>1.1600999999999999</v>
      </c>
      <c r="E1001" s="224">
        <v>0.25890000000000002</v>
      </c>
    </row>
    <row r="1002" spans="1:5" x14ac:dyDescent="0.2">
      <c r="A1002" s="224"/>
      <c r="B1002" s="224">
        <v>1001</v>
      </c>
      <c r="C1002" s="224" t="s">
        <v>939</v>
      </c>
      <c r="D1002" s="224">
        <v>1.1204000000000001</v>
      </c>
      <c r="E1002" s="224">
        <v>0.25657000000000002</v>
      </c>
    </row>
    <row r="1003" spans="1:5" x14ac:dyDescent="0.2">
      <c r="A1003" s="224"/>
      <c r="B1003" s="224">
        <v>1002</v>
      </c>
      <c r="C1003" s="224" t="s">
        <v>939</v>
      </c>
      <c r="D1003" s="224">
        <v>1.0829</v>
      </c>
      <c r="E1003" s="224">
        <v>0.25435000000000002</v>
      </c>
    </row>
    <row r="1004" spans="1:5" x14ac:dyDescent="0.2">
      <c r="A1004" s="224"/>
      <c r="B1004" s="224">
        <v>1003</v>
      </c>
      <c r="C1004" s="224" t="s">
        <v>939</v>
      </c>
      <c r="D1004" s="224">
        <v>1.0475000000000001</v>
      </c>
      <c r="E1004" s="224">
        <v>0.25223000000000001</v>
      </c>
    </row>
    <row r="1005" spans="1:5" x14ac:dyDescent="0.2">
      <c r="A1005" s="224"/>
      <c r="B1005" s="224">
        <v>1004</v>
      </c>
      <c r="C1005" s="224" t="s">
        <v>939</v>
      </c>
      <c r="D1005" s="224">
        <v>1.014</v>
      </c>
      <c r="E1005" s="224">
        <v>0.25019000000000002</v>
      </c>
    </row>
    <row r="1006" spans="1:5" x14ac:dyDescent="0.2">
      <c r="A1006" s="224"/>
      <c r="B1006" s="224">
        <v>1005</v>
      </c>
      <c r="C1006" s="224" t="s">
        <v>939</v>
      </c>
      <c r="D1006" s="224">
        <v>0.98240000000000005</v>
      </c>
      <c r="E1006" s="224">
        <v>0.24820999999999999</v>
      </c>
    </row>
    <row r="1007" spans="1:5" x14ac:dyDescent="0.2">
      <c r="A1007" s="224"/>
      <c r="B1007" s="224">
        <v>1006</v>
      </c>
      <c r="C1007" s="224" t="s">
        <v>939</v>
      </c>
      <c r="D1007" s="224">
        <v>0.95255999999999996</v>
      </c>
      <c r="E1007" s="224">
        <v>0.24629000000000001</v>
      </c>
    </row>
    <row r="1008" spans="1:5" x14ac:dyDescent="0.2">
      <c r="A1008" s="224"/>
      <c r="B1008" s="224">
        <v>1007</v>
      </c>
      <c r="C1008" s="224" t="s">
        <v>939</v>
      </c>
      <c r="D1008" s="224">
        <v>0.92435999999999996</v>
      </c>
      <c r="E1008" s="224">
        <v>0.24442</v>
      </c>
    </row>
    <row r="1009" spans="1:5" x14ac:dyDescent="0.2">
      <c r="A1009" s="224"/>
      <c r="B1009" s="224">
        <v>1008</v>
      </c>
      <c r="C1009" s="224" t="s">
        <v>939</v>
      </c>
      <c r="D1009" s="224">
        <v>0.89771000000000001</v>
      </c>
      <c r="E1009" s="224">
        <v>0.24257999999999999</v>
      </c>
    </row>
    <row r="1010" spans="1:5" x14ac:dyDescent="0.2">
      <c r="A1010" s="224"/>
      <c r="B1010" s="224">
        <v>1009</v>
      </c>
      <c r="C1010" s="224" t="s">
        <v>939</v>
      </c>
      <c r="D1010" s="224">
        <v>0.87251999999999996</v>
      </c>
      <c r="E1010" s="224">
        <v>0.24079</v>
      </c>
    </row>
    <row r="1011" spans="1:5" x14ac:dyDescent="0.2">
      <c r="A1011" s="224"/>
      <c r="B1011" s="224">
        <v>1010</v>
      </c>
      <c r="C1011" s="224" t="s">
        <v>939</v>
      </c>
      <c r="D1011" s="224">
        <v>0.84869000000000006</v>
      </c>
      <c r="E1011" s="224">
        <v>0.23902000000000001</v>
      </c>
    </row>
    <row r="1012" spans="1:5" x14ac:dyDescent="0.2">
      <c r="A1012" s="224"/>
      <c r="B1012" s="224">
        <v>1011</v>
      </c>
      <c r="C1012" s="224" t="s">
        <v>939</v>
      </c>
      <c r="D1012" s="224">
        <v>0.82613999999999999</v>
      </c>
      <c r="E1012" s="224">
        <v>0.23727999999999999</v>
      </c>
    </row>
    <row r="1013" spans="1:5" x14ac:dyDescent="0.2">
      <c r="A1013" s="224"/>
      <c r="B1013" s="224">
        <v>1012</v>
      </c>
      <c r="C1013" s="224" t="s">
        <v>939</v>
      </c>
      <c r="D1013" s="224">
        <v>0.80479000000000001</v>
      </c>
      <c r="E1013" s="224">
        <v>0.23557</v>
      </c>
    </row>
    <row r="1014" spans="1:5" x14ac:dyDescent="0.2">
      <c r="A1014" s="224"/>
      <c r="B1014" s="224">
        <v>1013</v>
      </c>
      <c r="C1014" s="224" t="s">
        <v>939</v>
      </c>
      <c r="D1014" s="224">
        <v>0.78456000000000004</v>
      </c>
      <c r="E1014" s="224">
        <v>0.23386999999999999</v>
      </c>
    </row>
    <row r="1015" spans="1:5" x14ac:dyDescent="0.2">
      <c r="A1015" s="224"/>
      <c r="B1015" s="224">
        <v>1014</v>
      </c>
      <c r="C1015" s="224" t="s">
        <v>939</v>
      </c>
      <c r="D1015" s="224">
        <v>0.76536000000000004</v>
      </c>
      <c r="E1015" s="224">
        <v>0.23219999999999999</v>
      </c>
    </row>
    <row r="1016" spans="1:5" x14ac:dyDescent="0.2">
      <c r="A1016" s="224"/>
      <c r="B1016" s="224">
        <v>1015</v>
      </c>
      <c r="C1016" s="224" t="s">
        <v>939</v>
      </c>
      <c r="D1016" s="224">
        <v>0.74714000000000003</v>
      </c>
      <c r="E1016" s="224">
        <v>0.23053999999999999</v>
      </c>
    </row>
    <row r="1017" spans="1:5" x14ac:dyDescent="0.2">
      <c r="A1017" s="224"/>
      <c r="B1017" s="224">
        <v>1016</v>
      </c>
      <c r="C1017" s="224" t="s">
        <v>940</v>
      </c>
      <c r="D1017" s="224">
        <v>1.2988999999999999</v>
      </c>
      <c r="E1017" s="224">
        <v>0.26032</v>
      </c>
    </row>
    <row r="1018" spans="1:5" x14ac:dyDescent="0.2">
      <c r="A1018" s="224"/>
      <c r="B1018" s="224">
        <v>1017</v>
      </c>
      <c r="C1018" s="224" t="s">
        <v>940</v>
      </c>
      <c r="D1018" s="224">
        <v>1.2450000000000001</v>
      </c>
      <c r="E1018" s="224">
        <v>0.25817000000000001</v>
      </c>
    </row>
    <row r="1019" spans="1:5" x14ac:dyDescent="0.2">
      <c r="A1019" s="224"/>
      <c r="B1019" s="224">
        <v>1018</v>
      </c>
      <c r="C1019" s="224" t="s">
        <v>940</v>
      </c>
      <c r="D1019" s="224">
        <v>1.1941999999999999</v>
      </c>
      <c r="E1019" s="224">
        <v>0.25596999999999998</v>
      </c>
    </row>
    <row r="1020" spans="1:5" x14ac:dyDescent="0.2">
      <c r="A1020" s="224"/>
      <c r="B1020" s="224">
        <v>1019</v>
      </c>
      <c r="C1020" s="224" t="s">
        <v>940</v>
      </c>
      <c r="D1020" s="224">
        <v>1.1460999999999999</v>
      </c>
      <c r="E1020" s="224">
        <v>0.25369999999999998</v>
      </c>
    </row>
    <row r="1021" spans="1:5" x14ac:dyDescent="0.2">
      <c r="A1021" s="224"/>
      <c r="B1021" s="224">
        <v>1020</v>
      </c>
      <c r="C1021" s="224" t="s">
        <v>940</v>
      </c>
      <c r="D1021" s="224">
        <v>1.1007</v>
      </c>
      <c r="E1021" s="224">
        <v>0.25135999999999997</v>
      </c>
    </row>
    <row r="1022" spans="1:5" x14ac:dyDescent="0.2">
      <c r="A1022" s="224"/>
      <c r="B1022" s="224">
        <v>1021</v>
      </c>
      <c r="C1022" s="224" t="s">
        <v>940</v>
      </c>
      <c r="D1022" s="224">
        <v>1.0578000000000001</v>
      </c>
      <c r="E1022" s="224">
        <v>0.24895</v>
      </c>
    </row>
    <row r="1023" spans="1:5" x14ac:dyDescent="0.2">
      <c r="A1023" s="224"/>
      <c r="B1023" s="224">
        <v>1022</v>
      </c>
      <c r="C1023" s="224" t="s">
        <v>940</v>
      </c>
      <c r="D1023" s="224">
        <v>1.0173000000000001</v>
      </c>
      <c r="E1023" s="224">
        <v>0.24648</v>
      </c>
    </row>
    <row r="1024" spans="1:5" x14ac:dyDescent="0.2">
      <c r="A1024" s="224"/>
      <c r="B1024" s="224">
        <v>1023</v>
      </c>
      <c r="C1024" s="224" t="s">
        <v>940</v>
      </c>
      <c r="D1024" s="224">
        <v>0.97897999999999996</v>
      </c>
      <c r="E1024" s="224">
        <v>0.24393999999999999</v>
      </c>
    </row>
    <row r="1025" spans="1:5" x14ac:dyDescent="0.2">
      <c r="A1025" s="224"/>
      <c r="B1025" s="224">
        <v>1024</v>
      </c>
      <c r="C1025" s="224" t="s">
        <v>940</v>
      </c>
      <c r="D1025" s="224">
        <v>0.94277</v>
      </c>
      <c r="E1025" s="224">
        <v>0.24135000000000001</v>
      </c>
    </row>
    <row r="1026" spans="1:5" x14ac:dyDescent="0.2">
      <c r="A1026" s="224"/>
      <c r="B1026" s="224">
        <v>1025</v>
      </c>
      <c r="C1026" s="224" t="s">
        <v>940</v>
      </c>
      <c r="D1026" s="224">
        <v>0.90852999999999995</v>
      </c>
      <c r="E1026" s="224">
        <v>0.23871999999999999</v>
      </c>
    </row>
    <row r="1027" spans="1:5" x14ac:dyDescent="0.2">
      <c r="A1027" s="224"/>
      <c r="B1027" s="224">
        <v>1026</v>
      </c>
      <c r="C1027" s="224" t="s">
        <v>940</v>
      </c>
      <c r="D1027" s="224">
        <v>0.87612999999999996</v>
      </c>
      <c r="E1027" s="224">
        <v>0.23605000000000001</v>
      </c>
    </row>
    <row r="1028" spans="1:5" x14ac:dyDescent="0.2">
      <c r="A1028" s="224"/>
      <c r="B1028" s="224">
        <v>1027</v>
      </c>
      <c r="C1028" s="224" t="s">
        <v>940</v>
      </c>
      <c r="D1028" s="224">
        <v>0.84547000000000005</v>
      </c>
      <c r="E1028" s="224">
        <v>0.23335</v>
      </c>
    </row>
    <row r="1029" spans="1:5" x14ac:dyDescent="0.2">
      <c r="A1029" s="224"/>
      <c r="B1029" s="224">
        <v>1028</v>
      </c>
      <c r="C1029" s="224" t="s">
        <v>940</v>
      </c>
      <c r="D1029" s="224">
        <v>0.81642999999999999</v>
      </c>
      <c r="E1029" s="224">
        <v>0.23064000000000001</v>
      </c>
    </row>
    <row r="1030" spans="1:5" x14ac:dyDescent="0.2">
      <c r="A1030" s="224"/>
      <c r="B1030" s="224">
        <v>1029</v>
      </c>
      <c r="C1030" s="224" t="s">
        <v>940</v>
      </c>
      <c r="D1030" s="224">
        <v>0.78890000000000005</v>
      </c>
      <c r="E1030" s="224">
        <v>0.22791</v>
      </c>
    </row>
    <row r="1031" spans="1:5" x14ac:dyDescent="0.2">
      <c r="A1031" s="224"/>
      <c r="B1031" s="224">
        <v>1030</v>
      </c>
      <c r="C1031" s="224" t="s">
        <v>940</v>
      </c>
      <c r="D1031" s="224">
        <v>0.76278000000000001</v>
      </c>
      <c r="E1031" s="224">
        <v>0.22517000000000001</v>
      </c>
    </row>
    <row r="1032" spans="1:5" x14ac:dyDescent="0.2">
      <c r="A1032" s="224"/>
      <c r="B1032" s="224">
        <v>1031</v>
      </c>
      <c r="C1032" s="224" t="s">
        <v>940</v>
      </c>
      <c r="D1032" s="224">
        <v>0.73799000000000003</v>
      </c>
      <c r="E1032" s="224">
        <v>0.22242999999999999</v>
      </c>
    </row>
    <row r="1033" spans="1:5" x14ac:dyDescent="0.2">
      <c r="A1033" s="224"/>
      <c r="B1033" s="224">
        <v>1032</v>
      </c>
      <c r="C1033" s="224" t="s">
        <v>940</v>
      </c>
      <c r="D1033" s="224">
        <v>0.71442000000000005</v>
      </c>
      <c r="E1033" s="224">
        <v>0.21970000000000001</v>
      </c>
    </row>
    <row r="1034" spans="1:5" x14ac:dyDescent="0.2">
      <c r="A1034" s="224"/>
      <c r="B1034" s="224">
        <v>1033</v>
      </c>
      <c r="C1034" s="224" t="s">
        <v>940</v>
      </c>
      <c r="D1034" s="224">
        <v>0.69199999999999995</v>
      </c>
      <c r="E1034" s="224">
        <v>0.21697</v>
      </c>
    </row>
    <row r="1035" spans="1:5" x14ac:dyDescent="0.2">
      <c r="A1035" s="224"/>
      <c r="B1035" s="224">
        <v>1034</v>
      </c>
      <c r="C1035" s="224" t="s">
        <v>940</v>
      </c>
      <c r="D1035" s="224">
        <v>0.67062999999999995</v>
      </c>
      <c r="E1035" s="224">
        <v>0.21425</v>
      </c>
    </row>
    <row r="1036" spans="1:5" x14ac:dyDescent="0.2">
      <c r="A1036" s="224"/>
      <c r="B1036" s="224">
        <v>1035</v>
      </c>
      <c r="C1036" s="224" t="s">
        <v>940</v>
      </c>
      <c r="D1036" s="224">
        <v>0.65024999999999999</v>
      </c>
      <c r="E1036" s="224">
        <v>0.21154999999999999</v>
      </c>
    </row>
    <row r="1037" spans="1:5" x14ac:dyDescent="0.2">
      <c r="A1037" s="224"/>
      <c r="B1037" s="224">
        <v>1036</v>
      </c>
      <c r="C1037" s="224" t="s">
        <v>834</v>
      </c>
      <c r="D1037" s="224">
        <v>1.7508999999999999</v>
      </c>
      <c r="E1037" s="224">
        <v>0.31180000000000002</v>
      </c>
    </row>
    <row r="1038" spans="1:5" x14ac:dyDescent="0.2">
      <c r="A1038" s="224"/>
      <c r="B1038" s="224">
        <v>1037</v>
      </c>
      <c r="C1038" s="224" t="s">
        <v>834</v>
      </c>
      <c r="D1038" s="224">
        <v>1.6979</v>
      </c>
      <c r="E1038" s="224">
        <v>0.30669999999999997</v>
      </c>
    </row>
    <row r="1039" spans="1:5" x14ac:dyDescent="0.2">
      <c r="A1039" s="224"/>
      <c r="B1039" s="224">
        <v>1038</v>
      </c>
      <c r="C1039" s="224" t="s">
        <v>834</v>
      </c>
      <c r="D1039" s="224">
        <v>1.6463000000000001</v>
      </c>
      <c r="E1039" s="224">
        <v>0.30170999999999998</v>
      </c>
    </row>
    <row r="1040" spans="1:5" x14ac:dyDescent="0.2">
      <c r="A1040" s="224"/>
      <c r="B1040" s="224">
        <v>1039</v>
      </c>
      <c r="C1040" s="224" t="s">
        <v>834</v>
      </c>
      <c r="D1040" s="224">
        <v>1.5959000000000001</v>
      </c>
      <c r="E1040" s="224">
        <v>0.29682999999999998</v>
      </c>
    </row>
    <row r="1041" spans="1:5" x14ac:dyDescent="0.2">
      <c r="A1041" s="224"/>
      <c r="B1041" s="224">
        <v>1040</v>
      </c>
      <c r="C1041" s="224" t="s">
        <v>834</v>
      </c>
      <c r="D1041" s="224">
        <v>1.5468999999999999</v>
      </c>
      <c r="E1041" s="224">
        <v>0.29203000000000001</v>
      </c>
    </row>
    <row r="1042" spans="1:5" x14ac:dyDescent="0.2">
      <c r="A1042" s="224"/>
      <c r="B1042" s="224">
        <v>1041</v>
      </c>
      <c r="C1042" s="224" t="s">
        <v>834</v>
      </c>
      <c r="D1042" s="224">
        <v>1.4992000000000001</v>
      </c>
      <c r="E1042" s="224">
        <v>0.28732999999999997</v>
      </c>
    </row>
    <row r="1043" spans="1:5" x14ac:dyDescent="0.2">
      <c r="A1043" s="224"/>
      <c r="B1043" s="224">
        <v>1042</v>
      </c>
      <c r="C1043" s="224" t="s">
        <v>834</v>
      </c>
      <c r="D1043" s="224">
        <v>1.4528000000000001</v>
      </c>
      <c r="E1043" s="224">
        <v>0.28270000000000001</v>
      </c>
    </row>
    <row r="1044" spans="1:5" x14ac:dyDescent="0.2">
      <c r="A1044" s="224"/>
      <c r="B1044" s="224">
        <v>1043</v>
      </c>
      <c r="C1044" s="224" t="s">
        <v>834</v>
      </c>
      <c r="D1044" s="224">
        <v>1.4076</v>
      </c>
      <c r="E1044" s="224">
        <v>0.27814</v>
      </c>
    </row>
    <row r="1045" spans="1:5" x14ac:dyDescent="0.2">
      <c r="A1045" s="224"/>
      <c r="B1045" s="224">
        <v>1044</v>
      </c>
      <c r="C1045" s="224" t="s">
        <v>834</v>
      </c>
      <c r="D1045" s="224">
        <v>1.3636999999999999</v>
      </c>
      <c r="E1045" s="224">
        <v>0.27363999999999999</v>
      </c>
    </row>
    <row r="1046" spans="1:5" x14ac:dyDescent="0.2">
      <c r="A1046" s="224"/>
      <c r="B1046" s="224">
        <v>1045</v>
      </c>
      <c r="C1046" s="224" t="s">
        <v>834</v>
      </c>
      <c r="D1046" s="224">
        <v>1.3209</v>
      </c>
      <c r="E1046" s="224">
        <v>0.26921</v>
      </c>
    </row>
    <row r="1047" spans="1:5" x14ac:dyDescent="0.2">
      <c r="A1047" s="224"/>
      <c r="B1047" s="224">
        <v>1046</v>
      </c>
      <c r="C1047" s="224" t="s">
        <v>834</v>
      </c>
      <c r="D1047" s="224">
        <v>1.2794000000000001</v>
      </c>
      <c r="E1047" s="224">
        <v>0.26483000000000001</v>
      </c>
    </row>
    <row r="1048" spans="1:5" x14ac:dyDescent="0.2">
      <c r="A1048" s="224"/>
      <c r="B1048" s="224">
        <v>1047</v>
      </c>
      <c r="C1048" s="224" t="s">
        <v>834</v>
      </c>
      <c r="D1048" s="224">
        <v>1.2391000000000001</v>
      </c>
      <c r="E1048" s="224">
        <v>0.26050000000000001</v>
      </c>
    </row>
    <row r="1049" spans="1:5" x14ac:dyDescent="0.2">
      <c r="A1049" s="224"/>
      <c r="B1049" s="224">
        <v>1048</v>
      </c>
      <c r="C1049" s="224" t="s">
        <v>834</v>
      </c>
      <c r="D1049" s="224">
        <v>1.1999</v>
      </c>
      <c r="E1049" s="224">
        <v>0.25622</v>
      </c>
    </row>
    <row r="1050" spans="1:5" x14ac:dyDescent="0.2">
      <c r="A1050" s="224"/>
      <c r="B1050" s="224">
        <v>1049</v>
      </c>
      <c r="C1050" s="224" t="s">
        <v>834</v>
      </c>
      <c r="D1050" s="224">
        <v>1.1617999999999999</v>
      </c>
      <c r="E1050" s="224">
        <v>0.25198999999999999</v>
      </c>
    </row>
    <row r="1051" spans="1:5" x14ac:dyDescent="0.2">
      <c r="A1051" s="224"/>
      <c r="B1051" s="224">
        <v>1050</v>
      </c>
      <c r="C1051" s="224" t="s">
        <v>834</v>
      </c>
      <c r="D1051" s="224">
        <v>1.1249</v>
      </c>
      <c r="E1051" s="224">
        <v>0.24779999999999999</v>
      </c>
    </row>
    <row r="1052" spans="1:5" x14ac:dyDescent="0.2">
      <c r="A1052" s="224"/>
      <c r="B1052" s="224">
        <v>1051</v>
      </c>
      <c r="C1052" s="224" t="s">
        <v>834</v>
      </c>
      <c r="D1052" s="224">
        <v>1.089</v>
      </c>
      <c r="E1052" s="224">
        <v>0.24365000000000001</v>
      </c>
    </row>
    <row r="1053" spans="1:5" x14ac:dyDescent="0.2">
      <c r="A1053" s="224"/>
      <c r="B1053" s="224">
        <v>1052</v>
      </c>
      <c r="C1053" s="224" t="s">
        <v>834</v>
      </c>
      <c r="D1053" s="224">
        <v>1.0543</v>
      </c>
      <c r="E1053" s="224">
        <v>0.23954</v>
      </c>
    </row>
    <row r="1054" spans="1:5" x14ac:dyDescent="0.2">
      <c r="A1054" s="224"/>
      <c r="B1054" s="224">
        <v>1053</v>
      </c>
      <c r="C1054" s="224" t="s">
        <v>834</v>
      </c>
      <c r="D1054" s="224">
        <v>1.0206</v>
      </c>
      <c r="E1054" s="224">
        <v>0.23547999999999999</v>
      </c>
    </row>
    <row r="1055" spans="1:5" x14ac:dyDescent="0.2">
      <c r="A1055" s="224"/>
      <c r="B1055" s="224">
        <v>1054</v>
      </c>
      <c r="C1055" s="224" t="s">
        <v>834</v>
      </c>
      <c r="D1055" s="224">
        <v>0.9879</v>
      </c>
      <c r="E1055" s="224">
        <v>0.23146</v>
      </c>
    </row>
    <row r="1056" spans="1:5" x14ac:dyDescent="0.2">
      <c r="A1056" s="224"/>
      <c r="B1056" s="224">
        <v>1055</v>
      </c>
      <c r="C1056" s="224" t="s">
        <v>834</v>
      </c>
      <c r="D1056" s="224">
        <v>0.95623999999999998</v>
      </c>
      <c r="E1056" s="224">
        <v>0.22747999999999999</v>
      </c>
    </row>
    <row r="1057" spans="1:5" x14ac:dyDescent="0.2">
      <c r="A1057" s="224"/>
      <c r="B1057" s="224">
        <v>1056</v>
      </c>
      <c r="C1057" s="224" t="s">
        <v>941</v>
      </c>
      <c r="D1057" s="224">
        <v>3.4773000000000001</v>
      </c>
      <c r="E1057" s="224">
        <v>0.55369000000000002</v>
      </c>
    </row>
    <row r="1058" spans="1:5" x14ac:dyDescent="0.2">
      <c r="A1058" s="224"/>
      <c r="B1058" s="224">
        <v>1057</v>
      </c>
      <c r="C1058" s="224" t="s">
        <v>941</v>
      </c>
      <c r="D1058" s="224">
        <v>3.3719999999999999</v>
      </c>
      <c r="E1058" s="224">
        <v>0.54615000000000002</v>
      </c>
    </row>
    <row r="1059" spans="1:5" x14ac:dyDescent="0.2">
      <c r="A1059" s="224"/>
      <c r="B1059" s="224">
        <v>1058</v>
      </c>
      <c r="C1059" s="224" t="s">
        <v>941</v>
      </c>
      <c r="D1059" s="224">
        <v>3.2694999999999999</v>
      </c>
      <c r="E1059" s="224">
        <v>0.53876000000000002</v>
      </c>
    </row>
    <row r="1060" spans="1:5" x14ac:dyDescent="0.2">
      <c r="A1060" s="224"/>
      <c r="B1060" s="224">
        <v>1059</v>
      </c>
      <c r="C1060" s="224" t="s">
        <v>941</v>
      </c>
      <c r="D1060" s="224">
        <v>3.1696</v>
      </c>
      <c r="E1060" s="224">
        <v>0.53149999999999997</v>
      </c>
    </row>
    <row r="1061" spans="1:5" x14ac:dyDescent="0.2">
      <c r="A1061" s="224"/>
      <c r="B1061" s="224">
        <v>1060</v>
      </c>
      <c r="C1061" s="224" t="s">
        <v>941</v>
      </c>
      <c r="D1061" s="224">
        <v>3.0722</v>
      </c>
      <c r="E1061" s="224">
        <v>0.52434999999999998</v>
      </c>
    </row>
    <row r="1062" spans="1:5" x14ac:dyDescent="0.2">
      <c r="A1062" s="224"/>
      <c r="B1062" s="224">
        <v>1061</v>
      </c>
      <c r="C1062" s="224" t="s">
        <v>941</v>
      </c>
      <c r="D1062" s="224">
        <v>2.9775</v>
      </c>
      <c r="E1062" s="224">
        <v>0.51729000000000003</v>
      </c>
    </row>
    <row r="1063" spans="1:5" x14ac:dyDescent="0.2">
      <c r="A1063" s="224"/>
      <c r="B1063" s="224">
        <v>1062</v>
      </c>
      <c r="C1063" s="224" t="s">
        <v>941</v>
      </c>
      <c r="D1063" s="224">
        <v>2.8853</v>
      </c>
      <c r="E1063" s="224">
        <v>0.51031000000000004</v>
      </c>
    </row>
    <row r="1064" spans="1:5" x14ac:dyDescent="0.2">
      <c r="A1064" s="224"/>
      <c r="B1064" s="224">
        <v>1063</v>
      </c>
      <c r="C1064" s="224" t="s">
        <v>941</v>
      </c>
      <c r="D1064" s="224">
        <v>2.7955000000000001</v>
      </c>
      <c r="E1064" s="224">
        <v>0.50338000000000005</v>
      </c>
    </row>
    <row r="1065" spans="1:5" x14ac:dyDescent="0.2">
      <c r="A1065" s="224"/>
      <c r="B1065" s="224">
        <v>1064</v>
      </c>
      <c r="C1065" s="224" t="s">
        <v>941</v>
      </c>
      <c r="D1065" s="224">
        <v>2.7082000000000002</v>
      </c>
      <c r="E1065" s="224">
        <v>0.49651000000000001</v>
      </c>
    </row>
    <row r="1066" spans="1:5" x14ac:dyDescent="0.2">
      <c r="A1066" s="224"/>
      <c r="B1066" s="224">
        <v>1065</v>
      </c>
      <c r="C1066" s="224" t="s">
        <v>941</v>
      </c>
      <c r="D1066" s="224">
        <v>2.6234000000000002</v>
      </c>
      <c r="E1066" s="224">
        <v>0.48969000000000001</v>
      </c>
    </row>
    <row r="1067" spans="1:5" x14ac:dyDescent="0.2">
      <c r="A1067" s="224"/>
      <c r="B1067" s="224">
        <v>1066</v>
      </c>
      <c r="C1067" s="224" t="s">
        <v>941</v>
      </c>
      <c r="D1067" s="224">
        <v>2.5409000000000002</v>
      </c>
      <c r="E1067" s="224">
        <v>0.48288999999999999</v>
      </c>
    </row>
    <row r="1068" spans="1:5" x14ac:dyDescent="0.2">
      <c r="A1068" s="224"/>
      <c r="B1068" s="224">
        <v>1067</v>
      </c>
      <c r="C1068" s="224" t="s">
        <v>941</v>
      </c>
      <c r="D1068" s="224">
        <v>2.4607999999999999</v>
      </c>
      <c r="E1068" s="224">
        <v>0.47613</v>
      </c>
    </row>
    <row r="1069" spans="1:5" x14ac:dyDescent="0.2">
      <c r="A1069" s="224"/>
      <c r="B1069" s="224">
        <v>1068</v>
      </c>
      <c r="C1069" s="224" t="s">
        <v>941</v>
      </c>
      <c r="D1069" s="224">
        <v>2.3828999999999998</v>
      </c>
      <c r="E1069" s="224">
        <v>0.46938999999999997</v>
      </c>
    </row>
    <row r="1070" spans="1:5" x14ac:dyDescent="0.2">
      <c r="A1070" s="224"/>
      <c r="B1070" s="224">
        <v>1069</v>
      </c>
      <c r="C1070" s="224" t="s">
        <v>941</v>
      </c>
      <c r="D1070" s="224">
        <v>2.3073999999999999</v>
      </c>
      <c r="E1070" s="224">
        <v>0.46267000000000003</v>
      </c>
    </row>
    <row r="1071" spans="1:5" x14ac:dyDescent="0.2">
      <c r="A1071" s="224"/>
      <c r="B1071" s="224">
        <v>1070</v>
      </c>
      <c r="C1071" s="224" t="s">
        <v>941</v>
      </c>
      <c r="D1071" s="224">
        <v>2.234</v>
      </c>
      <c r="E1071" s="224">
        <v>0.45596999999999999</v>
      </c>
    </row>
    <row r="1072" spans="1:5" x14ac:dyDescent="0.2">
      <c r="A1072" s="224"/>
      <c r="B1072" s="224">
        <v>1071</v>
      </c>
      <c r="C1072" s="224" t="s">
        <v>941</v>
      </c>
      <c r="D1072" s="224">
        <v>2.1627999999999998</v>
      </c>
      <c r="E1072" s="224">
        <v>0.44928000000000001</v>
      </c>
    </row>
    <row r="1073" spans="1:5" x14ac:dyDescent="0.2">
      <c r="A1073" s="224"/>
      <c r="B1073" s="224">
        <v>1072</v>
      </c>
      <c r="C1073" s="224" t="s">
        <v>941</v>
      </c>
      <c r="D1073" s="224">
        <v>2.0937999999999999</v>
      </c>
      <c r="E1073" s="224">
        <v>0.44262000000000001</v>
      </c>
    </row>
    <row r="1074" spans="1:5" x14ac:dyDescent="0.2">
      <c r="A1074" s="224"/>
      <c r="B1074" s="224">
        <v>1073</v>
      </c>
      <c r="C1074" s="224" t="s">
        <v>941</v>
      </c>
      <c r="D1074" s="224">
        <v>2.0268999999999999</v>
      </c>
      <c r="E1074" s="224">
        <v>0.43597999999999998</v>
      </c>
    </row>
    <row r="1075" spans="1:5" x14ac:dyDescent="0.2">
      <c r="A1075" s="224"/>
      <c r="B1075" s="224">
        <v>1074</v>
      </c>
      <c r="C1075" s="224" t="s">
        <v>941</v>
      </c>
      <c r="D1075" s="224">
        <v>1.962</v>
      </c>
      <c r="E1075" s="224">
        <v>0.42936000000000002</v>
      </c>
    </row>
    <row r="1076" spans="1:5" x14ac:dyDescent="0.2">
      <c r="A1076" s="224"/>
      <c r="B1076" s="224">
        <v>1075</v>
      </c>
      <c r="C1076" s="224" t="s">
        <v>941</v>
      </c>
      <c r="D1076" s="224">
        <v>1.8991</v>
      </c>
      <c r="E1076" s="224">
        <v>0.42276999999999998</v>
      </c>
    </row>
    <row r="1077" spans="1:5" x14ac:dyDescent="0.2">
      <c r="A1077" s="224"/>
      <c r="B1077" s="224">
        <v>1076</v>
      </c>
      <c r="C1077" s="224" t="s">
        <v>942</v>
      </c>
      <c r="D1077" s="224">
        <v>0.64924999999999999</v>
      </c>
      <c r="E1077" s="224">
        <v>0.27764</v>
      </c>
    </row>
    <row r="1078" spans="1:5" x14ac:dyDescent="0.2">
      <c r="A1078" s="224"/>
      <c r="B1078" s="224">
        <v>1077</v>
      </c>
      <c r="C1078" s="224" t="s">
        <v>942</v>
      </c>
      <c r="D1078" s="224">
        <v>0.69640999999999997</v>
      </c>
      <c r="E1078" s="224">
        <v>0.29936000000000001</v>
      </c>
    </row>
    <row r="1079" spans="1:5" x14ac:dyDescent="0.2">
      <c r="A1079" s="224"/>
      <c r="B1079" s="224">
        <v>1078</v>
      </c>
      <c r="C1079" s="224" t="s">
        <v>942</v>
      </c>
      <c r="D1079" s="224">
        <v>0.74617</v>
      </c>
      <c r="E1079" s="224">
        <v>0.32249</v>
      </c>
    </row>
    <row r="1080" spans="1:5" x14ac:dyDescent="0.2">
      <c r="A1080" s="224"/>
      <c r="B1080" s="224">
        <v>1079</v>
      </c>
      <c r="C1080" s="224" t="s">
        <v>942</v>
      </c>
      <c r="D1080" s="224">
        <v>0.79862999999999995</v>
      </c>
      <c r="E1080" s="224">
        <v>0.34710000000000002</v>
      </c>
    </row>
    <row r="1081" spans="1:5" x14ac:dyDescent="0.2">
      <c r="A1081" s="224"/>
      <c r="B1081" s="224">
        <v>1080</v>
      </c>
      <c r="C1081" s="224" t="s">
        <v>942</v>
      </c>
      <c r="D1081" s="224">
        <v>0.85389000000000004</v>
      </c>
      <c r="E1081" s="224">
        <v>0.37325000000000003</v>
      </c>
    </row>
    <row r="1082" spans="1:5" x14ac:dyDescent="0.2">
      <c r="A1082" s="224"/>
      <c r="B1082" s="224">
        <v>1081</v>
      </c>
      <c r="C1082" s="224" t="s">
        <v>942</v>
      </c>
      <c r="D1082" s="224">
        <v>0.91205000000000003</v>
      </c>
      <c r="E1082" s="224">
        <v>0.40103</v>
      </c>
    </row>
    <row r="1083" spans="1:5" x14ac:dyDescent="0.2">
      <c r="A1083" s="224"/>
      <c r="B1083" s="224">
        <v>1082</v>
      </c>
      <c r="C1083" s="224" t="s">
        <v>942</v>
      </c>
      <c r="D1083" s="224">
        <v>0.97324999999999995</v>
      </c>
      <c r="E1083" s="224">
        <v>0.43051</v>
      </c>
    </row>
    <row r="1084" spans="1:5" x14ac:dyDescent="0.2">
      <c r="A1084" s="224"/>
      <c r="B1084" s="224">
        <v>1083</v>
      </c>
      <c r="C1084" s="224" t="s">
        <v>942</v>
      </c>
      <c r="D1084" s="224">
        <v>1.0376000000000001</v>
      </c>
      <c r="E1084" s="224">
        <v>0.46181</v>
      </c>
    </row>
    <row r="1085" spans="1:5" x14ac:dyDescent="0.2">
      <c r="A1085" s="224"/>
      <c r="B1085" s="224">
        <v>1084</v>
      </c>
      <c r="C1085" s="224" t="s">
        <v>942</v>
      </c>
      <c r="D1085" s="224">
        <v>1.1052</v>
      </c>
      <c r="E1085" s="224">
        <v>0.49501000000000001</v>
      </c>
    </row>
    <row r="1086" spans="1:5" x14ac:dyDescent="0.2">
      <c r="A1086" s="224"/>
      <c r="B1086" s="224">
        <v>1085</v>
      </c>
      <c r="C1086" s="224" t="s">
        <v>942</v>
      </c>
      <c r="D1086" s="224">
        <v>1.1762999999999999</v>
      </c>
      <c r="E1086" s="224">
        <v>0.53025</v>
      </c>
    </row>
    <row r="1087" spans="1:5" x14ac:dyDescent="0.2">
      <c r="A1087" s="224"/>
      <c r="B1087" s="224">
        <v>1086</v>
      </c>
      <c r="C1087" s="224" t="s">
        <v>942</v>
      </c>
      <c r="D1087" s="224">
        <v>1.2509999999999999</v>
      </c>
      <c r="E1087" s="224">
        <v>0.56766000000000005</v>
      </c>
    </row>
    <row r="1088" spans="1:5" x14ac:dyDescent="0.2">
      <c r="A1088" s="224"/>
      <c r="B1088" s="224">
        <v>1087</v>
      </c>
      <c r="C1088" s="224" t="s">
        <v>942</v>
      </c>
      <c r="D1088" s="224">
        <v>1.3294999999999999</v>
      </c>
      <c r="E1088" s="224">
        <v>0.60736999999999997</v>
      </c>
    </row>
    <row r="1089" spans="1:5" x14ac:dyDescent="0.2">
      <c r="A1089" s="224"/>
      <c r="B1089" s="224">
        <v>1088</v>
      </c>
      <c r="C1089" s="224" t="s">
        <v>942</v>
      </c>
      <c r="D1089" s="224">
        <v>1.4119999999999999</v>
      </c>
      <c r="E1089" s="224">
        <v>0.64956999999999998</v>
      </c>
    </row>
    <row r="1090" spans="1:5" x14ac:dyDescent="0.2">
      <c r="A1090" s="224"/>
      <c r="B1090" s="224">
        <v>1089</v>
      </c>
      <c r="C1090" s="224" t="s">
        <v>942</v>
      </c>
      <c r="D1090" s="224">
        <v>1.4987999999999999</v>
      </c>
      <c r="E1090" s="224">
        <v>0.69445000000000001</v>
      </c>
    </row>
    <row r="1091" spans="1:5" x14ac:dyDescent="0.2">
      <c r="A1091" s="224"/>
      <c r="B1091" s="224">
        <v>1090</v>
      </c>
      <c r="C1091" s="224" t="s">
        <v>942</v>
      </c>
      <c r="D1091" s="224">
        <v>1.59</v>
      </c>
      <c r="E1091" s="224">
        <v>0.74219999999999997</v>
      </c>
    </row>
    <row r="1092" spans="1:5" x14ac:dyDescent="0.2">
      <c r="A1092" s="224"/>
      <c r="B1092" s="224">
        <v>1091</v>
      </c>
      <c r="C1092" s="224" t="s">
        <v>942</v>
      </c>
      <c r="D1092" s="224">
        <v>1.6859999999999999</v>
      </c>
      <c r="E1092" s="224">
        <v>0.79308000000000001</v>
      </c>
    </row>
    <row r="1093" spans="1:5" x14ac:dyDescent="0.2">
      <c r="A1093" s="224"/>
      <c r="B1093" s="224">
        <v>1092</v>
      </c>
      <c r="C1093" s="224" t="s">
        <v>942</v>
      </c>
      <c r="D1093" s="224">
        <v>1.7869999999999999</v>
      </c>
      <c r="E1093" s="224">
        <v>0.84736999999999996</v>
      </c>
    </row>
    <row r="1094" spans="1:5" x14ac:dyDescent="0.2">
      <c r="A1094" s="224"/>
      <c r="B1094" s="224">
        <v>1093</v>
      </c>
      <c r="C1094" s="224" t="s">
        <v>942</v>
      </c>
      <c r="D1094" s="224">
        <v>1.8934</v>
      </c>
      <c r="E1094" s="224">
        <v>0.90536000000000005</v>
      </c>
    </row>
    <row r="1095" spans="1:5" x14ac:dyDescent="0.2">
      <c r="A1095" s="224"/>
      <c r="B1095" s="224">
        <v>1094</v>
      </c>
      <c r="C1095" s="224" t="s">
        <v>942</v>
      </c>
      <c r="D1095" s="224">
        <v>2.0057</v>
      </c>
      <c r="E1095" s="224">
        <v>0.96741999999999995</v>
      </c>
    </row>
    <row r="1096" spans="1:5" x14ac:dyDescent="0.2">
      <c r="A1096" s="224"/>
      <c r="B1096" s="224">
        <v>1095</v>
      </c>
      <c r="C1096" s="224" t="s">
        <v>942</v>
      </c>
      <c r="D1096" s="224">
        <v>2.1242000000000001</v>
      </c>
      <c r="E1096" s="224">
        <v>1.0339</v>
      </c>
    </row>
    <row r="1097" spans="1:5" x14ac:dyDescent="0.2">
      <c r="A1097" s="224"/>
      <c r="B1097" s="224">
        <v>1096</v>
      </c>
      <c r="C1097" s="224" t="s">
        <v>943</v>
      </c>
      <c r="D1097" s="224">
        <v>9.0757999999999992</v>
      </c>
      <c r="E1097" s="224">
        <v>3.8456999999999999</v>
      </c>
    </row>
    <row r="1098" spans="1:5" x14ac:dyDescent="0.2">
      <c r="A1098" s="224"/>
      <c r="B1098" s="224">
        <v>1097</v>
      </c>
      <c r="C1098" s="224" t="s">
        <v>943</v>
      </c>
      <c r="D1098" s="224">
        <v>9.7350999999999992</v>
      </c>
      <c r="E1098" s="224">
        <v>4.1482000000000001</v>
      </c>
    </row>
    <row r="1099" spans="1:5" x14ac:dyDescent="0.2">
      <c r="A1099" s="224"/>
      <c r="B1099" s="224">
        <v>1098</v>
      </c>
      <c r="C1099" s="224" t="s">
        <v>943</v>
      </c>
      <c r="D1099" s="224">
        <v>10.430999999999999</v>
      </c>
      <c r="E1099" s="224">
        <v>4.4702999999999999</v>
      </c>
    </row>
    <row r="1100" spans="1:5" x14ac:dyDescent="0.2">
      <c r="A1100" s="224"/>
      <c r="B1100" s="224">
        <v>1099</v>
      </c>
      <c r="C1100" s="224" t="s">
        <v>943</v>
      </c>
      <c r="D1100" s="224">
        <v>11.164</v>
      </c>
      <c r="E1100" s="224">
        <v>4.8129999999999997</v>
      </c>
    </row>
    <row r="1101" spans="1:5" x14ac:dyDescent="0.2">
      <c r="A1101" s="224"/>
      <c r="B1101" s="224">
        <v>1100</v>
      </c>
      <c r="C1101" s="224" t="s">
        <v>943</v>
      </c>
      <c r="D1101" s="224">
        <v>11.936</v>
      </c>
      <c r="E1101" s="224">
        <v>5.1772</v>
      </c>
    </row>
    <row r="1102" spans="1:5" x14ac:dyDescent="0.2">
      <c r="A1102" s="224"/>
      <c r="B1102" s="224">
        <v>1101</v>
      </c>
      <c r="C1102" s="224" t="s">
        <v>943</v>
      </c>
      <c r="D1102" s="224">
        <v>12.75</v>
      </c>
      <c r="E1102" s="224">
        <v>5.5640999999999998</v>
      </c>
    </row>
    <row r="1103" spans="1:5" x14ac:dyDescent="0.2">
      <c r="A1103" s="224"/>
      <c r="B1103" s="224">
        <v>1102</v>
      </c>
      <c r="C1103" s="224" t="s">
        <v>943</v>
      </c>
      <c r="D1103" s="224">
        <v>13.605</v>
      </c>
      <c r="E1103" s="224">
        <v>5.9747000000000003</v>
      </c>
    </row>
    <row r="1104" spans="1:5" x14ac:dyDescent="0.2">
      <c r="A1104" s="224"/>
      <c r="B1104" s="224">
        <v>1103</v>
      </c>
      <c r="C1104" s="224" t="s">
        <v>943</v>
      </c>
      <c r="D1104" s="224">
        <v>14.504</v>
      </c>
      <c r="E1104" s="224">
        <v>6.4105999999999996</v>
      </c>
    </row>
    <row r="1105" spans="1:5" x14ac:dyDescent="0.2">
      <c r="A1105" s="224"/>
      <c r="B1105" s="224">
        <v>1104</v>
      </c>
      <c r="C1105" s="224" t="s">
        <v>943</v>
      </c>
      <c r="D1105" s="224">
        <v>15.45</v>
      </c>
      <c r="E1105" s="224">
        <v>6.8731</v>
      </c>
    </row>
    <row r="1106" spans="1:5" x14ac:dyDescent="0.2">
      <c r="A1106" s="224"/>
      <c r="B1106" s="224">
        <v>1105</v>
      </c>
      <c r="C1106" s="224" t="s">
        <v>943</v>
      </c>
      <c r="D1106" s="224">
        <v>16.443999999999999</v>
      </c>
      <c r="E1106" s="224">
        <v>7.3639000000000001</v>
      </c>
    </row>
    <row r="1107" spans="1:5" x14ac:dyDescent="0.2">
      <c r="A1107" s="224"/>
      <c r="B1107" s="224">
        <v>1106</v>
      </c>
      <c r="C1107" s="224" t="s">
        <v>943</v>
      </c>
      <c r="D1107" s="224">
        <v>17.488</v>
      </c>
      <c r="E1107" s="224">
        <v>7.8849</v>
      </c>
    </row>
    <row r="1108" spans="1:5" x14ac:dyDescent="0.2">
      <c r="A1108" s="224"/>
      <c r="B1108" s="224">
        <v>1107</v>
      </c>
      <c r="C1108" s="224" t="s">
        <v>943</v>
      </c>
      <c r="D1108" s="224">
        <v>18.585000000000001</v>
      </c>
      <c r="E1108" s="224">
        <v>8.4380000000000006</v>
      </c>
    </row>
    <row r="1109" spans="1:5" x14ac:dyDescent="0.2">
      <c r="A1109" s="224"/>
      <c r="B1109" s="224">
        <v>1108</v>
      </c>
      <c r="C1109" s="224" t="s">
        <v>943</v>
      </c>
      <c r="D1109" s="224">
        <v>19.739000000000001</v>
      </c>
      <c r="E1109" s="224">
        <v>9.0257000000000005</v>
      </c>
    </row>
    <row r="1110" spans="1:5" x14ac:dyDescent="0.2">
      <c r="A1110" s="224"/>
      <c r="B1110" s="224">
        <v>1109</v>
      </c>
      <c r="C1110" s="224" t="s">
        <v>943</v>
      </c>
      <c r="D1110" s="224">
        <v>20.951000000000001</v>
      </c>
      <c r="E1110" s="224">
        <v>9.6506000000000007</v>
      </c>
    </row>
    <row r="1111" spans="1:5" x14ac:dyDescent="0.2">
      <c r="A1111" s="224"/>
      <c r="B1111" s="224">
        <v>1110</v>
      </c>
      <c r="C1111" s="224" t="s">
        <v>943</v>
      </c>
      <c r="D1111" s="224">
        <v>22.225999999999999</v>
      </c>
      <c r="E1111" s="224">
        <v>10.316000000000001</v>
      </c>
    </row>
    <row r="1112" spans="1:5" x14ac:dyDescent="0.2">
      <c r="A1112" s="224"/>
      <c r="B1112" s="224">
        <v>1111</v>
      </c>
      <c r="C1112" s="224" t="s">
        <v>943</v>
      </c>
      <c r="D1112" s="224">
        <v>23.568000000000001</v>
      </c>
      <c r="E1112" s="224">
        <v>11.023999999999999</v>
      </c>
    </row>
    <row r="1113" spans="1:5" x14ac:dyDescent="0.2">
      <c r="A1113" s="224"/>
      <c r="B1113" s="224">
        <v>1112</v>
      </c>
      <c r="C1113" s="224" t="s">
        <v>943</v>
      </c>
      <c r="D1113" s="224">
        <v>24.98</v>
      </c>
      <c r="E1113" s="224">
        <v>11.78</v>
      </c>
    </row>
    <row r="1114" spans="1:5" x14ac:dyDescent="0.2">
      <c r="A1114" s="224"/>
      <c r="B1114" s="224">
        <v>1113</v>
      </c>
      <c r="C1114" s="224" t="s">
        <v>943</v>
      </c>
      <c r="D1114" s="224">
        <v>26.468</v>
      </c>
      <c r="E1114" s="224">
        <v>12.587</v>
      </c>
    </row>
    <row r="1115" spans="1:5" x14ac:dyDescent="0.2">
      <c r="A1115" s="224"/>
      <c r="B1115" s="224">
        <v>1114</v>
      </c>
      <c r="C1115" s="224" t="s">
        <v>943</v>
      </c>
      <c r="D1115" s="224">
        <v>28.036999999999999</v>
      </c>
      <c r="E1115" s="224">
        <v>13.451000000000001</v>
      </c>
    </row>
    <row r="1116" spans="1:5" x14ac:dyDescent="0.2">
      <c r="A1116" s="224"/>
      <c r="B1116" s="224">
        <v>1115</v>
      </c>
      <c r="C1116" s="224" t="s">
        <v>943</v>
      </c>
      <c r="D1116" s="224">
        <v>29.693000000000001</v>
      </c>
      <c r="E1116" s="224">
        <v>14.378</v>
      </c>
    </row>
    <row r="1117" spans="1:5" x14ac:dyDescent="0.2">
      <c r="A1117" s="224"/>
      <c r="B1117" s="224">
        <v>1116</v>
      </c>
      <c r="C1117" s="224" t="s">
        <v>944</v>
      </c>
      <c r="D1117" s="224">
        <v>1.0812999999999999</v>
      </c>
      <c r="E1117" s="224">
        <v>7.1096999999999994E-2</v>
      </c>
    </row>
    <row r="1118" spans="1:5" x14ac:dyDescent="0.2">
      <c r="A1118" s="224"/>
      <c r="B1118" s="224">
        <v>1117</v>
      </c>
      <c r="C1118" s="224" t="s">
        <v>944</v>
      </c>
      <c r="D1118" s="224">
        <v>1.0820000000000001</v>
      </c>
      <c r="E1118" s="224">
        <v>7.1052000000000004E-2</v>
      </c>
    </row>
    <row r="1119" spans="1:5" x14ac:dyDescent="0.2">
      <c r="A1119" s="224"/>
      <c r="B1119" s="224">
        <v>1118</v>
      </c>
      <c r="C1119" s="224" t="s">
        <v>944</v>
      </c>
      <c r="D1119" s="224">
        <v>1.0827</v>
      </c>
      <c r="E1119" s="224">
        <v>7.1028999999999995E-2</v>
      </c>
    </row>
    <row r="1120" spans="1:5" x14ac:dyDescent="0.2">
      <c r="A1120" s="224"/>
      <c r="B1120" s="224">
        <v>1119</v>
      </c>
      <c r="C1120" s="224" t="s">
        <v>944</v>
      </c>
      <c r="D1120" s="224">
        <v>1.0832999999999999</v>
      </c>
      <c r="E1120" s="224">
        <v>7.1027000000000007E-2</v>
      </c>
    </row>
    <row r="1121" spans="1:5" x14ac:dyDescent="0.2">
      <c r="A1121" s="224"/>
      <c r="B1121" s="224">
        <v>1120</v>
      </c>
      <c r="C1121" s="224" t="s">
        <v>944</v>
      </c>
      <c r="D1121" s="224">
        <v>1.0838000000000001</v>
      </c>
      <c r="E1121" s="224">
        <v>7.1043999999999996E-2</v>
      </c>
    </row>
    <row r="1122" spans="1:5" x14ac:dyDescent="0.2">
      <c r="A1122" s="224"/>
      <c r="B1122" s="224">
        <v>1121</v>
      </c>
      <c r="C1122" s="224" t="s">
        <v>944</v>
      </c>
      <c r="D1122" s="224">
        <v>1.0843</v>
      </c>
      <c r="E1122" s="224">
        <v>7.1078000000000002E-2</v>
      </c>
    </row>
    <row r="1123" spans="1:5" x14ac:dyDescent="0.2">
      <c r="A1123" s="224"/>
      <c r="B1123" s="224">
        <v>1122</v>
      </c>
      <c r="C1123" s="224" t="s">
        <v>944</v>
      </c>
      <c r="D1123" s="224">
        <v>1.0847</v>
      </c>
      <c r="E1123" s="224">
        <v>7.1125999999999995E-2</v>
      </c>
    </row>
    <row r="1124" spans="1:5" x14ac:dyDescent="0.2">
      <c r="A1124" s="224"/>
      <c r="B1124" s="224">
        <v>1123</v>
      </c>
      <c r="C1124" s="224" t="s">
        <v>944</v>
      </c>
      <c r="D1124" s="224">
        <v>1.085</v>
      </c>
      <c r="E1124" s="224">
        <v>7.1187E-2</v>
      </c>
    </row>
    <row r="1125" spans="1:5" x14ac:dyDescent="0.2">
      <c r="A1125" s="224"/>
      <c r="B1125" s="224">
        <v>1124</v>
      </c>
      <c r="C1125" s="224" t="s">
        <v>944</v>
      </c>
      <c r="D1125" s="224">
        <v>1.0852999999999999</v>
      </c>
      <c r="E1125" s="224">
        <v>7.1259000000000003E-2</v>
      </c>
    </row>
    <row r="1126" spans="1:5" x14ac:dyDescent="0.2">
      <c r="A1126" s="224"/>
      <c r="B1126" s="224">
        <v>1125</v>
      </c>
      <c r="C1126" s="224" t="s">
        <v>944</v>
      </c>
      <c r="D1126" s="224">
        <v>1.0854999999999999</v>
      </c>
      <c r="E1126" s="224">
        <v>7.1337999999999999E-2</v>
      </c>
    </row>
    <row r="1127" spans="1:5" x14ac:dyDescent="0.2">
      <c r="A1127" s="224"/>
      <c r="B1127" s="224">
        <v>1126</v>
      </c>
      <c r="C1127" s="224" t="s">
        <v>944</v>
      </c>
      <c r="D1127" s="224">
        <v>1.0854999999999999</v>
      </c>
      <c r="E1127" s="224">
        <v>7.1423E-2</v>
      </c>
    </row>
    <row r="1128" spans="1:5" x14ac:dyDescent="0.2">
      <c r="A1128" s="224"/>
      <c r="B1128" s="224">
        <v>1127</v>
      </c>
      <c r="C1128" s="224" t="s">
        <v>944</v>
      </c>
      <c r="D1128" s="224">
        <v>1.0854999999999999</v>
      </c>
      <c r="E1128" s="224">
        <v>7.1511000000000005E-2</v>
      </c>
    </row>
    <row r="1129" spans="1:5" x14ac:dyDescent="0.2">
      <c r="A1129" s="224"/>
      <c r="B1129" s="224">
        <v>1128</v>
      </c>
      <c r="C1129" s="224" t="s">
        <v>944</v>
      </c>
      <c r="D1129" s="224">
        <v>1.0853999999999999</v>
      </c>
      <c r="E1129" s="224">
        <v>7.1598999999999996E-2</v>
      </c>
    </row>
    <row r="1130" spans="1:5" x14ac:dyDescent="0.2">
      <c r="A1130" s="224"/>
      <c r="B1130" s="224">
        <v>1129</v>
      </c>
      <c r="C1130" s="224" t="s">
        <v>944</v>
      </c>
      <c r="D1130" s="224">
        <v>1.0851</v>
      </c>
      <c r="E1130" s="224">
        <v>7.1684999999999999E-2</v>
      </c>
    </row>
    <row r="1131" spans="1:5" x14ac:dyDescent="0.2">
      <c r="A1131" s="224"/>
      <c r="B1131" s="224">
        <v>1130</v>
      </c>
      <c r="C1131" s="224" t="s">
        <v>944</v>
      </c>
      <c r="D1131" s="224">
        <v>1.0848</v>
      </c>
      <c r="E1131" s="224">
        <v>7.1766999999999997E-2</v>
      </c>
    </row>
    <row r="1132" spans="1:5" x14ac:dyDescent="0.2">
      <c r="A1132" s="224"/>
      <c r="B1132" s="224">
        <v>1131</v>
      </c>
      <c r="C1132" s="224" t="s">
        <v>944</v>
      </c>
      <c r="D1132" s="224">
        <v>1.0843</v>
      </c>
      <c r="E1132" s="224">
        <v>7.1841000000000002E-2</v>
      </c>
    </row>
    <row r="1133" spans="1:5" x14ac:dyDescent="0.2">
      <c r="A1133" s="224"/>
      <c r="B1133" s="224">
        <v>1132</v>
      </c>
      <c r="C1133" s="224" t="s">
        <v>944</v>
      </c>
      <c r="D1133" s="224">
        <v>1.0835999999999999</v>
      </c>
      <c r="E1133" s="224">
        <v>7.1906999999999999E-2</v>
      </c>
    </row>
    <row r="1134" spans="1:5" x14ac:dyDescent="0.2">
      <c r="A1134" s="224"/>
      <c r="B1134" s="224">
        <v>1133</v>
      </c>
      <c r="C1134" s="224" t="s">
        <v>944</v>
      </c>
      <c r="D1134" s="224">
        <v>1.0828</v>
      </c>
      <c r="E1134" s="224">
        <v>7.1961999999999998E-2</v>
      </c>
    </row>
    <row r="1135" spans="1:5" x14ac:dyDescent="0.2">
      <c r="A1135" s="224"/>
      <c r="B1135" s="224">
        <v>1134</v>
      </c>
      <c r="C1135" s="224" t="s">
        <v>944</v>
      </c>
      <c r="D1135" s="224">
        <v>1.0819000000000001</v>
      </c>
      <c r="E1135" s="224">
        <v>7.2006000000000001E-2</v>
      </c>
    </row>
    <row r="1136" spans="1:5" x14ac:dyDescent="0.2">
      <c r="A1136" s="224"/>
      <c r="B1136" s="224">
        <v>1135</v>
      </c>
      <c r="C1136" s="224" t="s">
        <v>944</v>
      </c>
      <c r="D1136" s="224">
        <v>1.0807</v>
      </c>
      <c r="E1136" s="224">
        <v>7.2036000000000003E-2</v>
      </c>
    </row>
    <row r="1137" spans="1:5" x14ac:dyDescent="0.2">
      <c r="A1137" s="224"/>
      <c r="B1137" s="224">
        <v>1136</v>
      </c>
      <c r="C1137" s="224" t="s">
        <v>945</v>
      </c>
      <c r="D1137" s="224">
        <v>1.4624999999999999</v>
      </c>
      <c r="E1137" s="224">
        <v>0.15359</v>
      </c>
    </row>
    <row r="1138" spans="1:5" x14ac:dyDescent="0.2">
      <c r="A1138" s="224"/>
      <c r="B1138" s="224">
        <v>1137</v>
      </c>
      <c r="C1138" s="224" t="s">
        <v>945</v>
      </c>
      <c r="D1138" s="224">
        <v>1.4454</v>
      </c>
      <c r="E1138" s="224">
        <v>0.16005</v>
      </c>
    </row>
    <row r="1139" spans="1:5" x14ac:dyDescent="0.2">
      <c r="A1139" s="224"/>
      <c r="B1139" s="224">
        <v>1138</v>
      </c>
      <c r="C1139" s="224" t="s">
        <v>945</v>
      </c>
      <c r="D1139" s="224">
        <v>1.4268000000000001</v>
      </c>
      <c r="E1139" s="224">
        <v>0.16631000000000001</v>
      </c>
    </row>
    <row r="1140" spans="1:5" x14ac:dyDescent="0.2">
      <c r="A1140" s="224"/>
      <c r="B1140" s="224">
        <v>1139</v>
      </c>
      <c r="C1140" s="224" t="s">
        <v>945</v>
      </c>
      <c r="D1140" s="224">
        <v>1.4067000000000001</v>
      </c>
      <c r="E1140" s="224">
        <v>0.17227000000000001</v>
      </c>
    </row>
    <row r="1141" spans="1:5" x14ac:dyDescent="0.2">
      <c r="A1141" s="224"/>
      <c r="B1141" s="224">
        <v>1140</v>
      </c>
      <c r="C1141" s="224" t="s">
        <v>945</v>
      </c>
      <c r="D1141" s="224">
        <v>1.3854</v>
      </c>
      <c r="E1141" s="224">
        <v>0.17784</v>
      </c>
    </row>
    <row r="1142" spans="1:5" x14ac:dyDescent="0.2">
      <c r="A1142" s="224"/>
      <c r="B1142" s="224">
        <v>1141</v>
      </c>
      <c r="C1142" s="224" t="s">
        <v>945</v>
      </c>
      <c r="D1142" s="224">
        <v>1.363</v>
      </c>
      <c r="E1142" s="224">
        <v>0.18293999999999999</v>
      </c>
    </row>
    <row r="1143" spans="1:5" x14ac:dyDescent="0.2">
      <c r="A1143" s="224"/>
      <c r="B1143" s="224">
        <v>1142</v>
      </c>
      <c r="C1143" s="224" t="s">
        <v>945</v>
      </c>
      <c r="D1143" s="224">
        <v>1.3394999999999999</v>
      </c>
      <c r="E1143" s="224">
        <v>0.1875</v>
      </c>
    </row>
    <row r="1144" spans="1:5" x14ac:dyDescent="0.2">
      <c r="A1144" s="224"/>
      <c r="B1144" s="224">
        <v>1143</v>
      </c>
      <c r="C1144" s="224" t="s">
        <v>945</v>
      </c>
      <c r="D1144" s="224">
        <v>1.3149999999999999</v>
      </c>
      <c r="E1144" s="224">
        <v>0.19145000000000001</v>
      </c>
    </row>
    <row r="1145" spans="1:5" x14ac:dyDescent="0.2">
      <c r="A1145" s="224"/>
      <c r="B1145" s="224">
        <v>1144</v>
      </c>
      <c r="C1145" s="224" t="s">
        <v>945</v>
      </c>
      <c r="D1145" s="224">
        <v>1.2899</v>
      </c>
      <c r="E1145" s="224">
        <v>0.19475999999999999</v>
      </c>
    </row>
    <row r="1146" spans="1:5" x14ac:dyDescent="0.2">
      <c r="A1146" s="224"/>
      <c r="B1146" s="224">
        <v>1145</v>
      </c>
      <c r="C1146" s="224" t="s">
        <v>945</v>
      </c>
      <c r="D1146" s="224">
        <v>1.2641</v>
      </c>
      <c r="E1146" s="224">
        <v>0.19739000000000001</v>
      </c>
    </row>
    <row r="1147" spans="1:5" x14ac:dyDescent="0.2">
      <c r="A1147" s="224"/>
      <c r="B1147" s="224">
        <v>1146</v>
      </c>
      <c r="C1147" s="224" t="s">
        <v>945</v>
      </c>
      <c r="D1147" s="224">
        <v>1.2378</v>
      </c>
      <c r="E1147" s="224">
        <v>0.19930999999999999</v>
      </c>
    </row>
    <row r="1148" spans="1:5" x14ac:dyDescent="0.2">
      <c r="A1148" s="224"/>
      <c r="B1148" s="224">
        <v>1147</v>
      </c>
      <c r="C1148" s="224" t="s">
        <v>945</v>
      </c>
      <c r="D1148" s="224">
        <v>1.2112000000000001</v>
      </c>
      <c r="E1148" s="224">
        <v>0.20054</v>
      </c>
    </row>
    <row r="1149" spans="1:5" x14ac:dyDescent="0.2">
      <c r="A1149" s="224"/>
      <c r="B1149" s="224">
        <v>1148</v>
      </c>
      <c r="C1149" s="224" t="s">
        <v>945</v>
      </c>
      <c r="D1149" s="224">
        <v>1.1843999999999999</v>
      </c>
      <c r="E1149" s="224">
        <v>0.20105999999999999</v>
      </c>
    </row>
    <row r="1150" spans="1:5" x14ac:dyDescent="0.2">
      <c r="A1150" s="224"/>
      <c r="B1150" s="224">
        <v>1149</v>
      </c>
      <c r="C1150" s="224" t="s">
        <v>945</v>
      </c>
      <c r="D1150" s="224">
        <v>1.1576</v>
      </c>
      <c r="E1150" s="224">
        <v>0.2009</v>
      </c>
    </row>
    <row r="1151" spans="1:5" x14ac:dyDescent="0.2">
      <c r="A1151" s="224"/>
      <c r="B1151" s="224">
        <v>1150</v>
      </c>
      <c r="C1151" s="224" t="s">
        <v>945</v>
      </c>
      <c r="D1151" s="224">
        <v>1.1308</v>
      </c>
      <c r="E1151" s="224">
        <v>0.20008000000000001</v>
      </c>
    </row>
    <row r="1152" spans="1:5" x14ac:dyDescent="0.2">
      <c r="A1152" s="224"/>
      <c r="B1152" s="224">
        <v>1151</v>
      </c>
      <c r="C1152" s="224" t="s">
        <v>945</v>
      </c>
      <c r="D1152" s="224">
        <v>1.1043000000000001</v>
      </c>
      <c r="E1152" s="224">
        <v>0.19866</v>
      </c>
    </row>
    <row r="1153" spans="1:5" x14ac:dyDescent="0.2">
      <c r="A1153" s="224"/>
      <c r="B1153" s="224">
        <v>1152</v>
      </c>
      <c r="C1153" s="224" t="s">
        <v>945</v>
      </c>
      <c r="D1153" s="224">
        <v>1.0781000000000001</v>
      </c>
      <c r="E1153" s="224">
        <v>0.19667000000000001</v>
      </c>
    </row>
    <row r="1154" spans="1:5" x14ac:dyDescent="0.2">
      <c r="A1154" s="224"/>
      <c r="B1154" s="224">
        <v>1153</v>
      </c>
      <c r="C1154" s="224" t="s">
        <v>945</v>
      </c>
      <c r="D1154" s="224">
        <v>1.0522</v>
      </c>
      <c r="E1154" s="224">
        <v>0.19417000000000001</v>
      </c>
    </row>
    <row r="1155" spans="1:5" x14ac:dyDescent="0.2">
      <c r="A1155" s="224"/>
      <c r="B1155" s="224">
        <v>1154</v>
      </c>
      <c r="C1155" s="224" t="s">
        <v>945</v>
      </c>
      <c r="D1155" s="224">
        <v>1.0268999999999999</v>
      </c>
      <c r="E1155" s="224">
        <v>0.19122</v>
      </c>
    </row>
    <row r="1156" spans="1:5" x14ac:dyDescent="0.2">
      <c r="A1156" s="224"/>
      <c r="B1156" s="224">
        <v>1155</v>
      </c>
      <c r="C1156" s="224" t="s">
        <v>945</v>
      </c>
      <c r="D1156" s="224">
        <v>1.0022</v>
      </c>
      <c r="E1156" s="224">
        <v>0.18787000000000001</v>
      </c>
    </row>
    <row r="1157" spans="1:5" x14ac:dyDescent="0.2">
      <c r="A1157" s="224"/>
      <c r="B1157" s="224">
        <v>1156</v>
      </c>
      <c r="C1157" s="224" t="s">
        <v>946</v>
      </c>
      <c r="D1157" s="224">
        <v>0.35427999999999998</v>
      </c>
      <c r="E1157" s="224">
        <v>0.19645000000000001</v>
      </c>
    </row>
    <row r="1158" spans="1:5" x14ac:dyDescent="0.2">
      <c r="A1158" s="224"/>
      <c r="B1158" s="224">
        <v>1157</v>
      </c>
      <c r="C1158" s="224" t="s">
        <v>946</v>
      </c>
      <c r="D1158" s="224">
        <v>0.42920000000000003</v>
      </c>
      <c r="E1158" s="224">
        <v>0.23793</v>
      </c>
    </row>
    <row r="1159" spans="1:5" x14ac:dyDescent="0.2">
      <c r="A1159" s="224"/>
      <c r="B1159" s="224">
        <v>1158</v>
      </c>
      <c r="C1159" s="224" t="s">
        <v>946</v>
      </c>
      <c r="D1159" s="224">
        <v>0.50558999999999998</v>
      </c>
      <c r="E1159" s="224">
        <v>0.2802</v>
      </c>
    </row>
    <row r="1160" spans="1:5" x14ac:dyDescent="0.2">
      <c r="A1160" s="224"/>
      <c r="B1160" s="224">
        <v>1159</v>
      </c>
      <c r="C1160" s="224" t="s">
        <v>946</v>
      </c>
      <c r="D1160" s="224">
        <v>0.58350999999999997</v>
      </c>
      <c r="E1160" s="224">
        <v>0.32329999999999998</v>
      </c>
    </row>
    <row r="1161" spans="1:5" x14ac:dyDescent="0.2">
      <c r="A1161" s="224"/>
      <c r="B1161" s="224">
        <v>1160</v>
      </c>
      <c r="C1161" s="224" t="s">
        <v>946</v>
      </c>
      <c r="D1161" s="224">
        <v>0.66300999999999999</v>
      </c>
      <c r="E1161" s="224">
        <v>0.36725999999999998</v>
      </c>
    </row>
    <row r="1162" spans="1:5" x14ac:dyDescent="0.2">
      <c r="A1162" s="224"/>
      <c r="B1162" s="224">
        <v>1161</v>
      </c>
      <c r="C1162" s="224" t="s">
        <v>946</v>
      </c>
      <c r="D1162" s="224">
        <v>0.74416000000000004</v>
      </c>
      <c r="E1162" s="224">
        <v>0.41210000000000002</v>
      </c>
    </row>
    <row r="1163" spans="1:5" x14ac:dyDescent="0.2">
      <c r="A1163" s="224"/>
      <c r="B1163" s="224">
        <v>1162</v>
      </c>
      <c r="C1163" s="224" t="s">
        <v>946</v>
      </c>
      <c r="D1163" s="224">
        <v>0.82703000000000004</v>
      </c>
      <c r="E1163" s="224">
        <v>0.45788000000000001</v>
      </c>
    </row>
    <row r="1164" spans="1:5" x14ac:dyDescent="0.2">
      <c r="A1164" s="224"/>
      <c r="B1164" s="224">
        <v>1163</v>
      </c>
      <c r="C1164" s="224" t="s">
        <v>946</v>
      </c>
      <c r="D1164" s="224">
        <v>0.91166999999999998</v>
      </c>
      <c r="E1164" s="224">
        <v>0.50461</v>
      </c>
    </row>
    <row r="1165" spans="1:5" x14ac:dyDescent="0.2">
      <c r="A1165" s="224"/>
      <c r="B1165" s="224">
        <v>1164</v>
      </c>
      <c r="C1165" s="224" t="s">
        <v>946</v>
      </c>
      <c r="D1165" s="224">
        <v>0.99817</v>
      </c>
      <c r="E1165" s="224">
        <v>0.55235000000000001</v>
      </c>
    </row>
    <row r="1166" spans="1:5" x14ac:dyDescent="0.2">
      <c r="A1166" s="224"/>
      <c r="B1166" s="224">
        <v>1165</v>
      </c>
      <c r="C1166" s="224" t="s">
        <v>946</v>
      </c>
      <c r="D1166" s="224">
        <v>1.0866</v>
      </c>
      <c r="E1166" s="224">
        <v>0.60114000000000001</v>
      </c>
    </row>
    <row r="1167" spans="1:5" x14ac:dyDescent="0.2">
      <c r="A1167" s="224"/>
      <c r="B1167" s="224">
        <v>1166</v>
      </c>
      <c r="C1167" s="224" t="s">
        <v>946</v>
      </c>
      <c r="D1167" s="224">
        <v>1.177</v>
      </c>
      <c r="E1167" s="224">
        <v>0.65103</v>
      </c>
    </row>
    <row r="1168" spans="1:5" x14ac:dyDescent="0.2">
      <c r="A1168" s="224"/>
      <c r="B1168" s="224">
        <v>1167</v>
      </c>
      <c r="C1168" s="224" t="s">
        <v>946</v>
      </c>
      <c r="D1168" s="224">
        <v>1.2696000000000001</v>
      </c>
      <c r="E1168" s="224">
        <v>0.70204999999999995</v>
      </c>
    </row>
    <row r="1169" spans="1:5" x14ac:dyDescent="0.2">
      <c r="A1169" s="224"/>
      <c r="B1169" s="224">
        <v>1168</v>
      </c>
      <c r="C1169" s="224" t="s">
        <v>946</v>
      </c>
      <c r="D1169" s="224">
        <v>1.3643000000000001</v>
      </c>
      <c r="E1169" s="224">
        <v>0.75427999999999995</v>
      </c>
    </row>
    <row r="1170" spans="1:5" x14ac:dyDescent="0.2">
      <c r="A1170" s="224"/>
      <c r="B1170" s="224">
        <v>1169</v>
      </c>
      <c r="C1170" s="224" t="s">
        <v>946</v>
      </c>
      <c r="D1170" s="224">
        <v>1.4614</v>
      </c>
      <c r="E1170" s="224">
        <v>0.80774999999999997</v>
      </c>
    </row>
    <row r="1171" spans="1:5" x14ac:dyDescent="0.2">
      <c r="A1171" s="224"/>
      <c r="B1171" s="224">
        <v>1170</v>
      </c>
      <c r="C1171" s="224" t="s">
        <v>946</v>
      </c>
      <c r="D1171" s="224">
        <v>1.5608</v>
      </c>
      <c r="E1171" s="224">
        <v>0.86253999999999997</v>
      </c>
    </row>
    <row r="1172" spans="1:5" x14ac:dyDescent="0.2">
      <c r="A1172" s="224"/>
      <c r="B1172" s="224">
        <v>1171</v>
      </c>
      <c r="C1172" s="224" t="s">
        <v>946</v>
      </c>
      <c r="D1172" s="224">
        <v>1.6627000000000001</v>
      </c>
      <c r="E1172" s="224">
        <v>0.91869999999999996</v>
      </c>
    </row>
    <row r="1173" spans="1:5" x14ac:dyDescent="0.2">
      <c r="A1173" s="224"/>
      <c r="B1173" s="224">
        <v>1172</v>
      </c>
      <c r="C1173" s="224" t="s">
        <v>946</v>
      </c>
      <c r="D1173" s="224">
        <v>1.7673000000000001</v>
      </c>
      <c r="E1173" s="224">
        <v>0.97631000000000001</v>
      </c>
    </row>
    <row r="1174" spans="1:5" x14ac:dyDescent="0.2">
      <c r="A1174" s="224"/>
      <c r="B1174" s="224">
        <v>1173</v>
      </c>
      <c r="C1174" s="224" t="s">
        <v>946</v>
      </c>
      <c r="D1174" s="224">
        <v>1.8747</v>
      </c>
      <c r="E1174" s="224">
        <v>1.0354000000000001</v>
      </c>
    </row>
    <row r="1175" spans="1:5" x14ac:dyDescent="0.2">
      <c r="A1175" s="224"/>
      <c r="B1175" s="224">
        <v>1174</v>
      </c>
      <c r="C1175" s="224" t="s">
        <v>946</v>
      </c>
      <c r="D1175" s="224">
        <v>1.9849000000000001</v>
      </c>
      <c r="E1175" s="224">
        <v>1.0962000000000001</v>
      </c>
    </row>
    <row r="1176" spans="1:5" x14ac:dyDescent="0.2">
      <c r="A1176" s="224"/>
      <c r="B1176" s="224">
        <v>1175</v>
      </c>
      <c r="C1176" s="224" t="s">
        <v>946</v>
      </c>
      <c r="D1176" s="224">
        <v>2.0981999999999998</v>
      </c>
      <c r="E1176" s="224">
        <v>1.1586000000000001</v>
      </c>
    </row>
    <row r="1177" spans="1:5" x14ac:dyDescent="0.2">
      <c r="A1177" s="224"/>
      <c r="B1177" s="224">
        <v>1176</v>
      </c>
      <c r="C1177" s="224" t="s">
        <v>243</v>
      </c>
      <c r="D1177" s="224">
        <v>2549.6999999999998</v>
      </c>
      <c r="E1177" s="224">
        <v>58.948999999999998</v>
      </c>
    </row>
    <row r="1178" spans="1:5" x14ac:dyDescent="0.2">
      <c r="A1178" s="224"/>
      <c r="B1178" s="224">
        <v>1177</v>
      </c>
      <c r="C1178" s="224" t="s">
        <v>186</v>
      </c>
      <c r="D1178" s="224">
        <v>2241.4</v>
      </c>
      <c r="E1178" s="224">
        <v>400.33</v>
      </c>
    </row>
    <row r="1179" spans="1:5" x14ac:dyDescent="0.2">
      <c r="A1179" s="224"/>
      <c r="B1179" s="224">
        <v>1178</v>
      </c>
      <c r="C1179" s="224" t="s">
        <v>187</v>
      </c>
      <c r="D1179" s="224">
        <v>6.0053999999999998</v>
      </c>
      <c r="E1179" s="224">
        <v>1.6453</v>
      </c>
    </row>
    <row r="1180" spans="1:5" x14ac:dyDescent="0.2">
      <c r="A1180" s="224"/>
      <c r="B1180" s="224">
        <v>1179</v>
      </c>
      <c r="C1180" s="224" t="s">
        <v>947</v>
      </c>
      <c r="D1180" s="224">
        <v>6374.3</v>
      </c>
      <c r="E1180" s="224">
        <v>147.37</v>
      </c>
    </row>
    <row r="1181" spans="1:5" x14ac:dyDescent="0.2">
      <c r="A1181" s="224"/>
      <c r="B1181" s="224">
        <v>1180</v>
      </c>
      <c r="C1181" s="224" t="s">
        <v>188</v>
      </c>
      <c r="D1181" s="224">
        <v>2650.8</v>
      </c>
      <c r="E1181" s="224">
        <v>313.11</v>
      </c>
    </row>
    <row r="1182" spans="1:5" x14ac:dyDescent="0.2">
      <c r="A1182" s="224"/>
      <c r="B1182" s="224">
        <v>1181</v>
      </c>
      <c r="C1182" s="224" t="s">
        <v>125</v>
      </c>
      <c r="D1182" s="224">
        <v>5217</v>
      </c>
      <c r="E1182" s="224">
        <v>1765.6</v>
      </c>
    </row>
    <row r="1183" spans="1:5" x14ac:dyDescent="0.2">
      <c r="A1183" s="224"/>
      <c r="B1183" s="224">
        <v>1182</v>
      </c>
      <c r="C1183" s="224" t="s">
        <v>125</v>
      </c>
      <c r="D1183" s="224">
        <v>20355</v>
      </c>
      <c r="E1183" s="224">
        <v>4260.7</v>
      </c>
    </row>
    <row r="1184" spans="1:5" x14ac:dyDescent="0.2">
      <c r="A1184" s="224"/>
      <c r="B1184" s="224">
        <v>1183</v>
      </c>
      <c r="C1184" s="224" t="s">
        <v>125</v>
      </c>
      <c r="D1184" s="224">
        <v>14289</v>
      </c>
      <c r="E1184" s="224">
        <v>4516.2</v>
      </c>
    </row>
    <row r="1185" spans="1:5" x14ac:dyDescent="0.2">
      <c r="A1185" s="224"/>
      <c r="B1185" s="224">
        <v>1184</v>
      </c>
      <c r="C1185" s="224" t="s">
        <v>125</v>
      </c>
      <c r="D1185" s="224">
        <v>28639</v>
      </c>
      <c r="E1185" s="224">
        <v>6802.2</v>
      </c>
    </row>
    <row r="1186" spans="1:5" x14ac:dyDescent="0.2">
      <c r="A1186" s="224"/>
      <c r="B1186" s="224">
        <v>1185</v>
      </c>
      <c r="C1186" s="224" t="s">
        <v>125</v>
      </c>
      <c r="D1186" s="224">
        <v>26607</v>
      </c>
      <c r="E1186" s="224">
        <v>6606</v>
      </c>
    </row>
    <row r="1187" spans="1:5" x14ac:dyDescent="0.2">
      <c r="A1187" s="224"/>
      <c r="B1187" s="224">
        <v>1186</v>
      </c>
      <c r="C1187" s="224" t="s">
        <v>125</v>
      </c>
      <c r="D1187" s="224">
        <v>29198</v>
      </c>
      <c r="E1187" s="224">
        <v>6796.6</v>
      </c>
    </row>
    <row r="1188" spans="1:5" x14ac:dyDescent="0.2">
      <c r="A1188" s="224"/>
      <c r="B1188" s="224">
        <v>1187</v>
      </c>
      <c r="C1188" s="224" t="s">
        <v>125</v>
      </c>
      <c r="D1188" s="224">
        <v>20063</v>
      </c>
      <c r="E1188" s="224">
        <v>5458</v>
      </c>
    </row>
    <row r="1189" spans="1:5" x14ac:dyDescent="0.2">
      <c r="A1189" s="224"/>
      <c r="B1189" s="224">
        <v>1188</v>
      </c>
      <c r="C1189" s="224" t="s">
        <v>125</v>
      </c>
      <c r="D1189" s="224">
        <v>9651.2999999999993</v>
      </c>
      <c r="E1189" s="224">
        <v>3258.8</v>
      </c>
    </row>
    <row r="1190" spans="1:5" x14ac:dyDescent="0.2">
      <c r="A1190" s="224"/>
      <c r="B1190" s="224">
        <v>1189</v>
      </c>
      <c r="C1190" s="224" t="s">
        <v>125</v>
      </c>
      <c r="D1190" s="224">
        <v>10656</v>
      </c>
      <c r="E1190" s="224">
        <v>3255.2</v>
      </c>
    </row>
    <row r="1191" spans="1:5" x14ac:dyDescent="0.2">
      <c r="A1191" s="224"/>
      <c r="B1191" s="224">
        <v>1190</v>
      </c>
      <c r="C1191" s="224" t="s">
        <v>125</v>
      </c>
      <c r="D1191" s="224">
        <v>28917</v>
      </c>
      <c r="E1191" s="224">
        <v>4556.6000000000004</v>
      </c>
    </row>
    <row r="1192" spans="1:5" x14ac:dyDescent="0.2">
      <c r="A1192" s="224"/>
      <c r="B1192" s="224">
        <v>1191</v>
      </c>
      <c r="C1192" s="224" t="s">
        <v>125</v>
      </c>
      <c r="D1192" s="224">
        <v>21357</v>
      </c>
      <c r="E1192" s="224">
        <v>3600.4</v>
      </c>
    </row>
    <row r="1193" spans="1:5" x14ac:dyDescent="0.2">
      <c r="A1193" s="224"/>
      <c r="B1193" s="224">
        <v>1192</v>
      </c>
      <c r="C1193" s="224" t="s">
        <v>125</v>
      </c>
      <c r="D1193" s="224">
        <v>18094</v>
      </c>
      <c r="E1193" s="224">
        <v>2755.2</v>
      </c>
    </row>
    <row r="1194" spans="1:5" x14ac:dyDescent="0.2">
      <c r="A1194" s="224"/>
      <c r="B1194" s="224">
        <v>1193</v>
      </c>
      <c r="C1194" s="224" t="s">
        <v>125</v>
      </c>
      <c r="D1194" s="224">
        <v>13940</v>
      </c>
      <c r="E1194" s="224">
        <v>2123.9</v>
      </c>
    </row>
    <row r="1195" spans="1:5" x14ac:dyDescent="0.2">
      <c r="A1195" s="224"/>
      <c r="B1195" s="224">
        <v>1194</v>
      </c>
      <c r="C1195" s="224" t="s">
        <v>125</v>
      </c>
      <c r="D1195" s="224">
        <v>13918</v>
      </c>
      <c r="E1195" s="224">
        <v>1800.3</v>
      </c>
    </row>
    <row r="1196" spans="1:5" x14ac:dyDescent="0.2">
      <c r="A1196" s="224"/>
      <c r="B1196" s="224">
        <v>1195</v>
      </c>
      <c r="C1196" s="224" t="s">
        <v>125</v>
      </c>
      <c r="D1196" s="224">
        <v>26761</v>
      </c>
      <c r="E1196" s="224">
        <v>2374.3000000000002</v>
      </c>
    </row>
    <row r="1197" spans="1:5" x14ac:dyDescent="0.2">
      <c r="A1197" s="224"/>
      <c r="B1197" s="224">
        <v>1196</v>
      </c>
      <c r="C1197" s="224" t="s">
        <v>125</v>
      </c>
      <c r="D1197" s="224">
        <v>66043</v>
      </c>
      <c r="E1197" s="224">
        <v>4452.3</v>
      </c>
    </row>
    <row r="1198" spans="1:5" x14ac:dyDescent="0.2">
      <c r="A1198" s="224"/>
      <c r="B1198" s="224">
        <v>1197</v>
      </c>
      <c r="C1198" s="224" t="s">
        <v>125</v>
      </c>
      <c r="D1198" s="224">
        <v>26134</v>
      </c>
      <c r="E1198" s="224">
        <v>2057.1999999999998</v>
      </c>
    </row>
    <row r="1199" spans="1:5" x14ac:dyDescent="0.2">
      <c r="A1199" s="224"/>
      <c r="B1199" s="224">
        <v>1198</v>
      </c>
      <c r="C1199" s="224" t="s">
        <v>125</v>
      </c>
      <c r="D1199" s="224">
        <v>29599</v>
      </c>
      <c r="E1199" s="224">
        <v>2346.5</v>
      </c>
    </row>
    <row r="1200" spans="1:5" x14ac:dyDescent="0.2">
      <c r="A1200" s="224"/>
      <c r="B1200" s="224">
        <v>1199</v>
      </c>
      <c r="C1200" s="224" t="s">
        <v>125</v>
      </c>
      <c r="D1200" s="224">
        <v>15596</v>
      </c>
      <c r="E1200" s="224">
        <v>1689</v>
      </c>
    </row>
    <row r="1201" spans="1:5" x14ac:dyDescent="0.2">
      <c r="A1201" s="224"/>
      <c r="B1201" s="224">
        <v>1200</v>
      </c>
      <c r="C1201" s="224" t="s">
        <v>125</v>
      </c>
      <c r="D1201" s="224">
        <v>52276</v>
      </c>
      <c r="E1201" s="224">
        <v>2871.2</v>
      </c>
    </row>
    <row r="1202" spans="1:5" x14ac:dyDescent="0.2">
      <c r="A1202" s="224"/>
      <c r="B1202" s="224">
        <v>1201</v>
      </c>
      <c r="C1202" s="224" t="s">
        <v>125</v>
      </c>
      <c r="D1202" s="224">
        <v>13040</v>
      </c>
      <c r="E1202" s="224">
        <v>1430.6</v>
      </c>
    </row>
    <row r="1203" spans="1:5" x14ac:dyDescent="0.2">
      <c r="A1203" s="224"/>
      <c r="B1203" s="224">
        <v>1202</v>
      </c>
      <c r="C1203" s="224" t="s">
        <v>125</v>
      </c>
      <c r="D1203" s="224">
        <v>35146</v>
      </c>
      <c r="E1203" s="224">
        <v>2085.6</v>
      </c>
    </row>
    <row r="1204" spans="1:5" x14ac:dyDescent="0.2">
      <c r="A1204" s="224"/>
      <c r="B1204" s="224">
        <v>1203</v>
      </c>
      <c r="C1204" s="224" t="s">
        <v>125</v>
      </c>
      <c r="D1204" s="224">
        <v>14480</v>
      </c>
      <c r="E1204" s="224">
        <v>1250.5</v>
      </c>
    </row>
    <row r="1205" spans="1:5" x14ac:dyDescent="0.2">
      <c r="A1205" s="224"/>
      <c r="B1205" s="224">
        <v>1204</v>
      </c>
      <c r="C1205" s="224" t="s">
        <v>125</v>
      </c>
      <c r="D1205" s="224">
        <v>8522.7999999999993</v>
      </c>
      <c r="E1205" s="224">
        <v>941.31</v>
      </c>
    </row>
    <row r="1206" spans="1:5" x14ac:dyDescent="0.2">
      <c r="A1206" s="224"/>
      <c r="B1206" s="224">
        <v>1205</v>
      </c>
      <c r="C1206" s="224" t="s">
        <v>125</v>
      </c>
      <c r="D1206" s="224">
        <v>5558.1</v>
      </c>
      <c r="E1206" s="224">
        <v>716.18</v>
      </c>
    </row>
    <row r="1207" spans="1:5" x14ac:dyDescent="0.2">
      <c r="A1207" s="224"/>
      <c r="B1207" s="224">
        <v>1206</v>
      </c>
      <c r="C1207" s="224" t="s">
        <v>125</v>
      </c>
      <c r="D1207" s="224">
        <v>10370</v>
      </c>
      <c r="E1207" s="224">
        <v>1061</v>
      </c>
    </row>
    <row r="1208" spans="1:5" x14ac:dyDescent="0.2">
      <c r="A1208" s="224"/>
      <c r="B1208" s="224">
        <v>1207</v>
      </c>
      <c r="C1208" s="224" t="s">
        <v>125</v>
      </c>
      <c r="D1208" s="224">
        <v>50028</v>
      </c>
      <c r="E1208" s="224">
        <v>1862.1</v>
      </c>
    </row>
    <row r="1209" spans="1:5" x14ac:dyDescent="0.2">
      <c r="A1209" s="224"/>
      <c r="B1209" s="224">
        <v>1208</v>
      </c>
      <c r="C1209" s="224" t="s">
        <v>125</v>
      </c>
      <c r="D1209" s="224">
        <v>25502</v>
      </c>
      <c r="E1209" s="224">
        <v>1427.8</v>
      </c>
    </row>
    <row r="1210" spans="1:5" x14ac:dyDescent="0.2">
      <c r="A1210" s="224"/>
      <c r="B1210" s="224">
        <v>1209</v>
      </c>
      <c r="C1210" s="224" t="s">
        <v>125</v>
      </c>
      <c r="D1210" s="224">
        <v>21998</v>
      </c>
      <c r="E1210" s="224">
        <v>1435.3</v>
      </c>
    </row>
    <row r="1211" spans="1:5" x14ac:dyDescent="0.2">
      <c r="A1211" s="224"/>
      <c r="B1211" s="224">
        <v>1210</v>
      </c>
      <c r="C1211" s="224" t="s">
        <v>125</v>
      </c>
      <c r="D1211" s="224">
        <v>47661</v>
      </c>
      <c r="E1211" s="224">
        <v>2064.1999999999998</v>
      </c>
    </row>
    <row r="1212" spans="1:5" x14ac:dyDescent="0.2">
      <c r="A1212" s="224"/>
      <c r="B1212" s="224">
        <v>1211</v>
      </c>
      <c r="C1212" s="224" t="s">
        <v>125</v>
      </c>
      <c r="D1212" s="224">
        <v>14771</v>
      </c>
      <c r="E1212" s="224">
        <v>1109.2</v>
      </c>
    </row>
    <row r="1213" spans="1:5" x14ac:dyDescent="0.2">
      <c r="A1213" s="224"/>
      <c r="B1213" s="224">
        <v>1212</v>
      </c>
      <c r="C1213" s="224" t="s">
        <v>125</v>
      </c>
      <c r="D1213" s="224">
        <v>10810</v>
      </c>
      <c r="E1213" s="224">
        <v>867.56</v>
      </c>
    </row>
    <row r="1214" spans="1:5" x14ac:dyDescent="0.2">
      <c r="A1214" s="224"/>
      <c r="B1214" s="224">
        <v>1213</v>
      </c>
      <c r="C1214" s="224" t="s">
        <v>125</v>
      </c>
      <c r="D1214" s="224">
        <v>23166</v>
      </c>
      <c r="E1214" s="224">
        <v>1175.9000000000001</v>
      </c>
    </row>
    <row r="1215" spans="1:5" x14ac:dyDescent="0.2">
      <c r="A1215" s="224"/>
      <c r="B1215" s="224">
        <v>1214</v>
      </c>
      <c r="C1215" s="224" t="s">
        <v>125</v>
      </c>
      <c r="D1215" s="224">
        <v>31421</v>
      </c>
      <c r="E1215" s="224">
        <v>1340.3</v>
      </c>
    </row>
    <row r="1216" spans="1:5" x14ac:dyDescent="0.2">
      <c r="A1216" s="224"/>
      <c r="B1216" s="224">
        <v>1215</v>
      </c>
      <c r="C1216" s="224" t="s">
        <v>125</v>
      </c>
      <c r="D1216" s="224">
        <v>15718</v>
      </c>
      <c r="E1216" s="224">
        <v>955.04</v>
      </c>
    </row>
    <row r="1217" spans="1:5" x14ac:dyDescent="0.2">
      <c r="A1217" s="224"/>
      <c r="B1217" s="224">
        <v>1216</v>
      </c>
      <c r="C1217" s="224" t="s">
        <v>125</v>
      </c>
      <c r="D1217" s="224">
        <v>17196</v>
      </c>
      <c r="E1217" s="224">
        <v>994.36</v>
      </c>
    </row>
    <row r="1218" spans="1:5" x14ac:dyDescent="0.2">
      <c r="A1218" s="224"/>
      <c r="B1218" s="224">
        <v>1217</v>
      </c>
      <c r="C1218" s="224" t="s">
        <v>125</v>
      </c>
      <c r="D1218" s="224">
        <v>26389</v>
      </c>
      <c r="E1218" s="224">
        <v>1206.5</v>
      </c>
    </row>
    <row r="1219" spans="1:5" x14ac:dyDescent="0.2">
      <c r="A1219" s="224"/>
      <c r="B1219" s="224">
        <v>1218</v>
      </c>
      <c r="C1219" s="224" t="s">
        <v>125</v>
      </c>
      <c r="D1219" s="224">
        <v>35808</v>
      </c>
      <c r="E1219" s="224">
        <v>1324.8</v>
      </c>
    </row>
    <row r="1220" spans="1:5" x14ac:dyDescent="0.2">
      <c r="A1220" s="224"/>
      <c r="B1220" s="224">
        <v>1219</v>
      </c>
      <c r="C1220" s="224" t="s">
        <v>125</v>
      </c>
      <c r="D1220" s="224">
        <v>23124</v>
      </c>
      <c r="E1220" s="224">
        <v>1057</v>
      </c>
    </row>
    <row r="1221" spans="1:5" x14ac:dyDescent="0.2">
      <c r="A1221" s="224"/>
      <c r="B1221" s="224">
        <v>1220</v>
      </c>
      <c r="C1221" s="224" t="s">
        <v>125</v>
      </c>
      <c r="D1221" s="224">
        <v>13886</v>
      </c>
      <c r="E1221" s="224">
        <v>774.79</v>
      </c>
    </row>
    <row r="1222" spans="1:5" x14ac:dyDescent="0.2">
      <c r="A1222" s="224"/>
      <c r="B1222" s="224">
        <v>1221</v>
      </c>
      <c r="C1222" s="224" t="s">
        <v>125</v>
      </c>
      <c r="D1222" s="224">
        <v>6216.6</v>
      </c>
      <c r="E1222" s="224">
        <v>508.29</v>
      </c>
    </row>
    <row r="1223" spans="1:5" x14ac:dyDescent="0.2">
      <c r="A1223" s="224"/>
      <c r="B1223" s="224">
        <v>1222</v>
      </c>
      <c r="C1223" s="224" t="s">
        <v>125</v>
      </c>
      <c r="D1223" s="224">
        <v>4228.5</v>
      </c>
      <c r="E1223" s="224">
        <v>425.76</v>
      </c>
    </row>
    <row r="1224" spans="1:5" x14ac:dyDescent="0.2">
      <c r="A1224" s="224"/>
      <c r="B1224" s="224">
        <v>1223</v>
      </c>
      <c r="C1224" s="224" t="s">
        <v>125</v>
      </c>
      <c r="D1224" s="224">
        <v>10624</v>
      </c>
      <c r="E1224" s="224">
        <v>765.19</v>
      </c>
    </row>
    <row r="1225" spans="1:5" x14ac:dyDescent="0.2">
      <c r="A1225" s="224"/>
      <c r="B1225" s="224">
        <v>1224</v>
      </c>
      <c r="C1225" s="224" t="s">
        <v>125</v>
      </c>
      <c r="D1225" s="224">
        <v>24924</v>
      </c>
      <c r="E1225" s="224">
        <v>1693.9</v>
      </c>
    </row>
    <row r="1226" spans="1:5" x14ac:dyDescent="0.2">
      <c r="A1226" s="224"/>
      <c r="B1226" s="224">
        <v>1225</v>
      </c>
      <c r="C1226" s="224" t="s">
        <v>125</v>
      </c>
      <c r="D1226" s="224">
        <v>8898.5</v>
      </c>
      <c r="E1226" s="224">
        <v>1202.2</v>
      </c>
    </row>
    <row r="1227" spans="1:5" x14ac:dyDescent="0.2">
      <c r="A1227" s="224"/>
      <c r="B1227" s="224">
        <v>1226</v>
      </c>
      <c r="C1227" s="224" t="s">
        <v>125</v>
      </c>
      <c r="D1227" s="224">
        <v>46998</v>
      </c>
      <c r="E1227" s="224">
        <v>5784</v>
      </c>
    </row>
    <row r="1228" spans="1:5" x14ac:dyDescent="0.2">
      <c r="A1228" s="224"/>
      <c r="B1228" s="224">
        <v>1227</v>
      </c>
      <c r="C1228" s="224" t="s">
        <v>125</v>
      </c>
      <c r="D1228" s="224">
        <v>20615</v>
      </c>
      <c r="E1228" s="224">
        <v>3979.2</v>
      </c>
    </row>
    <row r="1229" spans="1:5" x14ac:dyDescent="0.2">
      <c r="A1229" s="224"/>
      <c r="B1229" s="224">
        <v>1228</v>
      </c>
      <c r="C1229" s="224" t="s">
        <v>125</v>
      </c>
      <c r="D1229" s="224">
        <v>19517</v>
      </c>
      <c r="E1229" s="224">
        <v>3222.6</v>
      </c>
    </row>
    <row r="1230" spans="1:5" x14ac:dyDescent="0.2">
      <c r="A1230" s="224"/>
      <c r="B1230" s="224">
        <v>1229</v>
      </c>
      <c r="C1230" s="224" t="s">
        <v>125</v>
      </c>
      <c r="D1230" s="224">
        <v>17931</v>
      </c>
      <c r="E1230" s="224">
        <v>3727.1</v>
      </c>
    </row>
    <row r="1231" spans="1:5" x14ac:dyDescent="0.2">
      <c r="A1231" s="224"/>
      <c r="B1231" s="224">
        <v>1230</v>
      </c>
      <c r="C1231" s="224" t="s">
        <v>125</v>
      </c>
      <c r="D1231" s="224">
        <v>18552</v>
      </c>
      <c r="E1231" s="224">
        <v>4045.2</v>
      </c>
    </row>
    <row r="1232" spans="1:5" x14ac:dyDescent="0.2">
      <c r="A1232" s="224"/>
      <c r="B1232" s="224">
        <v>1231</v>
      </c>
      <c r="C1232" s="224" t="s">
        <v>254</v>
      </c>
      <c r="D1232" s="224">
        <v>1599.5</v>
      </c>
      <c r="E1232" s="224">
        <v>336.95</v>
      </c>
    </row>
    <row r="1233" spans="1:5" x14ac:dyDescent="0.2">
      <c r="A1233" s="224"/>
      <c r="B1233" s="224">
        <v>1232</v>
      </c>
      <c r="C1233" s="224" t="s">
        <v>254</v>
      </c>
      <c r="D1233" s="224">
        <v>2047.9</v>
      </c>
      <c r="E1233" s="224">
        <v>399.6</v>
      </c>
    </row>
    <row r="1234" spans="1:5" x14ac:dyDescent="0.2">
      <c r="A1234" s="224"/>
      <c r="B1234" s="224">
        <v>1233</v>
      </c>
      <c r="C1234" s="224" t="s">
        <v>254</v>
      </c>
      <c r="D1234" s="224">
        <v>2145.9</v>
      </c>
      <c r="E1234" s="224">
        <v>428.18</v>
      </c>
    </row>
    <row r="1235" spans="1:5" x14ac:dyDescent="0.2">
      <c r="A1235" s="224"/>
      <c r="B1235" s="224">
        <v>1234</v>
      </c>
      <c r="C1235" s="224" t="s">
        <v>254</v>
      </c>
      <c r="D1235" s="224">
        <v>3338.3</v>
      </c>
      <c r="E1235" s="224">
        <v>538.58000000000004</v>
      </c>
    </row>
    <row r="1236" spans="1:5" x14ac:dyDescent="0.2">
      <c r="A1236" s="224"/>
      <c r="B1236" s="224">
        <v>1235</v>
      </c>
      <c r="C1236" s="224" t="s">
        <v>254</v>
      </c>
      <c r="D1236" s="224">
        <v>3793</v>
      </c>
      <c r="E1236" s="224">
        <v>642.76</v>
      </c>
    </row>
    <row r="1237" spans="1:5" x14ac:dyDescent="0.2">
      <c r="A1237" s="224"/>
      <c r="B1237" s="224">
        <v>1236</v>
      </c>
      <c r="C1237" s="224" t="s">
        <v>254</v>
      </c>
      <c r="D1237" s="224">
        <v>5134.6000000000004</v>
      </c>
      <c r="E1237" s="224">
        <v>825.53</v>
      </c>
    </row>
    <row r="1238" spans="1:5" x14ac:dyDescent="0.2">
      <c r="A1238" s="224"/>
      <c r="B1238" s="224">
        <v>1237</v>
      </c>
      <c r="C1238" s="224" t="s">
        <v>254</v>
      </c>
      <c r="D1238" s="224">
        <v>6163.8</v>
      </c>
      <c r="E1238" s="224">
        <v>949</v>
      </c>
    </row>
    <row r="1239" spans="1:5" x14ac:dyDescent="0.2">
      <c r="A1239" s="224"/>
      <c r="B1239" s="224">
        <v>1238</v>
      </c>
      <c r="C1239" s="224" t="s">
        <v>254</v>
      </c>
      <c r="D1239" s="224">
        <v>6864.5</v>
      </c>
      <c r="E1239" s="224">
        <v>930.63</v>
      </c>
    </row>
    <row r="1240" spans="1:5" x14ac:dyDescent="0.2">
      <c r="A1240" s="224"/>
      <c r="B1240" s="224">
        <v>1239</v>
      </c>
      <c r="C1240" s="224" t="s">
        <v>254</v>
      </c>
      <c r="D1240" s="224">
        <v>6276</v>
      </c>
      <c r="E1240" s="224">
        <v>848.83</v>
      </c>
    </row>
    <row r="1241" spans="1:5" x14ac:dyDescent="0.2">
      <c r="A1241" s="224"/>
      <c r="B1241" s="224">
        <v>1240</v>
      </c>
      <c r="C1241" s="224" t="s">
        <v>254</v>
      </c>
      <c r="D1241" s="224">
        <v>4668.5</v>
      </c>
      <c r="E1241" s="224">
        <v>758.19</v>
      </c>
    </row>
    <row r="1242" spans="1:5" x14ac:dyDescent="0.2">
      <c r="A1242" s="224"/>
      <c r="B1242" s="224">
        <v>1241</v>
      </c>
      <c r="C1242" s="224" t="s">
        <v>254</v>
      </c>
      <c r="D1242" s="224">
        <v>3267.5</v>
      </c>
      <c r="E1242" s="224">
        <v>653.22</v>
      </c>
    </row>
    <row r="1243" spans="1:5" x14ac:dyDescent="0.2">
      <c r="A1243" s="224"/>
      <c r="B1243" s="224">
        <v>1242</v>
      </c>
      <c r="C1243" s="224" t="s">
        <v>254</v>
      </c>
      <c r="D1243" s="224">
        <v>3492.7</v>
      </c>
      <c r="E1243" s="224">
        <v>477.68</v>
      </c>
    </row>
    <row r="1244" spans="1:5" x14ac:dyDescent="0.2">
      <c r="A1244" s="224"/>
      <c r="B1244" s="224">
        <v>1243</v>
      </c>
      <c r="C1244" s="224" t="s">
        <v>254</v>
      </c>
      <c r="D1244" s="224">
        <v>3551.5</v>
      </c>
      <c r="E1244" s="224">
        <v>384.89</v>
      </c>
    </row>
    <row r="1245" spans="1:5" x14ac:dyDescent="0.2">
      <c r="A1245" s="224"/>
      <c r="B1245" s="224">
        <v>1244</v>
      </c>
      <c r="C1245" s="224" t="s">
        <v>254</v>
      </c>
      <c r="D1245" s="224">
        <v>3584.3</v>
      </c>
      <c r="E1245" s="224">
        <v>341.25</v>
      </c>
    </row>
    <row r="1246" spans="1:5" x14ac:dyDescent="0.2">
      <c r="A1246" s="224"/>
      <c r="B1246" s="224">
        <v>1245</v>
      </c>
      <c r="C1246" s="224" t="s">
        <v>254</v>
      </c>
      <c r="D1246" s="224">
        <v>3499.8</v>
      </c>
      <c r="E1246" s="224">
        <v>316.88</v>
      </c>
    </row>
    <row r="1247" spans="1:5" x14ac:dyDescent="0.2">
      <c r="A1247" s="224"/>
      <c r="B1247" s="224">
        <v>1246</v>
      </c>
      <c r="C1247" s="224" t="s">
        <v>254</v>
      </c>
      <c r="D1247" s="224">
        <v>3371</v>
      </c>
      <c r="E1247" s="224">
        <v>300.22000000000003</v>
      </c>
    </row>
    <row r="1248" spans="1:5" x14ac:dyDescent="0.2">
      <c r="A1248" s="224"/>
      <c r="B1248" s="224">
        <v>1247</v>
      </c>
      <c r="C1248" s="224" t="s">
        <v>254</v>
      </c>
      <c r="D1248" s="224">
        <v>4293.5</v>
      </c>
      <c r="E1248" s="224">
        <v>318.69</v>
      </c>
    </row>
    <row r="1249" spans="1:5" x14ac:dyDescent="0.2">
      <c r="A1249" s="224"/>
      <c r="B1249" s="224">
        <v>1248</v>
      </c>
      <c r="C1249" s="224" t="s">
        <v>254</v>
      </c>
      <c r="D1249" s="224">
        <v>8357.9</v>
      </c>
      <c r="E1249" s="224">
        <v>493.81</v>
      </c>
    </row>
    <row r="1250" spans="1:5" x14ac:dyDescent="0.2">
      <c r="A1250" s="224"/>
      <c r="B1250" s="224">
        <v>1249</v>
      </c>
      <c r="C1250" s="224" t="s">
        <v>254</v>
      </c>
      <c r="D1250" s="224">
        <v>9537</v>
      </c>
      <c r="E1250" s="224">
        <v>524.26</v>
      </c>
    </row>
    <row r="1251" spans="1:5" x14ac:dyDescent="0.2">
      <c r="A1251" s="224"/>
      <c r="B1251" s="224">
        <v>1250</v>
      </c>
      <c r="C1251" s="224" t="s">
        <v>254</v>
      </c>
      <c r="D1251" s="224">
        <v>10597</v>
      </c>
      <c r="E1251" s="224">
        <v>539.64</v>
      </c>
    </row>
    <row r="1252" spans="1:5" x14ac:dyDescent="0.2">
      <c r="A1252" s="224"/>
      <c r="B1252" s="224">
        <v>1251</v>
      </c>
      <c r="C1252" s="224" t="s">
        <v>254</v>
      </c>
      <c r="D1252" s="224">
        <v>10277</v>
      </c>
      <c r="E1252" s="224">
        <v>518.51</v>
      </c>
    </row>
    <row r="1253" spans="1:5" x14ac:dyDescent="0.2">
      <c r="A1253" s="224"/>
      <c r="B1253" s="224">
        <v>1252</v>
      </c>
      <c r="C1253" s="224" t="s">
        <v>254</v>
      </c>
      <c r="D1253" s="224">
        <v>12435</v>
      </c>
      <c r="E1253" s="224">
        <v>523.79999999999995</v>
      </c>
    </row>
    <row r="1254" spans="1:5" x14ac:dyDescent="0.2">
      <c r="A1254" s="224"/>
      <c r="B1254" s="224">
        <v>1253</v>
      </c>
      <c r="C1254" s="224" t="s">
        <v>254</v>
      </c>
      <c r="D1254" s="224">
        <v>11644</v>
      </c>
      <c r="E1254" s="224">
        <v>488.73</v>
      </c>
    </row>
    <row r="1255" spans="1:5" x14ac:dyDescent="0.2">
      <c r="A1255" s="224"/>
      <c r="B1255" s="224">
        <v>1254</v>
      </c>
      <c r="C1255" s="224" t="s">
        <v>254</v>
      </c>
      <c r="D1255" s="224">
        <v>12252</v>
      </c>
      <c r="E1255" s="224">
        <v>455.25</v>
      </c>
    </row>
    <row r="1256" spans="1:5" x14ac:dyDescent="0.2">
      <c r="A1256" s="224"/>
      <c r="B1256" s="224">
        <v>1255</v>
      </c>
      <c r="C1256" s="224" t="s">
        <v>254</v>
      </c>
      <c r="D1256" s="224">
        <v>11588</v>
      </c>
      <c r="E1256" s="224">
        <v>413.33</v>
      </c>
    </row>
    <row r="1257" spans="1:5" x14ac:dyDescent="0.2">
      <c r="A1257" s="224"/>
      <c r="B1257" s="224">
        <v>1256</v>
      </c>
      <c r="C1257" s="224" t="s">
        <v>254</v>
      </c>
      <c r="D1257" s="224">
        <v>9866.5</v>
      </c>
      <c r="E1257" s="224">
        <v>363.78</v>
      </c>
    </row>
    <row r="1258" spans="1:5" x14ac:dyDescent="0.2">
      <c r="A1258" s="224"/>
      <c r="B1258" s="224">
        <v>1257</v>
      </c>
      <c r="C1258" s="224" t="s">
        <v>254</v>
      </c>
      <c r="D1258" s="224">
        <v>7902.4</v>
      </c>
      <c r="E1258" s="224">
        <v>316.69</v>
      </c>
    </row>
    <row r="1259" spans="1:5" x14ac:dyDescent="0.2">
      <c r="A1259" s="224"/>
      <c r="B1259" s="224">
        <v>1258</v>
      </c>
      <c r="C1259" s="224" t="s">
        <v>254</v>
      </c>
      <c r="D1259" s="224">
        <v>6185.2</v>
      </c>
      <c r="E1259" s="224">
        <v>278.91000000000003</v>
      </c>
    </row>
    <row r="1260" spans="1:5" x14ac:dyDescent="0.2">
      <c r="A1260" s="224"/>
      <c r="B1260" s="224">
        <v>1259</v>
      </c>
      <c r="C1260" s="224" t="s">
        <v>254</v>
      </c>
      <c r="D1260" s="224">
        <v>9567.6</v>
      </c>
      <c r="E1260" s="224">
        <v>326.67</v>
      </c>
    </row>
    <row r="1261" spans="1:5" x14ac:dyDescent="0.2">
      <c r="A1261" s="224"/>
      <c r="B1261" s="224">
        <v>1260</v>
      </c>
      <c r="C1261" s="224" t="s">
        <v>254</v>
      </c>
      <c r="D1261" s="224">
        <v>11710</v>
      </c>
      <c r="E1261" s="224">
        <v>389.15</v>
      </c>
    </row>
    <row r="1262" spans="1:5" x14ac:dyDescent="0.2">
      <c r="A1262" s="224"/>
      <c r="B1262" s="224">
        <v>1261</v>
      </c>
      <c r="C1262" s="224" t="s">
        <v>254</v>
      </c>
      <c r="D1262" s="224">
        <v>11298</v>
      </c>
      <c r="E1262" s="224">
        <v>390.35</v>
      </c>
    </row>
    <row r="1263" spans="1:5" x14ac:dyDescent="0.2">
      <c r="A1263" s="224"/>
      <c r="B1263" s="224">
        <v>1262</v>
      </c>
      <c r="C1263" s="224" t="s">
        <v>254</v>
      </c>
      <c r="D1263" s="224">
        <v>13060</v>
      </c>
      <c r="E1263" s="224">
        <v>426.07</v>
      </c>
    </row>
    <row r="1264" spans="1:5" x14ac:dyDescent="0.2">
      <c r="A1264" s="224"/>
      <c r="B1264" s="224">
        <v>1263</v>
      </c>
      <c r="C1264" s="224" t="s">
        <v>254</v>
      </c>
      <c r="D1264" s="224">
        <v>11187</v>
      </c>
      <c r="E1264" s="224">
        <v>387.24</v>
      </c>
    </row>
    <row r="1265" spans="1:5" x14ac:dyDescent="0.2">
      <c r="A1265" s="224"/>
      <c r="B1265" s="224">
        <v>1264</v>
      </c>
      <c r="C1265" s="224" t="s">
        <v>254</v>
      </c>
      <c r="D1265" s="224">
        <v>9793.9</v>
      </c>
      <c r="E1265" s="224">
        <v>354.71</v>
      </c>
    </row>
    <row r="1266" spans="1:5" x14ac:dyDescent="0.2">
      <c r="A1266" s="224"/>
      <c r="B1266" s="224">
        <v>1265</v>
      </c>
      <c r="C1266" s="224" t="s">
        <v>254</v>
      </c>
      <c r="D1266" s="224">
        <v>9897.5</v>
      </c>
      <c r="E1266" s="224">
        <v>346.92</v>
      </c>
    </row>
    <row r="1267" spans="1:5" x14ac:dyDescent="0.2">
      <c r="A1267" s="224"/>
      <c r="B1267" s="224">
        <v>1266</v>
      </c>
      <c r="C1267" s="224" t="s">
        <v>254</v>
      </c>
      <c r="D1267" s="224">
        <v>10786</v>
      </c>
      <c r="E1267" s="224">
        <v>347.76</v>
      </c>
    </row>
    <row r="1268" spans="1:5" x14ac:dyDescent="0.2">
      <c r="A1268" s="224"/>
      <c r="B1268" s="224">
        <v>1267</v>
      </c>
      <c r="C1268" s="224" t="s">
        <v>254</v>
      </c>
      <c r="D1268" s="224">
        <v>10017</v>
      </c>
      <c r="E1268" s="224">
        <v>325.45999999999998</v>
      </c>
    </row>
    <row r="1269" spans="1:5" x14ac:dyDescent="0.2">
      <c r="A1269" s="224"/>
      <c r="B1269" s="224">
        <v>1268</v>
      </c>
      <c r="C1269" s="224" t="s">
        <v>254</v>
      </c>
      <c r="D1269" s="224">
        <v>9803.7000000000007</v>
      </c>
      <c r="E1269" s="224">
        <v>326.5</v>
      </c>
    </row>
    <row r="1270" spans="1:5" x14ac:dyDescent="0.2">
      <c r="A1270" s="224"/>
      <c r="B1270" s="224">
        <v>1269</v>
      </c>
      <c r="C1270" s="224" t="s">
        <v>254</v>
      </c>
      <c r="D1270" s="224">
        <v>10188</v>
      </c>
      <c r="E1270" s="224">
        <v>328.09</v>
      </c>
    </row>
    <row r="1271" spans="1:5" x14ac:dyDescent="0.2">
      <c r="A1271" s="224"/>
      <c r="B1271" s="224">
        <v>1270</v>
      </c>
      <c r="C1271" s="224" t="s">
        <v>254</v>
      </c>
      <c r="D1271" s="224">
        <v>12222</v>
      </c>
      <c r="E1271" s="224">
        <v>356.99</v>
      </c>
    </row>
    <row r="1272" spans="1:5" x14ac:dyDescent="0.2">
      <c r="A1272" s="224"/>
      <c r="B1272" s="224">
        <v>1271</v>
      </c>
      <c r="C1272" s="224" t="s">
        <v>254</v>
      </c>
      <c r="D1272" s="224">
        <v>11428</v>
      </c>
      <c r="E1272" s="224">
        <v>338.9</v>
      </c>
    </row>
    <row r="1273" spans="1:5" x14ac:dyDescent="0.2">
      <c r="A1273" s="224"/>
      <c r="B1273" s="224">
        <v>1272</v>
      </c>
      <c r="C1273" s="224" t="s">
        <v>254</v>
      </c>
      <c r="D1273" s="224">
        <v>9534.9</v>
      </c>
      <c r="E1273" s="224">
        <v>303.82</v>
      </c>
    </row>
    <row r="1274" spans="1:5" x14ac:dyDescent="0.2">
      <c r="A1274" s="224"/>
      <c r="B1274" s="224">
        <v>1273</v>
      </c>
      <c r="C1274" s="224" t="s">
        <v>254</v>
      </c>
      <c r="D1274" s="224">
        <v>7277.1</v>
      </c>
      <c r="E1274" s="224">
        <v>261.85000000000002</v>
      </c>
    </row>
    <row r="1275" spans="1:5" x14ac:dyDescent="0.2">
      <c r="A1275" s="224"/>
      <c r="B1275" s="224">
        <v>1274</v>
      </c>
      <c r="C1275" s="224" t="s">
        <v>254</v>
      </c>
      <c r="D1275" s="224">
        <v>5860.7</v>
      </c>
      <c r="E1275" s="224">
        <v>249.48</v>
      </c>
    </row>
    <row r="1276" spans="1:5" x14ac:dyDescent="0.2">
      <c r="A1276" s="224"/>
      <c r="B1276" s="224">
        <v>1275</v>
      </c>
      <c r="C1276" s="224" t="s">
        <v>254</v>
      </c>
      <c r="D1276" s="224">
        <v>4630.2</v>
      </c>
      <c r="E1276" s="224">
        <v>227.29</v>
      </c>
    </row>
    <row r="1277" spans="1:5" x14ac:dyDescent="0.2">
      <c r="A1277" s="224"/>
      <c r="B1277" s="224">
        <v>1276</v>
      </c>
      <c r="C1277" s="224" t="s">
        <v>254</v>
      </c>
      <c r="D1277" s="224">
        <v>5906.7</v>
      </c>
      <c r="E1277" s="224">
        <v>308.74</v>
      </c>
    </row>
    <row r="1278" spans="1:5" x14ac:dyDescent="0.2">
      <c r="A1278" s="224"/>
      <c r="B1278" s="224">
        <v>1277</v>
      </c>
      <c r="C1278" s="224" t="s">
        <v>254</v>
      </c>
      <c r="D1278" s="224">
        <v>5657</v>
      </c>
      <c r="E1278" s="224">
        <v>340.19</v>
      </c>
    </row>
    <row r="1279" spans="1:5" x14ac:dyDescent="0.2">
      <c r="A1279" s="224"/>
      <c r="B1279" s="224">
        <v>1278</v>
      </c>
      <c r="C1279" s="224" t="s">
        <v>254</v>
      </c>
      <c r="D1279" s="224">
        <v>7941.1</v>
      </c>
      <c r="E1279" s="224">
        <v>620.28</v>
      </c>
    </row>
    <row r="1280" spans="1:5" x14ac:dyDescent="0.2">
      <c r="A1280" s="224"/>
      <c r="B1280" s="224">
        <v>1279</v>
      </c>
      <c r="C1280" s="224" t="s">
        <v>254</v>
      </c>
      <c r="D1280" s="224">
        <v>7860.1</v>
      </c>
      <c r="E1280" s="224">
        <v>748.89</v>
      </c>
    </row>
    <row r="1281" spans="1:5" x14ac:dyDescent="0.2">
      <c r="A1281" s="224"/>
      <c r="B1281" s="224">
        <v>1280</v>
      </c>
      <c r="C1281" s="224" t="s">
        <v>254</v>
      </c>
      <c r="D1281" s="224">
        <v>8263.9</v>
      </c>
      <c r="E1281" s="224">
        <v>887.39</v>
      </c>
    </row>
    <row r="1282" spans="1:5" x14ac:dyDescent="0.2">
      <c r="A1282" s="224"/>
      <c r="B1282" s="224">
        <v>1281</v>
      </c>
      <c r="C1282" s="224" t="s">
        <v>254</v>
      </c>
      <c r="D1282" s="224">
        <v>8049</v>
      </c>
      <c r="E1282" s="224">
        <v>947.59</v>
      </c>
    </row>
    <row r="1283" spans="1:5" x14ac:dyDescent="0.2">
      <c r="A1283" s="224"/>
      <c r="B1283" s="224">
        <v>1282</v>
      </c>
      <c r="C1283" s="224" t="s">
        <v>254</v>
      </c>
      <c r="D1283" s="224">
        <v>7784.5</v>
      </c>
      <c r="E1283" s="224">
        <v>993.26</v>
      </c>
    </row>
    <row r="1284" spans="1:5" x14ac:dyDescent="0.2">
      <c r="A1284" s="224"/>
      <c r="B1284" s="224">
        <v>1283</v>
      </c>
      <c r="C1284" s="224" t="s">
        <v>733</v>
      </c>
      <c r="D1284" s="224">
        <v>5443.1</v>
      </c>
      <c r="E1284" s="224">
        <v>753.64</v>
      </c>
    </row>
    <row r="1285" spans="1:5" x14ac:dyDescent="0.2">
      <c r="A1285" s="224"/>
      <c r="B1285" s="224">
        <v>1284</v>
      </c>
      <c r="C1285" s="224" t="s">
        <v>733</v>
      </c>
      <c r="D1285" s="224">
        <v>5443.1</v>
      </c>
      <c r="E1285" s="224">
        <v>753.64</v>
      </c>
    </row>
    <row r="1286" spans="1:5" x14ac:dyDescent="0.2">
      <c r="A1286" s="224"/>
      <c r="B1286" s="224">
        <v>1285</v>
      </c>
      <c r="C1286" s="224" t="s">
        <v>733</v>
      </c>
      <c r="D1286" s="224">
        <v>5443.1</v>
      </c>
      <c r="E1286" s="224">
        <v>753.64</v>
      </c>
    </row>
    <row r="1287" spans="1:5" x14ac:dyDescent="0.2">
      <c r="A1287" s="224"/>
      <c r="B1287" s="224">
        <v>1286</v>
      </c>
      <c r="C1287" s="224" t="s">
        <v>733</v>
      </c>
      <c r="D1287" s="224">
        <v>5443.1</v>
      </c>
      <c r="E1287" s="224">
        <v>753.64</v>
      </c>
    </row>
    <row r="1288" spans="1:5" x14ac:dyDescent="0.2">
      <c r="A1288" s="224"/>
      <c r="B1288" s="224">
        <v>1287</v>
      </c>
      <c r="C1288" s="224" t="s">
        <v>733</v>
      </c>
      <c r="D1288" s="224">
        <v>5443.1</v>
      </c>
      <c r="E1288" s="224">
        <v>753.64</v>
      </c>
    </row>
    <row r="1289" spans="1:5" x14ac:dyDescent="0.2">
      <c r="A1289" s="224"/>
      <c r="B1289" s="224">
        <v>1288</v>
      </c>
      <c r="C1289" s="224" t="s">
        <v>733</v>
      </c>
      <c r="D1289" s="224">
        <v>5443.1</v>
      </c>
      <c r="E1289" s="224">
        <v>753.64</v>
      </c>
    </row>
    <row r="1290" spans="1:5" x14ac:dyDescent="0.2">
      <c r="A1290" s="224"/>
      <c r="B1290" s="224">
        <v>1289</v>
      </c>
      <c r="C1290" s="224" t="s">
        <v>733</v>
      </c>
      <c r="D1290" s="224">
        <v>5443.1</v>
      </c>
      <c r="E1290" s="224">
        <v>753.64</v>
      </c>
    </row>
    <row r="1291" spans="1:5" x14ac:dyDescent="0.2">
      <c r="A1291" s="224"/>
      <c r="B1291" s="224">
        <v>1290</v>
      </c>
      <c r="C1291" s="224" t="s">
        <v>733</v>
      </c>
      <c r="D1291" s="224">
        <v>5443.1</v>
      </c>
      <c r="E1291" s="224">
        <v>753.64</v>
      </c>
    </row>
    <row r="1292" spans="1:5" x14ac:dyDescent="0.2">
      <c r="A1292" s="224"/>
      <c r="B1292" s="224">
        <v>1291</v>
      </c>
      <c r="C1292" s="224" t="s">
        <v>733</v>
      </c>
      <c r="D1292" s="224">
        <v>5443.1</v>
      </c>
      <c r="E1292" s="224">
        <v>753.64</v>
      </c>
    </row>
    <row r="1293" spans="1:5" x14ac:dyDescent="0.2">
      <c r="A1293" s="224"/>
      <c r="B1293" s="224">
        <v>1292</v>
      </c>
      <c r="C1293" s="224" t="s">
        <v>733</v>
      </c>
      <c r="D1293" s="224">
        <v>5443.1</v>
      </c>
      <c r="E1293" s="224">
        <v>753.64</v>
      </c>
    </row>
    <row r="1294" spans="1:5" x14ac:dyDescent="0.2">
      <c r="A1294" s="224"/>
      <c r="B1294" s="224">
        <v>1293</v>
      </c>
      <c r="C1294" s="224" t="s">
        <v>948</v>
      </c>
      <c r="D1294" s="224">
        <v>5272.6</v>
      </c>
      <c r="E1294" s="224">
        <v>932.02</v>
      </c>
    </row>
    <row r="1295" spans="1:5" x14ac:dyDescent="0.2">
      <c r="A1295" s="224"/>
      <c r="B1295" s="224">
        <v>1294</v>
      </c>
      <c r="C1295" s="224" t="s">
        <v>948</v>
      </c>
      <c r="D1295" s="224">
        <v>5454</v>
      </c>
      <c r="E1295" s="224">
        <v>942.94</v>
      </c>
    </row>
    <row r="1296" spans="1:5" x14ac:dyDescent="0.2">
      <c r="A1296" s="224"/>
      <c r="B1296" s="224">
        <v>1295</v>
      </c>
      <c r="C1296" s="224" t="s">
        <v>948</v>
      </c>
      <c r="D1296" s="224">
        <v>5660.2</v>
      </c>
      <c r="E1296" s="224">
        <v>955.62</v>
      </c>
    </row>
    <row r="1297" spans="1:5" x14ac:dyDescent="0.2">
      <c r="A1297" s="224"/>
      <c r="B1297" s="224">
        <v>1296</v>
      </c>
      <c r="C1297" s="224" t="s">
        <v>948</v>
      </c>
      <c r="D1297" s="224">
        <v>5712.5</v>
      </c>
      <c r="E1297" s="224">
        <v>958.88</v>
      </c>
    </row>
    <row r="1298" spans="1:5" x14ac:dyDescent="0.2">
      <c r="A1298" s="224"/>
      <c r="B1298" s="224">
        <v>1297</v>
      </c>
      <c r="C1298" s="224" t="s">
        <v>948</v>
      </c>
      <c r="D1298" s="224">
        <v>5762.1</v>
      </c>
      <c r="E1298" s="224">
        <v>961.99</v>
      </c>
    </row>
    <row r="1299" spans="1:5" x14ac:dyDescent="0.2">
      <c r="A1299" s="224"/>
      <c r="B1299" s="224">
        <v>1298</v>
      </c>
      <c r="C1299" s="224" t="s">
        <v>948</v>
      </c>
      <c r="D1299" s="224">
        <v>5809.3</v>
      </c>
      <c r="E1299" s="224">
        <v>964.97</v>
      </c>
    </row>
    <row r="1300" spans="1:5" x14ac:dyDescent="0.2">
      <c r="A1300" s="224"/>
      <c r="B1300" s="224">
        <v>1299</v>
      </c>
      <c r="C1300" s="224" t="s">
        <v>948</v>
      </c>
      <c r="D1300" s="224">
        <v>5854.2</v>
      </c>
      <c r="E1300" s="224">
        <v>967.82</v>
      </c>
    </row>
    <row r="1301" spans="1:5" x14ac:dyDescent="0.2">
      <c r="A1301" s="224"/>
      <c r="B1301" s="224">
        <v>1300</v>
      </c>
      <c r="C1301" s="224" t="s">
        <v>948</v>
      </c>
      <c r="D1301" s="224">
        <v>5896.9</v>
      </c>
      <c r="E1301" s="224">
        <v>970.53</v>
      </c>
    </row>
    <row r="1302" spans="1:5" x14ac:dyDescent="0.2">
      <c r="A1302" s="224"/>
      <c r="B1302" s="224">
        <v>1301</v>
      </c>
      <c r="C1302" s="224" t="s">
        <v>948</v>
      </c>
      <c r="D1302" s="224">
        <v>5937.4</v>
      </c>
      <c r="E1302" s="224">
        <v>973.13</v>
      </c>
    </row>
    <row r="1303" spans="1:5" x14ac:dyDescent="0.2">
      <c r="A1303" s="224"/>
      <c r="B1303" s="224">
        <v>1302</v>
      </c>
      <c r="C1303" s="224" t="s">
        <v>948</v>
      </c>
      <c r="D1303" s="224">
        <v>5976</v>
      </c>
      <c r="E1303" s="224">
        <v>975.6</v>
      </c>
    </row>
    <row r="1304" spans="1:5" x14ac:dyDescent="0.2">
      <c r="A1304" s="224"/>
      <c r="B1304" s="224">
        <v>1303</v>
      </c>
      <c r="C1304" s="224" t="s">
        <v>207</v>
      </c>
      <c r="D1304" s="224">
        <v>3775.4</v>
      </c>
      <c r="E1304" s="224">
        <v>879.82</v>
      </c>
    </row>
    <row r="1305" spans="1:5" x14ac:dyDescent="0.2">
      <c r="A1305" s="224"/>
      <c r="B1305" s="224">
        <v>1304</v>
      </c>
      <c r="C1305" s="224" t="s">
        <v>207</v>
      </c>
      <c r="D1305" s="224">
        <v>10044</v>
      </c>
      <c r="E1305" s="224">
        <v>2191.8000000000002</v>
      </c>
    </row>
    <row r="1306" spans="1:5" x14ac:dyDescent="0.2">
      <c r="A1306" s="224"/>
      <c r="B1306" s="224">
        <v>1305</v>
      </c>
      <c r="C1306" s="224" t="s">
        <v>207</v>
      </c>
      <c r="D1306" s="224">
        <v>14845</v>
      </c>
      <c r="E1306" s="224">
        <v>3022.2</v>
      </c>
    </row>
    <row r="1307" spans="1:5" x14ac:dyDescent="0.2">
      <c r="A1307" s="224"/>
      <c r="B1307" s="224">
        <v>1306</v>
      </c>
      <c r="C1307" s="224" t="s">
        <v>207</v>
      </c>
      <c r="D1307" s="224">
        <v>18430</v>
      </c>
      <c r="E1307" s="224">
        <v>3486.7</v>
      </c>
    </row>
    <row r="1308" spans="1:5" x14ac:dyDescent="0.2">
      <c r="A1308" s="224"/>
      <c r="B1308" s="224">
        <v>1307</v>
      </c>
      <c r="C1308" s="224" t="s">
        <v>207</v>
      </c>
      <c r="D1308" s="224">
        <v>21013</v>
      </c>
      <c r="E1308" s="224">
        <v>3678.9</v>
      </c>
    </row>
    <row r="1309" spans="1:5" x14ac:dyDescent="0.2">
      <c r="A1309" s="224"/>
      <c r="B1309" s="224">
        <v>1308</v>
      </c>
      <c r="C1309" s="224" t="s">
        <v>207</v>
      </c>
      <c r="D1309" s="224">
        <v>22775</v>
      </c>
      <c r="E1309" s="224">
        <v>3674.4</v>
      </c>
    </row>
    <row r="1310" spans="1:5" x14ac:dyDescent="0.2">
      <c r="A1310" s="224"/>
      <c r="B1310" s="224">
        <v>1309</v>
      </c>
      <c r="C1310" s="224" t="s">
        <v>207</v>
      </c>
      <c r="D1310" s="224">
        <v>23869</v>
      </c>
      <c r="E1310" s="224">
        <v>3534</v>
      </c>
    </row>
    <row r="1311" spans="1:5" x14ac:dyDescent="0.2">
      <c r="A1311" s="224"/>
      <c r="B1311" s="224">
        <v>1310</v>
      </c>
      <c r="C1311" s="224" t="s">
        <v>207</v>
      </c>
      <c r="D1311" s="224">
        <v>24424</v>
      </c>
      <c r="E1311" s="224">
        <v>3306.7</v>
      </c>
    </row>
    <row r="1312" spans="1:5" x14ac:dyDescent="0.2">
      <c r="A1312" s="224"/>
      <c r="B1312" s="224">
        <v>1311</v>
      </c>
      <c r="C1312" s="224" t="s">
        <v>207</v>
      </c>
      <c r="D1312" s="224">
        <v>24546</v>
      </c>
      <c r="E1312" s="224">
        <v>3031.9</v>
      </c>
    </row>
    <row r="1313" spans="1:5" x14ac:dyDescent="0.2">
      <c r="A1313" s="224"/>
      <c r="B1313" s="224">
        <v>1312</v>
      </c>
      <c r="C1313" s="224" t="s">
        <v>207</v>
      </c>
      <c r="D1313" s="224">
        <v>24328</v>
      </c>
      <c r="E1313" s="224">
        <v>2741.5</v>
      </c>
    </row>
    <row r="1314" spans="1:5" x14ac:dyDescent="0.2">
      <c r="A1314" s="224"/>
      <c r="B1314" s="224">
        <v>1313</v>
      </c>
      <c r="C1314" s="224" t="s">
        <v>207</v>
      </c>
      <c r="D1314" s="224">
        <v>23845</v>
      </c>
      <c r="E1314" s="224">
        <v>2461.6</v>
      </c>
    </row>
    <row r="1315" spans="1:5" x14ac:dyDescent="0.2">
      <c r="A1315" s="224"/>
      <c r="B1315" s="224">
        <v>1314</v>
      </c>
      <c r="C1315" s="224" t="s">
        <v>207</v>
      </c>
      <c r="D1315" s="224">
        <v>23160</v>
      </c>
      <c r="E1315" s="224">
        <v>2213.1999999999998</v>
      </c>
    </row>
    <row r="1316" spans="1:5" x14ac:dyDescent="0.2">
      <c r="A1316" s="224"/>
      <c r="B1316" s="224">
        <v>1315</v>
      </c>
      <c r="C1316" s="224" t="s">
        <v>207</v>
      </c>
      <c r="D1316" s="224">
        <v>22324</v>
      </c>
      <c r="E1316" s="224">
        <v>2012</v>
      </c>
    </row>
    <row r="1317" spans="1:5" x14ac:dyDescent="0.2">
      <c r="A1317" s="224"/>
      <c r="B1317" s="224">
        <v>1316</v>
      </c>
      <c r="C1317" s="224" t="s">
        <v>207</v>
      </c>
      <c r="D1317" s="224">
        <v>21380</v>
      </c>
      <c r="E1317" s="224">
        <v>1867.7</v>
      </c>
    </row>
    <row r="1318" spans="1:5" x14ac:dyDescent="0.2">
      <c r="A1318" s="224"/>
      <c r="B1318" s="224">
        <v>1317</v>
      </c>
      <c r="C1318" s="224" t="s">
        <v>207</v>
      </c>
      <c r="D1318" s="224">
        <v>20364</v>
      </c>
      <c r="E1318" s="224">
        <v>1781.7</v>
      </c>
    </row>
    <row r="1319" spans="1:5" x14ac:dyDescent="0.2">
      <c r="A1319" s="224"/>
      <c r="B1319" s="224">
        <v>1318</v>
      </c>
      <c r="C1319" s="224" t="s">
        <v>207</v>
      </c>
      <c r="D1319" s="224">
        <v>19304</v>
      </c>
      <c r="E1319" s="224">
        <v>1747.6</v>
      </c>
    </row>
    <row r="1320" spans="1:5" x14ac:dyDescent="0.2">
      <c r="A1320" s="224"/>
      <c r="B1320" s="224">
        <v>1319</v>
      </c>
      <c r="C1320" s="224" t="s">
        <v>207</v>
      </c>
      <c r="D1320" s="224">
        <v>18223</v>
      </c>
      <c r="E1320" s="224">
        <v>1752.9</v>
      </c>
    </row>
    <row r="1321" spans="1:5" x14ac:dyDescent="0.2">
      <c r="A1321" s="224"/>
      <c r="B1321" s="224">
        <v>1320</v>
      </c>
      <c r="C1321" s="224" t="s">
        <v>207</v>
      </c>
      <c r="D1321" s="224">
        <v>17140</v>
      </c>
      <c r="E1321" s="224">
        <v>1783.3</v>
      </c>
    </row>
    <row r="1322" spans="1:5" x14ac:dyDescent="0.2">
      <c r="A1322" s="224"/>
      <c r="B1322" s="224">
        <v>1321</v>
      </c>
      <c r="C1322" s="224" t="s">
        <v>207</v>
      </c>
      <c r="D1322" s="224">
        <v>16068</v>
      </c>
      <c r="E1322" s="224">
        <v>1826</v>
      </c>
    </row>
    <row r="1323" spans="1:5" x14ac:dyDescent="0.2">
      <c r="A1323" s="224"/>
      <c r="B1323" s="224">
        <v>1322</v>
      </c>
      <c r="C1323" s="224" t="s">
        <v>207</v>
      </c>
      <c r="D1323" s="224">
        <v>15019</v>
      </c>
      <c r="E1323" s="224">
        <v>1871.1</v>
      </c>
    </row>
    <row r="1324" spans="1:5" x14ac:dyDescent="0.2">
      <c r="A1324" s="224"/>
      <c r="B1324" s="224">
        <v>1323</v>
      </c>
      <c r="C1324" s="224" t="s">
        <v>249</v>
      </c>
      <c r="D1324" s="224">
        <v>0.11151</v>
      </c>
      <c r="E1324" s="224">
        <v>2.1748E-2</v>
      </c>
    </row>
    <row r="1325" spans="1:5" x14ac:dyDescent="0.2">
      <c r="A1325" s="224"/>
      <c r="B1325" s="224">
        <v>1324</v>
      </c>
      <c r="C1325" s="224" t="s">
        <v>249</v>
      </c>
      <c r="D1325" s="224">
        <v>0.12368999999999999</v>
      </c>
      <c r="E1325" s="224">
        <v>2.3476E-2</v>
      </c>
    </row>
    <row r="1326" spans="1:5" x14ac:dyDescent="0.2">
      <c r="A1326" s="224"/>
      <c r="B1326" s="224">
        <v>1325</v>
      </c>
      <c r="C1326" s="224" t="s">
        <v>249</v>
      </c>
      <c r="D1326" s="224">
        <v>0.10894</v>
      </c>
      <c r="E1326" s="224">
        <v>1.8617999999999999E-2</v>
      </c>
    </row>
    <row r="1327" spans="1:5" x14ac:dyDescent="0.2">
      <c r="A1327" s="224"/>
      <c r="B1327" s="224">
        <v>1326</v>
      </c>
      <c r="C1327" s="224" t="s">
        <v>249</v>
      </c>
      <c r="D1327" s="224">
        <v>0.16635</v>
      </c>
      <c r="E1327" s="224">
        <v>2.5597000000000002E-2</v>
      </c>
    </row>
    <row r="1328" spans="1:5" x14ac:dyDescent="0.2">
      <c r="A1328" s="224"/>
      <c r="B1328" s="224">
        <v>1327</v>
      </c>
      <c r="C1328" s="224" t="s">
        <v>249</v>
      </c>
      <c r="D1328" s="224">
        <v>0.17046</v>
      </c>
      <c r="E1328" s="224">
        <v>2.5832000000000001E-2</v>
      </c>
    </row>
    <row r="1329" spans="1:5" x14ac:dyDescent="0.2">
      <c r="A1329" s="224"/>
      <c r="B1329" s="224">
        <v>1328</v>
      </c>
      <c r="C1329" s="224" t="s">
        <v>249</v>
      </c>
      <c r="D1329" s="224">
        <v>0.16375999999999999</v>
      </c>
      <c r="E1329" s="224">
        <v>2.4243000000000001E-2</v>
      </c>
    </row>
    <row r="1330" spans="1:5" x14ac:dyDescent="0.2">
      <c r="A1330" s="224"/>
      <c r="B1330" s="224">
        <v>1329</v>
      </c>
      <c r="C1330" s="224" t="s">
        <v>249</v>
      </c>
      <c r="D1330" s="224">
        <v>0.19589999999999999</v>
      </c>
      <c r="E1330" s="224">
        <v>2.6664E-2</v>
      </c>
    </row>
    <row r="1331" spans="1:5" x14ac:dyDescent="0.2">
      <c r="A1331" s="224"/>
      <c r="B1331" s="224">
        <v>1330</v>
      </c>
      <c r="C1331" s="224" t="s">
        <v>249</v>
      </c>
      <c r="D1331" s="224">
        <v>0.26204</v>
      </c>
      <c r="E1331" s="224">
        <v>3.3034000000000001E-2</v>
      </c>
    </row>
    <row r="1332" spans="1:5" x14ac:dyDescent="0.2">
      <c r="A1332" s="224"/>
      <c r="B1332" s="224">
        <v>1331</v>
      </c>
      <c r="C1332" s="224" t="s">
        <v>249</v>
      </c>
      <c r="D1332" s="224">
        <v>0.31989000000000001</v>
      </c>
      <c r="E1332" s="224">
        <v>4.1799000000000003E-2</v>
      </c>
    </row>
    <row r="1333" spans="1:5" x14ac:dyDescent="0.2">
      <c r="A1333" s="224"/>
      <c r="B1333" s="224">
        <v>1332</v>
      </c>
      <c r="C1333" s="224" t="s">
        <v>249</v>
      </c>
      <c r="D1333" s="224">
        <v>0.39018999999999998</v>
      </c>
      <c r="E1333" s="224">
        <v>5.7277000000000002E-2</v>
      </c>
    </row>
    <row r="1334" spans="1:5" x14ac:dyDescent="0.2">
      <c r="A1334" s="224"/>
      <c r="B1334" s="224">
        <v>1333</v>
      </c>
      <c r="C1334" s="224" t="s">
        <v>249</v>
      </c>
      <c r="D1334" s="224">
        <v>0.38785999999999998</v>
      </c>
      <c r="E1334" s="224">
        <v>5.2440000000000001E-2</v>
      </c>
    </row>
    <row r="1335" spans="1:5" x14ac:dyDescent="0.2">
      <c r="A1335" s="224"/>
      <c r="B1335" s="224">
        <v>1334</v>
      </c>
      <c r="C1335" s="224" t="s">
        <v>249</v>
      </c>
      <c r="D1335" s="224">
        <v>0.35383999999999999</v>
      </c>
      <c r="E1335" s="224">
        <v>3.7207999999999998E-2</v>
      </c>
    </row>
    <row r="1336" spans="1:5" x14ac:dyDescent="0.2">
      <c r="A1336" s="224"/>
      <c r="B1336" s="224">
        <v>1335</v>
      </c>
      <c r="C1336" s="224" t="s">
        <v>249</v>
      </c>
      <c r="D1336" s="224">
        <v>0.31675999999999999</v>
      </c>
      <c r="E1336" s="224">
        <v>2.9510000000000002E-2</v>
      </c>
    </row>
    <row r="1337" spans="1:5" x14ac:dyDescent="0.2">
      <c r="A1337" s="224"/>
      <c r="B1337" s="224">
        <v>1336</v>
      </c>
      <c r="C1337" s="224" t="s">
        <v>249</v>
      </c>
      <c r="D1337" s="224">
        <v>0.26967000000000002</v>
      </c>
      <c r="E1337" s="224">
        <v>2.4378E-2</v>
      </c>
    </row>
    <row r="1338" spans="1:5" x14ac:dyDescent="0.2">
      <c r="A1338" s="224"/>
      <c r="B1338" s="224">
        <v>1337</v>
      </c>
      <c r="C1338" s="224" t="s">
        <v>249</v>
      </c>
      <c r="D1338" s="224">
        <v>0.27594000000000002</v>
      </c>
      <c r="E1338" s="224">
        <v>2.3938000000000001E-2</v>
      </c>
    </row>
    <row r="1339" spans="1:5" x14ac:dyDescent="0.2">
      <c r="A1339" s="224"/>
      <c r="B1339" s="224">
        <v>1338</v>
      </c>
      <c r="C1339" s="224" t="s">
        <v>249</v>
      </c>
      <c r="D1339" s="224">
        <v>0.24542</v>
      </c>
      <c r="E1339" s="224">
        <v>1.9904000000000002E-2</v>
      </c>
    </row>
    <row r="1340" spans="1:5" x14ac:dyDescent="0.2">
      <c r="A1340" s="224"/>
      <c r="B1340" s="224">
        <v>1339</v>
      </c>
      <c r="C1340" s="224" t="s">
        <v>249</v>
      </c>
      <c r="D1340" s="224">
        <v>0.17150000000000001</v>
      </c>
      <c r="E1340" s="224">
        <v>1.2238000000000001E-2</v>
      </c>
    </row>
    <row r="1341" spans="1:5" x14ac:dyDescent="0.2">
      <c r="A1341" s="224"/>
      <c r="B1341" s="224">
        <v>1340</v>
      </c>
      <c r="C1341" s="224" t="s">
        <v>249</v>
      </c>
      <c r="D1341" s="224">
        <v>0.12634000000000001</v>
      </c>
      <c r="E1341" s="224">
        <v>8.7790000000000003E-3</v>
      </c>
    </row>
    <row r="1342" spans="1:5" x14ac:dyDescent="0.2">
      <c r="A1342" s="224"/>
      <c r="B1342" s="224">
        <v>1341</v>
      </c>
      <c r="C1342" s="224" t="s">
        <v>249</v>
      </c>
      <c r="D1342" s="224">
        <v>0.10793</v>
      </c>
      <c r="E1342" s="224">
        <v>7.352E-3</v>
      </c>
    </row>
    <row r="1343" spans="1:5" x14ac:dyDescent="0.2">
      <c r="A1343" s="224"/>
      <c r="B1343" s="224">
        <v>1342</v>
      </c>
      <c r="C1343" s="224" t="s">
        <v>249</v>
      </c>
      <c r="D1343" s="224">
        <v>0.10440000000000001</v>
      </c>
      <c r="E1343" s="224">
        <v>6.9613000000000001E-3</v>
      </c>
    </row>
    <row r="1344" spans="1:5" x14ac:dyDescent="0.2">
      <c r="A1344" s="224"/>
      <c r="B1344" s="224">
        <v>1343</v>
      </c>
      <c r="C1344" s="224" t="s">
        <v>249</v>
      </c>
      <c r="D1344" s="224">
        <v>0.10813</v>
      </c>
      <c r="E1344" s="224">
        <v>6.8539999999999998E-3</v>
      </c>
    </row>
    <row r="1345" spans="1:5" x14ac:dyDescent="0.2">
      <c r="A1345" s="224"/>
      <c r="B1345" s="224">
        <v>1344</v>
      </c>
      <c r="C1345" s="224" t="s">
        <v>249</v>
      </c>
      <c r="D1345" s="224">
        <v>0.10563</v>
      </c>
      <c r="E1345" s="224">
        <v>6.4427E-3</v>
      </c>
    </row>
    <row r="1346" spans="1:5" x14ac:dyDescent="0.2">
      <c r="A1346" s="224"/>
      <c r="B1346" s="224">
        <v>1345</v>
      </c>
      <c r="C1346" s="224" t="s">
        <v>249</v>
      </c>
      <c r="D1346" s="224">
        <v>0.10446</v>
      </c>
      <c r="E1346" s="224">
        <v>6.1726000000000003E-3</v>
      </c>
    </row>
    <row r="1347" spans="1:5" x14ac:dyDescent="0.2">
      <c r="A1347" s="224"/>
      <c r="B1347" s="224">
        <v>1346</v>
      </c>
      <c r="C1347" s="224" t="s">
        <v>249</v>
      </c>
      <c r="D1347" s="224">
        <v>7.9704999999999998E-2</v>
      </c>
      <c r="E1347" s="224">
        <v>4.6623000000000003E-3</v>
      </c>
    </row>
    <row r="1348" spans="1:5" x14ac:dyDescent="0.2">
      <c r="A1348" s="224"/>
      <c r="B1348" s="224">
        <v>1347</v>
      </c>
      <c r="C1348" s="224" t="s">
        <v>249</v>
      </c>
      <c r="D1348" s="224">
        <v>0.12013</v>
      </c>
      <c r="E1348" s="224">
        <v>6.7088E-3</v>
      </c>
    </row>
    <row r="1349" spans="1:5" x14ac:dyDescent="0.2">
      <c r="A1349" s="224"/>
      <c r="B1349" s="224">
        <v>1348</v>
      </c>
      <c r="C1349" s="224" t="s">
        <v>249</v>
      </c>
      <c r="D1349" s="224">
        <v>0.14182</v>
      </c>
      <c r="E1349" s="224">
        <v>7.9173000000000004E-3</v>
      </c>
    </row>
    <row r="1350" spans="1:5" x14ac:dyDescent="0.2">
      <c r="A1350" s="224"/>
      <c r="B1350" s="224">
        <v>1349</v>
      </c>
      <c r="C1350" s="224" t="s">
        <v>249</v>
      </c>
      <c r="D1350" s="224">
        <v>0.20485</v>
      </c>
      <c r="E1350" s="224">
        <v>1.1221999999999999E-2</v>
      </c>
    </row>
    <row r="1351" spans="1:5" x14ac:dyDescent="0.2">
      <c r="A1351" s="224"/>
      <c r="B1351" s="224">
        <v>1350</v>
      </c>
      <c r="C1351" s="224" t="s">
        <v>249</v>
      </c>
      <c r="D1351" s="224">
        <v>0.18151999999999999</v>
      </c>
      <c r="E1351" s="224">
        <v>9.9774000000000009E-3</v>
      </c>
    </row>
    <row r="1352" spans="1:5" x14ac:dyDescent="0.2">
      <c r="A1352" s="224"/>
      <c r="B1352" s="224">
        <v>1351</v>
      </c>
      <c r="C1352" s="224" t="s">
        <v>249</v>
      </c>
      <c r="D1352" s="224">
        <v>0.16824</v>
      </c>
      <c r="E1352" s="224">
        <v>8.7735E-3</v>
      </c>
    </row>
    <row r="1353" spans="1:5" x14ac:dyDescent="0.2">
      <c r="A1353" s="224"/>
      <c r="B1353" s="224">
        <v>1352</v>
      </c>
      <c r="C1353" s="224" t="s">
        <v>249</v>
      </c>
      <c r="D1353" s="224">
        <v>0.12391000000000001</v>
      </c>
      <c r="E1353" s="224">
        <v>6.6982999999999999E-3</v>
      </c>
    </row>
    <row r="1354" spans="1:5" x14ac:dyDescent="0.2">
      <c r="A1354" s="224"/>
      <c r="B1354" s="224">
        <v>1353</v>
      </c>
      <c r="C1354" s="224" t="s">
        <v>249</v>
      </c>
      <c r="D1354" s="224">
        <v>0.11394</v>
      </c>
      <c r="E1354" s="224">
        <v>6.1520999999999998E-3</v>
      </c>
    </row>
    <row r="1355" spans="1:5" x14ac:dyDescent="0.2">
      <c r="A1355" s="224"/>
      <c r="B1355" s="224">
        <v>1354</v>
      </c>
      <c r="C1355" s="224" t="s">
        <v>249</v>
      </c>
      <c r="D1355" s="224">
        <v>0.10972</v>
      </c>
      <c r="E1355" s="224">
        <v>5.9699000000000002E-3</v>
      </c>
    </row>
    <row r="1356" spans="1:5" x14ac:dyDescent="0.2">
      <c r="A1356" s="224"/>
      <c r="B1356" s="224">
        <v>1355</v>
      </c>
      <c r="C1356" s="224" t="s">
        <v>249</v>
      </c>
      <c r="D1356" s="224">
        <v>0.11181000000000001</v>
      </c>
      <c r="E1356" s="224">
        <v>6.1333000000000004E-3</v>
      </c>
    </row>
    <row r="1357" spans="1:5" x14ac:dyDescent="0.2">
      <c r="A1357" s="224"/>
      <c r="B1357" s="224">
        <v>1356</v>
      </c>
      <c r="C1357" s="224" t="s">
        <v>249</v>
      </c>
      <c r="D1357" s="224">
        <v>0.12128</v>
      </c>
      <c r="E1357" s="224">
        <v>6.6889999999999996E-3</v>
      </c>
    </row>
    <row r="1358" spans="1:5" x14ac:dyDescent="0.2">
      <c r="A1358" s="224"/>
      <c r="B1358" s="224">
        <v>1357</v>
      </c>
      <c r="C1358" s="224" t="s">
        <v>249</v>
      </c>
      <c r="D1358" s="224">
        <v>0.11860999999999999</v>
      </c>
      <c r="E1358" s="224">
        <v>6.4003999999999997E-3</v>
      </c>
    </row>
    <row r="1359" spans="1:5" x14ac:dyDescent="0.2">
      <c r="A1359" s="224"/>
      <c r="B1359" s="224">
        <v>1358</v>
      </c>
      <c r="C1359" s="224" t="s">
        <v>249</v>
      </c>
      <c r="D1359" s="224">
        <v>0.10519000000000001</v>
      </c>
      <c r="E1359" s="224">
        <v>5.6883000000000003E-3</v>
      </c>
    </row>
    <row r="1360" spans="1:5" x14ac:dyDescent="0.2">
      <c r="A1360" s="224"/>
      <c r="B1360" s="224">
        <v>1359</v>
      </c>
      <c r="C1360" s="224" t="s">
        <v>249</v>
      </c>
      <c r="D1360" s="224">
        <v>0.12416000000000001</v>
      </c>
      <c r="E1360" s="224">
        <v>6.5900000000000004E-3</v>
      </c>
    </row>
    <row r="1361" spans="1:5" x14ac:dyDescent="0.2">
      <c r="A1361" s="224"/>
      <c r="B1361" s="224">
        <v>1360</v>
      </c>
      <c r="C1361" s="224" t="s">
        <v>249</v>
      </c>
      <c r="D1361" s="224">
        <v>0.14996999999999999</v>
      </c>
      <c r="E1361" s="224">
        <v>7.8128E-3</v>
      </c>
    </row>
    <row r="1362" spans="1:5" x14ac:dyDescent="0.2">
      <c r="A1362" s="224"/>
      <c r="B1362" s="224">
        <v>1361</v>
      </c>
      <c r="C1362" s="224" t="s">
        <v>249</v>
      </c>
      <c r="D1362" s="224">
        <v>0.15271999999999999</v>
      </c>
      <c r="E1362" s="224">
        <v>7.7698999999999997E-3</v>
      </c>
    </row>
    <row r="1363" spans="1:5" x14ac:dyDescent="0.2">
      <c r="A1363" s="224"/>
      <c r="B1363" s="224">
        <v>1362</v>
      </c>
      <c r="C1363" s="224" t="s">
        <v>249</v>
      </c>
      <c r="D1363" s="224">
        <v>0.14055999999999999</v>
      </c>
      <c r="E1363" s="224">
        <v>7.1373000000000001E-3</v>
      </c>
    </row>
    <row r="1364" spans="1:5" x14ac:dyDescent="0.2">
      <c r="A1364" s="224"/>
      <c r="B1364" s="224">
        <v>1363</v>
      </c>
      <c r="C1364" s="224" t="s">
        <v>249</v>
      </c>
      <c r="D1364" s="224">
        <v>0.14810999999999999</v>
      </c>
      <c r="E1364" s="224">
        <v>7.5725000000000002E-3</v>
      </c>
    </row>
    <row r="1365" spans="1:5" x14ac:dyDescent="0.2">
      <c r="A1365" s="224"/>
      <c r="B1365" s="224">
        <v>1364</v>
      </c>
      <c r="C1365" s="224" t="s">
        <v>249</v>
      </c>
      <c r="D1365" s="224">
        <v>0.18228</v>
      </c>
      <c r="E1365" s="224">
        <v>9.2710999999999991E-3</v>
      </c>
    </row>
    <row r="1366" spans="1:5" x14ac:dyDescent="0.2">
      <c r="A1366" s="224"/>
      <c r="B1366" s="224">
        <v>1365</v>
      </c>
      <c r="C1366" s="224" t="s">
        <v>249</v>
      </c>
      <c r="D1366" s="224">
        <v>0.23350000000000001</v>
      </c>
      <c r="E1366" s="224">
        <v>1.1761000000000001E-2</v>
      </c>
    </row>
    <row r="1367" spans="1:5" x14ac:dyDescent="0.2">
      <c r="A1367" s="224"/>
      <c r="B1367" s="224">
        <v>1366</v>
      </c>
      <c r="C1367" s="224" t="s">
        <v>249</v>
      </c>
      <c r="D1367" s="224">
        <v>0.24995999999999999</v>
      </c>
      <c r="E1367" s="224">
        <v>1.3337999999999999E-2</v>
      </c>
    </row>
    <row r="1368" spans="1:5" x14ac:dyDescent="0.2">
      <c r="A1368" s="224"/>
      <c r="B1368" s="224">
        <v>1367</v>
      </c>
      <c r="C1368" s="224" t="s">
        <v>249</v>
      </c>
      <c r="D1368" s="224">
        <v>0.20876</v>
      </c>
      <c r="E1368" s="224">
        <v>1.2196E-2</v>
      </c>
    </row>
    <row r="1369" spans="1:5" x14ac:dyDescent="0.2">
      <c r="A1369" s="224"/>
      <c r="B1369" s="224">
        <v>1368</v>
      </c>
      <c r="C1369" s="224" t="s">
        <v>249</v>
      </c>
      <c r="D1369" s="224">
        <v>0.15090999999999999</v>
      </c>
      <c r="E1369" s="224">
        <v>9.8501000000000005E-3</v>
      </c>
    </row>
    <row r="1370" spans="1:5" x14ac:dyDescent="0.2">
      <c r="A1370" s="224"/>
      <c r="B1370" s="224">
        <v>1369</v>
      </c>
      <c r="C1370" s="224" t="s">
        <v>249</v>
      </c>
      <c r="D1370" s="224">
        <v>0.13066</v>
      </c>
      <c r="E1370" s="224">
        <v>9.6299000000000003E-3</v>
      </c>
    </row>
    <row r="1371" spans="1:5" x14ac:dyDescent="0.2">
      <c r="A1371" s="224"/>
      <c r="B1371" s="224">
        <v>1370</v>
      </c>
      <c r="C1371" s="224" t="s">
        <v>249</v>
      </c>
      <c r="D1371" s="224">
        <v>0.15995999999999999</v>
      </c>
      <c r="E1371" s="224">
        <v>1.3965999999999999E-2</v>
      </c>
    </row>
    <row r="1372" spans="1:5" x14ac:dyDescent="0.2">
      <c r="A1372" s="224"/>
      <c r="B1372" s="224">
        <v>1371</v>
      </c>
      <c r="C1372" s="224" t="s">
        <v>249</v>
      </c>
      <c r="D1372" s="224">
        <v>0.16564000000000001</v>
      </c>
      <c r="E1372" s="224">
        <v>1.6889000000000001E-2</v>
      </c>
    </row>
    <row r="1373" spans="1:5" x14ac:dyDescent="0.2">
      <c r="A1373" s="224"/>
      <c r="B1373" s="224">
        <v>1372</v>
      </c>
      <c r="C1373" s="224" t="s">
        <v>249</v>
      </c>
      <c r="D1373" s="224">
        <v>0.16733000000000001</v>
      </c>
      <c r="E1373" s="224">
        <v>1.9531E-2</v>
      </c>
    </row>
    <row r="1374" spans="1:5" x14ac:dyDescent="0.2">
      <c r="A1374" s="224"/>
      <c r="B1374" s="224">
        <v>1373</v>
      </c>
      <c r="C1374" s="224" t="s">
        <v>54</v>
      </c>
      <c r="D1374" s="224">
        <v>2650.8</v>
      </c>
      <c r="E1374" s="224">
        <v>313.11</v>
      </c>
    </row>
    <row r="1375" spans="1:5" x14ac:dyDescent="0.2">
      <c r="A1375" s="224"/>
      <c r="B1375" s="224">
        <v>1374</v>
      </c>
      <c r="C1375" s="224" t="s">
        <v>54</v>
      </c>
      <c r="D1375" s="224">
        <v>2753</v>
      </c>
      <c r="E1375" s="224">
        <v>355.75</v>
      </c>
    </row>
    <row r="1376" spans="1:5" x14ac:dyDescent="0.2">
      <c r="A1376" s="224"/>
      <c r="B1376" s="224">
        <v>1375</v>
      </c>
      <c r="C1376" s="224" t="s">
        <v>54</v>
      </c>
      <c r="D1376" s="224">
        <v>3006.7</v>
      </c>
      <c r="E1376" s="224">
        <v>374.75</v>
      </c>
    </row>
    <row r="1377" spans="1:5" x14ac:dyDescent="0.2">
      <c r="A1377" s="224"/>
      <c r="B1377" s="224">
        <v>1376</v>
      </c>
      <c r="C1377" s="224" t="s">
        <v>54</v>
      </c>
      <c r="D1377" s="224">
        <v>3211.6</v>
      </c>
      <c r="E1377" s="224">
        <v>407.53</v>
      </c>
    </row>
    <row r="1378" spans="1:5" x14ac:dyDescent="0.2">
      <c r="A1378" s="224"/>
      <c r="B1378" s="224">
        <v>1377</v>
      </c>
      <c r="C1378" s="224" t="s">
        <v>54</v>
      </c>
      <c r="D1378" s="224">
        <v>3440</v>
      </c>
      <c r="E1378" s="224">
        <v>539.4</v>
      </c>
    </row>
    <row r="1379" spans="1:5" x14ac:dyDescent="0.2">
      <c r="A1379" s="224"/>
      <c r="B1379" s="224">
        <v>1378</v>
      </c>
      <c r="C1379" s="224" t="s">
        <v>54</v>
      </c>
      <c r="D1379" s="224">
        <v>3698.8</v>
      </c>
      <c r="E1379" s="224">
        <v>752.1</v>
      </c>
    </row>
    <row r="1380" spans="1:5" x14ac:dyDescent="0.2">
      <c r="A1380" s="224"/>
      <c r="B1380" s="224">
        <v>1379</v>
      </c>
      <c r="C1380" s="224" t="s">
        <v>54</v>
      </c>
      <c r="D1380" s="224">
        <v>2650.8</v>
      </c>
      <c r="E1380" s="224">
        <v>313.11</v>
      </c>
    </row>
    <row r="1381" spans="1:5" x14ac:dyDescent="0.2">
      <c r="A1381" s="224"/>
      <c r="B1381" s="224">
        <v>1380</v>
      </c>
      <c r="C1381" s="224" t="s">
        <v>54</v>
      </c>
      <c r="D1381" s="224">
        <v>2740.5</v>
      </c>
      <c r="E1381" s="224">
        <v>355.82</v>
      </c>
    </row>
    <row r="1382" spans="1:5" x14ac:dyDescent="0.2">
      <c r="A1382" s="224"/>
      <c r="B1382" s="224">
        <v>1381</v>
      </c>
      <c r="C1382" s="224" t="s">
        <v>54</v>
      </c>
      <c r="D1382" s="224">
        <v>2949</v>
      </c>
      <c r="E1382" s="224">
        <v>374.58</v>
      </c>
    </row>
    <row r="1383" spans="1:5" x14ac:dyDescent="0.2">
      <c r="A1383" s="224"/>
      <c r="B1383" s="224">
        <v>1382</v>
      </c>
      <c r="C1383" s="224" t="s">
        <v>54</v>
      </c>
      <c r="D1383" s="224">
        <v>3114.4</v>
      </c>
      <c r="E1383" s="224">
        <v>406.7</v>
      </c>
    </row>
    <row r="1384" spans="1:5" x14ac:dyDescent="0.2">
      <c r="A1384" s="224"/>
      <c r="B1384" s="224">
        <v>1383</v>
      </c>
      <c r="C1384" s="224" t="s">
        <v>54</v>
      </c>
      <c r="D1384" s="224">
        <v>3311.8</v>
      </c>
      <c r="E1384" s="224">
        <v>537.5</v>
      </c>
    </row>
    <row r="1385" spans="1:5" x14ac:dyDescent="0.2">
      <c r="A1385" s="224"/>
      <c r="B1385" s="224">
        <v>1384</v>
      </c>
      <c r="C1385" s="224" t="s">
        <v>54</v>
      </c>
      <c r="D1385" s="224">
        <v>3545.5</v>
      </c>
      <c r="E1385" s="224">
        <v>746.23</v>
      </c>
    </row>
    <row r="1386" spans="1:5" x14ac:dyDescent="0.2">
      <c r="A1386" s="224"/>
      <c r="B1386" s="224">
        <v>1385</v>
      </c>
      <c r="C1386" s="224" t="s">
        <v>54</v>
      </c>
      <c r="D1386" s="224">
        <v>2650.8</v>
      </c>
      <c r="E1386" s="224">
        <v>313.11</v>
      </c>
    </row>
    <row r="1387" spans="1:5" x14ac:dyDescent="0.2">
      <c r="A1387" s="224"/>
      <c r="B1387" s="224">
        <v>1386</v>
      </c>
      <c r="C1387" s="224" t="s">
        <v>54</v>
      </c>
      <c r="D1387" s="224">
        <v>2727.8</v>
      </c>
      <c r="E1387" s="224">
        <v>355.91</v>
      </c>
    </row>
    <row r="1388" spans="1:5" x14ac:dyDescent="0.2">
      <c r="A1388" s="224"/>
      <c r="B1388" s="224">
        <v>1387</v>
      </c>
      <c r="C1388" s="224" t="s">
        <v>54</v>
      </c>
      <c r="D1388" s="224">
        <v>2891.8</v>
      </c>
      <c r="E1388" s="224">
        <v>374.37</v>
      </c>
    </row>
    <row r="1389" spans="1:5" x14ac:dyDescent="0.2">
      <c r="A1389" s="224"/>
      <c r="B1389" s="224">
        <v>1388</v>
      </c>
      <c r="C1389" s="224" t="s">
        <v>54</v>
      </c>
      <c r="D1389" s="224">
        <v>3019.7</v>
      </c>
      <c r="E1389" s="224">
        <v>405.67</v>
      </c>
    </row>
    <row r="1390" spans="1:5" x14ac:dyDescent="0.2">
      <c r="A1390" s="224"/>
      <c r="B1390" s="224">
        <v>1389</v>
      </c>
      <c r="C1390" s="224" t="s">
        <v>54</v>
      </c>
      <c r="D1390" s="224">
        <v>3188.9</v>
      </c>
      <c r="E1390" s="224">
        <v>535.30999999999995</v>
      </c>
    </row>
    <row r="1391" spans="1:5" x14ac:dyDescent="0.2">
      <c r="A1391" s="224"/>
      <c r="B1391" s="224">
        <v>1390</v>
      </c>
      <c r="C1391" s="224" t="s">
        <v>54</v>
      </c>
      <c r="D1391" s="224">
        <v>3400.6</v>
      </c>
      <c r="E1391" s="224">
        <v>740.07</v>
      </c>
    </row>
    <row r="1392" spans="1:5" x14ac:dyDescent="0.2">
      <c r="A1392" s="224"/>
      <c r="B1392" s="224">
        <v>1391</v>
      </c>
      <c r="C1392" s="224" t="s">
        <v>54</v>
      </c>
      <c r="D1392" s="224">
        <v>2650.8</v>
      </c>
      <c r="E1392" s="224">
        <v>313.11</v>
      </c>
    </row>
    <row r="1393" spans="1:5" x14ac:dyDescent="0.2">
      <c r="A1393" s="224"/>
      <c r="B1393" s="224">
        <v>1392</v>
      </c>
      <c r="C1393" s="224" t="s">
        <v>54</v>
      </c>
      <c r="D1393" s="224">
        <v>2714.9</v>
      </c>
      <c r="E1393" s="224">
        <v>356.02</v>
      </c>
    </row>
    <row r="1394" spans="1:5" x14ac:dyDescent="0.2">
      <c r="A1394" s="224"/>
      <c r="B1394" s="224">
        <v>1393</v>
      </c>
      <c r="C1394" s="224" t="s">
        <v>54</v>
      </c>
      <c r="D1394" s="224">
        <v>2834.9</v>
      </c>
      <c r="E1394" s="224">
        <v>374.12</v>
      </c>
    </row>
    <row r="1395" spans="1:5" x14ac:dyDescent="0.2">
      <c r="A1395" s="224"/>
      <c r="B1395" s="224">
        <v>1394</v>
      </c>
      <c r="C1395" s="224" t="s">
        <v>54</v>
      </c>
      <c r="D1395" s="224">
        <v>2927.4</v>
      </c>
      <c r="E1395" s="224">
        <v>404.44</v>
      </c>
    </row>
    <row r="1396" spans="1:5" x14ac:dyDescent="0.2">
      <c r="A1396" s="224"/>
      <c r="B1396" s="224">
        <v>1395</v>
      </c>
      <c r="C1396" s="224" t="s">
        <v>54</v>
      </c>
      <c r="D1396" s="224">
        <v>3071.2</v>
      </c>
      <c r="E1396" s="224">
        <v>532.83000000000004</v>
      </c>
    </row>
    <row r="1397" spans="1:5" x14ac:dyDescent="0.2">
      <c r="A1397" s="224"/>
      <c r="B1397" s="224">
        <v>1396</v>
      </c>
      <c r="C1397" s="224" t="s">
        <v>54</v>
      </c>
      <c r="D1397" s="224">
        <v>3263.8</v>
      </c>
      <c r="E1397" s="224">
        <v>733.6</v>
      </c>
    </row>
    <row r="1398" spans="1:5" x14ac:dyDescent="0.2">
      <c r="A1398" s="224"/>
      <c r="B1398" s="224">
        <v>1397</v>
      </c>
      <c r="C1398" s="224" t="s">
        <v>54</v>
      </c>
      <c r="D1398" s="224">
        <v>2650.8</v>
      </c>
      <c r="E1398" s="224">
        <v>313.11</v>
      </c>
    </row>
    <row r="1399" spans="1:5" x14ac:dyDescent="0.2">
      <c r="A1399" s="224"/>
      <c r="B1399" s="224">
        <v>1398</v>
      </c>
      <c r="C1399" s="224" t="s">
        <v>54</v>
      </c>
      <c r="D1399" s="224">
        <v>2701.9</v>
      </c>
      <c r="E1399" s="224">
        <v>356.16</v>
      </c>
    </row>
    <row r="1400" spans="1:5" x14ac:dyDescent="0.2">
      <c r="A1400" s="224"/>
      <c r="B1400" s="224">
        <v>1399</v>
      </c>
      <c r="C1400" s="224" t="s">
        <v>54</v>
      </c>
      <c r="D1400" s="224">
        <v>2778.4</v>
      </c>
      <c r="E1400" s="224">
        <v>373.83</v>
      </c>
    </row>
    <row r="1401" spans="1:5" x14ac:dyDescent="0.2">
      <c r="A1401" s="224"/>
      <c r="B1401" s="224">
        <v>1400</v>
      </c>
      <c r="C1401" s="224" t="s">
        <v>54</v>
      </c>
      <c r="D1401" s="224">
        <v>2837.5</v>
      </c>
      <c r="E1401" s="224">
        <v>403</v>
      </c>
    </row>
    <row r="1402" spans="1:5" x14ac:dyDescent="0.2">
      <c r="A1402" s="224"/>
      <c r="B1402" s="224">
        <v>1401</v>
      </c>
      <c r="C1402" s="224" t="s">
        <v>54</v>
      </c>
      <c r="D1402" s="224">
        <v>2958.6</v>
      </c>
      <c r="E1402" s="224">
        <v>530.04</v>
      </c>
    </row>
    <row r="1403" spans="1:5" x14ac:dyDescent="0.2">
      <c r="A1403" s="224"/>
      <c r="B1403" s="224">
        <v>1402</v>
      </c>
      <c r="C1403" s="224" t="s">
        <v>54</v>
      </c>
      <c r="D1403" s="224">
        <v>3134.5</v>
      </c>
      <c r="E1403" s="224">
        <v>726.85</v>
      </c>
    </row>
    <row r="1404" spans="1:5" x14ac:dyDescent="0.2">
      <c r="A1404" s="224"/>
      <c r="B1404" s="224">
        <v>1403</v>
      </c>
      <c r="C1404" s="224" t="s">
        <v>54</v>
      </c>
      <c r="D1404" s="224">
        <v>2650.8</v>
      </c>
      <c r="E1404" s="224">
        <v>313.11</v>
      </c>
    </row>
    <row r="1405" spans="1:5" x14ac:dyDescent="0.2">
      <c r="A1405" s="224"/>
      <c r="B1405" s="224">
        <v>1404</v>
      </c>
      <c r="C1405" s="224" t="s">
        <v>54</v>
      </c>
      <c r="D1405" s="224">
        <v>2688.6</v>
      </c>
      <c r="E1405" s="224">
        <v>356.34</v>
      </c>
    </row>
    <row r="1406" spans="1:5" x14ac:dyDescent="0.2">
      <c r="A1406" s="224"/>
      <c r="B1406" s="224">
        <v>1405</v>
      </c>
      <c r="C1406" s="224" t="s">
        <v>54</v>
      </c>
      <c r="D1406" s="224">
        <v>2722.2</v>
      </c>
      <c r="E1406" s="224">
        <v>373.49</v>
      </c>
    </row>
    <row r="1407" spans="1:5" x14ac:dyDescent="0.2">
      <c r="A1407" s="224"/>
      <c r="B1407" s="224">
        <v>1406</v>
      </c>
      <c r="C1407" s="224" t="s">
        <v>54</v>
      </c>
      <c r="D1407" s="224">
        <v>2750</v>
      </c>
      <c r="E1407" s="224">
        <v>401.35</v>
      </c>
    </row>
    <row r="1408" spans="1:5" x14ac:dyDescent="0.2">
      <c r="A1408" s="224"/>
      <c r="B1408" s="224">
        <v>1407</v>
      </c>
      <c r="C1408" s="224" t="s">
        <v>54</v>
      </c>
      <c r="D1408" s="224">
        <v>2850.8</v>
      </c>
      <c r="E1408" s="224">
        <v>526.98</v>
      </c>
    </row>
    <row r="1409" spans="1:5" x14ac:dyDescent="0.2">
      <c r="A1409" s="224"/>
      <c r="B1409" s="224">
        <v>1408</v>
      </c>
      <c r="C1409" s="224" t="s">
        <v>54</v>
      </c>
      <c r="D1409" s="224">
        <v>3012.3</v>
      </c>
      <c r="E1409" s="224">
        <v>719.82</v>
      </c>
    </row>
    <row r="1410" spans="1:5" x14ac:dyDescent="0.2">
      <c r="A1410" s="224"/>
      <c r="B1410" s="224">
        <v>1409</v>
      </c>
      <c r="C1410" s="224" t="s">
        <v>54</v>
      </c>
      <c r="D1410" s="224">
        <v>2650.8</v>
      </c>
      <c r="E1410" s="224">
        <v>313.11</v>
      </c>
    </row>
    <row r="1411" spans="1:5" x14ac:dyDescent="0.2">
      <c r="A1411" s="224"/>
      <c r="B1411" s="224">
        <v>1410</v>
      </c>
      <c r="C1411" s="224" t="s">
        <v>54</v>
      </c>
      <c r="D1411" s="224">
        <v>2675.2</v>
      </c>
      <c r="E1411" s="224">
        <v>356.54</v>
      </c>
    </row>
    <row r="1412" spans="1:5" x14ac:dyDescent="0.2">
      <c r="A1412" s="224"/>
      <c r="B1412" s="224">
        <v>1411</v>
      </c>
      <c r="C1412" s="224" t="s">
        <v>54</v>
      </c>
      <c r="D1412" s="224">
        <v>2666.4</v>
      </c>
      <c r="E1412" s="224">
        <v>373.11</v>
      </c>
    </row>
    <row r="1413" spans="1:5" x14ac:dyDescent="0.2">
      <c r="A1413" s="224"/>
      <c r="B1413" s="224">
        <v>1412</v>
      </c>
      <c r="C1413" s="224" t="s">
        <v>54</v>
      </c>
      <c r="D1413" s="224">
        <v>2664.8</v>
      </c>
      <c r="E1413" s="224">
        <v>399.49</v>
      </c>
    </row>
    <row r="1414" spans="1:5" x14ac:dyDescent="0.2">
      <c r="A1414" s="224"/>
      <c r="B1414" s="224">
        <v>1413</v>
      </c>
      <c r="C1414" s="224" t="s">
        <v>54</v>
      </c>
      <c r="D1414" s="224">
        <v>2747.6</v>
      </c>
      <c r="E1414" s="224">
        <v>523.64</v>
      </c>
    </row>
    <row r="1415" spans="1:5" x14ac:dyDescent="0.2">
      <c r="A1415" s="224"/>
      <c r="B1415" s="224">
        <v>1414</v>
      </c>
      <c r="C1415" s="224" t="s">
        <v>54</v>
      </c>
      <c r="D1415" s="224">
        <v>2896.9</v>
      </c>
      <c r="E1415" s="224">
        <v>712.56</v>
      </c>
    </row>
    <row r="1416" spans="1:5" x14ac:dyDescent="0.2">
      <c r="A1416" s="224"/>
      <c r="B1416" s="224">
        <v>1415</v>
      </c>
      <c r="C1416" s="224" t="s">
        <v>54</v>
      </c>
      <c r="D1416" s="224">
        <v>2650.8</v>
      </c>
      <c r="E1416" s="224">
        <v>313.11</v>
      </c>
    </row>
    <row r="1417" spans="1:5" x14ac:dyDescent="0.2">
      <c r="A1417" s="224"/>
      <c r="B1417" s="224">
        <v>1416</v>
      </c>
      <c r="C1417" s="224" t="s">
        <v>54</v>
      </c>
      <c r="D1417" s="224">
        <v>2661.5</v>
      </c>
      <c r="E1417" s="224">
        <v>356.78</v>
      </c>
    </row>
    <row r="1418" spans="1:5" x14ac:dyDescent="0.2">
      <c r="A1418" s="224"/>
      <c r="B1418" s="224">
        <v>1417</v>
      </c>
      <c r="C1418" s="224" t="s">
        <v>54</v>
      </c>
      <c r="D1418" s="224">
        <v>2611</v>
      </c>
      <c r="E1418" s="224">
        <v>372.68</v>
      </c>
    </row>
    <row r="1419" spans="1:5" x14ac:dyDescent="0.2">
      <c r="A1419" s="224"/>
      <c r="B1419" s="224">
        <v>1418</v>
      </c>
      <c r="C1419" s="224" t="s">
        <v>54</v>
      </c>
      <c r="D1419" s="224">
        <v>2581.9</v>
      </c>
      <c r="E1419" s="224">
        <v>397.42</v>
      </c>
    </row>
    <row r="1420" spans="1:5" x14ac:dyDescent="0.2">
      <c r="A1420" s="224"/>
      <c r="B1420" s="224">
        <v>1419</v>
      </c>
      <c r="C1420" s="224" t="s">
        <v>54</v>
      </c>
      <c r="D1420" s="224">
        <v>2648.9</v>
      </c>
      <c r="E1420" s="224">
        <v>520.04999999999995</v>
      </c>
    </row>
    <row r="1421" spans="1:5" x14ac:dyDescent="0.2">
      <c r="A1421" s="224"/>
      <c r="B1421" s="224">
        <v>1420</v>
      </c>
      <c r="C1421" s="224" t="s">
        <v>54</v>
      </c>
      <c r="D1421" s="224">
        <v>2787.8</v>
      </c>
      <c r="E1421" s="224">
        <v>705.08</v>
      </c>
    </row>
    <row r="1422" spans="1:5" x14ac:dyDescent="0.2">
      <c r="A1422" s="224"/>
      <c r="B1422" s="224">
        <v>1421</v>
      </c>
      <c r="C1422" s="224" t="s">
        <v>54</v>
      </c>
      <c r="D1422" s="224">
        <v>2650.8</v>
      </c>
      <c r="E1422" s="224">
        <v>313.11</v>
      </c>
    </row>
    <row r="1423" spans="1:5" x14ac:dyDescent="0.2">
      <c r="A1423" s="224"/>
      <c r="B1423" s="224">
        <v>1422</v>
      </c>
      <c r="C1423" s="224" t="s">
        <v>54</v>
      </c>
      <c r="D1423" s="224">
        <v>2647.7</v>
      </c>
      <c r="E1423" s="224">
        <v>357.05</v>
      </c>
    </row>
    <row r="1424" spans="1:5" x14ac:dyDescent="0.2">
      <c r="A1424" s="224"/>
      <c r="B1424" s="224">
        <v>1423</v>
      </c>
      <c r="C1424" s="224" t="s">
        <v>54</v>
      </c>
      <c r="D1424" s="224">
        <v>2556</v>
      </c>
      <c r="E1424" s="224">
        <v>372.21</v>
      </c>
    </row>
    <row r="1425" spans="1:5" x14ac:dyDescent="0.2">
      <c r="A1425" s="224"/>
      <c r="B1425" s="224">
        <v>1424</v>
      </c>
      <c r="C1425" s="224" t="s">
        <v>54</v>
      </c>
      <c r="D1425" s="224">
        <v>2501.3000000000002</v>
      </c>
      <c r="E1425" s="224">
        <v>395.14</v>
      </c>
    </row>
    <row r="1426" spans="1:5" x14ac:dyDescent="0.2">
      <c r="A1426" s="224"/>
      <c r="B1426" s="224">
        <v>1425</v>
      </c>
      <c r="C1426" s="224" t="s">
        <v>54</v>
      </c>
      <c r="D1426" s="224">
        <v>2554.5</v>
      </c>
      <c r="E1426" s="224">
        <v>516.23</v>
      </c>
    </row>
    <row r="1427" spans="1:5" x14ac:dyDescent="0.2">
      <c r="A1427" s="224"/>
      <c r="B1427" s="224">
        <v>1426</v>
      </c>
      <c r="C1427" s="224" t="s">
        <v>54</v>
      </c>
      <c r="D1427" s="224">
        <v>2684.7</v>
      </c>
      <c r="E1427" s="224">
        <v>697.43</v>
      </c>
    </row>
    <row r="1428" spans="1:5" x14ac:dyDescent="0.2">
      <c r="A1428" s="224"/>
      <c r="B1428" s="224">
        <v>1427</v>
      </c>
      <c r="C1428" s="224" t="s">
        <v>54</v>
      </c>
      <c r="D1428" s="224">
        <v>2650.8</v>
      </c>
      <c r="E1428" s="224">
        <v>313.11</v>
      </c>
    </row>
    <row r="1429" spans="1:5" x14ac:dyDescent="0.2">
      <c r="A1429" s="224"/>
      <c r="B1429" s="224">
        <v>1428</v>
      </c>
      <c r="C1429" s="224" t="s">
        <v>54</v>
      </c>
      <c r="D1429" s="224">
        <v>2633.6</v>
      </c>
      <c r="E1429" s="224">
        <v>357.36</v>
      </c>
    </row>
    <row r="1430" spans="1:5" x14ac:dyDescent="0.2">
      <c r="A1430" s="224"/>
      <c r="B1430" s="224">
        <v>1429</v>
      </c>
      <c r="C1430" s="224" t="s">
        <v>54</v>
      </c>
      <c r="D1430" s="224">
        <v>2501.3000000000002</v>
      </c>
      <c r="E1430" s="224">
        <v>371.68</v>
      </c>
    </row>
    <row r="1431" spans="1:5" x14ac:dyDescent="0.2">
      <c r="A1431" s="224"/>
      <c r="B1431" s="224">
        <v>1430</v>
      </c>
      <c r="C1431" s="224" t="s">
        <v>54</v>
      </c>
      <c r="D1431" s="224">
        <v>2423</v>
      </c>
      <c r="E1431" s="224">
        <v>392.66</v>
      </c>
    </row>
    <row r="1432" spans="1:5" x14ac:dyDescent="0.2">
      <c r="A1432" s="224"/>
      <c r="B1432" s="224">
        <v>1431</v>
      </c>
      <c r="C1432" s="224" t="s">
        <v>54</v>
      </c>
      <c r="D1432" s="224">
        <v>2464.3000000000002</v>
      </c>
      <c r="E1432" s="224">
        <v>512.20000000000005</v>
      </c>
    </row>
    <row r="1433" spans="1:5" x14ac:dyDescent="0.2">
      <c r="A1433" s="224"/>
      <c r="B1433" s="224">
        <v>1432</v>
      </c>
      <c r="C1433" s="224" t="s">
        <v>54</v>
      </c>
      <c r="D1433" s="224">
        <v>2587.1999999999998</v>
      </c>
      <c r="E1433" s="224">
        <v>689.63</v>
      </c>
    </row>
    <row r="1434" spans="1:5" x14ac:dyDescent="0.2">
      <c r="A1434" s="224"/>
      <c r="B1434" s="224">
        <v>1433</v>
      </c>
      <c r="C1434" s="224" t="s">
        <v>54</v>
      </c>
      <c r="D1434" s="224">
        <v>2650.8</v>
      </c>
      <c r="E1434" s="224">
        <v>313.11</v>
      </c>
    </row>
    <row r="1435" spans="1:5" x14ac:dyDescent="0.2">
      <c r="A1435" s="224"/>
      <c r="B1435" s="224">
        <v>1434</v>
      </c>
      <c r="C1435" s="224" t="s">
        <v>54</v>
      </c>
      <c r="D1435" s="224">
        <v>2619.1999999999998</v>
      </c>
      <c r="E1435" s="224">
        <v>357.71</v>
      </c>
    </row>
    <row r="1436" spans="1:5" x14ac:dyDescent="0.2">
      <c r="A1436" s="224"/>
      <c r="B1436" s="224">
        <v>1435</v>
      </c>
      <c r="C1436" s="224" t="s">
        <v>54</v>
      </c>
      <c r="D1436" s="224">
        <v>2447.1</v>
      </c>
      <c r="E1436" s="224">
        <v>371.1</v>
      </c>
    </row>
    <row r="1437" spans="1:5" x14ac:dyDescent="0.2">
      <c r="A1437" s="224"/>
      <c r="B1437" s="224">
        <v>1436</v>
      </c>
      <c r="C1437" s="224" t="s">
        <v>54</v>
      </c>
      <c r="D1437" s="224">
        <v>2346.8000000000002</v>
      </c>
      <c r="E1437" s="224">
        <v>389.99</v>
      </c>
    </row>
    <row r="1438" spans="1:5" x14ac:dyDescent="0.2">
      <c r="A1438" s="224"/>
      <c r="B1438" s="224">
        <v>1437</v>
      </c>
      <c r="C1438" s="224" t="s">
        <v>54</v>
      </c>
      <c r="D1438" s="224">
        <v>2378.1</v>
      </c>
      <c r="E1438" s="224">
        <v>507.99</v>
      </c>
    </row>
    <row r="1439" spans="1:5" x14ac:dyDescent="0.2">
      <c r="A1439" s="224"/>
      <c r="B1439" s="224">
        <v>1438</v>
      </c>
      <c r="C1439" s="224" t="s">
        <v>54</v>
      </c>
      <c r="D1439" s="224">
        <v>2495</v>
      </c>
      <c r="E1439" s="224">
        <v>681.71</v>
      </c>
    </row>
    <row r="1440" spans="1:5" x14ac:dyDescent="0.2">
      <c r="A1440" s="224"/>
      <c r="B1440" s="224">
        <v>1439</v>
      </c>
      <c r="C1440" s="224" t="s">
        <v>54</v>
      </c>
      <c r="D1440" s="224">
        <v>2650.8</v>
      </c>
      <c r="E1440" s="224">
        <v>313.11</v>
      </c>
    </row>
    <row r="1441" spans="1:5" x14ac:dyDescent="0.2">
      <c r="A1441" s="224"/>
      <c r="B1441" s="224">
        <v>1440</v>
      </c>
      <c r="C1441" s="224" t="s">
        <v>54</v>
      </c>
      <c r="D1441" s="224">
        <v>2604.6999999999998</v>
      </c>
      <c r="E1441" s="224">
        <v>358.1</v>
      </c>
    </row>
    <row r="1442" spans="1:5" x14ac:dyDescent="0.2">
      <c r="A1442" s="224"/>
      <c r="B1442" s="224">
        <v>1441</v>
      </c>
      <c r="C1442" s="224" t="s">
        <v>54</v>
      </c>
      <c r="D1442" s="224">
        <v>2393.1999999999998</v>
      </c>
      <c r="E1442" s="224">
        <v>370.47</v>
      </c>
    </row>
    <row r="1443" spans="1:5" x14ac:dyDescent="0.2">
      <c r="A1443" s="224"/>
      <c r="B1443" s="224">
        <v>1442</v>
      </c>
      <c r="C1443" s="224" t="s">
        <v>54</v>
      </c>
      <c r="D1443" s="224">
        <v>2272.8000000000002</v>
      </c>
      <c r="E1443" s="224">
        <v>387.12</v>
      </c>
    </row>
    <row r="1444" spans="1:5" x14ac:dyDescent="0.2">
      <c r="A1444" s="224"/>
      <c r="B1444" s="224">
        <v>1443</v>
      </c>
      <c r="C1444" s="224" t="s">
        <v>54</v>
      </c>
      <c r="D1444" s="224">
        <v>2295.6</v>
      </c>
      <c r="E1444" s="224">
        <v>503.63</v>
      </c>
    </row>
    <row r="1445" spans="1:5" x14ac:dyDescent="0.2">
      <c r="A1445" s="224"/>
      <c r="B1445" s="224">
        <v>1444</v>
      </c>
      <c r="C1445" s="224" t="s">
        <v>54</v>
      </c>
      <c r="D1445" s="224">
        <v>2407.6</v>
      </c>
      <c r="E1445" s="224">
        <v>673.71</v>
      </c>
    </row>
    <row r="1446" spans="1:5" x14ac:dyDescent="0.2">
      <c r="A1446" s="224"/>
      <c r="B1446" s="224">
        <v>1445</v>
      </c>
      <c r="C1446" s="224" t="s">
        <v>54</v>
      </c>
      <c r="D1446" s="224">
        <v>2650.8</v>
      </c>
      <c r="E1446" s="224">
        <v>313.11</v>
      </c>
    </row>
    <row r="1447" spans="1:5" x14ac:dyDescent="0.2">
      <c r="A1447" s="224"/>
      <c r="B1447" s="224">
        <v>1446</v>
      </c>
      <c r="C1447" s="224" t="s">
        <v>54</v>
      </c>
      <c r="D1447" s="224">
        <v>2589.9</v>
      </c>
      <c r="E1447" s="224">
        <v>358.54</v>
      </c>
    </row>
    <row r="1448" spans="1:5" x14ac:dyDescent="0.2">
      <c r="A1448" s="224"/>
      <c r="B1448" s="224">
        <v>1447</v>
      </c>
      <c r="C1448" s="224" t="s">
        <v>54</v>
      </c>
      <c r="D1448" s="224">
        <v>2339.8000000000002</v>
      </c>
      <c r="E1448" s="224">
        <v>369.79</v>
      </c>
    </row>
    <row r="1449" spans="1:5" x14ac:dyDescent="0.2">
      <c r="A1449" s="224"/>
      <c r="B1449" s="224">
        <v>1448</v>
      </c>
      <c r="C1449" s="224" t="s">
        <v>54</v>
      </c>
      <c r="D1449" s="224">
        <v>2200.9</v>
      </c>
      <c r="E1449" s="224">
        <v>384.08</v>
      </c>
    </row>
    <row r="1450" spans="1:5" x14ac:dyDescent="0.2">
      <c r="A1450" s="224"/>
      <c r="B1450" s="224">
        <v>1449</v>
      </c>
      <c r="C1450" s="224" t="s">
        <v>54</v>
      </c>
      <c r="D1450" s="224">
        <v>2216.9</v>
      </c>
      <c r="E1450" s="224">
        <v>499.13</v>
      </c>
    </row>
    <row r="1451" spans="1:5" x14ac:dyDescent="0.2">
      <c r="A1451" s="224"/>
      <c r="B1451" s="224">
        <v>1450</v>
      </c>
      <c r="C1451" s="224" t="s">
        <v>54</v>
      </c>
      <c r="D1451" s="224">
        <v>2324.9</v>
      </c>
      <c r="E1451" s="224">
        <v>665.66</v>
      </c>
    </row>
    <row r="1452" spans="1:5" x14ac:dyDescent="0.2">
      <c r="A1452" s="224"/>
      <c r="B1452" s="224">
        <v>1451</v>
      </c>
      <c r="C1452" s="224" t="s">
        <v>54</v>
      </c>
      <c r="D1452" s="224">
        <v>2650.8</v>
      </c>
      <c r="E1452" s="224">
        <v>313.11</v>
      </c>
    </row>
    <row r="1453" spans="1:5" x14ac:dyDescent="0.2">
      <c r="A1453" s="224"/>
      <c r="B1453" s="224">
        <v>1452</v>
      </c>
      <c r="C1453" s="224" t="s">
        <v>54</v>
      </c>
      <c r="D1453" s="224">
        <v>2574.8000000000002</v>
      </c>
      <c r="E1453" s="224">
        <v>359.02</v>
      </c>
    </row>
    <row r="1454" spans="1:5" x14ac:dyDescent="0.2">
      <c r="A1454" s="224"/>
      <c r="B1454" s="224">
        <v>1453</v>
      </c>
      <c r="C1454" s="224" t="s">
        <v>54</v>
      </c>
      <c r="D1454" s="224">
        <v>2286.8000000000002</v>
      </c>
      <c r="E1454" s="224">
        <v>369.04</v>
      </c>
    </row>
    <row r="1455" spans="1:5" x14ac:dyDescent="0.2">
      <c r="A1455" s="224"/>
      <c r="B1455" s="224">
        <v>1454</v>
      </c>
      <c r="C1455" s="224" t="s">
        <v>54</v>
      </c>
      <c r="D1455" s="224">
        <v>2131.1</v>
      </c>
      <c r="E1455" s="224">
        <v>380.86</v>
      </c>
    </row>
    <row r="1456" spans="1:5" x14ac:dyDescent="0.2">
      <c r="A1456" s="224"/>
      <c r="B1456" s="224">
        <v>1455</v>
      </c>
      <c r="C1456" s="224" t="s">
        <v>54</v>
      </c>
      <c r="D1456" s="224">
        <v>2141.6</v>
      </c>
      <c r="E1456" s="224">
        <v>494.53</v>
      </c>
    </row>
    <row r="1457" spans="1:5" x14ac:dyDescent="0.2">
      <c r="A1457" s="224"/>
      <c r="B1457" s="224">
        <v>1456</v>
      </c>
      <c r="C1457" s="224" t="s">
        <v>54</v>
      </c>
      <c r="D1457" s="224">
        <v>2246.5</v>
      </c>
      <c r="E1457" s="224">
        <v>657.56</v>
      </c>
    </row>
    <row r="1458" spans="1:5" x14ac:dyDescent="0.2">
      <c r="A1458" s="224"/>
      <c r="B1458" s="224">
        <v>1457</v>
      </c>
      <c r="C1458" s="224" t="s">
        <v>54</v>
      </c>
      <c r="D1458" s="224">
        <v>2650.8</v>
      </c>
      <c r="E1458" s="224">
        <v>313.11</v>
      </c>
    </row>
    <row r="1459" spans="1:5" x14ac:dyDescent="0.2">
      <c r="A1459" s="224"/>
      <c r="B1459" s="224">
        <v>1458</v>
      </c>
      <c r="C1459" s="224" t="s">
        <v>54</v>
      </c>
      <c r="D1459" s="224">
        <v>2559.4</v>
      </c>
      <c r="E1459" s="224">
        <v>359.56</v>
      </c>
    </row>
    <row r="1460" spans="1:5" x14ac:dyDescent="0.2">
      <c r="A1460" s="224"/>
      <c r="B1460" s="224">
        <v>1459</v>
      </c>
      <c r="C1460" s="224" t="s">
        <v>54</v>
      </c>
      <c r="D1460" s="224">
        <v>2234.1</v>
      </c>
      <c r="E1460" s="224">
        <v>368.24</v>
      </c>
    </row>
    <row r="1461" spans="1:5" x14ac:dyDescent="0.2">
      <c r="A1461" s="224"/>
      <c r="B1461" s="224">
        <v>1460</v>
      </c>
      <c r="C1461" s="224" t="s">
        <v>54</v>
      </c>
      <c r="D1461" s="224">
        <v>2063.3000000000002</v>
      </c>
      <c r="E1461" s="224">
        <v>377.47</v>
      </c>
    </row>
    <row r="1462" spans="1:5" x14ac:dyDescent="0.2">
      <c r="A1462" s="224"/>
      <c r="B1462" s="224">
        <v>1461</v>
      </c>
      <c r="C1462" s="224" t="s">
        <v>54</v>
      </c>
      <c r="D1462" s="224">
        <v>2069.6999999999998</v>
      </c>
      <c r="E1462" s="224">
        <v>489.85</v>
      </c>
    </row>
    <row r="1463" spans="1:5" x14ac:dyDescent="0.2">
      <c r="A1463" s="224"/>
      <c r="B1463" s="224">
        <v>1462</v>
      </c>
      <c r="C1463" s="224" t="s">
        <v>54</v>
      </c>
      <c r="D1463" s="224">
        <v>2172.1999999999998</v>
      </c>
      <c r="E1463" s="224">
        <v>649.46</v>
      </c>
    </row>
    <row r="1464" spans="1:5" x14ac:dyDescent="0.2">
      <c r="A1464" s="224"/>
      <c r="B1464" s="224">
        <v>1463</v>
      </c>
      <c r="C1464" s="224" t="s">
        <v>54</v>
      </c>
      <c r="D1464" s="224">
        <v>2650.8</v>
      </c>
      <c r="E1464" s="224">
        <v>313.11</v>
      </c>
    </row>
    <row r="1465" spans="1:5" x14ac:dyDescent="0.2">
      <c r="A1465" s="224"/>
      <c r="B1465" s="224">
        <v>1464</v>
      </c>
      <c r="C1465" s="224" t="s">
        <v>54</v>
      </c>
      <c r="D1465" s="224">
        <v>2543.8000000000002</v>
      </c>
      <c r="E1465" s="224">
        <v>360.16</v>
      </c>
    </row>
    <row r="1466" spans="1:5" x14ac:dyDescent="0.2">
      <c r="A1466" s="224"/>
      <c r="B1466" s="224">
        <v>1465</v>
      </c>
      <c r="C1466" s="224" t="s">
        <v>54</v>
      </c>
      <c r="D1466" s="224">
        <v>2181.9</v>
      </c>
      <c r="E1466" s="224">
        <v>367.38</v>
      </c>
    </row>
    <row r="1467" spans="1:5" x14ac:dyDescent="0.2">
      <c r="A1467" s="224"/>
      <c r="B1467" s="224">
        <v>1466</v>
      </c>
      <c r="C1467" s="224" t="s">
        <v>54</v>
      </c>
      <c r="D1467" s="224">
        <v>1997.6</v>
      </c>
      <c r="E1467" s="224">
        <v>373.94</v>
      </c>
    </row>
    <row r="1468" spans="1:5" x14ac:dyDescent="0.2">
      <c r="A1468" s="224"/>
      <c r="B1468" s="224">
        <v>1467</v>
      </c>
      <c r="C1468" s="224" t="s">
        <v>54</v>
      </c>
      <c r="D1468" s="224">
        <v>2001.1</v>
      </c>
      <c r="E1468" s="224">
        <v>485.11</v>
      </c>
    </row>
    <row r="1469" spans="1:5" x14ac:dyDescent="0.2">
      <c r="A1469" s="224"/>
      <c r="B1469" s="224">
        <v>1468</v>
      </c>
      <c r="C1469" s="224" t="s">
        <v>54</v>
      </c>
      <c r="D1469" s="224">
        <v>2101.6</v>
      </c>
      <c r="E1469" s="224">
        <v>641.36</v>
      </c>
    </row>
    <row r="1470" spans="1:5" x14ac:dyDescent="0.2">
      <c r="A1470" s="224"/>
      <c r="B1470" s="224">
        <v>1469</v>
      </c>
      <c r="C1470" s="224" t="s">
        <v>54</v>
      </c>
      <c r="D1470" s="224">
        <v>2650.8</v>
      </c>
      <c r="E1470" s="224">
        <v>313.11</v>
      </c>
    </row>
    <row r="1471" spans="1:5" x14ac:dyDescent="0.2">
      <c r="A1471" s="224"/>
      <c r="B1471" s="224">
        <v>1470</v>
      </c>
      <c r="C1471" s="224" t="s">
        <v>54</v>
      </c>
      <c r="D1471" s="224">
        <v>2527.9</v>
      </c>
      <c r="E1471" s="224">
        <v>360.82</v>
      </c>
    </row>
    <row r="1472" spans="1:5" x14ac:dyDescent="0.2">
      <c r="A1472" s="224"/>
      <c r="B1472" s="224">
        <v>1471</v>
      </c>
      <c r="C1472" s="224" t="s">
        <v>54</v>
      </c>
      <c r="D1472" s="224">
        <v>2130.1</v>
      </c>
      <c r="E1472" s="224">
        <v>366.46</v>
      </c>
    </row>
    <row r="1473" spans="1:5" x14ac:dyDescent="0.2">
      <c r="A1473" s="224"/>
      <c r="B1473" s="224">
        <v>1472</v>
      </c>
      <c r="C1473" s="224" t="s">
        <v>54</v>
      </c>
      <c r="D1473" s="224">
        <v>1933.8</v>
      </c>
      <c r="E1473" s="224">
        <v>370.26</v>
      </c>
    </row>
    <row r="1474" spans="1:5" x14ac:dyDescent="0.2">
      <c r="A1474" s="224"/>
      <c r="B1474" s="224">
        <v>1473</v>
      </c>
      <c r="C1474" s="224" t="s">
        <v>54</v>
      </c>
      <c r="D1474" s="224">
        <v>1935.4</v>
      </c>
      <c r="E1474" s="224">
        <v>480.32</v>
      </c>
    </row>
    <row r="1475" spans="1:5" x14ac:dyDescent="0.2">
      <c r="A1475" s="224"/>
      <c r="B1475" s="224">
        <v>1474</v>
      </c>
      <c r="C1475" s="224" t="s">
        <v>54</v>
      </c>
      <c r="D1475" s="224">
        <v>2034.5</v>
      </c>
      <c r="E1475" s="224">
        <v>633.28</v>
      </c>
    </row>
    <row r="1476" spans="1:5" x14ac:dyDescent="0.2">
      <c r="A1476" s="224"/>
      <c r="B1476" s="224">
        <v>1475</v>
      </c>
      <c r="C1476" s="224" t="s">
        <v>54</v>
      </c>
      <c r="D1476" s="224">
        <v>2650.8</v>
      </c>
      <c r="E1476" s="224">
        <v>313.11</v>
      </c>
    </row>
    <row r="1477" spans="1:5" x14ac:dyDescent="0.2">
      <c r="A1477" s="224"/>
      <c r="B1477" s="224">
        <v>1476</v>
      </c>
      <c r="C1477" s="224" t="s">
        <v>54</v>
      </c>
      <c r="D1477" s="224">
        <v>2511.6999999999998</v>
      </c>
      <c r="E1477" s="224">
        <v>361.54</v>
      </c>
    </row>
    <row r="1478" spans="1:5" x14ac:dyDescent="0.2">
      <c r="A1478" s="224"/>
      <c r="B1478" s="224">
        <v>1477</v>
      </c>
      <c r="C1478" s="224" t="s">
        <v>54</v>
      </c>
      <c r="D1478" s="224">
        <v>2078.6999999999998</v>
      </c>
      <c r="E1478" s="224">
        <v>365.47</v>
      </c>
    </row>
    <row r="1479" spans="1:5" x14ac:dyDescent="0.2">
      <c r="A1479" s="224"/>
      <c r="B1479" s="224">
        <v>1478</v>
      </c>
      <c r="C1479" s="224" t="s">
        <v>54</v>
      </c>
      <c r="D1479" s="224">
        <v>1872</v>
      </c>
      <c r="E1479" s="224">
        <v>366.44</v>
      </c>
    </row>
    <row r="1480" spans="1:5" x14ac:dyDescent="0.2">
      <c r="A1480" s="224"/>
      <c r="B1480" s="224">
        <v>1479</v>
      </c>
      <c r="C1480" s="224" t="s">
        <v>54</v>
      </c>
      <c r="D1480" s="224">
        <v>1872.8</v>
      </c>
      <c r="E1480" s="224">
        <v>475.52</v>
      </c>
    </row>
    <row r="1481" spans="1:5" x14ac:dyDescent="0.2">
      <c r="A1481" s="224"/>
      <c r="B1481" s="224">
        <v>1480</v>
      </c>
      <c r="C1481" s="224" t="s">
        <v>54</v>
      </c>
      <c r="D1481" s="224">
        <v>1970.6</v>
      </c>
      <c r="E1481" s="224">
        <v>625.23</v>
      </c>
    </row>
    <row r="1482" spans="1:5" x14ac:dyDescent="0.2">
      <c r="A1482" s="224"/>
      <c r="B1482" s="224">
        <v>1481</v>
      </c>
      <c r="C1482" s="224" t="s">
        <v>54</v>
      </c>
      <c r="D1482" s="224">
        <v>2650.8</v>
      </c>
      <c r="E1482" s="224">
        <v>313.11</v>
      </c>
    </row>
    <row r="1483" spans="1:5" x14ac:dyDescent="0.2">
      <c r="A1483" s="224"/>
      <c r="B1483" s="224">
        <v>1482</v>
      </c>
      <c r="C1483" s="224" t="s">
        <v>54</v>
      </c>
      <c r="D1483" s="224">
        <v>2495.1999999999998</v>
      </c>
      <c r="E1483" s="224">
        <v>362.33</v>
      </c>
    </row>
    <row r="1484" spans="1:5" x14ac:dyDescent="0.2">
      <c r="A1484" s="224"/>
      <c r="B1484" s="224">
        <v>1483</v>
      </c>
      <c r="C1484" s="224" t="s">
        <v>54</v>
      </c>
      <c r="D1484" s="224">
        <v>2027.8</v>
      </c>
      <c r="E1484" s="224">
        <v>364.42</v>
      </c>
    </row>
    <row r="1485" spans="1:5" x14ac:dyDescent="0.2">
      <c r="A1485" s="224"/>
      <c r="B1485" s="224">
        <v>1484</v>
      </c>
      <c r="C1485" s="224" t="s">
        <v>54</v>
      </c>
      <c r="D1485" s="224">
        <v>1812.1</v>
      </c>
      <c r="E1485" s="224">
        <v>362.51</v>
      </c>
    </row>
    <row r="1486" spans="1:5" x14ac:dyDescent="0.2">
      <c r="A1486" s="224"/>
      <c r="B1486" s="224">
        <v>1485</v>
      </c>
      <c r="C1486" s="224" t="s">
        <v>54</v>
      </c>
      <c r="D1486" s="224">
        <v>1812.9</v>
      </c>
      <c r="E1486" s="224">
        <v>470.72</v>
      </c>
    </row>
    <row r="1487" spans="1:5" x14ac:dyDescent="0.2">
      <c r="A1487" s="224"/>
      <c r="B1487" s="224">
        <v>1486</v>
      </c>
      <c r="C1487" s="224" t="s">
        <v>54</v>
      </c>
      <c r="D1487" s="224">
        <v>1909.8</v>
      </c>
      <c r="E1487" s="224">
        <v>617.22</v>
      </c>
    </row>
    <row r="1488" spans="1:5" x14ac:dyDescent="0.2">
      <c r="A1488" s="224"/>
      <c r="B1488" s="224">
        <v>1487</v>
      </c>
      <c r="C1488" s="224" t="s">
        <v>54</v>
      </c>
      <c r="D1488" s="224">
        <v>2650.8</v>
      </c>
      <c r="E1488" s="224">
        <v>313.11</v>
      </c>
    </row>
    <row r="1489" spans="1:5" x14ac:dyDescent="0.2">
      <c r="A1489" s="224"/>
      <c r="B1489" s="224">
        <v>1488</v>
      </c>
      <c r="C1489" s="224" t="s">
        <v>54</v>
      </c>
      <c r="D1489" s="224">
        <v>2478.4</v>
      </c>
      <c r="E1489" s="224">
        <v>363.2</v>
      </c>
    </row>
    <row r="1490" spans="1:5" x14ac:dyDescent="0.2">
      <c r="A1490" s="224"/>
      <c r="B1490" s="224">
        <v>1489</v>
      </c>
      <c r="C1490" s="224" t="s">
        <v>54</v>
      </c>
      <c r="D1490" s="224">
        <v>1977.3</v>
      </c>
      <c r="E1490" s="224">
        <v>363.3</v>
      </c>
    </row>
    <row r="1491" spans="1:5" x14ac:dyDescent="0.2">
      <c r="A1491" s="224"/>
      <c r="B1491" s="224">
        <v>1490</v>
      </c>
      <c r="C1491" s="224" t="s">
        <v>54</v>
      </c>
      <c r="D1491" s="224">
        <v>1754</v>
      </c>
      <c r="E1491" s="224">
        <v>358.47</v>
      </c>
    </row>
    <row r="1492" spans="1:5" x14ac:dyDescent="0.2">
      <c r="A1492" s="224"/>
      <c r="B1492" s="224">
        <v>1491</v>
      </c>
      <c r="C1492" s="224" t="s">
        <v>54</v>
      </c>
      <c r="D1492" s="224">
        <v>1755.6</v>
      </c>
      <c r="E1492" s="224">
        <v>465.93</v>
      </c>
    </row>
    <row r="1493" spans="1:5" x14ac:dyDescent="0.2">
      <c r="A1493" s="224"/>
      <c r="B1493" s="224">
        <v>1492</v>
      </c>
      <c r="C1493" s="224" t="s">
        <v>54</v>
      </c>
      <c r="D1493" s="224">
        <v>1851.7</v>
      </c>
      <c r="E1493" s="224">
        <v>609.27</v>
      </c>
    </row>
  </sheetData>
  <phoneticPr fontId="32" type="noConversion"/>
  <pageMargins left="0.75" right="0.75" top="1" bottom="1" header="0.5" footer="0.5"/>
  <pageSetup orientation="portrait" horizontalDpi="0" verticalDpi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2:AA149"/>
  <sheetViews>
    <sheetView topLeftCell="A15" workbookViewId="0">
      <selection activeCell="A84" sqref="A84"/>
    </sheetView>
  </sheetViews>
  <sheetFormatPr baseColWidth="10" defaultColWidth="8.83203125" defaultRowHeight="13" x14ac:dyDescent="0.15"/>
  <sheetData>
    <row r="2" spans="1:27" x14ac:dyDescent="0.15">
      <c r="B2" t="s">
        <v>104</v>
      </c>
      <c r="H2" t="s">
        <v>105</v>
      </c>
      <c r="N2">
        <v>1000</v>
      </c>
      <c r="T2" s="21"/>
    </row>
    <row r="3" spans="1:27" x14ac:dyDescent="0.15">
      <c r="B3" t="s">
        <v>128</v>
      </c>
      <c r="C3" t="s">
        <v>127</v>
      </c>
      <c r="E3" t="s">
        <v>348</v>
      </c>
      <c r="H3" t="s">
        <v>128</v>
      </c>
      <c r="I3" t="s">
        <v>127</v>
      </c>
      <c r="N3" s="21" t="s">
        <v>107</v>
      </c>
      <c r="O3" s="21" t="s">
        <v>140</v>
      </c>
      <c r="Q3" s="21" t="s">
        <v>140</v>
      </c>
      <c r="R3" s="21" t="s">
        <v>110</v>
      </c>
      <c r="T3" s="21" t="s">
        <v>270</v>
      </c>
      <c r="U3" s="21" t="s">
        <v>132</v>
      </c>
      <c r="W3" s="21" t="s">
        <v>270</v>
      </c>
      <c r="X3" s="21" t="s">
        <v>110</v>
      </c>
      <c r="Z3" s="21" t="s">
        <v>108</v>
      </c>
      <c r="AA3" s="21" t="s">
        <v>109</v>
      </c>
    </row>
    <row r="4" spans="1:27" x14ac:dyDescent="0.15">
      <c r="A4">
        <v>1982</v>
      </c>
      <c r="B4" t="e">
        <f>SUMPRODUCT(pm.rep!B388:P388,Summary!$E$263:$S$263)*Residuals!H4</f>
        <v>#REF!</v>
      </c>
      <c r="C4">
        <f>SUMPRODUCT(B85:P85,B107:P107)</f>
        <v>409451.43763013091</v>
      </c>
      <c r="D4" t="e">
        <f t="shared" ref="D4:D23" si="0">B4-C4</f>
        <v>#REF!</v>
      </c>
      <c r="E4">
        <f>SUMPRODUCT(E129:P129,E85:P85)</f>
        <v>4398.1161740212256</v>
      </c>
      <c r="H4">
        <f t="array" ref="H4:H28">TRANSPOSE(pm.rep!B504:Z504)</f>
        <v>12818.7</v>
      </c>
      <c r="I4">
        <f t="array" ref="I4:I28">TRANSPOSE(pm.rep!B502:Z502)</f>
        <v>6310.33</v>
      </c>
      <c r="J4">
        <f t="shared" ref="J4:J28" si="1">H4-I4</f>
        <v>6508.3700000000008</v>
      </c>
      <c r="M4">
        <v>1982</v>
      </c>
      <c r="N4" s="31">
        <v>2855.5389999999998</v>
      </c>
      <c r="Q4">
        <f t="shared" ref="Q4:Q23" si="2">C4</f>
        <v>409451.43763013091</v>
      </c>
      <c r="T4">
        <f t="shared" ref="T4:T23" si="3">H4</f>
        <v>12818.7</v>
      </c>
      <c r="W4">
        <f t="shared" ref="W4:W23" si="4">I4</f>
        <v>6310.33</v>
      </c>
      <c r="Z4">
        <f>SUM(pm.rep!G81:P81)</f>
        <v>1021.9348399999999</v>
      </c>
      <c r="AA4">
        <f>SUM(pm.rep!D81:F81)</f>
        <v>19881.72</v>
      </c>
    </row>
    <row r="5" spans="1:27" x14ac:dyDescent="0.15">
      <c r="A5">
        <v>1983</v>
      </c>
      <c r="B5" t="e">
        <f>SUMPRODUCT(pm.rep!B389:P389,Summary!$E$263:$S$263)*Residuals!H5</f>
        <v>#REF!</v>
      </c>
      <c r="C5">
        <f t="shared" ref="C5:C23" si="5">SUMPRODUCT(B86:P86,B108:P108)</f>
        <v>598441.75230581523</v>
      </c>
      <c r="D5" t="e">
        <f t="shared" si="0"/>
        <v>#REF!</v>
      </c>
      <c r="E5">
        <f t="shared" ref="E5:E23" si="6">SUMPRODUCT(E130:P130,E86:P86)</f>
        <v>5256.7141077437091</v>
      </c>
      <c r="H5">
        <v>15926.6</v>
      </c>
      <c r="I5">
        <v>6929.87</v>
      </c>
      <c r="J5">
        <f t="shared" si="1"/>
        <v>8996.73</v>
      </c>
      <c r="M5">
        <v>1983</v>
      </c>
      <c r="N5" s="31">
        <v>6242.98</v>
      </c>
      <c r="O5" s="23">
        <f>(N5-N4)/N4</f>
        <v>1.1862702628120296</v>
      </c>
      <c r="Q5">
        <f t="shared" si="2"/>
        <v>598441.75230581523</v>
      </c>
      <c r="R5" s="23">
        <f>(Q5-Q4)/Q4</f>
        <v>0.46156954722040722</v>
      </c>
      <c r="T5">
        <f t="shared" si="3"/>
        <v>15926.6</v>
      </c>
      <c r="U5" s="23">
        <f t="shared" ref="U5:U23" si="7">(T5-T4)/T4</f>
        <v>0.24245048249822521</v>
      </c>
      <c r="W5">
        <f t="shared" si="4"/>
        <v>6929.87</v>
      </c>
      <c r="X5" s="23">
        <f>(W5-W4)/W4</f>
        <v>9.8178700638476904E-2</v>
      </c>
      <c r="Z5">
        <f>SUM(pm.rep!G82:P82)</f>
        <v>2004.3154399999999</v>
      </c>
      <c r="AA5">
        <f>SUM(pm.rep!D82:F82)</f>
        <v>19745.89</v>
      </c>
    </row>
    <row r="6" spans="1:27" x14ac:dyDescent="0.15">
      <c r="A6">
        <v>1984</v>
      </c>
      <c r="B6" t="e">
        <f>SUMPRODUCT(pm.rep!B390:P390,Summary!$E$263:$S$263)*Residuals!H6</f>
        <v>#REF!</v>
      </c>
      <c r="C6">
        <f t="shared" si="5"/>
        <v>533452.62536940747</v>
      </c>
      <c r="D6" t="e">
        <f t="shared" si="0"/>
        <v>#REF!</v>
      </c>
      <c r="E6">
        <f t="shared" si="6"/>
        <v>5968.5571113469023</v>
      </c>
      <c r="H6">
        <v>10877.4</v>
      </c>
      <c r="I6">
        <v>5254.46</v>
      </c>
      <c r="J6">
        <f t="shared" si="1"/>
        <v>5622.94</v>
      </c>
      <c r="M6">
        <v>1984</v>
      </c>
      <c r="N6" s="31">
        <v>4893.5360000000001</v>
      </c>
      <c r="O6" s="23">
        <f t="shared" ref="O6:O23" si="8">(N6-N5)/N5</f>
        <v>-0.21615382397508875</v>
      </c>
      <c r="Q6">
        <f t="shared" si="2"/>
        <v>533452.62536940747</v>
      </c>
      <c r="R6" s="23">
        <f t="shared" ref="R6:R23" si="9">(Q6-Q5)/Q5</f>
        <v>-0.10859724724420142</v>
      </c>
      <c r="T6">
        <f t="shared" si="3"/>
        <v>10877.4</v>
      </c>
      <c r="U6" s="23">
        <f t="shared" si="7"/>
        <v>-0.3170293722451748</v>
      </c>
      <c r="W6">
        <f t="shared" si="4"/>
        <v>5254.46</v>
      </c>
      <c r="X6" s="23">
        <f t="shared" ref="X6:X23" si="10">(W6-W5)/W5</f>
        <v>-0.2417664400630892</v>
      </c>
      <c r="Z6">
        <f>SUM(pm.rep!G83:P83)</f>
        <v>5609.8260599999976</v>
      </c>
      <c r="AA6">
        <f>SUM(pm.rep!D83:F83)</f>
        <v>13210.689999999999</v>
      </c>
    </row>
    <row r="7" spans="1:27" x14ac:dyDescent="0.15">
      <c r="A7">
        <v>1985</v>
      </c>
      <c r="B7" t="e">
        <f>SUMPRODUCT(pm.rep!B391:P391,Summary!$E$263:$S$263)*Residuals!H7</f>
        <v>#REF!</v>
      </c>
      <c r="C7">
        <f t="shared" si="5"/>
        <v>642651.59927058732</v>
      </c>
      <c r="D7" t="e">
        <f t="shared" si="0"/>
        <v>#REF!</v>
      </c>
      <c r="E7">
        <f t="shared" si="6"/>
        <v>5985.2214654494537</v>
      </c>
      <c r="H7">
        <v>15166.2</v>
      </c>
      <c r="I7">
        <v>6348.25</v>
      </c>
      <c r="J7">
        <f t="shared" si="1"/>
        <v>8817.9500000000007</v>
      </c>
      <c r="M7">
        <v>1985</v>
      </c>
      <c r="N7" s="31">
        <v>4630.1109999999999</v>
      </c>
      <c r="O7" s="23">
        <f t="shared" si="8"/>
        <v>-5.3831217344676767E-2</v>
      </c>
      <c r="Q7">
        <f t="shared" si="2"/>
        <v>642651.59927058732</v>
      </c>
      <c r="R7" s="23">
        <f t="shared" si="9"/>
        <v>0.20470228977795601</v>
      </c>
      <c r="T7">
        <f t="shared" si="3"/>
        <v>15166.2</v>
      </c>
      <c r="U7" s="23">
        <f t="shared" si="7"/>
        <v>0.39428539908434013</v>
      </c>
      <c r="W7">
        <f t="shared" si="4"/>
        <v>6348.25</v>
      </c>
      <c r="X7" s="23">
        <f t="shared" si="10"/>
        <v>0.20816411201151022</v>
      </c>
      <c r="Z7">
        <f>SUM(pm.rep!G84:P84)</f>
        <v>5562.2809200000002</v>
      </c>
      <c r="AA7">
        <f>SUM(pm.rep!D84:F84)</f>
        <v>20334.260000000002</v>
      </c>
    </row>
    <row r="8" spans="1:27" x14ac:dyDescent="0.15">
      <c r="A8">
        <v>1986</v>
      </c>
      <c r="B8" t="e">
        <f>SUMPRODUCT(pm.rep!B392:P392,Summary!$E$263:$S$263)*Residuals!H8</f>
        <v>#REF!</v>
      </c>
      <c r="C8">
        <f t="shared" si="5"/>
        <v>581182.67139085056</v>
      </c>
      <c r="D8" t="e">
        <f t="shared" si="0"/>
        <v>#REF!</v>
      </c>
      <c r="E8">
        <f t="shared" si="6"/>
        <v>7135.222631145748</v>
      </c>
      <c r="H8">
        <v>9997.84</v>
      </c>
      <c r="I8">
        <v>5121.55</v>
      </c>
      <c r="J8">
        <f t="shared" si="1"/>
        <v>4876.29</v>
      </c>
      <c r="M8">
        <v>1986</v>
      </c>
      <c r="N8" s="31">
        <v>4896.78</v>
      </c>
      <c r="O8" s="23">
        <f t="shared" si="8"/>
        <v>5.7594515552650868E-2</v>
      </c>
      <c r="Q8">
        <f t="shared" si="2"/>
        <v>581182.67139085056</v>
      </c>
      <c r="R8" s="23">
        <f t="shared" si="9"/>
        <v>-9.5648914512162245E-2</v>
      </c>
      <c r="T8">
        <f t="shared" si="3"/>
        <v>9997.84</v>
      </c>
      <c r="U8" s="23">
        <f t="shared" si="7"/>
        <v>-0.34078147459482272</v>
      </c>
      <c r="W8">
        <f t="shared" si="4"/>
        <v>5121.55</v>
      </c>
      <c r="X8" s="23">
        <f t="shared" si="10"/>
        <v>-0.19323435592486116</v>
      </c>
      <c r="Z8">
        <f>SUM(pm.rep!G85:P85)</f>
        <v>5911.3140899999989</v>
      </c>
      <c r="AA8">
        <f>SUM(pm.rep!D85:F85)</f>
        <v>15218.710000000001</v>
      </c>
    </row>
    <row r="9" spans="1:27" x14ac:dyDescent="0.15">
      <c r="A9">
        <v>1987</v>
      </c>
      <c r="B9" t="e">
        <f>SUMPRODUCT(pm.rep!B393:P393,Summary!$E$263:$S$263)*Residuals!H9</f>
        <v>#REF!</v>
      </c>
      <c r="C9">
        <f t="shared" si="5"/>
        <v>693129.95123601309</v>
      </c>
      <c r="D9" t="e">
        <f t="shared" si="0"/>
        <v>#REF!</v>
      </c>
      <c r="E9">
        <f t="shared" si="6"/>
        <v>6075.9534598607033</v>
      </c>
      <c r="H9">
        <v>12858.9</v>
      </c>
      <c r="I9">
        <v>7347.19</v>
      </c>
      <c r="J9">
        <f t="shared" si="1"/>
        <v>5511.71</v>
      </c>
      <c r="M9">
        <v>1987</v>
      </c>
      <c r="N9" s="31">
        <v>5108.0349999999999</v>
      </c>
      <c r="O9" s="23">
        <f t="shared" si="8"/>
        <v>4.3141615510600868E-2</v>
      </c>
      <c r="Q9">
        <f t="shared" si="2"/>
        <v>693129.95123601309</v>
      </c>
      <c r="R9" s="23">
        <f t="shared" si="9"/>
        <v>0.1926197826532873</v>
      </c>
      <c r="T9">
        <f t="shared" si="3"/>
        <v>12858.9</v>
      </c>
      <c r="U9" s="23">
        <f t="shared" si="7"/>
        <v>0.28616781224744542</v>
      </c>
      <c r="W9">
        <f t="shared" si="4"/>
        <v>7347.19</v>
      </c>
      <c r="X9" s="23">
        <f t="shared" si="10"/>
        <v>0.434563755113198</v>
      </c>
      <c r="Z9">
        <f>SUM(pm.rep!G86:P86)</f>
        <v>5037.1254299999991</v>
      </c>
      <c r="AA9">
        <f>SUM(pm.rep!D86:F86)</f>
        <v>18044.73</v>
      </c>
    </row>
    <row r="10" spans="1:27" x14ac:dyDescent="0.15">
      <c r="A10">
        <v>1988</v>
      </c>
      <c r="B10" t="e">
        <f>SUMPRODUCT(pm.rep!B394:P394,Summary!$E$263:$S$263)*Residuals!H10</f>
        <v>#REF!</v>
      </c>
      <c r="C10">
        <f t="shared" si="5"/>
        <v>809870.60656418861</v>
      </c>
      <c r="D10" t="e">
        <f t="shared" si="0"/>
        <v>#REF!</v>
      </c>
      <c r="E10">
        <f t="shared" si="6"/>
        <v>6498.0456430705271</v>
      </c>
      <c r="H10">
        <v>18892.400000000001</v>
      </c>
      <c r="I10">
        <v>8657.6</v>
      </c>
      <c r="J10">
        <f t="shared" si="1"/>
        <v>10234.800000000001</v>
      </c>
      <c r="M10">
        <v>1988</v>
      </c>
      <c r="N10" s="31">
        <v>7107.2579999999998</v>
      </c>
      <c r="O10" s="23">
        <f t="shared" si="8"/>
        <v>0.3913878820329148</v>
      </c>
      <c r="Q10">
        <f t="shared" si="2"/>
        <v>809870.60656418861</v>
      </c>
      <c r="R10" s="23">
        <f t="shared" si="9"/>
        <v>0.16842535100380468</v>
      </c>
      <c r="T10">
        <f t="shared" si="3"/>
        <v>18892.400000000001</v>
      </c>
      <c r="U10" s="23">
        <f t="shared" si="7"/>
        <v>0.46920809711561656</v>
      </c>
      <c r="W10">
        <f t="shared" si="4"/>
        <v>8657.6</v>
      </c>
      <c r="X10" s="23">
        <f t="shared" si="10"/>
        <v>0.17835526235200136</v>
      </c>
      <c r="Z10">
        <f>SUM(pm.rep!G87:P87)</f>
        <v>7782.2972099999997</v>
      </c>
      <c r="AA10">
        <f>SUM(pm.rep!D87:F87)</f>
        <v>11966.73</v>
      </c>
    </row>
    <row r="11" spans="1:27" x14ac:dyDescent="0.15">
      <c r="A11">
        <v>1989</v>
      </c>
      <c r="B11" t="e">
        <f>SUMPRODUCT(pm.rep!B395:P395,Summary!$E$263:$S$263)*Residuals!H11</f>
        <v>#REF!</v>
      </c>
      <c r="C11">
        <f t="shared" si="5"/>
        <v>773673.73001507192</v>
      </c>
      <c r="D11" t="e">
        <f t="shared" si="0"/>
        <v>#REF!</v>
      </c>
      <c r="E11">
        <f t="shared" si="6"/>
        <v>5739.8186594915896</v>
      </c>
      <c r="H11">
        <v>15757.8</v>
      </c>
      <c r="I11">
        <v>7786.73</v>
      </c>
      <c r="J11">
        <f t="shared" si="1"/>
        <v>7971.07</v>
      </c>
      <c r="M11">
        <v>1989</v>
      </c>
      <c r="N11" s="31">
        <v>5927.1869999999999</v>
      </c>
      <c r="O11" s="23">
        <f t="shared" si="8"/>
        <v>-0.16603745072994394</v>
      </c>
      <c r="Q11">
        <f t="shared" si="2"/>
        <v>773673.73001507192</v>
      </c>
      <c r="R11" s="23">
        <f t="shared" si="9"/>
        <v>-4.4694641657238361E-2</v>
      </c>
      <c r="T11">
        <f t="shared" si="3"/>
        <v>15757.8</v>
      </c>
      <c r="U11" s="23">
        <f t="shared" si="7"/>
        <v>-0.16591857043043773</v>
      </c>
      <c r="W11">
        <f t="shared" si="4"/>
        <v>7786.73</v>
      </c>
      <c r="X11" s="23">
        <f t="shared" si="10"/>
        <v>-0.10059023285899103</v>
      </c>
      <c r="Z11">
        <f>SUM(pm.rep!G88:P88)</f>
        <v>6027.9680899999994</v>
      </c>
      <c r="AA11">
        <f>SUM(pm.rep!D88:F88)</f>
        <v>9080.75</v>
      </c>
    </row>
    <row r="12" spans="1:27" x14ac:dyDescent="0.15">
      <c r="A12">
        <v>1990</v>
      </c>
      <c r="B12" t="e">
        <f>SUMPRODUCT(pm.rep!B396:P396,Summary!$E$263:$S$263)*Residuals!H12</f>
        <v>#REF!</v>
      </c>
      <c r="C12">
        <f t="shared" si="5"/>
        <v>654221.17273256101</v>
      </c>
      <c r="D12" t="e">
        <f t="shared" si="0"/>
        <v>#REF!</v>
      </c>
      <c r="E12">
        <f t="shared" si="6"/>
        <v>4574.7192946108089</v>
      </c>
      <c r="H12">
        <v>15785.4</v>
      </c>
      <c r="I12">
        <v>5958.58</v>
      </c>
      <c r="J12">
        <f t="shared" si="1"/>
        <v>9826.82</v>
      </c>
      <c r="M12">
        <v>1990</v>
      </c>
      <c r="N12" s="31">
        <v>7125.2959999999994</v>
      </c>
      <c r="O12" s="23">
        <f t="shared" si="8"/>
        <v>0.20213787754629634</v>
      </c>
      <c r="Q12">
        <f t="shared" si="2"/>
        <v>654221.17273256101</v>
      </c>
      <c r="R12" s="23">
        <f t="shared" si="9"/>
        <v>-0.15439655328633667</v>
      </c>
      <c r="T12">
        <f t="shared" si="3"/>
        <v>15785.4</v>
      </c>
      <c r="U12" s="23">
        <f t="shared" si="7"/>
        <v>1.7515135361535472E-3</v>
      </c>
      <c r="W12">
        <f t="shared" si="4"/>
        <v>5958.58</v>
      </c>
      <c r="X12" s="23">
        <f t="shared" si="10"/>
        <v>-0.23477762809292216</v>
      </c>
      <c r="Z12">
        <f>SUM(pm.rep!G89:P89)</f>
        <v>6549.7492000000011</v>
      </c>
      <c r="AA12">
        <f>SUM(pm.rep!D89:F89)</f>
        <v>4651.2</v>
      </c>
    </row>
    <row r="13" spans="1:27" x14ac:dyDescent="0.15">
      <c r="A13">
        <v>1991</v>
      </c>
      <c r="B13" t="e">
        <f>SUMPRODUCT(pm.rep!B397:P397,Summary!$E$263:$S$263)*Residuals!H13</f>
        <v>#REF!</v>
      </c>
      <c r="C13">
        <f t="shared" si="5"/>
        <v>478665.517152171</v>
      </c>
      <c r="D13" t="e">
        <f t="shared" si="0"/>
        <v>#REF!</v>
      </c>
      <c r="E13">
        <f t="shared" si="6"/>
        <v>3347.6030241465278</v>
      </c>
      <c r="H13">
        <v>8479.68</v>
      </c>
      <c r="I13">
        <v>4226.82</v>
      </c>
      <c r="J13">
        <f t="shared" si="1"/>
        <v>4252.8600000000006</v>
      </c>
      <c r="M13">
        <v>1991</v>
      </c>
      <c r="N13" s="31">
        <v>5105.2240000000002</v>
      </c>
      <c r="O13" s="23">
        <f t="shared" si="8"/>
        <v>-0.28350709921384309</v>
      </c>
      <c r="Q13">
        <f t="shared" si="2"/>
        <v>478665.517152171</v>
      </c>
      <c r="R13" s="23">
        <f t="shared" si="9"/>
        <v>-0.26834297466577928</v>
      </c>
      <c r="T13">
        <f t="shared" si="3"/>
        <v>8479.68</v>
      </c>
      <c r="U13" s="23">
        <f t="shared" si="7"/>
        <v>-0.46281500627161803</v>
      </c>
      <c r="W13">
        <f t="shared" si="4"/>
        <v>4226.82</v>
      </c>
      <c r="X13" s="23">
        <f t="shared" si="10"/>
        <v>-0.2906330031651837</v>
      </c>
      <c r="Z13">
        <f>SUM(pm.rep!G90:P90)</f>
        <v>4770.8797000000004</v>
      </c>
      <c r="AA13">
        <f>SUM(pm.rep!D90:F90)</f>
        <v>4799.7529999999997</v>
      </c>
    </row>
    <row r="14" spans="1:27" x14ac:dyDescent="0.15">
      <c r="A14">
        <v>1992</v>
      </c>
      <c r="B14" t="e">
        <f>SUMPRODUCT(pm.rep!B398:P398,Summary!$E$263:$S$263)*Residuals!H14</f>
        <v>#REF!</v>
      </c>
      <c r="C14">
        <f t="shared" si="5"/>
        <v>418352.05995033728</v>
      </c>
      <c r="D14" t="e">
        <f t="shared" si="0"/>
        <v>#REF!</v>
      </c>
      <c r="E14">
        <f t="shared" si="6"/>
        <v>2788.2562249856569</v>
      </c>
      <c r="H14">
        <v>8325.0300000000007</v>
      </c>
      <c r="I14">
        <v>3952.03</v>
      </c>
      <c r="J14">
        <f t="shared" si="1"/>
        <v>4373</v>
      </c>
      <c r="M14">
        <v>1992</v>
      </c>
      <c r="N14" s="31">
        <v>4367.87</v>
      </c>
      <c r="O14" s="23">
        <f t="shared" si="8"/>
        <v>-0.14443127275120549</v>
      </c>
      <c r="Q14">
        <f t="shared" si="2"/>
        <v>418352.05995033728</v>
      </c>
      <c r="R14" s="23">
        <f t="shared" si="9"/>
        <v>-0.12600334688963957</v>
      </c>
      <c r="T14">
        <f t="shared" si="3"/>
        <v>8325.0300000000007</v>
      </c>
      <c r="U14" s="23">
        <f t="shared" si="7"/>
        <v>-1.8237716517604394E-2</v>
      </c>
      <c r="W14">
        <f t="shared" si="4"/>
        <v>3952.03</v>
      </c>
      <c r="X14" s="23">
        <f t="shared" si="10"/>
        <v>-6.501104849508603E-2</v>
      </c>
      <c r="Z14">
        <f>SUM(pm.rep!G91:P91)</f>
        <v>3151.8391000000006</v>
      </c>
      <c r="AA14">
        <f>SUM(pm.rep!D91:F91)</f>
        <v>15282.819</v>
      </c>
    </row>
    <row r="15" spans="1:27" x14ac:dyDescent="0.15">
      <c r="A15">
        <v>1993</v>
      </c>
      <c r="B15" t="e">
        <f>SUMPRODUCT(pm.rep!B399:P399,Summary!$E$263:$S$263)*Residuals!H15</f>
        <v>#REF!</v>
      </c>
      <c r="C15">
        <f t="shared" si="5"/>
        <v>443875.78507784376</v>
      </c>
      <c r="D15" t="e">
        <f t="shared" si="0"/>
        <v>#REF!</v>
      </c>
      <c r="E15">
        <f t="shared" si="6"/>
        <v>5005.28863170778</v>
      </c>
      <c r="H15">
        <v>10213.1</v>
      </c>
      <c r="I15">
        <v>4540.47</v>
      </c>
      <c r="J15">
        <f t="shared" si="1"/>
        <v>5672.63</v>
      </c>
      <c r="M15">
        <v>1993</v>
      </c>
      <c r="N15" s="31">
        <v>5520.8919999999998</v>
      </c>
      <c r="O15" s="23">
        <f t="shared" si="8"/>
        <v>0.2639780945861484</v>
      </c>
      <c r="Q15">
        <f t="shared" si="2"/>
        <v>443875.78507784376</v>
      </c>
      <c r="R15" s="23">
        <f t="shared" si="9"/>
        <v>6.1010157642193537E-2</v>
      </c>
      <c r="T15">
        <f t="shared" si="3"/>
        <v>10213.1</v>
      </c>
      <c r="U15" s="23">
        <f t="shared" si="7"/>
        <v>0.2267943779181576</v>
      </c>
      <c r="W15">
        <f t="shared" si="4"/>
        <v>4540.47</v>
      </c>
      <c r="X15" s="23">
        <f t="shared" si="10"/>
        <v>0.14889563085300467</v>
      </c>
      <c r="Z15">
        <f>SUM(pm.rep!G92:P92)</f>
        <v>1936.1712999999997</v>
      </c>
      <c r="AA15">
        <f>SUM(pm.rep!D92:F92)</f>
        <v>16639.07</v>
      </c>
    </row>
    <row r="16" spans="1:27" x14ac:dyDescent="0.15">
      <c r="A16">
        <v>1994</v>
      </c>
      <c r="B16" t="e">
        <f>SUMPRODUCT(pm.rep!B400:P400,Summary!$E$263:$S$263)*Residuals!H16</f>
        <v>#REF!</v>
      </c>
      <c r="C16">
        <f t="shared" si="5"/>
        <v>467316.80165866431</v>
      </c>
      <c r="D16" t="e">
        <f t="shared" si="0"/>
        <v>#REF!</v>
      </c>
      <c r="E16">
        <f t="shared" si="6"/>
        <v>5583.54552902454</v>
      </c>
      <c r="H16">
        <v>10042.799999999999</v>
      </c>
      <c r="I16">
        <v>4557.5</v>
      </c>
      <c r="J16">
        <f t="shared" si="1"/>
        <v>5485.2999999999993</v>
      </c>
      <c r="M16">
        <v>1994</v>
      </c>
      <c r="N16" s="31">
        <v>4977.0190000000002</v>
      </c>
      <c r="O16" s="23">
        <f t="shared" si="8"/>
        <v>-9.8511798455756722E-2</v>
      </c>
      <c r="Q16">
        <f t="shared" si="2"/>
        <v>467316.80165866431</v>
      </c>
      <c r="R16" s="23">
        <f t="shared" si="9"/>
        <v>5.2809856651021482E-2</v>
      </c>
      <c r="T16">
        <f t="shared" si="3"/>
        <v>10042.799999999999</v>
      </c>
      <c r="U16" s="23">
        <f t="shared" si="7"/>
        <v>-1.6674662932900011E-2</v>
      </c>
      <c r="W16">
        <f t="shared" si="4"/>
        <v>4557.5</v>
      </c>
      <c r="X16" s="23">
        <f t="shared" si="10"/>
        <v>3.7507130319107372E-3</v>
      </c>
      <c r="Z16">
        <f>SUM(pm.rep!G93:P93)</f>
        <v>1952.8109999999999</v>
      </c>
      <c r="AA16">
        <f>SUM(pm.rep!D93:F93)</f>
        <v>16107.630000000001</v>
      </c>
    </row>
    <row r="17" spans="1:27" x14ac:dyDescent="0.15">
      <c r="A17">
        <v>1995</v>
      </c>
      <c r="B17" t="e">
        <f>SUMPRODUCT(pm.rep!B401:P401,Summary!$E$263:$S$263)*Residuals!H17</f>
        <v>#REF!</v>
      </c>
      <c r="C17">
        <f t="shared" si="5"/>
        <v>349358.01551553758</v>
      </c>
      <c r="D17" t="e">
        <f t="shared" si="0"/>
        <v>#REF!</v>
      </c>
      <c r="E17">
        <f t="shared" si="6"/>
        <v>4901.7170482983538</v>
      </c>
      <c r="H17">
        <v>13415.1</v>
      </c>
      <c r="I17">
        <v>3458.3</v>
      </c>
      <c r="J17">
        <f t="shared" si="1"/>
        <v>9956.7999999999993</v>
      </c>
      <c r="M17">
        <v>1995</v>
      </c>
      <c r="N17" s="31">
        <v>5411.9</v>
      </c>
      <c r="O17" s="23">
        <f t="shared" si="8"/>
        <v>8.7377805871345762E-2</v>
      </c>
      <c r="Q17">
        <f t="shared" si="2"/>
        <v>349358.01551553758</v>
      </c>
      <c r="R17" s="23">
        <f t="shared" si="9"/>
        <v>-0.25241717337029479</v>
      </c>
      <c r="T17">
        <f t="shared" si="3"/>
        <v>13415.1</v>
      </c>
      <c r="U17" s="23">
        <f t="shared" si="7"/>
        <v>0.335792806786952</v>
      </c>
      <c r="W17">
        <f t="shared" si="4"/>
        <v>3458.3</v>
      </c>
      <c r="X17" s="23">
        <f t="shared" si="10"/>
        <v>-0.24118486012068016</v>
      </c>
      <c r="Z17">
        <f>SUM(pm.rep!G94:P94)</f>
        <v>4412.828300000001</v>
      </c>
      <c r="AA17">
        <f>SUM(pm.rep!D94:F94)</f>
        <v>19566.16</v>
      </c>
    </row>
    <row r="18" spans="1:27" x14ac:dyDescent="0.15">
      <c r="A18">
        <v>1996</v>
      </c>
      <c r="B18" t="e">
        <f>SUMPRODUCT(pm.rep!B402:P402,Summary!$E$263:$S$263)*Residuals!H18</f>
        <v>#REF!</v>
      </c>
      <c r="C18">
        <f t="shared" si="5"/>
        <v>293419.6502915732</v>
      </c>
      <c r="D18" t="e">
        <f t="shared" si="0"/>
        <v>#REF!</v>
      </c>
      <c r="E18">
        <f t="shared" si="6"/>
        <v>5925.0955490066854</v>
      </c>
      <c r="H18">
        <v>6213.77</v>
      </c>
      <c r="I18">
        <v>2700.03</v>
      </c>
      <c r="J18">
        <f t="shared" si="1"/>
        <v>3513.7400000000002</v>
      </c>
      <c r="M18">
        <v>1996</v>
      </c>
      <c r="N18" s="31">
        <v>3204.1059999999998</v>
      </c>
      <c r="O18" s="23">
        <f t="shared" si="8"/>
        <v>-0.40795173598920897</v>
      </c>
      <c r="Q18">
        <f t="shared" si="2"/>
        <v>293419.6502915732</v>
      </c>
      <c r="R18" s="23">
        <f t="shared" si="9"/>
        <v>-0.16011759495890698</v>
      </c>
      <c r="T18">
        <f t="shared" si="3"/>
        <v>6213.77</v>
      </c>
      <c r="U18" s="23">
        <f t="shared" si="7"/>
        <v>-0.53680777631176801</v>
      </c>
      <c r="W18">
        <f t="shared" si="4"/>
        <v>2700.03</v>
      </c>
      <c r="X18" s="23">
        <f t="shared" si="10"/>
        <v>-0.21926090853887747</v>
      </c>
      <c r="Z18">
        <f>SUM(pm.rep!G95:P95)</f>
        <v>4465.3987999999999</v>
      </c>
      <c r="AA18">
        <f>SUM(pm.rep!D95:F95)</f>
        <v>16023.320000000002</v>
      </c>
    </row>
    <row r="19" spans="1:27" x14ac:dyDescent="0.15">
      <c r="A19">
        <v>1997</v>
      </c>
      <c r="B19" t="e">
        <f>SUMPRODUCT(pm.rep!B403:P403,Summary!$E$263:$S$263)*Residuals!H19</f>
        <v>#REF!</v>
      </c>
      <c r="C19">
        <f t="shared" si="5"/>
        <v>344645.65385829099</v>
      </c>
      <c r="D19" t="e">
        <f t="shared" si="0"/>
        <v>#REF!</v>
      </c>
      <c r="E19">
        <f t="shared" si="6"/>
        <v>5628.0630542870385</v>
      </c>
      <c r="H19">
        <v>8496.35</v>
      </c>
      <c r="I19">
        <v>3356.55</v>
      </c>
      <c r="J19">
        <f t="shared" si="1"/>
        <v>5139.8</v>
      </c>
      <c r="M19">
        <v>1997</v>
      </c>
      <c r="N19" s="31">
        <v>3031.5569999999998</v>
      </c>
      <c r="O19" s="23">
        <f t="shared" si="8"/>
        <v>-5.3852463058338268E-2</v>
      </c>
      <c r="Q19">
        <f t="shared" si="2"/>
        <v>344645.65385829099</v>
      </c>
      <c r="R19" s="23">
        <f t="shared" si="9"/>
        <v>0.17458272994264065</v>
      </c>
      <c r="T19">
        <f t="shared" si="3"/>
        <v>8496.35</v>
      </c>
      <c r="U19" s="23">
        <f t="shared" si="7"/>
        <v>0.36734220931898021</v>
      </c>
      <c r="W19">
        <f t="shared" si="4"/>
        <v>3356.55</v>
      </c>
      <c r="X19" s="23">
        <f t="shared" si="10"/>
        <v>0.24315285385717933</v>
      </c>
      <c r="Z19">
        <f>SUM(pm.rep!G96:P96)</f>
        <v>4478.4228000000003</v>
      </c>
      <c r="AA19">
        <f>SUM(pm.rep!D96:F96)</f>
        <v>12232.439999999999</v>
      </c>
    </row>
    <row r="20" spans="1:27" x14ac:dyDescent="0.15">
      <c r="A20">
        <v>1998</v>
      </c>
      <c r="B20" t="e">
        <f>SUMPRODUCT(pm.rep!B404:P404,Summary!$E$263:$S$263)*Residuals!H20</f>
        <v>#REF!</v>
      </c>
      <c r="C20">
        <f t="shared" si="5"/>
        <v>304118.8439711004</v>
      </c>
      <c r="D20" t="e">
        <f t="shared" si="0"/>
        <v>#REF!</v>
      </c>
      <c r="E20">
        <f t="shared" si="6"/>
        <v>4784.0336433894972</v>
      </c>
      <c r="H20">
        <v>6296.36</v>
      </c>
      <c r="I20">
        <v>2952.98</v>
      </c>
      <c r="J20">
        <f t="shared" si="1"/>
        <v>3343.3799999999997</v>
      </c>
      <c r="M20">
        <v>1998</v>
      </c>
      <c r="N20" s="31">
        <v>2212.6960000000004</v>
      </c>
      <c r="O20" s="23">
        <f t="shared" si="8"/>
        <v>-0.27011235480645734</v>
      </c>
      <c r="Q20">
        <f t="shared" si="2"/>
        <v>304118.8439711004</v>
      </c>
      <c r="R20" s="23">
        <f t="shared" si="9"/>
        <v>-0.11758978949391921</v>
      </c>
      <c r="T20">
        <f t="shared" si="3"/>
        <v>6296.36</v>
      </c>
      <c r="U20" s="23">
        <f t="shared" si="7"/>
        <v>-0.25893354205040997</v>
      </c>
      <c r="W20">
        <f t="shared" si="4"/>
        <v>2952.98</v>
      </c>
      <c r="X20" s="23">
        <f t="shared" si="10"/>
        <v>-0.1202335731629203</v>
      </c>
      <c r="Z20">
        <f>SUM(pm.rep!G97:P97)</f>
        <v>6930.4457000000002</v>
      </c>
      <c r="AA20">
        <f>SUM(pm.rep!D97:F97)</f>
        <v>10072.98</v>
      </c>
    </row>
    <row r="21" spans="1:27" x14ac:dyDescent="0.15">
      <c r="A21">
        <v>1999</v>
      </c>
      <c r="B21" t="e">
        <f>SUMPRODUCT(pm.rep!B405:P405,Summary!$E$263:$S$263)*Residuals!H21</f>
        <v>#REF!</v>
      </c>
      <c r="C21">
        <f t="shared" si="5"/>
        <v>441212.84471394378</v>
      </c>
      <c r="D21" t="e">
        <f t="shared" si="0"/>
        <v>#REF!</v>
      </c>
      <c r="E21">
        <f t="shared" si="6"/>
        <v>4791.5174388633795</v>
      </c>
      <c r="H21">
        <v>9138.4500000000007</v>
      </c>
      <c r="I21">
        <v>4515.58</v>
      </c>
      <c r="J21">
        <f t="shared" si="1"/>
        <v>4622.8700000000008</v>
      </c>
      <c r="M21">
        <v>1999</v>
      </c>
      <c r="N21" s="31">
        <v>3567.0829999999996</v>
      </c>
      <c r="O21" s="23">
        <f t="shared" si="8"/>
        <v>0.61209809210121913</v>
      </c>
      <c r="Q21">
        <f t="shared" si="2"/>
        <v>441212.84471394378</v>
      </c>
      <c r="R21" s="23">
        <f t="shared" si="9"/>
        <v>0.45079087817350461</v>
      </c>
      <c r="T21">
        <f t="shared" si="3"/>
        <v>9138.4500000000007</v>
      </c>
      <c r="U21" s="23">
        <f t="shared" si="7"/>
        <v>0.45138619773964661</v>
      </c>
      <c r="W21">
        <f t="shared" si="4"/>
        <v>4515.58</v>
      </c>
      <c r="X21" s="23">
        <f t="shared" si="10"/>
        <v>0.52916037358871371</v>
      </c>
      <c r="Z21">
        <f>SUM(pm.rep!G98:P98)</f>
        <v>5597.4690800000008</v>
      </c>
      <c r="AA21">
        <f>SUM(pm.rep!D98:F98)</f>
        <v>13754.19</v>
      </c>
    </row>
    <row r="22" spans="1:27" x14ac:dyDescent="0.15">
      <c r="A22">
        <v>2000</v>
      </c>
      <c r="B22" t="e">
        <f>SUMPRODUCT(pm.rep!B406:P406,Summary!$E$263:$S$263)*Residuals!H22</f>
        <v>#REF!</v>
      </c>
      <c r="C22">
        <f t="shared" si="5"/>
        <v>445146.91644109401</v>
      </c>
      <c r="D22" t="e">
        <f t="shared" si="0"/>
        <v>#REF!</v>
      </c>
      <c r="E22">
        <f t="shared" si="6"/>
        <v>5238.1512241181117</v>
      </c>
      <c r="H22">
        <v>11305.7</v>
      </c>
      <c r="I22">
        <v>4539.2</v>
      </c>
      <c r="J22">
        <f t="shared" si="1"/>
        <v>6766.5000000000009</v>
      </c>
      <c r="M22">
        <v>2000</v>
      </c>
      <c r="N22" s="31">
        <v>5134.616</v>
      </c>
      <c r="O22" s="23">
        <f t="shared" si="8"/>
        <v>0.43944393780576468</v>
      </c>
      <c r="Q22">
        <f t="shared" si="2"/>
        <v>445146.91644109401</v>
      </c>
      <c r="R22" s="23">
        <f t="shared" si="9"/>
        <v>8.9164941009386416E-3</v>
      </c>
      <c r="T22">
        <f t="shared" si="3"/>
        <v>11305.7</v>
      </c>
      <c r="U22" s="23">
        <f t="shared" si="7"/>
        <v>0.23715728597300414</v>
      </c>
      <c r="W22">
        <f t="shared" si="4"/>
        <v>4539.2</v>
      </c>
      <c r="X22" s="23">
        <f t="shared" si="10"/>
        <v>5.2307787703904903E-3</v>
      </c>
      <c r="Z22">
        <f>SUM(pm.rep!G99:P99)</f>
        <v>4395.0109099999991</v>
      </c>
      <c r="AA22">
        <f>SUM(pm.rep!D99:F99)</f>
        <v>12696.09</v>
      </c>
    </row>
    <row r="23" spans="1:27" x14ac:dyDescent="0.15">
      <c r="A23">
        <v>2001</v>
      </c>
      <c r="B23" t="e">
        <f>SUMPRODUCT(pm.rep!B407:P407,Summary!$E$263:$S$263)*Residuals!H23</f>
        <v>#REF!</v>
      </c>
      <c r="C23">
        <f t="shared" si="5"/>
        <v>406275.96682256862</v>
      </c>
      <c r="D23" t="e">
        <f t="shared" si="0"/>
        <v>#REF!</v>
      </c>
      <c r="E23">
        <f t="shared" si="6"/>
        <v>4925.7396244259453</v>
      </c>
      <c r="H23">
        <v>8144.45</v>
      </c>
      <c r="I23">
        <v>3840.49</v>
      </c>
      <c r="J23">
        <f t="shared" si="1"/>
        <v>4303.96</v>
      </c>
      <c r="M23">
        <v>2001</v>
      </c>
      <c r="N23" s="31">
        <v>4139.3509999999997</v>
      </c>
      <c r="O23" s="23">
        <f t="shared" si="8"/>
        <v>-0.19383435879138777</v>
      </c>
      <c r="Q23">
        <f t="shared" si="2"/>
        <v>406275.96682256862</v>
      </c>
      <c r="R23" s="23">
        <f t="shared" si="9"/>
        <v>-8.7321619408924203E-2</v>
      </c>
      <c r="T23">
        <f t="shared" si="3"/>
        <v>8144.45</v>
      </c>
      <c r="U23" s="23">
        <f t="shared" si="7"/>
        <v>-0.27961559213494086</v>
      </c>
      <c r="W23">
        <f t="shared" si="4"/>
        <v>3840.49</v>
      </c>
      <c r="X23" s="23">
        <f t="shared" si="10"/>
        <v>-0.15392800493479028</v>
      </c>
      <c r="Z23">
        <f>SUM(pm.rep!G100:P100)</f>
        <v>4494.3961200000003</v>
      </c>
      <c r="AA23">
        <f>SUM(pm.rep!D100:F100)</f>
        <v>11126.2</v>
      </c>
    </row>
    <row r="24" spans="1:27" x14ac:dyDescent="0.15">
      <c r="A24">
        <v>2002</v>
      </c>
      <c r="B24" t="e">
        <f>SUMPRODUCT(pm.rep!B408:P408,Summary!$E$263:$S$263)*Residuals!H24</f>
        <v>#REF!</v>
      </c>
      <c r="C24">
        <f>SUMPRODUCT(B105:P105,B127:P127)</f>
        <v>486287.88966882566</v>
      </c>
      <c r="D24" t="e">
        <f>B24-C24</f>
        <v>#REF!</v>
      </c>
      <c r="E24">
        <f>SUMPRODUCT(E149:P149,E105:P105)</f>
        <v>5187.4356461651905</v>
      </c>
      <c r="H24">
        <v>9537.39</v>
      </c>
      <c r="I24">
        <v>3759.51</v>
      </c>
      <c r="J24">
        <f t="shared" si="1"/>
        <v>5777.8799999999992</v>
      </c>
      <c r="M24">
        <v>2002</v>
      </c>
      <c r="N24" s="31">
        <v>4820</v>
      </c>
      <c r="Q24">
        <f>C24</f>
        <v>486287.88966882566</v>
      </c>
      <c r="R24" s="23">
        <f>(Q24-Q23)/Q23</f>
        <v>0.19693983740170473</v>
      </c>
      <c r="T24">
        <f>H24</f>
        <v>9537.39</v>
      </c>
      <c r="U24" s="23">
        <f t="shared" ref="U24:U29" si="11">(T24-T23)/T23</f>
        <v>0.17102935127602228</v>
      </c>
      <c r="W24">
        <f>I24</f>
        <v>3759.51</v>
      </c>
      <c r="X24" s="23">
        <f t="shared" ref="X24:X29" si="12">(W24-W23)/W23</f>
        <v>-2.1085851024218151E-2</v>
      </c>
      <c r="Z24">
        <f>SUM(pm.rep!G101:P101)</f>
        <v>4899.2724500000004</v>
      </c>
      <c r="AA24">
        <f>SUM(pm.rep!D101:F101)</f>
        <v>11849.710000000001</v>
      </c>
    </row>
    <row r="25" spans="1:27" x14ac:dyDescent="0.15">
      <c r="A25">
        <v>2003</v>
      </c>
      <c r="B25" t="e">
        <f>SUMPRODUCT(pm.rep!B409:P409,Summary!$E$263:$S$263)*Residuals!H25</f>
        <v>#REF!</v>
      </c>
      <c r="C25">
        <f>SUMPRODUCT(B106:P106,B128:P128)</f>
        <v>0</v>
      </c>
      <c r="D25" t="e">
        <f>B25-C25</f>
        <v>#REF!</v>
      </c>
      <c r="E25">
        <f>SUMPRODUCT(E150:P150,E106:P106)</f>
        <v>0</v>
      </c>
      <c r="H25">
        <v>15526.5</v>
      </c>
      <c r="I25">
        <v>2772.96</v>
      </c>
      <c r="J25">
        <f t="shared" si="1"/>
        <v>12753.54</v>
      </c>
      <c r="N25" s="31"/>
      <c r="Q25">
        <f>C25</f>
        <v>0</v>
      </c>
      <c r="R25" s="23">
        <f>(Q25-Q24)/Q24</f>
        <v>-1</v>
      </c>
      <c r="T25">
        <f>H25</f>
        <v>15526.5</v>
      </c>
      <c r="U25" s="23">
        <f t="shared" si="11"/>
        <v>0.62796110885682566</v>
      </c>
      <c r="W25">
        <f>I25</f>
        <v>2772.96</v>
      </c>
      <c r="X25" s="23">
        <f t="shared" si="12"/>
        <v>-0.26241451678543215</v>
      </c>
      <c r="Z25">
        <f>SUM(pm.rep!G102:P102)</f>
        <v>3817.569</v>
      </c>
      <c r="AA25">
        <f>SUM(pm.rep!D102:F102)</f>
        <v>16296.93</v>
      </c>
    </row>
    <row r="26" spans="1:27" x14ac:dyDescent="0.15">
      <c r="A26">
        <v>2004</v>
      </c>
      <c r="B26" t="e">
        <f>SUMPRODUCT(pm.rep!B410:P410,Summary!$E$263:$S$263)*Residuals!H26</f>
        <v>#REF!</v>
      </c>
      <c r="C26">
        <f>SUMPRODUCT(B107:P107,B129:P129)</f>
        <v>9479660098.6678734</v>
      </c>
      <c r="D26" t="e">
        <f>B26-C26</f>
        <v>#REF!</v>
      </c>
      <c r="E26">
        <f>SUMPRODUCT(E151:P151,E107:P107)</f>
        <v>0</v>
      </c>
      <c r="H26">
        <v>6744.19</v>
      </c>
      <c r="I26">
        <v>3243.85</v>
      </c>
      <c r="J26">
        <f t="shared" si="1"/>
        <v>3500.3399999999997</v>
      </c>
      <c r="N26" s="31"/>
      <c r="Q26">
        <f>C29</f>
        <v>0</v>
      </c>
      <c r="R26" s="23" t="e">
        <f>(Q26-Q25)/Q25</f>
        <v>#DIV/0!</v>
      </c>
      <c r="T26">
        <f>H29</f>
        <v>0</v>
      </c>
      <c r="U26" s="23">
        <f t="shared" si="11"/>
        <v>-1</v>
      </c>
      <c r="W26">
        <f>I29</f>
        <v>0</v>
      </c>
      <c r="X26" s="23">
        <f t="shared" si="12"/>
        <v>-1</v>
      </c>
      <c r="Z26">
        <f>SUM(pm.rep!G103:P103)</f>
        <v>3290.7849999999999</v>
      </c>
      <c r="AA26">
        <f>SUM(pm.rep!D103:F103)</f>
        <v>16054.51</v>
      </c>
    </row>
    <row r="27" spans="1:27" x14ac:dyDescent="0.15">
      <c r="A27">
        <v>2005</v>
      </c>
      <c r="B27" t="e">
        <f>SUMPRODUCT(pm.rep!B411:P411,Summary!$E$263:$S$263)*Residuals!H27</f>
        <v>#REF!</v>
      </c>
      <c r="C27">
        <f>SUMPRODUCT(B108:P108,B130:P130)</f>
        <v>20635650355.857643</v>
      </c>
      <c r="D27" t="e">
        <f>B27-C27</f>
        <v>#REF!</v>
      </c>
      <c r="E27">
        <f>SUMPRODUCT(E152:P152,E108:P108)</f>
        <v>0</v>
      </c>
      <c r="H27">
        <v>10345.6</v>
      </c>
      <c r="I27">
        <v>4133.6499999999996</v>
      </c>
      <c r="J27">
        <f t="shared" si="1"/>
        <v>6211.9500000000007</v>
      </c>
      <c r="Q27">
        <f>C30</f>
        <v>504423.18009838741</v>
      </c>
      <c r="R27" s="23" t="e">
        <f>(Q27-Q26)/Q26</f>
        <v>#DIV/0!</v>
      </c>
      <c r="T27">
        <f>H30</f>
        <v>11407.601500000001</v>
      </c>
      <c r="U27" s="23" t="e">
        <f t="shared" si="11"/>
        <v>#DIV/0!</v>
      </c>
      <c r="W27">
        <f>I30</f>
        <v>5117.7255000000005</v>
      </c>
      <c r="X27" s="23" t="e">
        <f t="shared" si="12"/>
        <v>#DIV/0!</v>
      </c>
      <c r="Z27">
        <f>SUM(pm.rep!G104:P104)</f>
        <v>3855.1623999999997</v>
      </c>
      <c r="AA27">
        <f>SUM(pm.rep!D104:F104)</f>
        <v>12428.5</v>
      </c>
    </row>
    <row r="28" spans="1:27" x14ac:dyDescent="0.15">
      <c r="A28">
        <v>2006</v>
      </c>
      <c r="B28" t="e">
        <f>SUMPRODUCT(pm.rep!B412:P412,Summary!$E$263:$S$263)*Residuals!H28</f>
        <v>#REF!</v>
      </c>
      <c r="C28">
        <f>SUMPRODUCT(B109:P109,B131:P131)</f>
        <v>5220735574.7939081</v>
      </c>
      <c r="D28" t="e">
        <f>B28-C28</f>
        <v>#REF!</v>
      </c>
      <c r="E28">
        <f>SUMPRODUCT(E153:P153,E109:P109)</f>
        <v>0</v>
      </c>
      <c r="H28">
        <v>5056.71</v>
      </c>
      <c r="I28">
        <v>2635.86</v>
      </c>
      <c r="J28">
        <f t="shared" si="1"/>
        <v>2420.85</v>
      </c>
      <c r="Q28">
        <f>C31</f>
        <v>150790.83865124878</v>
      </c>
      <c r="R28" s="23">
        <f>(Q28-Q27)/Q27</f>
        <v>-0.70106282859198277</v>
      </c>
      <c r="T28">
        <f>H31</f>
        <v>3537.7971303359686</v>
      </c>
      <c r="U28" s="23">
        <f t="shared" si="11"/>
        <v>-0.68987371005763409</v>
      </c>
      <c r="W28">
        <f>I31</f>
        <v>1671.5256626223218</v>
      </c>
      <c r="X28" s="23">
        <f t="shared" si="12"/>
        <v>-0.67338504915468378</v>
      </c>
      <c r="Z28">
        <f>SUM(pm.rep!G105:P105)</f>
        <v>4463.605599999999</v>
      </c>
      <c r="AA28">
        <f>SUM(pm.rep!D105:F105)</f>
        <v>7457.46</v>
      </c>
    </row>
    <row r="29" spans="1:27" x14ac:dyDescent="0.15">
      <c r="T29">
        <f>H32</f>
        <v>0</v>
      </c>
      <c r="U29" s="23">
        <f t="shared" si="11"/>
        <v>-1</v>
      </c>
      <c r="W29">
        <f>I32</f>
        <v>0</v>
      </c>
      <c r="X29" s="23">
        <f t="shared" si="12"/>
        <v>-1</v>
      </c>
    </row>
    <row r="30" spans="1:27" x14ac:dyDescent="0.15">
      <c r="B30" t="e">
        <f>AVERAGE(B4:B23)</f>
        <v>#REF!</v>
      </c>
      <c r="C30">
        <f>AVERAGE(C4:C23)</f>
        <v>504423.18009838741</v>
      </c>
      <c r="D30" t="e">
        <f>AVERAGE(D4:D23)</f>
        <v>#REF!</v>
      </c>
      <c r="H30">
        <f>AVERAGE(H4:H23)</f>
        <v>11407.601500000001</v>
      </c>
      <c r="I30">
        <f>AVERAGE(I4:I23)</f>
        <v>5117.7255000000005</v>
      </c>
      <c r="J30">
        <f>AVERAGE(J4:J23)</f>
        <v>6289.8760000000011</v>
      </c>
    </row>
    <row r="31" spans="1:27" x14ac:dyDescent="0.15">
      <c r="B31" t="e">
        <f>STDEV(B4:B23)</f>
        <v>#REF!</v>
      </c>
      <c r="C31">
        <f>STDEV(C4:C23)</f>
        <v>150790.83865124878</v>
      </c>
      <c r="D31" t="e">
        <f>STDEV(D4:D23)</f>
        <v>#REF!</v>
      </c>
      <c r="H31">
        <f>STDEV(H4:H23)</f>
        <v>3537.7971303359686</v>
      </c>
      <c r="I31">
        <f>STDEV(I4:I23)</f>
        <v>1671.5256626223218</v>
      </c>
      <c r="J31">
        <f>STDEV(J4:J23)</f>
        <v>2232.2191002733693</v>
      </c>
    </row>
    <row r="33" spans="1:10" x14ac:dyDescent="0.15">
      <c r="A33" t="s">
        <v>106</v>
      </c>
      <c r="B33" t="s">
        <v>104</v>
      </c>
      <c r="H33" t="s">
        <v>105</v>
      </c>
    </row>
    <row r="34" spans="1:10" x14ac:dyDescent="0.15">
      <c r="A34" t="s">
        <v>106</v>
      </c>
      <c r="B34" t="s">
        <v>128</v>
      </c>
      <c r="C34" t="s">
        <v>127</v>
      </c>
      <c r="D34" t="s">
        <v>140</v>
      </c>
      <c r="H34" t="s">
        <v>128</v>
      </c>
      <c r="I34" t="s">
        <v>127</v>
      </c>
      <c r="J34" t="s">
        <v>270</v>
      </c>
    </row>
    <row r="35" spans="1:10" x14ac:dyDescent="0.15">
      <c r="A35">
        <v>1982</v>
      </c>
      <c r="B35" t="e">
        <f t="shared" ref="B35:D54" si="13">(B4-B$30)/B$31</f>
        <v>#REF!</v>
      </c>
      <c r="C35">
        <f t="shared" si="13"/>
        <v>-0.62982435350670418</v>
      </c>
      <c r="D35" t="e">
        <f t="shared" si="13"/>
        <v>#REF!</v>
      </c>
      <c r="H35">
        <f t="shared" ref="H35:J54" si="14">(H4-H$30)/H$31</f>
        <v>0.39886360014826355</v>
      </c>
      <c r="I35">
        <f t="shared" si="14"/>
        <v>0.7134826145169787</v>
      </c>
      <c r="J35">
        <f t="shared" si="14"/>
        <v>9.7881968653185408E-2</v>
      </c>
    </row>
    <row r="36" spans="1:10" x14ac:dyDescent="0.15">
      <c r="A36">
        <v>1983</v>
      </c>
      <c r="B36" t="e">
        <f t="shared" si="13"/>
        <v>#REF!</v>
      </c>
      <c r="C36">
        <f t="shared" si="13"/>
        <v>0.62350321178911483</v>
      </c>
      <c r="D36" t="e">
        <f t="shared" si="13"/>
        <v>#REF!</v>
      </c>
      <c r="H36">
        <f t="shared" si="14"/>
        <v>1.2773481162191036</v>
      </c>
      <c r="I36">
        <f t="shared" si="14"/>
        <v>1.0841260415691567</v>
      </c>
      <c r="J36">
        <f t="shared" si="14"/>
        <v>1.2126291723193763</v>
      </c>
    </row>
    <row r="37" spans="1:10" x14ac:dyDescent="0.15">
      <c r="A37">
        <v>1984</v>
      </c>
      <c r="B37" t="e">
        <f t="shared" si="13"/>
        <v>#REF!</v>
      </c>
      <c r="C37">
        <f t="shared" si="13"/>
        <v>0.19251464830804327</v>
      </c>
      <c r="D37" t="e">
        <f t="shared" si="13"/>
        <v>#REF!</v>
      </c>
      <c r="H37">
        <f t="shared" si="14"/>
        <v>-0.14986769463223862</v>
      </c>
      <c r="I37">
        <f t="shared" si="14"/>
        <v>8.1802214023736761E-2</v>
      </c>
      <c r="J37">
        <f t="shared" si="14"/>
        <v>-0.29877712269298518</v>
      </c>
    </row>
    <row r="38" spans="1:10" x14ac:dyDescent="0.15">
      <c r="A38">
        <v>1985</v>
      </c>
      <c r="B38" t="e">
        <f t="shared" si="13"/>
        <v>#REF!</v>
      </c>
      <c r="C38">
        <f t="shared" si="13"/>
        <v>0.91668976980688188</v>
      </c>
      <c r="D38" t="e">
        <f t="shared" si="13"/>
        <v>#REF!</v>
      </c>
      <c r="H38">
        <f t="shared" si="14"/>
        <v>1.0624121060449452</v>
      </c>
      <c r="I38">
        <f t="shared" si="14"/>
        <v>0.73616847621084613</v>
      </c>
      <c r="J38">
        <f t="shared" si="14"/>
        <v>1.1325384679713557</v>
      </c>
    </row>
    <row r="39" spans="1:10" x14ac:dyDescent="0.15">
      <c r="A39">
        <v>1986</v>
      </c>
      <c r="B39" t="e">
        <f t="shared" si="13"/>
        <v>#REF!</v>
      </c>
      <c r="C39">
        <f t="shared" si="13"/>
        <v>0.50904611963856505</v>
      </c>
      <c r="D39" t="e">
        <f t="shared" si="13"/>
        <v>#REF!</v>
      </c>
      <c r="H39">
        <f t="shared" si="14"/>
        <v>-0.39848568136130569</v>
      </c>
      <c r="I39">
        <f t="shared" si="14"/>
        <v>2.2880294843931779E-3</v>
      </c>
      <c r="J39">
        <f t="shared" si="14"/>
        <v>-0.63326489761998983</v>
      </c>
    </row>
    <row r="40" spans="1:10" x14ac:dyDescent="0.15">
      <c r="A40">
        <v>1987</v>
      </c>
      <c r="B40" t="e">
        <f t="shared" si="13"/>
        <v>#REF!</v>
      </c>
      <c r="C40">
        <f t="shared" si="13"/>
        <v>1.2514471888711318</v>
      </c>
      <c r="D40" t="e">
        <f t="shared" si="13"/>
        <v>#REF!</v>
      </c>
      <c r="H40">
        <f t="shared" si="14"/>
        <v>0.4102266033163342</v>
      </c>
      <c r="I40">
        <f t="shared" si="14"/>
        <v>1.333790171370969</v>
      </c>
      <c r="J40">
        <f t="shared" si="14"/>
        <v>-0.34860646067615081</v>
      </c>
    </row>
    <row r="41" spans="1:10" x14ac:dyDescent="0.15">
      <c r="A41">
        <v>1988</v>
      </c>
      <c r="B41" t="e">
        <f t="shared" si="13"/>
        <v>#REF!</v>
      </c>
      <c r="C41">
        <f t="shared" si="13"/>
        <v>2.0256364988608122</v>
      </c>
      <c r="D41" t="e">
        <f t="shared" si="13"/>
        <v>#REF!</v>
      </c>
      <c r="H41">
        <f t="shared" si="14"/>
        <v>2.1156663947232053</v>
      </c>
      <c r="I41">
        <f t="shared" si="14"/>
        <v>2.1177506149959888</v>
      </c>
      <c r="J41">
        <f t="shared" si="14"/>
        <v>1.7672655876463399</v>
      </c>
    </row>
    <row r="42" spans="1:10" x14ac:dyDescent="0.15">
      <c r="A42">
        <v>1989</v>
      </c>
      <c r="B42" t="e">
        <f t="shared" si="13"/>
        <v>#REF!</v>
      </c>
      <c r="C42">
        <f t="shared" si="13"/>
        <v>1.7855895777555231</v>
      </c>
      <c r="D42" t="e">
        <f t="shared" si="13"/>
        <v>#REF!</v>
      </c>
      <c r="H42">
        <f t="shared" si="14"/>
        <v>1.229634809384019</v>
      </c>
      <c r="I42">
        <f t="shared" si="14"/>
        <v>1.5967475460788398</v>
      </c>
      <c r="J42">
        <f t="shared" si="14"/>
        <v>0.7531491867416199</v>
      </c>
    </row>
    <row r="43" spans="1:10" x14ac:dyDescent="0.15">
      <c r="A43">
        <v>1990</v>
      </c>
      <c r="B43" t="e">
        <f t="shared" si="13"/>
        <v>#REF!</v>
      </c>
      <c r="C43">
        <f t="shared" si="13"/>
        <v>0.99341574046569603</v>
      </c>
      <c r="D43" t="e">
        <f t="shared" si="13"/>
        <v>#REF!</v>
      </c>
      <c r="H43">
        <f t="shared" si="14"/>
        <v>1.2374362742456799</v>
      </c>
      <c r="I43">
        <f t="shared" si="14"/>
        <v>0.50304612056081188</v>
      </c>
      <c r="J43">
        <f t="shared" si="14"/>
        <v>1.5844967904659744</v>
      </c>
    </row>
    <row r="44" spans="1:10" x14ac:dyDescent="0.15">
      <c r="A44">
        <v>1991</v>
      </c>
      <c r="B44" t="e">
        <f t="shared" si="13"/>
        <v>#REF!</v>
      </c>
      <c r="C44">
        <f t="shared" si="13"/>
        <v>-0.17081716088726787</v>
      </c>
      <c r="D44" t="e">
        <f t="shared" si="13"/>
        <v>#REF!</v>
      </c>
      <c r="H44">
        <f t="shared" si="14"/>
        <v>-0.82761147463589835</v>
      </c>
      <c r="I44">
        <f t="shared" si="14"/>
        <v>-0.53298942392684001</v>
      </c>
      <c r="J44">
        <f t="shared" si="14"/>
        <v>-0.91255199803215414</v>
      </c>
    </row>
    <row r="45" spans="1:10" x14ac:dyDescent="0.15">
      <c r="A45">
        <v>1992</v>
      </c>
      <c r="B45" t="e">
        <f t="shared" si="13"/>
        <v>#REF!</v>
      </c>
      <c r="C45">
        <f t="shared" si="13"/>
        <v>-0.57079807313172826</v>
      </c>
      <c r="D45" t="e">
        <f t="shared" si="13"/>
        <v>#REF!</v>
      </c>
      <c r="H45">
        <f t="shared" si="14"/>
        <v>-0.87132511742052943</v>
      </c>
      <c r="I45">
        <f t="shared" si="14"/>
        <v>-0.69738414794735171</v>
      </c>
      <c r="J45">
        <f t="shared" si="14"/>
        <v>-0.85873111638783595</v>
      </c>
    </row>
    <row r="46" spans="1:10" x14ac:dyDescent="0.15">
      <c r="A46">
        <v>1993</v>
      </c>
      <c r="B46" t="e">
        <f t="shared" si="13"/>
        <v>#REF!</v>
      </c>
      <c r="C46">
        <f t="shared" si="13"/>
        <v>-0.4015323182900955</v>
      </c>
      <c r="D46" t="e">
        <f t="shared" si="13"/>
        <v>#REF!</v>
      </c>
      <c r="H46">
        <f t="shared" si="14"/>
        <v>-0.33763990867575944</v>
      </c>
      <c r="I46">
        <f t="shared" si="14"/>
        <v>-0.34534647771688448</v>
      </c>
      <c r="J46">
        <f t="shared" si="14"/>
        <v>-0.27651676303836387</v>
      </c>
    </row>
    <row r="47" spans="1:10" x14ac:dyDescent="0.15">
      <c r="A47">
        <v>1994</v>
      </c>
      <c r="B47" t="e">
        <f t="shared" si="13"/>
        <v>#REF!</v>
      </c>
      <c r="C47">
        <f t="shared" si="13"/>
        <v>-0.24607846717759341</v>
      </c>
      <c r="D47" t="e">
        <f t="shared" si="13"/>
        <v>#REF!</v>
      </c>
      <c r="H47">
        <f t="shared" si="14"/>
        <v>-0.38577720816636885</v>
      </c>
      <c r="I47">
        <f t="shared" si="14"/>
        <v>-0.33515818065342046</v>
      </c>
      <c r="J47">
        <f t="shared" si="14"/>
        <v>-0.36043773655617822</v>
      </c>
    </row>
    <row r="48" spans="1:10" x14ac:dyDescent="0.15">
      <c r="A48">
        <v>1995</v>
      </c>
      <c r="B48" t="e">
        <f t="shared" si="13"/>
        <v>#REF!</v>
      </c>
      <c r="C48">
        <f t="shared" si="13"/>
        <v>-1.0283460584862638</v>
      </c>
      <c r="D48" t="e">
        <f t="shared" si="13"/>
        <v>#REF!</v>
      </c>
      <c r="H48">
        <f t="shared" si="14"/>
        <v>0.56744307998501786</v>
      </c>
      <c r="I48">
        <f t="shared" si="14"/>
        <v>-0.99276100696932257</v>
      </c>
      <c r="J48">
        <f t="shared" si="14"/>
        <v>1.642725841540791</v>
      </c>
    </row>
    <row r="49" spans="1:10" x14ac:dyDescent="0.15">
      <c r="A49">
        <v>1996</v>
      </c>
      <c r="B49" t="e">
        <f t="shared" si="13"/>
        <v>#REF!</v>
      </c>
      <c r="C49">
        <f t="shared" si="13"/>
        <v>-1.3993126617912526</v>
      </c>
      <c r="D49" t="e">
        <f t="shared" si="13"/>
        <v>#REF!</v>
      </c>
      <c r="H49">
        <f t="shared" si="14"/>
        <v>-1.4680976066897216</v>
      </c>
      <c r="I49">
        <f t="shared" si="14"/>
        <v>-1.4464004675866435</v>
      </c>
      <c r="J49">
        <f t="shared" si="14"/>
        <v>-1.243666448181552</v>
      </c>
    </row>
    <row r="50" spans="1:10" x14ac:dyDescent="0.15">
      <c r="A50">
        <v>1997</v>
      </c>
      <c r="B50" t="e">
        <f t="shared" si="13"/>
        <v>#REF!</v>
      </c>
      <c r="C50">
        <f t="shared" si="13"/>
        <v>-1.0595970396426548</v>
      </c>
      <c r="D50" t="e">
        <f t="shared" si="13"/>
        <v>#REF!</v>
      </c>
      <c r="H50">
        <f t="shared" si="14"/>
        <v>-0.82289950292416336</v>
      </c>
      <c r="I50">
        <f t="shared" si="14"/>
        <v>-1.053633539336174</v>
      </c>
      <c r="J50">
        <f t="shared" si="14"/>
        <v>-0.51521644979166992</v>
      </c>
    </row>
    <row r="51" spans="1:10" x14ac:dyDescent="0.15">
      <c r="A51">
        <v>1998</v>
      </c>
      <c r="B51" t="e">
        <f t="shared" si="13"/>
        <v>#REF!</v>
      </c>
      <c r="C51">
        <f t="shared" si="13"/>
        <v>-1.3283587910174952</v>
      </c>
      <c r="D51" t="e">
        <f t="shared" si="13"/>
        <v>#REF!</v>
      </c>
      <c r="H51">
        <f t="shared" si="14"/>
        <v>-1.4447525710765132</v>
      </c>
      <c r="I51">
        <f t="shared" si="14"/>
        <v>-1.2950716512505742</v>
      </c>
      <c r="J51">
        <f t="shared" si="14"/>
        <v>-1.3199851213705491</v>
      </c>
    </row>
    <row r="52" spans="1:10" x14ac:dyDescent="0.15">
      <c r="A52">
        <v>1999</v>
      </c>
      <c r="B52" t="e">
        <f t="shared" si="13"/>
        <v>#REF!</v>
      </c>
      <c r="C52">
        <f t="shared" si="13"/>
        <v>-0.41919214688259282</v>
      </c>
      <c r="D52" t="e">
        <f t="shared" si="13"/>
        <v>#REF!</v>
      </c>
      <c r="H52">
        <f t="shared" si="14"/>
        <v>-0.6414023801824128</v>
      </c>
      <c r="I52">
        <f t="shared" si="14"/>
        <v>-0.36023706573271691</v>
      </c>
      <c r="J52">
        <f t="shared" si="14"/>
        <v>-0.74679317984325555</v>
      </c>
    </row>
    <row r="53" spans="1:10" x14ac:dyDescent="0.15">
      <c r="A53">
        <v>2000</v>
      </c>
      <c r="B53" t="e">
        <f t="shared" si="13"/>
        <v>#REF!</v>
      </c>
      <c r="C53">
        <f t="shared" si="13"/>
        <v>-0.39310255309600334</v>
      </c>
      <c r="D53" t="e">
        <f t="shared" si="13"/>
        <v>#REF!</v>
      </c>
      <c r="H53">
        <f t="shared" si="14"/>
        <v>-2.880365839132297E-2</v>
      </c>
      <c r="I53">
        <f t="shared" si="14"/>
        <v>-0.34610626264175848</v>
      </c>
      <c r="J53">
        <f t="shared" si="14"/>
        <v>0.21352025880507425</v>
      </c>
    </row>
    <row r="54" spans="1:10" x14ac:dyDescent="0.15">
      <c r="A54">
        <v>2001</v>
      </c>
      <c r="B54" t="e">
        <f t="shared" si="13"/>
        <v>#REF!</v>
      </c>
      <c r="C54">
        <f t="shared" si="13"/>
        <v>-0.65088313158609779</v>
      </c>
      <c r="D54" t="e">
        <f t="shared" si="13"/>
        <v>#REF!</v>
      </c>
      <c r="H54">
        <f t="shared" si="14"/>
        <v>-0.92236817991033704</v>
      </c>
      <c r="I54">
        <f t="shared" si="14"/>
        <v>-0.76411360505004089</v>
      </c>
      <c r="J54">
        <f t="shared" si="14"/>
        <v>-0.88965997995304102</v>
      </c>
    </row>
    <row r="83" spans="1:25" x14ac:dyDescent="0.15">
      <c r="B83">
        <f>AVERAGE(B85:B105)</f>
        <v>1.5756608360141002E-2</v>
      </c>
      <c r="C83">
        <f t="shared" ref="C83:P83" si="15">AVERAGE(C85:C105)</f>
        <v>8.0769977906260768E-2</v>
      </c>
      <c r="D83">
        <f t="shared" si="15"/>
        <v>0.21439570806467678</v>
      </c>
      <c r="E83">
        <f t="shared" si="15"/>
        <v>0.37610167815246165</v>
      </c>
      <c r="F83">
        <f t="shared" si="15"/>
        <v>0.4849206122766197</v>
      </c>
      <c r="G83">
        <f t="shared" si="15"/>
        <v>0.59184854460372105</v>
      </c>
      <c r="H83">
        <f t="shared" si="15"/>
        <v>0.71279043912465578</v>
      </c>
      <c r="I83">
        <f t="shared" si="15"/>
        <v>0.84001012680884202</v>
      </c>
      <c r="J83">
        <f t="shared" si="15"/>
        <v>0.99590100276543003</v>
      </c>
      <c r="K83">
        <f t="shared" si="15"/>
        <v>1.0731026144320235</v>
      </c>
      <c r="L83">
        <f t="shared" si="15"/>
        <v>1.1927539268368106</v>
      </c>
      <c r="M83">
        <f t="shared" si="15"/>
        <v>1.3106534081811809</v>
      </c>
      <c r="N83">
        <f t="shared" si="15"/>
        <v>1.4630636976169737</v>
      </c>
      <c r="O83">
        <f t="shared" si="15"/>
        <v>1.5106632275446841</v>
      </c>
      <c r="P83">
        <f t="shared" si="15"/>
        <v>1.8988491203441811</v>
      </c>
    </row>
    <row r="84" spans="1:25" x14ac:dyDescent="0.15"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  <c r="L84">
        <v>11</v>
      </c>
      <c r="M84">
        <v>12</v>
      </c>
      <c r="N84">
        <v>13</v>
      </c>
      <c r="O84">
        <v>14</v>
      </c>
      <c r="P84">
        <v>15</v>
      </c>
    </row>
    <row r="85" spans="1:25" x14ac:dyDescent="0.15">
      <c r="A85">
        <v>1982</v>
      </c>
      <c r="B85" s="11">
        <v>3.0212064044898228E-2</v>
      </c>
      <c r="C85" s="11">
        <v>7.2954873278799931E-2</v>
      </c>
      <c r="D85" s="11">
        <v>0.16564461024302973</v>
      </c>
      <c r="E85" s="11">
        <v>0.34702144596242385</v>
      </c>
      <c r="F85" s="11">
        <v>0.42267590153917312</v>
      </c>
      <c r="G85" s="11">
        <v>0.62673018388448998</v>
      </c>
      <c r="H85" s="11">
        <v>1.0039394085598339</v>
      </c>
      <c r="I85" s="11">
        <v>0.9887240028656582</v>
      </c>
      <c r="J85" s="11">
        <v>1.232676667929208</v>
      </c>
      <c r="K85" s="11">
        <v>1.3853827358066892</v>
      </c>
      <c r="L85" s="11">
        <v>1.4044406165525869</v>
      </c>
      <c r="M85" s="11">
        <v>1.5014441099674141</v>
      </c>
      <c r="N85" s="11">
        <v>1.7428407537719823</v>
      </c>
      <c r="O85" s="11">
        <v>1.6244562467181878</v>
      </c>
      <c r="P85" s="11">
        <f>AVERAGE(R85:AA85)</f>
        <v>2.5876459758741004</v>
      </c>
      <c r="R85">
        <v>2.572192675980201</v>
      </c>
      <c r="S85">
        <v>2.6030992757679998</v>
      </c>
    </row>
    <row r="86" spans="1:25" x14ac:dyDescent="0.15">
      <c r="A86">
        <v>1983</v>
      </c>
      <c r="B86" s="11">
        <v>1.306322060125422E-2</v>
      </c>
      <c r="C86" s="11">
        <v>0.12906051906289814</v>
      </c>
      <c r="D86" s="11">
        <v>0.24153874350373794</v>
      </c>
      <c r="E86" s="11">
        <v>0.36203494482369686</v>
      </c>
      <c r="F86" s="11">
        <v>0.49489504812141599</v>
      </c>
      <c r="G86" s="11">
        <v>0.58105198130613744</v>
      </c>
      <c r="H86" s="11">
        <v>0.73134097549389021</v>
      </c>
      <c r="I86" s="11">
        <v>1.0766057183155016</v>
      </c>
      <c r="J86" s="11">
        <v>1.1191782786329387</v>
      </c>
      <c r="K86" s="11">
        <v>1.0241505661666295</v>
      </c>
      <c r="L86" s="11">
        <v>1.1230883650821382</v>
      </c>
      <c r="M86" s="11">
        <v>1.1122068687224167</v>
      </c>
      <c r="N86" s="11">
        <v>1.5379785451167514</v>
      </c>
      <c r="O86" s="11">
        <v>1.1098325429241103</v>
      </c>
      <c r="P86" s="11">
        <f t="shared" ref="P86:P104" si="16">AVERAGE(R86:AA86)</f>
        <v>1.8165013447558092</v>
      </c>
      <c r="R86">
        <v>1.6989294880073385</v>
      </c>
      <c r="S86">
        <v>1.9340732015042799</v>
      </c>
    </row>
    <row r="87" spans="1:25" x14ac:dyDescent="0.15">
      <c r="A87">
        <v>1984</v>
      </c>
      <c r="B87" s="11">
        <v>1.4556797110780404E-2</v>
      </c>
      <c r="C87" s="11">
        <v>6.6777352272358981E-2</v>
      </c>
      <c r="D87" s="11">
        <v>0.26552656499930039</v>
      </c>
      <c r="E87" s="11">
        <v>0.36262621944822915</v>
      </c>
      <c r="F87" s="11">
        <v>0.48559643870434299</v>
      </c>
      <c r="G87" s="11">
        <v>0.61843877642070733</v>
      </c>
      <c r="H87" s="11">
        <v>0.75846645150575243</v>
      </c>
      <c r="I87" s="11">
        <v>1.0222389810520389</v>
      </c>
      <c r="J87" s="11">
        <v>1.2197624464588515</v>
      </c>
      <c r="K87" s="11">
        <v>1.4137483798067696</v>
      </c>
      <c r="L87" s="11">
        <v>1.5388253358732777</v>
      </c>
      <c r="M87" s="11">
        <v>1.6943089904394077</v>
      </c>
      <c r="N87" s="11">
        <v>1.3463145072997384</v>
      </c>
      <c r="O87" s="11">
        <v>1.4808950508057512</v>
      </c>
      <c r="P87" s="11">
        <f t="shared" si="16"/>
        <v>2.2429415820913072</v>
      </c>
      <c r="R87">
        <v>2.0047160487635383</v>
      </c>
      <c r="S87">
        <v>2.0156559865391928</v>
      </c>
      <c r="U87">
        <v>2.7084527109711898</v>
      </c>
    </row>
    <row r="88" spans="1:25" x14ac:dyDescent="0.15">
      <c r="A88">
        <v>1985</v>
      </c>
      <c r="B88" s="11">
        <v>1.1748011156314098E-2</v>
      </c>
      <c r="C88" s="11">
        <v>8.3645032391516591E-2</v>
      </c>
      <c r="D88" s="11">
        <v>0.26550384242338859</v>
      </c>
      <c r="E88" s="11">
        <v>0.41181841961740995</v>
      </c>
      <c r="F88" s="11">
        <v>0.51540124388937569</v>
      </c>
      <c r="G88" s="11">
        <v>0.64893830444935496</v>
      </c>
      <c r="H88" s="11">
        <v>0.78384536237812219</v>
      </c>
      <c r="I88" s="11">
        <v>0.92890151355168749</v>
      </c>
      <c r="J88" s="11">
        <v>1.4197102392397427</v>
      </c>
      <c r="K88" s="11">
        <v>1.1295930960808138</v>
      </c>
      <c r="L88" s="11">
        <v>1.2868365118096896</v>
      </c>
      <c r="M88" s="11">
        <v>1.7585996448227565</v>
      </c>
      <c r="N88" s="11">
        <v>1.6347280706382954</v>
      </c>
      <c r="O88" s="11">
        <v>1.6186901242078033</v>
      </c>
      <c r="P88" s="11">
        <f t="shared" si="16"/>
        <v>2.2377492666120804</v>
      </c>
      <c r="R88">
        <v>1.9749866876109183</v>
      </c>
      <c r="S88">
        <v>2.5005118456132425</v>
      </c>
    </row>
    <row r="89" spans="1:25" x14ac:dyDescent="0.15">
      <c r="A89">
        <v>1986</v>
      </c>
      <c r="B89" s="11">
        <v>1.1758671022208077E-2</v>
      </c>
      <c r="C89" s="11">
        <v>7.461518548111705E-2</v>
      </c>
      <c r="D89" s="11">
        <v>0.18495828399030476</v>
      </c>
      <c r="E89" s="11">
        <v>0.35776827176719961</v>
      </c>
      <c r="F89" s="11">
        <v>0.46344836680096746</v>
      </c>
      <c r="G89" s="11">
        <v>0.63869234453163914</v>
      </c>
      <c r="H89" s="11">
        <v>0.71816432030789723</v>
      </c>
      <c r="I89" s="11">
        <v>0.85172723876528034</v>
      </c>
      <c r="J89" s="11">
        <v>1.009153178178724</v>
      </c>
      <c r="K89" s="11">
        <v>1.253016649985399</v>
      </c>
      <c r="L89" s="11">
        <v>1.3217323677108732</v>
      </c>
      <c r="M89" s="11">
        <v>1.1349925763114963</v>
      </c>
      <c r="N89" s="11">
        <v>2.1170879099571942</v>
      </c>
      <c r="O89" s="11">
        <v>2.1428107286311029</v>
      </c>
      <c r="P89" s="11">
        <f>(P88+P90)/2</f>
        <v>2.2055847458903184</v>
      </c>
    </row>
    <row r="90" spans="1:25" x14ac:dyDescent="0.15">
      <c r="A90">
        <v>1987</v>
      </c>
      <c r="B90" s="11">
        <v>1.7669288531655655E-2</v>
      </c>
      <c r="C90" s="11">
        <v>0.10990908732499234</v>
      </c>
      <c r="D90" s="11">
        <v>0.25519976686944668</v>
      </c>
      <c r="E90" s="11">
        <v>0.35684657059189023</v>
      </c>
      <c r="F90" s="11">
        <v>0.43179285061379707</v>
      </c>
      <c r="G90" s="11">
        <v>0.52488606517517256</v>
      </c>
      <c r="H90" s="11">
        <v>0.7043948131932567</v>
      </c>
      <c r="I90" s="11">
        <v>0.79741212219478241</v>
      </c>
      <c r="J90" s="11">
        <v>0.89621611381443145</v>
      </c>
      <c r="K90" s="11">
        <v>1.0029069051248469</v>
      </c>
      <c r="L90" s="11">
        <v>1.1906826778865247</v>
      </c>
      <c r="M90" s="11">
        <v>1.3962883268339279</v>
      </c>
      <c r="N90" s="11">
        <v>1.7262914002270144</v>
      </c>
      <c r="O90" s="11">
        <v>1.998478203316822</v>
      </c>
      <c r="P90" s="11">
        <f t="shared" si="16"/>
        <v>2.1734202251685568</v>
      </c>
      <c r="R90">
        <v>2.2026825080499783</v>
      </c>
      <c r="S90">
        <v>2.1337226333357244</v>
      </c>
      <c r="U90">
        <v>2.5005118456132425</v>
      </c>
      <c r="V90">
        <v>1.8567639136752823</v>
      </c>
    </row>
    <row r="91" spans="1:25" x14ac:dyDescent="0.15">
      <c r="A91">
        <v>1988</v>
      </c>
      <c r="B91" s="11">
        <v>1.9148462519938729E-2</v>
      </c>
      <c r="C91" s="11">
        <v>8.5538932232958081E-2</v>
      </c>
      <c r="D91" s="11">
        <v>0.29814209255165658</v>
      </c>
      <c r="E91" s="11">
        <v>0.35724927177819205</v>
      </c>
      <c r="F91" s="11">
        <v>0.4586700724041412</v>
      </c>
      <c r="G91" s="11">
        <v>0.52198042205350059</v>
      </c>
      <c r="H91" s="11">
        <v>0.60194168398047121</v>
      </c>
      <c r="I91" s="11">
        <v>0.75407298165868575</v>
      </c>
      <c r="J91" s="11">
        <v>0.85131468426825874</v>
      </c>
      <c r="K91" s="11">
        <v>0.99994992536171734</v>
      </c>
      <c r="L91" s="11">
        <v>1.2072556338116223</v>
      </c>
      <c r="M91" s="11">
        <v>1.2067024650608555</v>
      </c>
      <c r="N91" s="11">
        <v>1.6564310894093874</v>
      </c>
      <c r="O91" s="11">
        <v>0.9066401971332716</v>
      </c>
      <c r="P91" s="11">
        <f t="shared" si="16"/>
        <v>1.6020147897206576</v>
      </c>
      <c r="R91">
        <v>1.5829773074490843</v>
      </c>
      <c r="S91">
        <v>1.5274300349514154</v>
      </c>
      <c r="U91">
        <v>1.6956370267614735</v>
      </c>
    </row>
    <row r="92" spans="1:25" x14ac:dyDescent="0.15">
      <c r="A92">
        <v>1989</v>
      </c>
      <c r="B92" s="11">
        <v>1.4954930207657436E-2</v>
      </c>
      <c r="C92" s="11">
        <v>8.7545117404846648E-2</v>
      </c>
      <c r="D92" s="11">
        <v>0.1693002631320501</v>
      </c>
      <c r="E92" s="11">
        <v>0.38655744587083346</v>
      </c>
      <c r="F92" s="11">
        <v>0.45647089374585981</v>
      </c>
      <c r="G92" s="11">
        <v>0.52906051401132359</v>
      </c>
      <c r="H92" s="11">
        <v>0.629299428698747</v>
      </c>
      <c r="I92" s="11">
        <v>0.67012693448879823</v>
      </c>
      <c r="J92" s="11">
        <v>0.92221201034100653</v>
      </c>
      <c r="K92" s="11">
        <v>0.91670948696561072</v>
      </c>
      <c r="L92" s="11">
        <v>1.0419479172421957</v>
      </c>
      <c r="M92" s="11">
        <v>1.0614712916253604</v>
      </c>
      <c r="N92" s="11">
        <v>1.1085966677257173</v>
      </c>
      <c r="O92" s="11">
        <v>1.1598945875561486</v>
      </c>
      <c r="P92" s="11">
        <f t="shared" si="16"/>
        <v>1.3711828801085053</v>
      </c>
      <c r="R92">
        <v>1.0004104458753891</v>
      </c>
      <c r="S92">
        <v>1.3737948937452438</v>
      </c>
      <c r="T92">
        <v>1.1690929175771019</v>
      </c>
      <c r="U92">
        <v>2.1170879099571942</v>
      </c>
      <c r="W92">
        <v>1.2686515039691857</v>
      </c>
      <c r="X92">
        <v>1.298059609526917</v>
      </c>
    </row>
    <row r="93" spans="1:25" x14ac:dyDescent="0.15">
      <c r="A93">
        <v>1990</v>
      </c>
      <c r="B93" s="11">
        <v>1.3180941768893355E-2</v>
      </c>
      <c r="C93" s="11">
        <v>9.7945819877817378E-2</v>
      </c>
      <c r="D93" s="11">
        <v>0.16027429524524345</v>
      </c>
      <c r="E93" s="11">
        <v>0.37987572172715317</v>
      </c>
      <c r="F93" s="11">
        <v>0.50557138588506056</v>
      </c>
      <c r="G93" s="11">
        <v>0.57342250302335274</v>
      </c>
      <c r="H93" s="11">
        <v>0.61238109911893857</v>
      </c>
      <c r="I93" s="11">
        <v>0.72338235969986053</v>
      </c>
      <c r="J93" s="11">
        <v>0.79306204919858214</v>
      </c>
      <c r="K93" s="11">
        <v>1.0472196357855483</v>
      </c>
      <c r="L93" s="11">
        <v>1.0700275685184903</v>
      </c>
      <c r="M93" s="11">
        <v>1.1369235388610481</v>
      </c>
      <c r="N93" s="11">
        <v>1.0649928437705116</v>
      </c>
      <c r="O93" s="11">
        <v>1.2724676581002574</v>
      </c>
      <c r="P93" s="11">
        <f t="shared" si="16"/>
        <v>1.4321573706210486</v>
      </c>
      <c r="R93">
        <v>1.1866698949974219</v>
      </c>
      <c r="S93">
        <v>1.9790928331140103</v>
      </c>
      <c r="U93">
        <v>1.4778045425786672</v>
      </c>
      <c r="Y93">
        <v>1.0850622117940947</v>
      </c>
    </row>
    <row r="94" spans="1:25" x14ac:dyDescent="0.15">
      <c r="A94">
        <v>1991</v>
      </c>
      <c r="B94" s="11">
        <v>1.808857350887411E-2</v>
      </c>
      <c r="C94" s="11">
        <v>8.2767809477986495E-2</v>
      </c>
      <c r="D94" s="11">
        <v>0.15556946241870742</v>
      </c>
      <c r="E94" s="11">
        <v>0.36157228590625973</v>
      </c>
      <c r="F94" s="11">
        <v>0.48872278517899415</v>
      </c>
      <c r="G94" s="11">
        <v>0.5797740694125324</v>
      </c>
      <c r="H94" s="11">
        <v>0.69428905003875985</v>
      </c>
      <c r="I94" s="11">
        <v>0.73936564068625876</v>
      </c>
      <c r="J94" s="11">
        <v>0.86859920948017721</v>
      </c>
      <c r="K94" s="11">
        <v>0.90629291081291885</v>
      </c>
      <c r="L94" s="11">
        <v>1.088213155840497</v>
      </c>
      <c r="M94" s="11">
        <v>1.1771382048617645</v>
      </c>
      <c r="N94" s="11">
        <v>1.2444294657663708</v>
      </c>
      <c r="O94" s="11">
        <v>1.4136318950649212</v>
      </c>
      <c r="P94" s="11">
        <f t="shared" si="16"/>
        <v>1.912010085359797</v>
      </c>
      <c r="R94">
        <v>1.6902329341541658</v>
      </c>
      <c r="S94">
        <v>1.9780681235659716</v>
      </c>
      <c r="T94">
        <v>1.657111791527816</v>
      </c>
      <c r="V94">
        <v>1.7924083807657603</v>
      </c>
      <c r="W94">
        <v>2.1452608236972175</v>
      </c>
      <c r="X94">
        <v>2.2089784584478509</v>
      </c>
    </row>
    <row r="95" spans="1:25" x14ac:dyDescent="0.15">
      <c r="A95">
        <v>1992</v>
      </c>
      <c r="B95" s="11">
        <v>1.4794536307441089E-2</v>
      </c>
      <c r="C95" s="11">
        <v>0.11034073599727433</v>
      </c>
      <c r="D95" s="11">
        <v>0.28705672665246929</v>
      </c>
      <c r="E95" s="11">
        <v>0.37236034582343241</v>
      </c>
      <c r="F95" s="11">
        <v>0.51275478895405646</v>
      </c>
      <c r="G95" s="11">
        <v>0.62641475263930024</v>
      </c>
      <c r="H95" s="11">
        <v>0.78029884425992369</v>
      </c>
      <c r="I95" s="11">
        <v>0.83970801971019071</v>
      </c>
      <c r="J95" s="11">
        <v>0.8990830037071651</v>
      </c>
      <c r="K95" s="11">
        <v>0.98946297169471997</v>
      </c>
      <c r="L95" s="11">
        <v>1.1010427102331399</v>
      </c>
      <c r="M95" s="11">
        <v>1.2608098313605138</v>
      </c>
      <c r="N95" s="11">
        <v>1.3869212957895771</v>
      </c>
      <c r="O95" s="11">
        <v>1.3411613789420229</v>
      </c>
      <c r="P95" s="11">
        <f t="shared" si="16"/>
        <v>1.7001801990716727</v>
      </c>
      <c r="R95">
        <v>1.2107495084480091</v>
      </c>
      <c r="S95">
        <v>1.629624037091006</v>
      </c>
      <c r="T95">
        <v>2.1225281526076936</v>
      </c>
      <c r="U95">
        <v>1.837819098139982</v>
      </c>
    </row>
    <row r="96" spans="1:25" x14ac:dyDescent="0.15">
      <c r="A96">
        <v>1993</v>
      </c>
      <c r="B96" s="11">
        <v>1.1502050028855184E-2</v>
      </c>
      <c r="C96" s="11">
        <v>5.9259607864688674E-2</v>
      </c>
      <c r="D96" s="11">
        <v>0.31554636989405715</v>
      </c>
      <c r="E96" s="11">
        <v>0.45725622123119314</v>
      </c>
      <c r="F96" s="11">
        <v>0.50382457676817272</v>
      </c>
      <c r="G96" s="11">
        <v>0.55352362600253957</v>
      </c>
      <c r="H96" s="11">
        <v>0.66518500162556238</v>
      </c>
      <c r="I96" s="11">
        <v>0.7950209981807187</v>
      </c>
      <c r="J96" s="11">
        <v>0.97642129811371792</v>
      </c>
      <c r="K96" s="11">
        <v>1.0288909843229919</v>
      </c>
      <c r="L96" s="11">
        <v>1.1522777286188077</v>
      </c>
      <c r="M96" s="11">
        <v>1.2494904838088501</v>
      </c>
      <c r="N96" s="11">
        <v>1.3830290512950842</v>
      </c>
      <c r="O96" s="11">
        <v>1.5394846687057648</v>
      </c>
      <c r="P96" s="11">
        <f t="shared" si="16"/>
        <v>1.9575270060030292</v>
      </c>
      <c r="R96">
        <v>1.5755919850968534</v>
      </c>
      <c r="S96">
        <v>1.6670435649137323</v>
      </c>
      <c r="T96">
        <v>1.9729115168847386</v>
      </c>
      <c r="U96">
        <v>1.7554791025938412</v>
      </c>
      <c r="Y96">
        <v>2.8166088605259807</v>
      </c>
    </row>
    <row r="97" spans="1:27" x14ac:dyDescent="0.15">
      <c r="A97">
        <v>1994</v>
      </c>
      <c r="B97" s="11">
        <v>1.5657312740400282E-2</v>
      </c>
      <c r="C97" s="11">
        <v>7.5837910726569563E-2</v>
      </c>
      <c r="D97" s="11">
        <v>0.21904445007228718</v>
      </c>
      <c r="E97" s="11">
        <v>0.47540908762252471</v>
      </c>
      <c r="F97" s="11">
        <v>0.57359226939637475</v>
      </c>
      <c r="G97" s="11">
        <v>0.63758991294338718</v>
      </c>
      <c r="H97" s="11">
        <v>0.71374447260159057</v>
      </c>
      <c r="I97" s="11">
        <v>0.96784456082289183</v>
      </c>
      <c r="J97" s="11">
        <v>1.1488377774835674</v>
      </c>
      <c r="K97" s="11">
        <v>1.1178895131982809</v>
      </c>
      <c r="L97" s="11">
        <v>1.1721448533514398</v>
      </c>
      <c r="M97" s="11">
        <v>1.3110449059108646</v>
      </c>
      <c r="N97" s="11">
        <v>1.3724816893802081</v>
      </c>
      <c r="O97" s="11">
        <v>1.4693583029317046</v>
      </c>
      <c r="P97" s="11">
        <f t="shared" si="16"/>
        <v>1.6739811598592644</v>
      </c>
      <c r="R97">
        <v>1.6904070174955925</v>
      </c>
      <c r="S97">
        <v>1.1742847229549822</v>
      </c>
      <c r="T97">
        <v>1.7141449890292892</v>
      </c>
      <c r="X97">
        <v>2.1170879099571942</v>
      </c>
    </row>
    <row r="98" spans="1:27" x14ac:dyDescent="0.15">
      <c r="A98">
        <v>1995</v>
      </c>
      <c r="B98" s="11">
        <v>1.4517423044735642E-2</v>
      </c>
      <c r="C98" s="11">
        <v>4.5172104347233177E-2</v>
      </c>
      <c r="D98" s="11">
        <v>0.14077720585751094</v>
      </c>
      <c r="E98" s="11">
        <v>0.38139866030660774</v>
      </c>
      <c r="F98" s="11">
        <v>0.48770571291776627</v>
      </c>
      <c r="G98" s="11">
        <v>0.62810683469209116</v>
      </c>
      <c r="H98" s="11">
        <v>0.65414460258133389</v>
      </c>
      <c r="I98" s="11">
        <v>0.79412495201944056</v>
      </c>
      <c r="J98" s="11">
        <v>0.92660081321016075</v>
      </c>
      <c r="K98" s="11">
        <v>1.1571172933594682</v>
      </c>
      <c r="L98" s="11">
        <v>1.1242956346223367</v>
      </c>
      <c r="M98" s="11">
        <v>1.2788553071095736</v>
      </c>
      <c r="N98" s="11">
        <v>1.3301632405537653</v>
      </c>
      <c r="O98" s="11">
        <v>1.405595328371896</v>
      </c>
      <c r="P98" s="11">
        <f t="shared" si="16"/>
        <v>1.6240812019583424</v>
      </c>
      <c r="R98">
        <v>1.6651900140228124</v>
      </c>
      <c r="S98">
        <v>1.5493236732618811</v>
      </c>
      <c r="T98">
        <v>1.5900716206721877</v>
      </c>
      <c r="U98">
        <v>2.0188140482157442</v>
      </c>
      <c r="W98">
        <v>1.2970066536190863</v>
      </c>
    </row>
    <row r="99" spans="1:27" x14ac:dyDescent="0.15">
      <c r="A99">
        <v>1996</v>
      </c>
      <c r="B99" s="11">
        <v>1.6996930460498973E-2</v>
      </c>
      <c r="C99" s="11">
        <v>6.6686794022619886E-2</v>
      </c>
      <c r="D99" s="11">
        <v>0.15004113946766567</v>
      </c>
      <c r="E99" s="11">
        <v>0.31128306638234826</v>
      </c>
      <c r="F99" s="11">
        <v>0.49610045746726772</v>
      </c>
      <c r="G99" s="11">
        <v>0.59126899799414601</v>
      </c>
      <c r="H99" s="11">
        <v>0.72962354461223788</v>
      </c>
      <c r="I99" s="11">
        <v>0.81112175556538313</v>
      </c>
      <c r="J99" s="11">
        <v>0.96875916476712265</v>
      </c>
      <c r="K99" s="11">
        <v>1.0544201457862714</v>
      </c>
      <c r="L99" s="11">
        <v>1.2940674845341107</v>
      </c>
      <c r="M99" s="11">
        <v>1.3903415473162619</v>
      </c>
      <c r="N99" s="11">
        <v>1.4299395981838132</v>
      </c>
      <c r="O99" s="11">
        <v>1.5418304872901385</v>
      </c>
      <c r="P99" s="11">
        <f t="shared" si="16"/>
        <v>1.6104271278654185</v>
      </c>
      <c r="R99">
        <v>1.4058711887879576</v>
      </c>
      <c r="S99">
        <v>1.7000949144960342</v>
      </c>
      <c r="T99">
        <v>1.6278743569235401</v>
      </c>
      <c r="U99">
        <v>1.9127688102170726</v>
      </c>
      <c r="V99">
        <v>1.4055263689024884</v>
      </c>
    </row>
    <row r="100" spans="1:27" x14ac:dyDescent="0.15">
      <c r="A100">
        <v>1997</v>
      </c>
      <c r="B100" s="11">
        <v>1.7728141312433141E-2</v>
      </c>
      <c r="C100" s="11">
        <v>6.835700343709257E-2</v>
      </c>
      <c r="D100" s="11">
        <v>0.18399816734664048</v>
      </c>
      <c r="E100" s="11">
        <v>0.36061636860422042</v>
      </c>
      <c r="F100" s="11">
        <v>0.43950750433785546</v>
      </c>
      <c r="G100" s="11">
        <v>0.59231539457102422</v>
      </c>
      <c r="H100" s="11">
        <v>0.71098186132537378</v>
      </c>
      <c r="I100" s="11">
        <v>0.80782716833936818</v>
      </c>
      <c r="J100" s="11">
        <v>0.97642129811371792</v>
      </c>
      <c r="K100" s="11">
        <v>1.0158934014459828</v>
      </c>
      <c r="L100" s="11">
        <v>1.1629426209805447</v>
      </c>
      <c r="M100" s="11">
        <v>1.3078216501541047</v>
      </c>
      <c r="N100" s="11">
        <v>1.286316403022278</v>
      </c>
      <c r="O100" s="11">
        <v>1.4583762514006826</v>
      </c>
      <c r="P100" s="11">
        <f t="shared" si="16"/>
        <v>1.6972710878042661</v>
      </c>
      <c r="R100">
        <v>1.447870986571274</v>
      </c>
      <c r="S100">
        <v>1.5792408858086415</v>
      </c>
      <c r="T100">
        <v>1.6925133385345685</v>
      </c>
      <c r="U100">
        <v>1.7388190303749265</v>
      </c>
      <c r="V100">
        <v>1.8900825647793689</v>
      </c>
      <c r="W100">
        <v>1.8350997207568172</v>
      </c>
    </row>
    <row r="101" spans="1:27" x14ac:dyDescent="0.15">
      <c r="A101">
        <v>1998</v>
      </c>
      <c r="B101" s="11">
        <v>1.615760703514383E-2</v>
      </c>
      <c r="C101" s="11">
        <v>7.0155917736098167E-2</v>
      </c>
      <c r="D101" s="11">
        <v>0.17433741002102351</v>
      </c>
      <c r="E101" s="11">
        <v>0.33554211319509142</v>
      </c>
      <c r="F101" s="11">
        <v>0.47570055371433489</v>
      </c>
      <c r="G101" s="11">
        <v>0.52394173709834668</v>
      </c>
      <c r="H101" s="11">
        <v>0.698287679887721</v>
      </c>
      <c r="I101" s="11">
        <v>0.83633160053670474</v>
      </c>
      <c r="J101" s="11">
        <v>0.92315167350803462</v>
      </c>
      <c r="K101" s="11">
        <v>0.98818088061061016</v>
      </c>
      <c r="L101" s="11">
        <v>1.0818789751325584</v>
      </c>
      <c r="M101" s="11">
        <v>1.3330302678226464</v>
      </c>
      <c r="N101" s="11">
        <v>1.3266167548857386</v>
      </c>
      <c r="O101" s="11">
        <v>1.7299742435861079</v>
      </c>
      <c r="P101" s="11">
        <f t="shared" si="16"/>
        <v>1.900063422165813</v>
      </c>
      <c r="R101">
        <v>1.514330138878963</v>
      </c>
      <c r="S101">
        <v>1.882767167445712</v>
      </c>
      <c r="T101">
        <v>1.7986175603840933</v>
      </c>
      <c r="U101">
        <v>2.1457805075121228</v>
      </c>
      <c r="V101">
        <v>1.9165221797624139</v>
      </c>
      <c r="W101">
        <v>1.6848842891721212</v>
      </c>
      <c r="X101">
        <v>2.357542112005266</v>
      </c>
    </row>
    <row r="102" spans="1:27" x14ac:dyDescent="0.15">
      <c r="A102">
        <v>1999</v>
      </c>
      <c r="B102" s="11">
        <v>1.4305703897115123E-2</v>
      </c>
      <c r="C102" s="11">
        <v>7.6409321846052133E-2</v>
      </c>
      <c r="D102" s="11">
        <v>0.21310612956561667</v>
      </c>
      <c r="E102" s="11">
        <v>0.35843909402981367</v>
      </c>
      <c r="F102" s="11">
        <v>0.42332654016831306</v>
      </c>
      <c r="G102" s="11">
        <v>0.56112731572565344</v>
      </c>
      <c r="H102" s="11">
        <v>0.63671465253240789</v>
      </c>
      <c r="I102" s="11">
        <v>0.77642861445059208</v>
      </c>
      <c r="J102" s="11">
        <v>0.9856145754532879</v>
      </c>
      <c r="K102" s="11">
        <v>1.0136453837159736</v>
      </c>
      <c r="L102" s="11">
        <v>1.1159369485808492</v>
      </c>
      <c r="M102" s="11">
        <v>1.18791824082079</v>
      </c>
      <c r="N102" s="11">
        <v>1.5746397289417586</v>
      </c>
      <c r="O102" s="11">
        <v>1.7475742971871651</v>
      </c>
      <c r="P102" s="11">
        <f t="shared" si="16"/>
        <v>1.9798423499747657</v>
      </c>
      <c r="R102">
        <v>1.755311178135903</v>
      </c>
      <c r="S102">
        <v>1.7138380488390661</v>
      </c>
      <c r="T102">
        <v>1.9157168682233412</v>
      </c>
      <c r="U102">
        <v>1.9763276745073985</v>
      </c>
      <c r="V102">
        <v>2.1963747001608733</v>
      </c>
      <c r="W102">
        <v>1.9202040504263456</v>
      </c>
      <c r="X102">
        <v>2.3811239295304323</v>
      </c>
    </row>
    <row r="103" spans="1:27" x14ac:dyDescent="0.15">
      <c r="A103">
        <v>2000</v>
      </c>
      <c r="B103" s="11">
        <v>1.1796478079028689E-2</v>
      </c>
      <c r="C103" s="11">
        <v>6.8163940635744893E-2</v>
      </c>
      <c r="D103" s="11">
        <v>0.2288005128298313</v>
      </c>
      <c r="E103" s="11">
        <v>0.37730636814576451</v>
      </c>
      <c r="F103" s="11">
        <v>0.45761532761571561</v>
      </c>
      <c r="G103" s="11">
        <v>0.53175993581662306</v>
      </c>
      <c r="H103" s="11">
        <v>0.64959788602643143</v>
      </c>
      <c r="I103" s="11">
        <v>0.7109380678816648</v>
      </c>
      <c r="J103" s="11">
        <v>0.78225743777762846</v>
      </c>
      <c r="K103" s="11">
        <v>0.95520706433441493</v>
      </c>
      <c r="L103" s="11">
        <v>1.1522777286188077</v>
      </c>
      <c r="M103" s="11">
        <v>1.2123110612017991</v>
      </c>
      <c r="N103" s="11">
        <v>1.32750610423918</v>
      </c>
      <c r="O103" s="11">
        <v>1.4742647551323786</v>
      </c>
      <c r="P103" s="11">
        <f t="shared" si="16"/>
        <v>2.1512594507182756</v>
      </c>
      <c r="R103">
        <v>1.7486109467397413</v>
      </c>
      <c r="S103">
        <v>1.8811087343115009</v>
      </c>
      <c r="T103">
        <v>1.8943698280428229</v>
      </c>
      <c r="U103">
        <v>1.6563274642778669</v>
      </c>
      <c r="V103">
        <v>2.2556201044879289</v>
      </c>
      <c r="W103">
        <v>2.8166088605259807</v>
      </c>
      <c r="X103">
        <v>2.1408208068343808</v>
      </c>
      <c r="Z103">
        <v>2.8166088605259807</v>
      </c>
    </row>
    <row r="104" spans="1:27" x14ac:dyDescent="0.15">
      <c r="A104">
        <v>2001</v>
      </c>
      <c r="B104" s="11">
        <v>1.5051632184834787E-2</v>
      </c>
      <c r="C104" s="11">
        <v>6.5866470612811104E-2</v>
      </c>
      <c r="D104" s="11">
        <v>0.17455383227424504</v>
      </c>
      <c r="E104" s="11">
        <v>0.37564331836740972</v>
      </c>
      <c r="F104" s="11">
        <v>0.50651013958602764</v>
      </c>
      <c r="G104" s="11">
        <v>0.60292576492681926</v>
      </c>
      <c r="H104" s="11">
        <v>0.67469808288951716</v>
      </c>
      <c r="I104" s="11">
        <v>0.76575943220017439</v>
      </c>
      <c r="J104" s="11">
        <v>0.85699913839771291</v>
      </c>
      <c r="K104" s="11">
        <v>0.91137697270683471</v>
      </c>
      <c r="L104" s="11">
        <v>1.0972376285725329</v>
      </c>
      <c r="M104" s="11">
        <v>1.2043922587929525</v>
      </c>
      <c r="N104" s="11">
        <v>1.4100825299820803</v>
      </c>
      <c r="O104" s="11">
        <v>1.3908208304321326</v>
      </c>
      <c r="P104" s="11">
        <f t="shared" si="16"/>
        <v>1.8995413667158771</v>
      </c>
      <c r="R104">
        <v>1.2590146707104684</v>
      </c>
      <c r="S104">
        <v>1.727401819655771</v>
      </c>
      <c r="T104">
        <v>1.6775729865619908</v>
      </c>
      <c r="U104">
        <v>1.7479729600900584</v>
      </c>
      <c r="V104">
        <v>1.8519534210039683</v>
      </c>
      <c r="W104">
        <v>1.9040609492191902</v>
      </c>
      <c r="X104">
        <v>1.9418725056873809</v>
      </c>
      <c r="Y104">
        <v>2.212055286826943</v>
      </c>
      <c r="Z104">
        <v>2.7084527109711898</v>
      </c>
      <c r="AA104">
        <v>1.9650563564318115</v>
      </c>
    </row>
    <row r="105" spans="1:27" x14ac:dyDescent="0.15">
      <c r="A105">
        <v>2002</v>
      </c>
      <c r="B105" s="11">
        <v>1.7999999999999999E-2</v>
      </c>
      <c r="C105" s="11">
        <v>9.9159999999999998E-2</v>
      </c>
      <c r="D105" s="11">
        <v>0.25339</v>
      </c>
      <c r="E105" s="11">
        <v>0.40950999999999999</v>
      </c>
      <c r="F105" s="11">
        <v>0.58345000000000002</v>
      </c>
      <c r="G105" s="11">
        <v>0.73687000000000002</v>
      </c>
      <c r="H105" s="11">
        <v>0.81725999999999999</v>
      </c>
      <c r="I105" s="11">
        <v>0.98254999999999992</v>
      </c>
      <c r="J105" s="11">
        <v>1.1378900000000001</v>
      </c>
      <c r="K105" s="11">
        <v>1.2241</v>
      </c>
      <c r="L105" s="11">
        <v>1.3206800000000001</v>
      </c>
      <c r="M105" s="11">
        <v>1.6076300000000001</v>
      </c>
      <c r="N105" s="11">
        <v>1.71695</v>
      </c>
      <c r="O105" s="11">
        <v>1.8976900000000001</v>
      </c>
      <c r="P105" s="11">
        <v>2.1004488888888888</v>
      </c>
    </row>
    <row r="107" spans="1:27" x14ac:dyDescent="0.15">
      <c r="A107">
        <v>1982</v>
      </c>
      <c r="B107" s="6">
        <f>pm.rep!B81*pm.rep!B189*(pm.rep!B27^0.5)*pm.rep!$B$7</f>
        <v>124456.53736129933</v>
      </c>
      <c r="C107" s="6">
        <f>pm.rep!C81*pm.rep!C189*(pm.rep!C27^0.5)*pm.rep!$B$7</f>
        <v>196652.62479204973</v>
      </c>
      <c r="D107" s="6">
        <f>pm.rep!D81*pm.rep!D189*(pm.rep!D27^0.5)*pm.rep!$B$7</f>
        <v>216527.64474755086</v>
      </c>
      <c r="E107" s="6">
        <f>pm.rep!E81*pm.rep!E189*(pm.rep!E27^0.5)*pm.rep!$B$7</f>
        <v>540278.50032223354</v>
      </c>
      <c r="F107" s="6">
        <f>pm.rep!F81*pm.rep!F189*(pm.rep!F27^0.5)*pm.rep!$B$7</f>
        <v>171234.84240519977</v>
      </c>
      <c r="G107" s="6">
        <f>pm.rep!G81*pm.rep!G189*(pm.rep!G27^0.5)*pm.rep!$B$7</f>
        <v>51898.507725092226</v>
      </c>
      <c r="H107" s="6">
        <f>pm.rep!H81*pm.rep!H189*(pm.rep!H27^0.5)*pm.rep!$B$7</f>
        <v>25698.996565330744</v>
      </c>
      <c r="I107" s="6">
        <f>pm.rep!I81*pm.rep!I189*(pm.rep!I27^0.5)*pm.rep!$B$7</f>
        <v>16271.522221021989</v>
      </c>
      <c r="J107" s="6">
        <f>pm.rep!J81*pm.rep!J189*(pm.rep!J27^0.5)*pm.rep!$B$7</f>
        <v>8509.8996387928019</v>
      </c>
      <c r="K107" s="6">
        <f>pm.rep!K81*pm.rep!K189*(pm.rep!K27^0.5)*pm.rep!$B$7</f>
        <v>4725.926422043628</v>
      </c>
      <c r="L107" s="6">
        <f>pm.rep!L81*pm.rep!L189*(pm.rep!L27^0.5)*pm.rep!$B$7</f>
        <v>981.50487474960687</v>
      </c>
      <c r="M107" s="6">
        <f>pm.rep!M81*pm.rep!M189*(pm.rep!M27^0.5)*pm.rep!$B$7</f>
        <v>596.10854606786188</v>
      </c>
      <c r="N107" s="6">
        <f>pm.rep!N81*pm.rep!N189*(pm.rep!N27^0.5)*pm.rep!$B$7</f>
        <v>472.36910251999728</v>
      </c>
      <c r="O107" s="6">
        <f>pm.rep!O81*pm.rep!O189*(pm.rep!O27^0.5)*pm.rep!$B$7</f>
        <v>268.02377446315012</v>
      </c>
      <c r="P107" s="6">
        <f>pm.rep!P81*pm.rep!P189*(pm.rep!P27^0.5)*pm.rep!$B$7</f>
        <v>243.04616490918897</v>
      </c>
    </row>
    <row r="108" spans="1:27" x14ac:dyDescent="0.15">
      <c r="A108">
        <v>1983</v>
      </c>
      <c r="B108" s="6">
        <f>pm.rep!B82*pm.rep!B190*(pm.rep!B28^0.5)*pm.rep!$B$7</f>
        <v>431742.29927036504</v>
      </c>
      <c r="C108" s="6">
        <f>pm.rep!C82*pm.rep!C190*(pm.rep!C28^0.5)*pm.rep!$B$7</f>
        <v>83389.072614390971</v>
      </c>
      <c r="D108" s="6">
        <f>pm.rep!D82*pm.rep!D190*(pm.rep!D28^0.5)*pm.rep!$B$7</f>
        <v>226599.37995599242</v>
      </c>
      <c r="E108" s="6">
        <f>pm.rep!E82*pm.rep!E190*(pm.rep!E28^0.5)*pm.rep!$B$7</f>
        <v>260407.79958211537</v>
      </c>
      <c r="F108" s="6">
        <f>pm.rep!F82*pm.rep!F190*(pm.rep!F28^0.5)*pm.rep!$B$7</f>
        <v>561181.47650165705</v>
      </c>
      <c r="G108" s="6">
        <f>pm.rep!G82*pm.rep!G190*(pm.rep!G28^0.5)*pm.rep!$B$7</f>
        <v>147500.87477221678</v>
      </c>
      <c r="H108" s="6">
        <f>pm.rep!H82*pm.rep!H190*(pm.rep!H28^0.5)*pm.rep!$B$7</f>
        <v>38947.486103046256</v>
      </c>
      <c r="I108" s="6">
        <f>pm.rep!I82*pm.rep!I190*(pm.rep!I28^0.5)*pm.rep!$B$7</f>
        <v>17516.993888433899</v>
      </c>
      <c r="J108" s="6">
        <f>pm.rep!J82*pm.rep!J190*(pm.rep!J28^0.5)*pm.rep!$B$7</f>
        <v>10385.428354909214</v>
      </c>
      <c r="K108" s="6">
        <f>pm.rep!K82*pm.rep!K190*(pm.rep!K28^0.5)*pm.rep!$B$7</f>
        <v>5231.4881324492953</v>
      </c>
      <c r="L108" s="6">
        <f>pm.rep!L82*pm.rep!L190*(pm.rep!L28^0.5)*pm.rep!$B$7</f>
        <v>2857.0721610017981</v>
      </c>
      <c r="M108" s="6">
        <f>pm.rep!M82*pm.rep!M190*(pm.rep!M28^0.5)*pm.rep!$B$7</f>
        <v>588.34629716601614</v>
      </c>
      <c r="N108" s="6">
        <f>pm.rep!N82*pm.rep!N190*(pm.rep!N28^0.5)*pm.rep!$B$7</f>
        <v>355.82403359329498</v>
      </c>
      <c r="O108" s="6">
        <f>pm.rep!O82*pm.rep!O190*(pm.rep!O28^0.5)*pm.rep!$B$7</f>
        <v>281.37971448575581</v>
      </c>
      <c r="P108" s="6">
        <f>pm.rep!P82*pm.rep!P190*(pm.rep!P28^0.5)*pm.rep!$B$7</f>
        <v>304.0466662032544</v>
      </c>
    </row>
    <row r="109" spans="1:27" x14ac:dyDescent="0.15">
      <c r="A109">
        <v>1984</v>
      </c>
      <c r="B109" s="6">
        <f>pm.rep!B83*pm.rep!B191*(pm.rep!B29^0.5)*pm.rep!$B$7</f>
        <v>71570.798552580571</v>
      </c>
      <c r="C109" s="6">
        <f>pm.rep!C83*pm.rep!C191*(pm.rep!C29^0.5)*pm.rep!$B$7</f>
        <v>105489.65888561429</v>
      </c>
      <c r="D109" s="6">
        <f>pm.rep!D83*pm.rep!D191*(pm.rep!D29^0.5)*pm.rep!$B$7</f>
        <v>54625.890603107851</v>
      </c>
      <c r="E109" s="6">
        <f>pm.rep!E83*pm.rep!E191*(pm.rep!E29^0.5)*pm.rep!$B$7</f>
        <v>164189.25006017348</v>
      </c>
      <c r="F109" s="6">
        <f>pm.rep!F83*pm.rep!F191*(pm.rep!F29^0.5)*pm.rep!$B$7</f>
        <v>182887.707553263</v>
      </c>
      <c r="G109" s="6">
        <f>pm.rep!G83*pm.rep!G191*(pm.rep!G29^0.5)*pm.rep!$B$7</f>
        <v>378023.01561071887</v>
      </c>
      <c r="H109" s="6">
        <f>pm.rep!H83*pm.rep!H191*(pm.rep!H29^0.5)*pm.rep!$B$7</f>
        <v>95100.452311383415</v>
      </c>
      <c r="I109" s="6">
        <f>pm.rep!I83*pm.rep!I191*(pm.rep!I29^0.5)*pm.rep!$B$7</f>
        <v>24579.58013425209</v>
      </c>
      <c r="J109" s="6">
        <f>pm.rep!J83*pm.rep!J191*(pm.rep!J29^0.5)*pm.rep!$B$7</f>
        <v>10821.885842705857</v>
      </c>
      <c r="K109" s="6">
        <f>pm.rep!K83*pm.rep!K191*(pm.rep!K29^0.5)*pm.rep!$B$7</f>
        <v>6306.435798069444</v>
      </c>
      <c r="L109" s="6">
        <f>pm.rep!L83*pm.rep!L191*(pm.rep!L29^0.5)*pm.rep!$B$7</f>
        <v>3156.9406618900898</v>
      </c>
      <c r="M109" s="6">
        <f>pm.rep!M83*pm.rep!M191*(pm.rep!M29^0.5)*pm.rep!$B$7</f>
        <v>1720.6276167364504</v>
      </c>
      <c r="N109" s="6">
        <f>pm.rep!N83*pm.rep!N191*(pm.rep!N29^0.5)*pm.rep!$B$7</f>
        <v>353.99282303406403</v>
      </c>
      <c r="O109" s="6">
        <f>pm.rep!O83*pm.rep!O191*(pm.rep!O29^0.5)*pm.rep!$B$7</f>
        <v>213.99955427651452</v>
      </c>
      <c r="P109" s="6">
        <f>pm.rep!P83*pm.rep!P191*(pm.rep!P29^0.5)*pm.rep!$B$7</f>
        <v>351.99235104218536</v>
      </c>
    </row>
    <row r="110" spans="1:27" x14ac:dyDescent="0.15">
      <c r="A110">
        <v>1985</v>
      </c>
      <c r="B110" s="6">
        <f>pm.rep!B84*pm.rep!B192*(pm.rep!B30^0.5)*pm.rep!$B$7</f>
        <v>423959.38611065096</v>
      </c>
      <c r="C110" s="6">
        <f>pm.rep!C84*pm.rep!C192*(pm.rep!C30^0.5)*pm.rep!$B$7</f>
        <v>40588.491834371394</v>
      </c>
      <c r="D110" s="6">
        <f>pm.rep!D84*pm.rep!D192*(pm.rep!D30^0.5)*pm.rep!$B$7</f>
        <v>221389.56791048651</v>
      </c>
      <c r="E110" s="6">
        <f>pm.rep!E84*pm.rep!E192*(pm.rep!E30^0.5)*pm.rep!$B$7</f>
        <v>95968.15948999922</v>
      </c>
      <c r="F110" s="6">
        <f>pm.rep!F84*pm.rep!F192*(pm.rep!F30^0.5)*pm.rep!$B$7</f>
        <v>211696.54893005613</v>
      </c>
      <c r="G110" s="6">
        <f>pm.rep!G84*pm.rep!G192*(pm.rep!G30^0.5)*pm.rep!$B$7</f>
        <v>168381.39043090964</v>
      </c>
      <c r="H110" s="6">
        <f>pm.rep!H84*pm.rep!H192*(pm.rep!H30^0.5)*pm.rep!$B$7</f>
        <v>280115.36616017472</v>
      </c>
      <c r="I110" s="6">
        <f>pm.rep!I84*pm.rep!I192*(pm.rep!I30^0.5)*pm.rep!$B$7</f>
        <v>62411.484870447894</v>
      </c>
      <c r="J110" s="6">
        <f>pm.rep!J84*pm.rep!J192*(pm.rep!J30^0.5)*pm.rep!$B$7</f>
        <v>15280.270034822572</v>
      </c>
      <c r="K110" s="6">
        <f>pm.rep!K84*pm.rep!K192*(pm.rep!K30^0.5)*pm.rep!$B$7</f>
        <v>6542.2003663717396</v>
      </c>
      <c r="L110" s="6">
        <f>pm.rep!L84*pm.rep!L192*(pm.rep!L30^0.5)*pm.rep!$B$7</f>
        <v>3779.2660018226838</v>
      </c>
      <c r="M110" s="6">
        <f>pm.rep!M84*pm.rep!M192*(pm.rep!M30^0.5)*pm.rep!$B$7</f>
        <v>1889.8382667058772</v>
      </c>
      <c r="N110" s="6">
        <f>pm.rep!N84*pm.rep!N192*(pm.rep!N30^0.5)*pm.rep!$B$7</f>
        <v>1030.020046092694</v>
      </c>
      <c r="O110" s="6">
        <f>pm.rep!O84*pm.rep!O192*(pm.rep!O30^0.5)*pm.rep!$B$7</f>
        <v>211.95087688857004</v>
      </c>
      <c r="P110" s="6">
        <f>pm.rep!P84*pm.rep!P192*(pm.rep!P30^0.5)*pm.rep!$B$7</f>
        <v>338.8999311555213</v>
      </c>
    </row>
    <row r="111" spans="1:27" x14ac:dyDescent="0.15">
      <c r="A111">
        <v>1986</v>
      </c>
      <c r="B111" s="6">
        <f>pm.rep!B85*pm.rep!B193*(pm.rep!B31^0.5)*pm.rep!$B$7</f>
        <v>231223.29771685103</v>
      </c>
      <c r="C111" s="6">
        <f>pm.rep!C85*pm.rep!C193*(pm.rep!C31^0.5)*pm.rep!$B$7</f>
        <v>70157.198840331301</v>
      </c>
      <c r="D111" s="6">
        <f>pm.rep!D85*pm.rep!D193*(pm.rep!D31^0.5)*pm.rep!$B$7</f>
        <v>41242.735394081043</v>
      </c>
      <c r="E111" s="6">
        <f>pm.rep!E85*pm.rep!E193*(pm.rep!E31^0.5)*pm.rep!$B$7</f>
        <v>234337.04747933039</v>
      </c>
      <c r="F111" s="6">
        <f>pm.rep!F85*pm.rep!F193*(pm.rep!F31^0.5)*pm.rep!$B$7</f>
        <v>94540.173261977237</v>
      </c>
      <c r="G111" s="6">
        <f>pm.rep!G85*pm.rep!G193*(pm.rep!G31^0.5)*pm.rep!$B$7</f>
        <v>182398.29815810642</v>
      </c>
      <c r="H111" s="6">
        <f>pm.rep!H85*pm.rep!H193*(pm.rep!H31^0.5)*pm.rep!$B$7</f>
        <v>126415.24134568502</v>
      </c>
      <c r="I111" s="6">
        <f>pm.rep!I85*pm.rep!I193*(pm.rep!I31^0.5)*pm.rep!$B$7</f>
        <v>194394.78164494978</v>
      </c>
      <c r="J111" s="6">
        <f>pm.rep!J85*pm.rep!J193*(pm.rep!J31^0.5)*pm.rep!$B$7</f>
        <v>40435.808309760971</v>
      </c>
      <c r="K111" s="6">
        <f>pm.rep!K85*pm.rep!K193*(pm.rep!K31^0.5)*pm.rep!$B$7</f>
        <v>9525.9232085582189</v>
      </c>
      <c r="L111" s="6">
        <f>pm.rep!L85*pm.rep!L193*(pm.rep!L31^0.5)*pm.rep!$B$7</f>
        <v>3993.1590328351535</v>
      </c>
      <c r="M111" s="6">
        <f>pm.rep!M85*pm.rep!M193*(pm.rep!M31^0.5)*pm.rep!$B$7</f>
        <v>2289.0078914531018</v>
      </c>
      <c r="N111" s="6">
        <f>pm.rep!N85*pm.rep!N193*(pm.rep!N31^0.5)*pm.rep!$B$7</f>
        <v>1140.4859327737952</v>
      </c>
      <c r="O111" s="6">
        <f>pm.rep!O85*pm.rep!O193*(pm.rep!O31^0.5)*pm.rep!$B$7</f>
        <v>620.55482051201727</v>
      </c>
      <c r="P111" s="6">
        <f>pm.rep!P85*pm.rep!P193*(pm.rep!P31^0.5)*pm.rep!$B$7</f>
        <v>331.48683698070539</v>
      </c>
    </row>
    <row r="112" spans="1:27" x14ac:dyDescent="0.15">
      <c r="A112">
        <v>1987</v>
      </c>
      <c r="B112" s="6">
        <f>pm.rep!B86*pm.rep!B194*(pm.rep!B32^0.5)*pm.rep!$B$7</f>
        <v>75438.789816891309</v>
      </c>
      <c r="C112" s="6">
        <f>pm.rep!C86*pm.rep!C194*(pm.rep!C32^0.5)*pm.rep!$B$7</f>
        <v>45621.697703388447</v>
      </c>
      <c r="D112" s="6">
        <f>pm.rep!D86*pm.rep!D194*(pm.rep!D32^0.5)*pm.rep!$B$7</f>
        <v>160103.79465636238</v>
      </c>
      <c r="E112" s="6">
        <f>pm.rep!E86*pm.rep!E194*(pm.rep!E32^0.5)*pm.rep!$B$7</f>
        <v>89541.834490715104</v>
      </c>
      <c r="F112" s="6">
        <f>pm.rep!F86*pm.rep!F194*(pm.rep!F32^0.5)*pm.rep!$B$7</f>
        <v>410129.20277101756</v>
      </c>
      <c r="G112" s="6">
        <f>pm.rep!G86*pm.rep!G194*(pm.rep!G32^0.5)*pm.rep!$B$7</f>
        <v>124471.22079383564</v>
      </c>
      <c r="H112" s="6">
        <f>pm.rep!H86*pm.rep!H194*(pm.rep!H32^0.5)*pm.rep!$B$7</f>
        <v>179059.05109150751</v>
      </c>
      <c r="I112" s="6">
        <f>pm.rep!I86*pm.rep!I194*(pm.rep!I32^0.5)*pm.rep!$B$7</f>
        <v>100363.32707108607</v>
      </c>
      <c r="J112" s="6">
        <f>pm.rep!J86*pm.rep!J194*(pm.rep!J32^0.5)*pm.rep!$B$7</f>
        <v>137077.15007544978</v>
      </c>
      <c r="K112" s="6">
        <f>pm.rep!K86*pm.rep!K194*(pm.rep!K32^0.5)*pm.rep!$B$7</f>
        <v>26553.98118285348</v>
      </c>
      <c r="L112" s="6">
        <f>pm.rep!L86*pm.rep!L194*(pm.rep!L32^0.5)*pm.rep!$B$7</f>
        <v>6064.5517735245785</v>
      </c>
      <c r="M112" s="6">
        <f>pm.rep!M86*pm.rep!M194*(pm.rep!M32^0.5)*pm.rep!$B$7</f>
        <v>2510.1622839467286</v>
      </c>
      <c r="N112" s="6">
        <f>pm.rep!N86*pm.rep!N194*(pm.rep!N32^0.5)*pm.rep!$B$7</f>
        <v>1430.9666626048054</v>
      </c>
      <c r="O112" s="6">
        <f>pm.rep!O86*pm.rep!O194*(pm.rep!O32^0.5)*pm.rep!$B$7</f>
        <v>711.26411049395267</v>
      </c>
      <c r="P112" s="6">
        <f>pm.rep!P86*pm.rep!P194*(pm.rep!P32^0.5)*pm.rep!$B$7</f>
        <v>593.00414661872742</v>
      </c>
    </row>
    <row r="113" spans="1:16" x14ac:dyDescent="0.15">
      <c r="A113">
        <v>1988</v>
      </c>
      <c r="B113" s="6">
        <f>pm.rep!B87*pm.rep!B195*(pm.rep!B33^0.5)*pm.rep!$B$7</f>
        <v>72889.752789149003</v>
      </c>
      <c r="C113" s="6">
        <f>pm.rep!C87*pm.rep!C195*(pm.rep!C33^0.5)*pm.rep!$B$7</f>
        <v>38757.687839454462</v>
      </c>
      <c r="D113" s="6">
        <f>pm.rep!D87*pm.rep!D195*(pm.rep!D33^0.5)*pm.rep!$B$7</f>
        <v>102331.82607962276</v>
      </c>
      <c r="E113" s="6">
        <f>pm.rep!E87*pm.rep!E195*(pm.rep!E33^0.5)*pm.rep!$B$7</f>
        <v>330636.90158587636</v>
      </c>
      <c r="F113" s="6">
        <f>pm.rep!F87*pm.rep!F195*(pm.rep!F33^0.5)*pm.rep!$B$7</f>
        <v>141154.33370366256</v>
      </c>
      <c r="G113" s="6">
        <f>pm.rep!G87*pm.rep!G195*(pm.rep!G33^0.5)*pm.rep!$B$7</f>
        <v>476538.57465197641</v>
      </c>
      <c r="H113" s="6">
        <f>pm.rep!H87*pm.rep!H195*(pm.rep!H33^0.5)*pm.rep!$B$7</f>
        <v>109277.96066624245</v>
      </c>
      <c r="I113" s="6">
        <f>pm.rep!I87*pm.rep!I195*(pm.rep!I33^0.5)*pm.rep!$B$7</f>
        <v>134007.98666659705</v>
      </c>
      <c r="J113" s="6">
        <f>pm.rep!J87*pm.rep!J195*(pm.rep!J33^0.5)*pm.rep!$B$7</f>
        <v>67867.864381783729</v>
      </c>
      <c r="K113" s="6">
        <f>pm.rep!K87*pm.rep!K195*(pm.rep!K33^0.5)*pm.rep!$B$7</f>
        <v>88698.324931407391</v>
      </c>
      <c r="L113" s="6">
        <f>pm.rep!L87*pm.rep!L195*(pm.rep!L33^0.5)*pm.rep!$B$7</f>
        <v>16888.213720841108</v>
      </c>
      <c r="M113" s="6">
        <f>pm.rep!M87*pm.rep!M195*(pm.rep!M33^0.5)*pm.rep!$B$7</f>
        <v>3825.2282209302703</v>
      </c>
      <c r="N113" s="6">
        <f>pm.rep!N87*pm.rep!N195*(pm.rep!N33^0.5)*pm.rep!$B$7</f>
        <v>1577.6176019154905</v>
      </c>
      <c r="O113" s="6">
        <f>pm.rep!O87*pm.rep!O195*(pm.rep!O33^0.5)*pm.rep!$B$7</f>
        <v>897.9624307631716</v>
      </c>
      <c r="P113" s="6">
        <f>pm.rep!P87*pm.rep!P195*(pm.rep!P33^0.5)*pm.rep!$B$7</f>
        <v>817.77955477974831</v>
      </c>
    </row>
    <row r="114" spans="1:16" x14ac:dyDescent="0.15">
      <c r="A114">
        <v>1989</v>
      </c>
      <c r="B114" s="6">
        <f>pm.rep!B88*pm.rep!B196*(pm.rep!B34^0.5)*pm.rep!$B$7</f>
        <v>88825.835175779022</v>
      </c>
      <c r="C114" s="6">
        <f>pm.rep!C88*pm.rep!C196*(pm.rep!C34^0.5)*pm.rep!$B$7</f>
        <v>26569.233877367627</v>
      </c>
      <c r="D114" s="6">
        <f>pm.rep!D88*pm.rep!D196*(pm.rep!D34^0.5)*pm.rep!$B$7</f>
        <v>57096.98534155477</v>
      </c>
      <c r="E114" s="6">
        <f>pm.rep!E88*pm.rep!E196*(pm.rep!E34^0.5)*pm.rep!$B$7</f>
        <v>143328.54764528864</v>
      </c>
      <c r="F114" s="6">
        <f>pm.rep!F88*pm.rep!F196*(pm.rep!F34^0.5)*pm.rep!$B$7</f>
        <v>381098.89079815801</v>
      </c>
      <c r="G114" s="6">
        <f>pm.rep!G88*pm.rep!G196*(pm.rep!G34^0.5)*pm.rep!$B$7</f>
        <v>127555.87754701287</v>
      </c>
      <c r="H114" s="6">
        <f>pm.rep!H88*pm.rep!H196*(pm.rep!H34^0.5)*pm.rep!$B$7</f>
        <v>354442.40227316821</v>
      </c>
      <c r="I114" s="6">
        <f>pm.rep!I88*pm.rep!I196*(pm.rep!I34^0.5)*pm.rep!$B$7</f>
        <v>72906.085085614031</v>
      </c>
      <c r="J114" s="6">
        <f>pm.rep!J88*pm.rep!J196*(pm.rep!J34^0.5)*pm.rep!$B$7</f>
        <v>85933.127702372876</v>
      </c>
      <c r="K114" s="6">
        <f>pm.rep!K88*pm.rep!K196*(pm.rep!K34^0.5)*pm.rep!$B$7</f>
        <v>42370.494066878506</v>
      </c>
      <c r="L114" s="6">
        <f>pm.rep!L88*pm.rep!L196*(pm.rep!L34^0.5)*pm.rep!$B$7</f>
        <v>54957.00905690236</v>
      </c>
      <c r="M114" s="6">
        <f>pm.rep!M88*pm.rep!M196*(pm.rep!M34^0.5)*pm.rep!$B$7</f>
        <v>10418.933860828673</v>
      </c>
      <c r="N114" s="6">
        <f>pm.rep!N88*pm.rep!N196*(pm.rep!N34^0.5)*pm.rep!$B$7</f>
        <v>2355.5646196662769</v>
      </c>
      <c r="O114" s="6">
        <f>pm.rep!O88*pm.rep!O196*(pm.rep!O34^0.5)*pm.rep!$B$7</f>
        <v>970.72805082433126</v>
      </c>
      <c r="P114" s="6">
        <f>pm.rep!P88*pm.rep!P196*(pm.rep!P34^0.5)*pm.rep!$B$7</f>
        <v>1055.2751948425109</v>
      </c>
    </row>
    <row r="115" spans="1:16" x14ac:dyDescent="0.15">
      <c r="A115">
        <v>1990</v>
      </c>
      <c r="B115" s="6">
        <f>pm.rep!B89*pm.rep!B197*(pm.rep!B35^0.5)*pm.rep!$B$7</f>
        <v>201955.18688821144</v>
      </c>
      <c r="C115" s="6">
        <f>pm.rep!C89*pm.rep!C197*(pm.rep!C35^0.5)*pm.rep!$B$7</f>
        <v>35239.346224042529</v>
      </c>
      <c r="D115" s="6">
        <f>pm.rep!D89*pm.rep!D197*(pm.rep!D35^0.5)*pm.rep!$B$7</f>
        <v>30636.035703135389</v>
      </c>
      <c r="E115" s="6">
        <f>pm.rep!E89*pm.rep!E197*(pm.rep!E35^0.5)*pm.rep!$B$7</f>
        <v>65866.574954280513</v>
      </c>
      <c r="F115" s="6">
        <f>pm.rep!F89*pm.rep!F197*(pm.rep!F35^0.5)*pm.rep!$B$7</f>
        <v>138873.77488264884</v>
      </c>
      <c r="G115" s="6">
        <f>pm.rep!G89*pm.rep!G197*(pm.rep!G35^0.5)*pm.rep!$B$7</f>
        <v>304577.37868108816</v>
      </c>
      <c r="H115" s="6">
        <f>pm.rep!H89*pm.rep!H197*(pm.rep!H35^0.5)*pm.rep!$B$7</f>
        <v>86682.292291171281</v>
      </c>
      <c r="I115" s="6">
        <f>pm.rep!I89*pm.rep!I197*(pm.rep!I35^0.5)*pm.rep!$B$7</f>
        <v>217962.31664858694</v>
      </c>
      <c r="J115" s="6">
        <f>pm.rep!J89*pm.rep!J197*(pm.rep!J35^0.5)*pm.rep!$B$7</f>
        <v>43785.864354654092</v>
      </c>
      <c r="K115" s="6">
        <f>pm.rep!K89*pm.rep!K197*(pm.rep!K35^0.5)*pm.rep!$B$7</f>
        <v>51355.464491364379</v>
      </c>
      <c r="L115" s="6">
        <f>pm.rep!L89*pm.rep!L197*(pm.rep!L35^0.5)*pm.rep!$B$7</f>
        <v>25185.051705662339</v>
      </c>
      <c r="M115" s="6">
        <f>pm.rep!M89*pm.rep!M197*(pm.rep!M35^0.5)*pm.rep!$B$7</f>
        <v>32582.501849554654</v>
      </c>
      <c r="N115" s="6">
        <f>pm.rep!N89*pm.rep!N197*(pm.rep!N35^0.5)*pm.rep!$B$7</f>
        <v>6170.7295002724759</v>
      </c>
      <c r="O115" s="6">
        <f>pm.rep!O89*pm.rep!O197*(pm.rep!O35^0.5)*pm.rep!$B$7</f>
        <v>1394.5334556227565</v>
      </c>
      <c r="P115" s="6">
        <f>pm.rep!P89*pm.rep!P197*(pm.rep!P35^0.5)*pm.rep!$B$7</f>
        <v>1199.1770008050948</v>
      </c>
    </row>
    <row r="116" spans="1:16" x14ac:dyDescent="0.15">
      <c r="A116">
        <v>1991</v>
      </c>
      <c r="B116" s="6">
        <f>pm.rep!B90*pm.rep!B198*(pm.rep!B36^0.5)*pm.rep!$B$7</f>
        <v>232494.84547723577</v>
      </c>
      <c r="C116" s="6">
        <f>pm.rep!C90*pm.rep!C198*(pm.rep!C36^0.5)*pm.rep!$B$7</f>
        <v>78628.013925651772</v>
      </c>
      <c r="D116" s="6">
        <f>pm.rep!D90*pm.rep!D198*(pm.rep!D36^0.5)*pm.rep!$B$7</f>
        <v>33941.258226736725</v>
      </c>
      <c r="E116" s="6">
        <f>pm.rep!E90*pm.rep!E198*(pm.rep!E36^0.5)*pm.rep!$B$7</f>
        <v>29796.015337383491</v>
      </c>
      <c r="F116" s="6">
        <f>pm.rep!F90*pm.rep!F198*(pm.rep!F36^0.5)*pm.rep!$B$7</f>
        <v>54974.58577340292</v>
      </c>
      <c r="G116" s="6">
        <f>pm.rep!G90*pm.rep!G198*(pm.rep!G36^0.5)*pm.rep!$B$7</f>
        <v>97255.99409668523</v>
      </c>
      <c r="H116" s="6">
        <f>pm.rep!H90*pm.rep!H198*(pm.rep!H36^0.5)*pm.rep!$B$7</f>
        <v>184869.60634991355</v>
      </c>
      <c r="I116" s="6">
        <f>pm.rep!I90*pm.rep!I198*(pm.rep!I36^0.5)*pm.rep!$B$7</f>
        <v>50036.084812371912</v>
      </c>
      <c r="J116" s="6">
        <f>pm.rep!J90*pm.rep!J198*(pm.rep!J36^0.5)*pm.rep!$B$7</f>
        <v>120275.23649898727</v>
      </c>
      <c r="K116" s="6">
        <f>pm.rep!K90*pm.rep!K198*(pm.rep!K36^0.5)*pm.rep!$B$7</f>
        <v>24093.668375166802</v>
      </c>
      <c r="L116" s="6">
        <f>pm.rep!L90*pm.rep!L198*(pm.rep!L36^0.5)*pm.rep!$B$7</f>
        <v>28316.70819017577</v>
      </c>
      <c r="M116" s="6">
        <f>pm.rep!M90*pm.rep!M198*(pm.rep!M36^0.5)*pm.rep!$B$7</f>
        <v>13869.472780843129</v>
      </c>
      <c r="N116" s="6">
        <f>pm.rep!N90*pm.rep!N198*(pm.rep!N36^0.5)*pm.rep!$B$7</f>
        <v>17935.103042618586</v>
      </c>
      <c r="O116" s="6">
        <f>pm.rep!O90*pm.rep!O198*(pm.rep!O36^0.5)*pm.rep!$B$7</f>
        <v>3396.118994297216</v>
      </c>
      <c r="P116" s="6">
        <f>pm.rep!P90*pm.rep!P198*(pm.rep!P36^0.5)*pm.rep!$B$7</f>
        <v>1427.3673600009338</v>
      </c>
    </row>
    <row r="117" spans="1:16" x14ac:dyDescent="0.15">
      <c r="A117">
        <v>1992</v>
      </c>
      <c r="B117" s="6">
        <f>pm.rep!B91*pm.rep!B199*(pm.rep!B37^0.5)*pm.rep!$B$7</f>
        <v>143932.43188188248</v>
      </c>
      <c r="C117" s="6">
        <f>pm.rep!C91*pm.rep!C199*(pm.rep!C37^0.5)*pm.rep!$B$7</f>
        <v>48407.101854849228</v>
      </c>
      <c r="D117" s="6">
        <f>pm.rep!D91*pm.rep!D199*(pm.rep!D37^0.5)*pm.rep!$B$7</f>
        <v>174024.32762940647</v>
      </c>
      <c r="E117" s="6">
        <f>pm.rep!E91*pm.rep!E199*(pm.rep!E37^0.5)*pm.rep!$B$7</f>
        <v>69891.57253008135</v>
      </c>
      <c r="F117" s="6">
        <f>pm.rep!F91*pm.rep!F199*(pm.rep!F37^0.5)*pm.rep!$B$7</f>
        <v>44786.376219694546</v>
      </c>
      <c r="G117" s="6">
        <f>pm.rep!G91*pm.rep!G199*(pm.rep!G37^0.5)*pm.rep!$B$7</f>
        <v>53319.466937152094</v>
      </c>
      <c r="H117" s="6">
        <f>pm.rep!H91*pm.rep!H199*(pm.rep!H37^0.5)*pm.rep!$B$7</f>
        <v>66047.322871325407</v>
      </c>
      <c r="I117" s="6">
        <f>pm.rep!I91*pm.rep!I199*(pm.rep!I37^0.5)*pm.rep!$B$7</f>
        <v>102231.00870141751</v>
      </c>
      <c r="J117" s="6">
        <f>pm.rep!J91*pm.rep!J199*(pm.rep!J37^0.5)*pm.rep!$B$7</f>
        <v>26379.29022486334</v>
      </c>
      <c r="K117" s="6">
        <f>pm.rep!K91*pm.rep!K199*(pm.rep!K37^0.5)*pm.rep!$B$7</f>
        <v>60985.654532291192</v>
      </c>
      <c r="L117" s="6">
        <f>pm.rep!L91*pm.rep!L199*(pm.rep!L37^0.5)*pm.rep!$B$7</f>
        <v>12128.199681155054</v>
      </c>
      <c r="M117" s="6">
        <f>pm.rep!M91*pm.rep!M199*(pm.rep!M37^0.5)*pm.rep!$B$7</f>
        <v>14215.336885961116</v>
      </c>
      <c r="N117" s="6">
        <f>pm.rep!N91*pm.rep!N199*(pm.rep!N37^0.5)*pm.rep!$B$7</f>
        <v>6956.224397196268</v>
      </c>
      <c r="O117" s="6">
        <f>pm.rep!O91*pm.rep!O199*(pm.rep!O37^0.5)*pm.rep!$B$7</f>
        <v>8992.5744410714615</v>
      </c>
      <c r="P117" s="6">
        <f>pm.rep!P91*pm.rep!P199*(pm.rep!P37^0.5)*pm.rep!$B$7</f>
        <v>2418.1789108284634</v>
      </c>
    </row>
    <row r="118" spans="1:16" x14ac:dyDescent="0.15">
      <c r="A118">
        <v>1993</v>
      </c>
      <c r="B118" s="6">
        <f>pm.rep!B92*pm.rep!B200*(pm.rep!B38^0.5)*pm.rep!$B$7</f>
        <v>248525.61494563828</v>
      </c>
      <c r="C118" s="6">
        <f>pm.rep!C92*pm.rep!C200*(pm.rep!C38^0.5)*pm.rep!$B$7</f>
        <v>44999.268923790769</v>
      </c>
      <c r="D118" s="6">
        <f>pm.rep!D92*pm.rep!D200*(pm.rep!D38^0.5)*pm.rep!$B$7</f>
        <v>98125.07489378452</v>
      </c>
      <c r="E118" s="6">
        <f>pm.rep!E92*pm.rep!E200*(pm.rep!E38^0.5)*pm.rep!$B$7</f>
        <v>316148.43032821041</v>
      </c>
      <c r="F118" s="6">
        <f>pm.rep!F92*pm.rep!F200*(pm.rep!F38^0.5)*pm.rep!$B$7</f>
        <v>98643.625136251605</v>
      </c>
      <c r="G118" s="6">
        <f>pm.rep!G92*pm.rep!G200*(pm.rep!G38^0.5)*pm.rep!$B$7</f>
        <v>42427.608244965566</v>
      </c>
      <c r="H118" s="6">
        <f>pm.rep!H92*pm.rep!H200*(pm.rep!H38^0.5)*pm.rep!$B$7</f>
        <v>35445.110528049227</v>
      </c>
      <c r="I118" s="6">
        <f>pm.rep!I92*pm.rep!I200*(pm.rep!I38^0.5)*pm.rep!$B$7</f>
        <v>36745.235268353063</v>
      </c>
      <c r="J118" s="6">
        <f>pm.rep!J92*pm.rep!J200*(pm.rep!J38^0.5)*pm.rep!$B$7</f>
        <v>53340.210048866807</v>
      </c>
      <c r="K118" s="6">
        <f>pm.rep!K92*pm.rep!K200*(pm.rep!K38^0.5)*pm.rep!$B$7</f>
        <v>13572.979607675539</v>
      </c>
      <c r="L118" s="6">
        <f>pm.rep!L92*pm.rep!L200*(pm.rep!L38^0.5)*pm.rep!$B$7</f>
        <v>31301.527004011641</v>
      </c>
      <c r="M118" s="6">
        <f>pm.rep!M92*pm.rep!M200*(pm.rep!M38^0.5)*pm.rep!$B$7</f>
        <v>6212.3380062125771</v>
      </c>
      <c r="N118" s="6">
        <f>pm.rep!N92*pm.rep!N200*(pm.rep!N38^0.5)*pm.rep!$B$7</f>
        <v>7276.4810017549407</v>
      </c>
      <c r="O118" s="6">
        <f>pm.rep!O92*pm.rep!O200*(pm.rep!O38^0.5)*pm.rep!$B$7</f>
        <v>3559.9324480664295</v>
      </c>
      <c r="P118" s="6">
        <f>pm.rep!P92*pm.rep!P200*(pm.rep!P38^0.5)*pm.rep!$B$7</f>
        <v>5839.1016932423418</v>
      </c>
    </row>
    <row r="119" spans="1:16" x14ac:dyDescent="0.15">
      <c r="A119">
        <v>1994</v>
      </c>
      <c r="B119" s="6">
        <f>pm.rep!B93*pm.rep!B201*(pm.rep!B39^0.5)*pm.rep!$B$7</f>
        <v>125917.8023525623</v>
      </c>
      <c r="C119" s="6">
        <f>pm.rep!C93*pm.rep!C201*(pm.rep!C39^0.5)*pm.rep!$B$7</f>
        <v>63870.967758906059</v>
      </c>
      <c r="D119" s="6">
        <f>pm.rep!D93*pm.rep!D201*(pm.rep!D39^0.5)*pm.rep!$B$7</f>
        <v>62676.946079793212</v>
      </c>
      <c r="E119" s="6">
        <f>pm.rep!E93*pm.rep!E201*(pm.rep!E39^0.5)*pm.rep!$B$7</f>
        <v>130655.91789376634</v>
      </c>
      <c r="F119" s="6">
        <f>pm.rep!F93*pm.rep!F201*(pm.rep!F39^0.5)*pm.rep!$B$7</f>
        <v>320014.84655809944</v>
      </c>
      <c r="G119" s="6">
        <f>pm.rep!G93*pm.rep!G201*(pm.rep!G39^0.5)*pm.rep!$B$7</f>
        <v>82202.144310759832</v>
      </c>
      <c r="H119" s="6">
        <f>pm.rep!H93*pm.rep!H201*(pm.rep!H39^0.5)*pm.rep!$B$7</f>
        <v>27929.331343633999</v>
      </c>
      <c r="I119" s="6">
        <f>pm.rep!I93*pm.rep!I201*(pm.rep!I39^0.5)*pm.rep!$B$7</f>
        <v>20603.425956828334</v>
      </c>
      <c r="J119" s="6">
        <f>pm.rep!J93*pm.rep!J201*(pm.rep!J39^0.5)*pm.rep!$B$7</f>
        <v>20741.634068108975</v>
      </c>
      <c r="K119" s="6">
        <f>pm.rep!K93*pm.rep!K201*(pm.rep!K39^0.5)*pm.rep!$B$7</f>
        <v>29894.161180262166</v>
      </c>
      <c r="L119" s="6">
        <f>pm.rep!L93*pm.rep!L201*(pm.rep!L39^0.5)*pm.rep!$B$7</f>
        <v>7624.4155019985274</v>
      </c>
      <c r="M119" s="6">
        <f>pm.rep!M93*pm.rep!M201*(pm.rep!M39^0.5)*pm.rep!$B$7</f>
        <v>17563.39951420404</v>
      </c>
      <c r="N119" s="6">
        <f>pm.rep!N93*pm.rep!N201*(pm.rep!N39^0.5)*pm.rep!$B$7</f>
        <v>3484.488091538321</v>
      </c>
      <c r="O119" s="6">
        <f>pm.rep!O93*pm.rep!O201*(pm.rep!O39^0.5)*pm.rep!$B$7</f>
        <v>4080.889472836423</v>
      </c>
      <c r="P119" s="6">
        <f>pm.rep!P93*pm.rep!P201*(pm.rep!P39^0.5)*pm.rep!$B$7</f>
        <v>5271.0312482362697</v>
      </c>
    </row>
    <row r="120" spans="1:16" x14ac:dyDescent="0.15">
      <c r="A120">
        <v>1995</v>
      </c>
      <c r="B120" s="6">
        <f>pm.rep!B94*pm.rep!B202*(pm.rep!B40^0.5)*pm.rep!$B$7</f>
        <v>92502.310227862952</v>
      </c>
      <c r="C120" s="6">
        <f>pm.rep!C94*pm.rep!C202*(pm.rep!C40^0.5)*pm.rep!$B$7</f>
        <v>11048.637666567311</v>
      </c>
      <c r="D120" s="6">
        <f>pm.rep!D94*pm.rep!D202*(pm.rep!D40^0.5)*pm.rep!$B$7</f>
        <v>65703.81718801122</v>
      </c>
      <c r="E120" s="6">
        <f>pm.rep!E94*pm.rep!E202*(pm.rep!E40^0.5)*pm.rep!$B$7</f>
        <v>64784.49952683728</v>
      </c>
      <c r="F120" s="6">
        <f>pm.rep!F94*pm.rep!F202*(pm.rep!F40^0.5)*pm.rep!$B$7</f>
        <v>114800.14639203642</v>
      </c>
      <c r="G120" s="6">
        <f>pm.rep!G94*pm.rep!G202*(pm.rep!G40^0.5)*pm.rep!$B$7</f>
        <v>218113.25301446518</v>
      </c>
      <c r="H120" s="6">
        <f>pm.rep!H94*pm.rep!H202*(pm.rep!H40^0.5)*pm.rep!$B$7</f>
        <v>51689.869171218845</v>
      </c>
      <c r="I120" s="6">
        <f>pm.rep!I94*pm.rep!I202*(pm.rep!I40^0.5)*pm.rep!$B$7</f>
        <v>16159.605325705992</v>
      </c>
      <c r="J120" s="6">
        <f>pm.rep!J94*pm.rep!J202*(pm.rep!J40^0.5)*pm.rep!$B$7</f>
        <v>11730.20096919332</v>
      </c>
      <c r="K120" s="6">
        <f>pm.rep!K94*pm.rep!K202*(pm.rep!K40^0.5)*pm.rep!$B$7</f>
        <v>11796.965339897359</v>
      </c>
      <c r="L120" s="6">
        <f>pm.rep!L94*pm.rep!L202*(pm.rep!L40^0.5)*pm.rep!$B$7</f>
        <v>17021.767778792768</v>
      </c>
      <c r="M120" s="6">
        <f>pm.rep!M94*pm.rep!M202*(pm.rep!M40^0.5)*pm.rep!$B$7</f>
        <v>4338.7140748413931</v>
      </c>
      <c r="N120" s="6">
        <f>pm.rep!N94*pm.rep!N202*(pm.rep!N40^0.5)*pm.rep!$B$7</f>
        <v>9992.8502267784806</v>
      </c>
      <c r="O120" s="6">
        <f>pm.rep!O94*pm.rep!O202*(pm.rep!O40^0.5)*pm.rep!$B$7</f>
        <v>1982.4406844923249</v>
      </c>
      <c r="P120" s="6">
        <f>pm.rep!P94*pm.rep!P202*(pm.rep!P40^0.5)*pm.rep!$B$7</f>
        <v>5320.4221417153476</v>
      </c>
    </row>
    <row r="121" spans="1:16" x14ac:dyDescent="0.15">
      <c r="A121">
        <v>1996</v>
      </c>
      <c r="B121" s="6">
        <f>pm.rep!B95*pm.rep!B203*(pm.rep!B41^0.5)*pm.rep!$B$7</f>
        <v>142858.22284681682</v>
      </c>
      <c r="C121" s="6">
        <f>pm.rep!C95*pm.rep!C203*(pm.rep!C41^0.5)*pm.rep!$B$7</f>
        <v>6188.7242443549367</v>
      </c>
      <c r="D121" s="6">
        <f>pm.rep!D95*pm.rep!D203*(pm.rep!D41^0.5)*pm.rep!$B$7</f>
        <v>16154.976489187075</v>
      </c>
      <c r="E121" s="6">
        <f>pm.rep!E95*pm.rep!E203*(pm.rep!E41^0.5)*pm.rep!$B$7</f>
        <v>88428.410378400935</v>
      </c>
      <c r="F121" s="6">
        <f>pm.rep!F95*pm.rep!F203*(pm.rep!F41^0.5)*pm.rep!$B$7</f>
        <v>70630.90666978473</v>
      </c>
      <c r="G121" s="6">
        <f>pm.rep!G95*pm.rep!G203*(pm.rep!G41^0.5)*pm.rep!$B$7</f>
        <v>91300.578964457338</v>
      </c>
      <c r="H121" s="6">
        <f>pm.rep!H95*pm.rep!H203*(pm.rep!H41^0.5)*pm.rep!$B$7</f>
        <v>127740.63050160758</v>
      </c>
      <c r="I121" s="6">
        <f>pm.rep!I95*pm.rep!I203*(pm.rep!I41^0.5)*pm.rep!$B$7</f>
        <v>28206.643868064697</v>
      </c>
      <c r="J121" s="6">
        <f>pm.rep!J95*pm.rep!J203*(pm.rep!J41^0.5)*pm.rep!$B$7</f>
        <v>8769.6759844481712</v>
      </c>
      <c r="K121" s="6">
        <f>pm.rep!K95*pm.rep!K203*(pm.rep!K41^0.5)*pm.rep!$B$7</f>
        <v>6472.468816933977</v>
      </c>
      <c r="L121" s="6">
        <f>pm.rep!L95*pm.rep!L203*(pm.rep!L41^0.5)*pm.rep!$B$7</f>
        <v>6546.6655945236289</v>
      </c>
      <c r="M121" s="6">
        <f>pm.rep!M95*pm.rep!M203*(pm.rep!M41^0.5)*pm.rep!$B$7</f>
        <v>9461.7151159577643</v>
      </c>
      <c r="N121" s="6">
        <f>pm.rep!N95*pm.rep!N203*(pm.rep!N41^0.5)*pm.rep!$B$7</f>
        <v>2414.0754795525932</v>
      </c>
      <c r="O121" s="6">
        <f>pm.rep!O95*pm.rep!O203*(pm.rep!O41^0.5)*pm.rep!$B$7</f>
        <v>5562.6907921550483</v>
      </c>
      <c r="P121" s="6">
        <f>pm.rep!P95*pm.rep!P203*(pm.rep!P41^0.5)*pm.rep!$B$7</f>
        <v>4065.9010620110539</v>
      </c>
    </row>
    <row r="122" spans="1:16" x14ac:dyDescent="0.15">
      <c r="A122">
        <v>1997</v>
      </c>
      <c r="B122" s="6">
        <f>pm.rep!B96*pm.rep!B204*(pm.rep!B42^0.5)*pm.rep!$B$7</f>
        <v>186785.39383077031</v>
      </c>
      <c r="C122" s="6">
        <f>pm.rep!C96*pm.rep!C204*(pm.rep!C42^0.5)*pm.rep!$B$7</f>
        <v>24580.62604725549</v>
      </c>
      <c r="D122" s="6">
        <f>pm.rep!D96*pm.rep!D204*(pm.rep!D42^0.5)*pm.rep!$B$7</f>
        <v>18165.402321156951</v>
      </c>
      <c r="E122" s="6">
        <f>pm.rep!E96*pm.rep!E204*(pm.rep!E42^0.5)*pm.rep!$B$7</f>
        <v>42455.855923503281</v>
      </c>
      <c r="F122" s="6">
        <f>pm.rep!F96*pm.rep!F204*(pm.rep!F42^0.5)*pm.rep!$B$7</f>
        <v>183654.03363481912</v>
      </c>
      <c r="G122" s="6">
        <f>pm.rep!G96*pm.rep!G204*(pm.rep!G42^0.5)*pm.rep!$B$7</f>
        <v>104735.3475142336</v>
      </c>
      <c r="H122" s="6">
        <f>pm.rep!H96*pm.rep!H204*(pm.rep!H42^0.5)*pm.rep!$B$7</f>
        <v>87438.745377389248</v>
      </c>
      <c r="I122" s="6">
        <f>pm.rep!I96*pm.rep!I204*(pm.rep!I42^0.5)*pm.rep!$B$7</f>
        <v>86199.312566422232</v>
      </c>
      <c r="J122" s="6">
        <f>pm.rep!J96*pm.rep!J204*(pm.rep!J42^0.5)*pm.rep!$B$7</f>
        <v>16134.929728210343</v>
      </c>
      <c r="K122" s="6">
        <f>pm.rep!K96*pm.rep!K204*(pm.rep!K42^0.5)*pm.rep!$B$7</f>
        <v>4812.090487811085</v>
      </c>
      <c r="L122" s="6">
        <f>pm.rep!L96*pm.rep!L204*(pm.rep!L42^0.5)*pm.rep!$B$7</f>
        <v>3507.9611548782705</v>
      </c>
      <c r="M122" s="6">
        <f>pm.rep!M96*pm.rep!M204*(pm.rep!M42^0.5)*pm.rep!$B$7</f>
        <v>3513.6363707149139</v>
      </c>
      <c r="N122" s="6">
        <f>pm.rep!N96*pm.rep!N204*(pm.rep!N42^0.5)*pm.rep!$B$7</f>
        <v>5062.7742779102227</v>
      </c>
      <c r="O122" s="6">
        <f>pm.rep!O96*pm.rep!O204*(pm.rep!O42^0.5)*pm.rep!$B$7</f>
        <v>1290.6371009576756</v>
      </c>
      <c r="P122" s="6">
        <f>pm.rep!P96*pm.rep!P204*(pm.rep!P42^0.5)*pm.rep!$B$7</f>
        <v>5145.7756202243218</v>
      </c>
    </row>
    <row r="123" spans="1:16" x14ac:dyDescent="0.15">
      <c r="A123">
        <v>1998</v>
      </c>
      <c r="B123" s="6">
        <f>pm.rep!B97*pm.rep!B205*(pm.rep!B43^0.5)*pm.rep!$B$7</f>
        <v>68226.4491625191</v>
      </c>
      <c r="C123" s="6">
        <f>pm.rep!C97*pm.rep!C205*(pm.rep!C43^0.5)*pm.rep!$B$7</f>
        <v>33474.987304809692</v>
      </c>
      <c r="D123" s="6">
        <f>pm.rep!D97*pm.rep!D205*(pm.rep!D43^0.5)*pm.rep!$B$7</f>
        <v>34718.059302251153</v>
      </c>
      <c r="E123" s="6">
        <f>pm.rep!E97*pm.rep!E205*(pm.rep!E43^0.5)*pm.rep!$B$7</f>
        <v>24322.014839861913</v>
      </c>
      <c r="F123" s="6">
        <f>pm.rep!F97*pm.rep!F205*(pm.rep!F43^0.5)*pm.rep!$B$7</f>
        <v>48737.282516834624</v>
      </c>
      <c r="G123" s="6">
        <f>pm.rep!G97*pm.rep!G205*(pm.rep!G43^0.5)*pm.rep!$B$7</f>
        <v>170634.01128451969</v>
      </c>
      <c r="H123" s="6">
        <f>pm.rep!H97*pm.rep!H205*(pm.rep!H43^0.5)*pm.rep!$B$7</f>
        <v>80467.479353694362</v>
      </c>
      <c r="I123" s="6">
        <f>pm.rep!I97*pm.rep!I205*(pm.rep!I43^0.5)*pm.rep!$B$7</f>
        <v>54359.752976356758</v>
      </c>
      <c r="J123" s="6">
        <f>pm.rep!J97*pm.rep!J205*(pm.rep!J43^0.5)*pm.rep!$B$7</f>
        <v>48137.823938967391</v>
      </c>
      <c r="K123" s="6">
        <f>pm.rep!K97*pm.rep!K205*(pm.rep!K43^0.5)*pm.rep!$B$7</f>
        <v>8725.1726176234733</v>
      </c>
      <c r="L123" s="6">
        <f>pm.rep!L97*pm.rep!L205*(pm.rep!L43^0.5)*pm.rep!$B$7</f>
        <v>2600.669388048892</v>
      </c>
      <c r="M123" s="6">
        <f>pm.rep!M97*pm.rep!M205*(pm.rep!M43^0.5)*pm.rep!$B$7</f>
        <v>1890.1612798161145</v>
      </c>
      <c r="N123" s="6">
        <f>pm.rep!N97*pm.rep!N205*(pm.rep!N43^0.5)*pm.rep!$B$7</f>
        <v>1892.9525537824422</v>
      </c>
      <c r="O123" s="6">
        <f>pm.rep!O97*pm.rep!O205*(pm.rep!O43^0.5)*pm.rep!$B$7</f>
        <v>2728.9348593143031</v>
      </c>
      <c r="P123" s="6">
        <f>pm.rep!P97*pm.rep!P205*(pm.rep!P43^0.5)*pm.rep!$B$7</f>
        <v>3467.9887207850079</v>
      </c>
    </row>
    <row r="124" spans="1:16" x14ac:dyDescent="0.15">
      <c r="A124">
        <v>1999</v>
      </c>
      <c r="B124" s="6">
        <f>pm.rep!B98*pm.rep!B206*(pm.rep!B44^0.5)*pm.rep!$B$7</f>
        <v>88616.638399914649</v>
      </c>
      <c r="C124" s="6">
        <f>pm.rep!C98*pm.rep!C206*(pm.rep!C44^0.5)*pm.rep!$B$7</f>
        <v>37895.751217141114</v>
      </c>
      <c r="D124" s="6">
        <f>pm.rep!D98*pm.rep!D206*(pm.rep!D44^0.5)*pm.rep!$B$7</f>
        <v>101408.67016732215</v>
      </c>
      <c r="E124" s="6">
        <f>pm.rep!E98*pm.rep!E206*(pm.rep!E44^0.5)*pm.rep!$B$7</f>
        <v>100870.11817691902</v>
      </c>
      <c r="F124" s="6">
        <f>pm.rep!F98*pm.rep!F206*(pm.rep!F44^0.5)*pm.rep!$B$7</f>
        <v>59521.67926330815</v>
      </c>
      <c r="G124" s="6">
        <f>pm.rep!G98*pm.rep!G206*(pm.rep!G44^0.5)*pm.rep!$B$7</f>
        <v>92679.989540226365</v>
      </c>
      <c r="H124" s="6">
        <f>pm.rep!H98*pm.rep!H206*(pm.rep!H44^0.5)*pm.rep!$B$7</f>
        <v>226609.72552340815</v>
      </c>
      <c r="I124" s="6">
        <f>pm.rep!I98*pm.rep!I206*(pm.rep!I44^0.5)*pm.rep!$B$7</f>
        <v>81755.997537893883</v>
      </c>
      <c r="J124" s="6">
        <f>pm.rep!J98*pm.rep!J206*(pm.rep!J44^0.5)*pm.rep!$B$7</f>
        <v>42971.502577484876</v>
      </c>
      <c r="K124" s="6">
        <f>pm.rep!K98*pm.rep!K206*(pm.rep!K44^0.5)*pm.rep!$B$7</f>
        <v>32654.103090644414</v>
      </c>
      <c r="L124" s="6">
        <f>pm.rep!L98*pm.rep!L206*(pm.rep!L44^0.5)*pm.rep!$B$7</f>
        <v>5506.1302656412745</v>
      </c>
      <c r="M124" s="6">
        <f>pm.rep!M98*pm.rep!M206*(pm.rep!M44^0.5)*pm.rep!$B$7</f>
        <v>1572.7160814724332</v>
      </c>
      <c r="N124" s="6">
        <f>pm.rep!N98*pm.rep!N206*(pm.rep!N44^0.5)*pm.rep!$B$7</f>
        <v>1119.4397507489628</v>
      </c>
      <c r="O124" s="6">
        <f>pm.rep!O98*pm.rep!O206*(pm.rep!O44^0.5)*pm.rep!$B$7</f>
        <v>1110.0192978215277</v>
      </c>
      <c r="P124" s="6">
        <f>pm.rep!P98*pm.rep!P206*(pm.rep!P44^0.5)*pm.rep!$B$7</f>
        <v>3610.7889614574119</v>
      </c>
    </row>
    <row r="125" spans="1:16" x14ac:dyDescent="0.15">
      <c r="A125">
        <v>2000</v>
      </c>
      <c r="B125" s="6">
        <f>pm.rep!B99*pm.rep!B207*(pm.rep!B45^0.5)*pm.rep!$B$7</f>
        <v>91734.95562734596</v>
      </c>
      <c r="C125" s="6">
        <f>pm.rep!C99*pm.rep!C207*(pm.rep!C45^0.5)*pm.rep!$B$7</f>
        <v>39893.524415782726</v>
      </c>
      <c r="D125" s="6">
        <f>pm.rep!D99*pm.rep!D207*(pm.rep!D45^0.5)*pm.rep!$B$7</f>
        <v>51446.557349445829</v>
      </c>
      <c r="E125" s="6">
        <f>pm.rep!E99*pm.rep!E207*(pm.rep!E45^0.5)*pm.rep!$B$7</f>
        <v>140204.7910785196</v>
      </c>
      <c r="F125" s="6">
        <f>pm.rep!F99*pm.rep!F207*(pm.rep!F45^0.5)*pm.rep!$B$7</f>
        <v>127920.85989116845</v>
      </c>
      <c r="G125" s="6">
        <f>pm.rep!G99*pm.rep!G207*(pm.rep!G45^0.5)*pm.rep!$B$7</f>
        <v>67377.846549417882</v>
      </c>
      <c r="H125" s="6">
        <f>pm.rep!H99*pm.rep!H207*(pm.rep!H45^0.5)*pm.rep!$B$7</f>
        <v>85493.489965759509</v>
      </c>
      <c r="I125" s="6">
        <f>pm.rep!I99*pm.rep!I207*(pm.rep!I45^0.5)*pm.rep!$B$7</f>
        <v>168105.31619774556</v>
      </c>
      <c r="J125" s="6">
        <f>pm.rep!J99*pm.rep!J207*(pm.rep!J45^0.5)*pm.rep!$B$7</f>
        <v>56314.750176326648</v>
      </c>
      <c r="K125" s="6">
        <f>pm.rep!K99*pm.rep!K207*(pm.rep!K45^0.5)*pm.rep!$B$7</f>
        <v>28092.020627960195</v>
      </c>
      <c r="L125" s="6">
        <f>pm.rep!L99*pm.rep!L207*(pm.rep!L45^0.5)*pm.rep!$B$7</f>
        <v>20645.206911117977</v>
      </c>
      <c r="M125" s="6">
        <f>pm.rep!M99*pm.rep!M207*(pm.rep!M45^0.5)*pm.rep!$B$7</f>
        <v>3409.5913215353085</v>
      </c>
      <c r="N125" s="6">
        <f>pm.rep!N99*pm.rep!N207*(pm.rep!N45^0.5)*pm.rep!$B$7</f>
        <v>963.58881992408294</v>
      </c>
      <c r="O125" s="6">
        <f>pm.rep!O99*pm.rep!O207*(pm.rep!O45^0.5)*pm.rep!$B$7</f>
        <v>682.23096636176024</v>
      </c>
      <c r="P125" s="6">
        <f>pm.rep!P99*pm.rep!P207*(pm.rep!P45^0.5)*pm.rep!$B$7</f>
        <v>2865.4275675393988</v>
      </c>
    </row>
    <row r="126" spans="1:16" x14ac:dyDescent="0.15">
      <c r="A126">
        <v>2001</v>
      </c>
      <c r="B126" s="6">
        <f>pm.rep!B100*pm.rep!B208*(pm.rep!B46^0.5)*pm.rep!$B$7</f>
        <v>144843.26874592697</v>
      </c>
      <c r="C126" s="6">
        <f>pm.rep!C100*pm.rep!C208*(pm.rep!C46^0.5)*pm.rep!$B$7</f>
        <v>47636.274219204468</v>
      </c>
      <c r="D126" s="6">
        <f>pm.rep!D100*pm.rep!D208*(pm.rep!D46^0.5)*pm.rep!$B$7</f>
        <v>44216.961587276157</v>
      </c>
      <c r="E126" s="6">
        <f>pm.rep!E100*pm.rep!E208*(pm.rep!E46^0.5)*pm.rep!$B$7</f>
        <v>57721.081956818831</v>
      </c>
      <c r="F126" s="6">
        <f>pm.rep!F100*pm.rep!F208*(pm.rep!F46^0.5)*pm.rep!$B$7</f>
        <v>136236.03672554987</v>
      </c>
      <c r="G126" s="6">
        <f>pm.rep!G100*pm.rep!G208*(pm.rep!G46^0.5)*pm.rep!$B$7</f>
        <v>106834.67570901723</v>
      </c>
      <c r="H126" s="6">
        <f>pm.rep!H100*pm.rep!H208*(pm.rep!H46^0.5)*pm.rep!$B$7</f>
        <v>51171.242042717458</v>
      </c>
      <c r="I126" s="6">
        <f>pm.rep!I100*pm.rep!I208*(pm.rep!I46^0.5)*pm.rep!$B$7</f>
        <v>56764.674936216543</v>
      </c>
      <c r="J126" s="6">
        <f>pm.rep!J100*pm.rep!J208*(pm.rep!J46^0.5)*pm.rep!$B$7</f>
        <v>102412.44420540376</v>
      </c>
      <c r="K126" s="6">
        <f>pm.rep!K100*pm.rep!K208*(pm.rep!K46^0.5)*pm.rep!$B$7</f>
        <v>34267.220398231941</v>
      </c>
      <c r="L126" s="6">
        <f>pm.rep!L100*pm.rep!L208*(pm.rep!L46^0.5)*pm.rep!$B$7</f>
        <v>16973.119431072471</v>
      </c>
      <c r="M126" s="6">
        <f>pm.rep!M100*pm.rep!M208*(pm.rep!M46^0.5)*pm.rep!$B$7</f>
        <v>12348.527173387372</v>
      </c>
      <c r="N126" s="6">
        <f>pm.rep!N100*pm.rep!N208*(pm.rep!N46^0.5)*pm.rep!$B$7</f>
        <v>2029.5613764777443</v>
      </c>
      <c r="O126" s="6">
        <f>pm.rep!O100*pm.rep!O208*(pm.rep!O46^0.5)*pm.rep!$B$7</f>
        <v>572.28139411065104</v>
      </c>
      <c r="P126" s="6">
        <f>pm.rep!P100*pm.rep!P208*(pm.rep!P46^0.5)*pm.rep!$B$7</f>
        <v>2102.7984204658374</v>
      </c>
    </row>
    <row r="127" spans="1:16" x14ac:dyDescent="0.15">
      <c r="A127">
        <v>2002</v>
      </c>
      <c r="B127" s="6">
        <f>pm.rep!B101*pm.rep!B209*(pm.rep!B47^0.5)*pm.rep!$B$7</f>
        <v>59180.696021940792</v>
      </c>
      <c r="C127" s="6">
        <f>pm.rep!C101*pm.rep!C209*(pm.rep!C47^0.5)*pm.rep!$B$7</f>
        <v>51612.482381985013</v>
      </c>
      <c r="D127" s="6">
        <f>pm.rep!D101*pm.rep!D209*(pm.rep!D47^0.5)*pm.rep!$B$7</f>
        <v>59054.549002555475</v>
      </c>
      <c r="E127" s="6">
        <f>pm.rep!E101*pm.rep!E209*(pm.rep!E47^0.5)*pm.rep!$B$7</f>
        <v>60685.587967875217</v>
      </c>
      <c r="F127" s="6">
        <f>pm.rep!F101*pm.rep!F209*(pm.rep!F47^0.5)*pm.rep!$B$7</f>
        <v>74217.330300584756</v>
      </c>
      <c r="G127" s="6">
        <f>pm.rep!G101*pm.rep!G209*(pm.rep!G47^0.5)*pm.rep!$B$7</f>
        <v>140979.93186284995</v>
      </c>
      <c r="H127" s="6">
        <f>pm.rep!H101*pm.rep!H209*(pm.rep!H47^0.5)*pm.rep!$B$7</f>
        <v>91797.424711388856</v>
      </c>
      <c r="I127" s="6">
        <f>pm.rep!I101*pm.rep!I209*(pm.rep!I47^0.5)*pm.rep!$B$7</f>
        <v>37493.010570586637</v>
      </c>
      <c r="J127" s="6">
        <f>pm.rep!J101*pm.rep!J209*(pm.rep!J47^0.5)*pm.rep!$B$7</f>
        <v>37054.481312675103</v>
      </c>
      <c r="K127" s="6">
        <f>pm.rep!K101*pm.rep!K209*(pm.rep!K47^0.5)*pm.rep!$B$7</f>
        <v>63813.826476435133</v>
      </c>
      <c r="L127" s="6">
        <f>pm.rep!L101*pm.rep!L209*(pm.rep!L47^0.5)*pm.rep!$B$7</f>
        <v>20582.352663896854</v>
      </c>
      <c r="M127" s="6">
        <f>pm.rep!M101*pm.rep!M209*(pm.rep!M47^0.5)*pm.rep!$B$7</f>
        <v>9963.6361191009182</v>
      </c>
      <c r="N127" s="6">
        <f>pm.rep!N101*pm.rep!N209*(pm.rep!N47^0.5)*pm.rep!$B$7</f>
        <v>7168.1300049850461</v>
      </c>
      <c r="O127" s="6">
        <f>pm.rep!O101*pm.rep!O209*(pm.rep!O47^0.5)*pm.rep!$B$7</f>
        <v>1171.8325424364496</v>
      </c>
      <c r="P127" s="6">
        <f>pm.rep!P101*pm.rep!P209*(pm.rep!P47^0.5)*pm.rep!$B$7</f>
        <v>1538.902089991848</v>
      </c>
    </row>
    <row r="129" spans="1:16" x14ac:dyDescent="0.15">
      <c r="A129">
        <v>1982</v>
      </c>
      <c r="B129" s="6">
        <f>pm.rep!B81*(pm.rep!B27^0.5)</f>
        <v>10394.228904760044</v>
      </c>
      <c r="C129" s="6">
        <f>pm.rep!C81*(pm.rep!C27^0.5)</f>
        <v>9928.75113781867</v>
      </c>
      <c r="D129" s="6">
        <f>pm.rep!D81*(pm.rep!D27^0.5)</f>
        <v>5851.4397345253728</v>
      </c>
      <c r="E129" s="6">
        <f>pm.rep!E81*(pm.rep!E27^0.5)</f>
        <v>8567.8239249974886</v>
      </c>
      <c r="F129" s="6">
        <f>pm.rep!F81*(pm.rep!F27^0.5)</f>
        <v>1805.6452088835003</v>
      </c>
      <c r="G129" s="6">
        <f>pm.rep!G81*(pm.rep!G27^0.5)</f>
        <v>416.04425462269472</v>
      </c>
      <c r="H129" s="6">
        <f>pm.rep!H81*(pm.rep!H27^0.5)</f>
        <v>175.09659567721818</v>
      </c>
      <c r="I129" s="6">
        <f>pm.rep!I81*(pm.rep!I27^0.5)</f>
        <v>101.54810433017666</v>
      </c>
      <c r="J129" s="6">
        <f>pm.rep!J81*(pm.rep!J27^0.5)</f>
        <v>50.790628195996511</v>
      </c>
      <c r="K129" s="6">
        <f>pm.rep!K81*(pm.rep!K27^0.5)</f>
        <v>27.593634650408479</v>
      </c>
      <c r="L129" s="6">
        <f>pm.rep!L81*(pm.rep!L27^0.5)</f>
        <v>5.6702407517023214</v>
      </c>
      <c r="M129" s="6">
        <f>pm.rep!M81*(pm.rep!M27^0.5)</f>
        <v>3.4262756790662312</v>
      </c>
      <c r="N129" s="6">
        <f>pm.rep!N81*(pm.rep!N27^0.5)</f>
        <v>2.70845518887714</v>
      </c>
      <c r="O129" s="6">
        <f>pm.rep!O81*(pm.rep!O27^0.5)</f>
        <v>1.5350048605628135</v>
      </c>
      <c r="P129" s="6">
        <f>pm.rep!P81*(pm.rep!P27^0.5)</f>
        <v>1.3911862977901812</v>
      </c>
    </row>
    <row r="130" spans="1:16" x14ac:dyDescent="0.15">
      <c r="A130">
        <v>1983</v>
      </c>
      <c r="B130" s="6">
        <f>pm.rep!B82*(pm.rep!B28^0.5)</f>
        <v>33254.233333799595</v>
      </c>
      <c r="C130" s="6">
        <f>pm.rep!C82*(pm.rep!C28^0.5)</f>
        <v>5271.0690422201424</v>
      </c>
      <c r="D130" s="6">
        <f>pm.rep!D82*(pm.rep!D28^0.5)</f>
        <v>6695.1803025366153</v>
      </c>
      <c r="E130" s="6">
        <f>pm.rep!E82*(pm.rep!E28^0.5)</f>
        <v>4061.0578621604409</v>
      </c>
      <c r="F130" s="6">
        <f>pm.rep!F82*(pm.rep!F28^0.5)</f>
        <v>5506.9386879628091</v>
      </c>
      <c r="G130" s="6">
        <f>pm.rep!G82*(pm.rep!G28^0.5)</f>
        <v>1094.0064218914051</v>
      </c>
      <c r="H130" s="6">
        <f>pm.rep!H82*(pm.rep!H28^0.5)</f>
        <v>250.19470509993849</v>
      </c>
      <c r="I130" s="6">
        <f>pm.rep!I82*(pm.rep!I28^0.5)</f>
        <v>105.31837053259379</v>
      </c>
      <c r="J130" s="6">
        <f>pm.rep!J82*(pm.rep!J28^0.5)</f>
        <v>60.669539653868235</v>
      </c>
      <c r="K130" s="6">
        <f>pm.rep!K82*(pm.rep!K28^0.5)</f>
        <v>30.191491442688232</v>
      </c>
      <c r="L130" s="6">
        <f>pm.rep!L82*(pm.rep!L28^0.5)</f>
        <v>16.404792197977844</v>
      </c>
      <c r="M130" s="6">
        <f>pm.rep!M82*(pm.rep!M28^0.5)</f>
        <v>3.3710361022219866</v>
      </c>
      <c r="N130" s="6">
        <f>pm.rep!N82*(pm.rep!N28^0.5)</f>
        <v>2.0369667598659826</v>
      </c>
      <c r="O130" s="6">
        <f>pm.rep!O82*(pm.rep!O28^0.5)</f>
        <v>1.6102128769433726</v>
      </c>
      <c r="P130" s="6">
        <f>pm.rep!P82*(pm.rep!P28^0.5)</f>
        <v>1.7396631577986461</v>
      </c>
    </row>
    <row r="131" spans="1:16" x14ac:dyDescent="0.15">
      <c r="A131">
        <v>1984</v>
      </c>
      <c r="B131" s="6">
        <f>pm.rep!B83*(pm.rep!B29^0.5)</f>
        <v>8653.0937864597581</v>
      </c>
      <c r="C131" s="6">
        <f>pm.rep!C83*(pm.rep!C29^0.5)</f>
        <v>16877.583222478799</v>
      </c>
      <c r="D131" s="6">
        <f>pm.rep!D83*(pm.rep!D29^0.5)</f>
        <v>3556.9954408491672</v>
      </c>
      <c r="E131" s="6">
        <f>pm.rep!E83*(pm.rep!E29^0.5)</f>
        <v>4693.8405554948631</v>
      </c>
      <c r="F131" s="6">
        <f>pm.rep!F83*(pm.rep!F29^0.5)</f>
        <v>2656.4137984468503</v>
      </c>
      <c r="G131" s="6">
        <f>pm.rep!G83*(pm.rep!G29^0.5)</f>
        <v>3443.9850049494989</v>
      </c>
      <c r="H131" s="6">
        <f>pm.rep!H83*(pm.rep!H29^0.5)</f>
        <v>668.17701140454949</v>
      </c>
      <c r="I131" s="6">
        <f>pm.rep!I83*(pm.rep!I29^0.5)</f>
        <v>152.9705863283391</v>
      </c>
      <c r="J131" s="6">
        <f>pm.rep!J83*(pm.rep!J29^0.5)</f>
        <v>64.006128023699603</v>
      </c>
      <c r="K131" s="6">
        <f>pm.rep!K83*(pm.rep!K29^0.5)</f>
        <v>36.549280952047674</v>
      </c>
      <c r="L131" s="6">
        <f>pm.rep!L83*(pm.rep!L29^0.5)</f>
        <v>18.151631902299965</v>
      </c>
      <c r="M131" s="6">
        <f>pm.rep!M83*(pm.rep!M29^0.5)</f>
        <v>9.8628537946232946</v>
      </c>
      <c r="N131" s="6">
        <f>pm.rep!N83*(pm.rep!N29^0.5)</f>
        <v>2.0267270856170763</v>
      </c>
      <c r="O131" s="6">
        <f>pm.rep!O83*(pm.rep!O29^0.5)</f>
        <v>1.2246600282527393</v>
      </c>
      <c r="P131" s="6">
        <f>pm.rep!P83*(pm.rep!P29^0.5)</f>
        <v>2.0139999225386518</v>
      </c>
    </row>
    <row r="132" spans="1:16" x14ac:dyDescent="0.15">
      <c r="A132">
        <v>1985</v>
      </c>
      <c r="B132" s="6">
        <f>pm.rep!B84*(pm.rep!B30^0.5)</f>
        <v>22079.377655270393</v>
      </c>
      <c r="C132" s="6">
        <f>pm.rep!C84*(pm.rep!C30^0.5)</f>
        <v>4391.3175547996707</v>
      </c>
      <c r="D132" s="6">
        <f>pm.rep!D84*(pm.rep!D30^0.5)</f>
        <v>11383.327278664838</v>
      </c>
      <c r="E132" s="6">
        <f>pm.rep!E84*(pm.rep!E30^0.5)</f>
        <v>2504.7082101778124</v>
      </c>
      <c r="F132" s="6">
        <f>pm.rep!F84*(pm.rep!F30^0.5)</f>
        <v>3134.9647962079944</v>
      </c>
      <c r="G132" s="6">
        <f>pm.rep!G84*(pm.rep!G30^0.5)</f>
        <v>1645.7152413913655</v>
      </c>
      <c r="H132" s="6">
        <f>pm.rep!H84*(pm.rep!H30^0.5)</f>
        <v>2108.8088725399525</v>
      </c>
      <c r="I132" s="6">
        <f>pm.rep!I84*(pm.rep!I30^0.5)</f>
        <v>407.36211618387648</v>
      </c>
      <c r="J132" s="6">
        <f>pm.rep!J84*(pm.rep!J30^0.5)</f>
        <v>92.911647967499931</v>
      </c>
      <c r="K132" s="6">
        <f>pm.rep!K84*(pm.rep!K30^0.5)</f>
        <v>38.477065515044977</v>
      </c>
      <c r="L132" s="6">
        <f>pm.rep!L84*(pm.rep!L30^0.5)</f>
        <v>21.891625190329314</v>
      </c>
      <c r="M132" s="6">
        <f>pm.rep!M84*(pm.rep!M30^0.5)</f>
        <v>10.87216924653608</v>
      </c>
      <c r="N132" s="6">
        <f>pm.rep!N84*(pm.rep!N30^0.5)</f>
        <v>5.9074716022493385</v>
      </c>
      <c r="O132" s="6">
        <f>pm.rep!O84*(pm.rep!O30^0.5)</f>
        <v>1.213932940478518</v>
      </c>
      <c r="P132" s="6">
        <f>pm.rep!P84*(pm.rep!P30^0.5)</f>
        <v>1.9398338051293627</v>
      </c>
    </row>
    <row r="133" spans="1:16" x14ac:dyDescent="0.15">
      <c r="A133">
        <v>1986</v>
      </c>
      <c r="B133" s="6">
        <f>pm.rep!B85*(pm.rep!B31^0.5)</f>
        <v>9273.5794417776706</v>
      </c>
      <c r="C133" s="6">
        <f>pm.rep!C85*(pm.rep!C31^0.5)</f>
        <v>11208.783890967625</v>
      </c>
      <c r="D133" s="6">
        <f>pm.rep!D85*(pm.rep!D31^0.5)</f>
        <v>2961.5279108723257</v>
      </c>
      <c r="E133" s="6">
        <f>pm.rep!E85*(pm.rep!E31^0.5)</f>
        <v>7984.4101939300208</v>
      </c>
      <c r="F133" s="6">
        <f>pm.rep!F85*(pm.rep!F31^0.5)</f>
        <v>1690.7441247952784</v>
      </c>
      <c r="G133" s="6">
        <f>pm.rep!G85*(pm.rep!G31^0.5)</f>
        <v>1995.2510193389148</v>
      </c>
      <c r="H133" s="6">
        <f>pm.rep!H85*(pm.rep!H31^0.5)</f>
        <v>1006.2126128238256</v>
      </c>
      <c r="I133" s="6">
        <f>pm.rep!I85*(pm.rep!I31^0.5)</f>
        <v>1298.8315499450175</v>
      </c>
      <c r="J133" s="6">
        <f>pm.rep!J85*(pm.rep!J31^0.5)</f>
        <v>247.99557686878074</v>
      </c>
      <c r="K133" s="6">
        <f>pm.rep!K85*(pm.rep!K31^0.5)</f>
        <v>56.182235461620195</v>
      </c>
      <c r="L133" s="6">
        <f>pm.rep!L85*(pm.rep!L31^0.5)</f>
        <v>23.147980356943794</v>
      </c>
      <c r="M133" s="6">
        <f>pm.rep!M85*(pm.rep!M31^0.5)</f>
        <v>13.170073759130226</v>
      </c>
      <c r="N133" s="6">
        <f>pm.rep!N85*(pm.rep!N31^0.5)</f>
        <v>6.540731284084166</v>
      </c>
      <c r="O133" s="6">
        <f>pm.rep!O85*(pm.rep!O31^0.5)</f>
        <v>3.5539611576601167</v>
      </c>
      <c r="P133" s="6">
        <f>pm.rep!P85*(pm.rep!P31^0.5)</f>
        <v>1.8973164757460685</v>
      </c>
    </row>
    <row r="134" spans="1:16" x14ac:dyDescent="0.15">
      <c r="A134">
        <v>1987</v>
      </c>
      <c r="B134" s="6">
        <f>pm.rep!B86*(pm.rep!B32^0.5)</f>
        <v>4995.6972823878341</v>
      </c>
      <c r="C134" s="6">
        <f>pm.rep!C86*(pm.rep!C32^0.5)</f>
        <v>4712.1692172641169</v>
      </c>
      <c r="D134" s="6">
        <f>pm.rep!D86*(pm.rep!D32^0.5)</f>
        <v>7584.8985560928113</v>
      </c>
      <c r="E134" s="6">
        <f>pm.rep!E86*(pm.rep!E32^0.5)</f>
        <v>2104.6087535530046</v>
      </c>
      <c r="F134" s="6">
        <f>pm.rep!F86*(pm.rep!F32^0.5)</f>
        <v>5460.1234021586542</v>
      </c>
      <c r="G134" s="6">
        <f>pm.rep!G86*(pm.rep!G32^0.5)</f>
        <v>1115.5539432811509</v>
      </c>
      <c r="H134" s="6">
        <f>pm.rep!H86*(pm.rep!H32^0.5)</f>
        <v>1272.190310525245</v>
      </c>
      <c r="I134" s="6">
        <f>pm.rep!I86*(pm.rep!I32^0.5)</f>
        <v>633.47891457499873</v>
      </c>
      <c r="J134" s="6">
        <f>pm.rep!J86*(pm.rep!J32^0.5)</f>
        <v>818.80326291115421</v>
      </c>
      <c r="K134" s="6">
        <f>pm.rep!K86*(pm.rep!K32^0.5)</f>
        <v>154.77694961696918</v>
      </c>
      <c r="L134" s="6">
        <f>pm.rep!L86*(pm.rep!L32^0.5)</f>
        <v>34.974602580537677</v>
      </c>
      <c r="M134" s="6">
        <f>pm.rep!M86*(pm.rep!M32^0.5)</f>
        <v>14.410121585413149</v>
      </c>
      <c r="N134" s="6">
        <f>pm.rep!N86*(pm.rep!N32^0.5)</f>
        <v>8.1986692695024797</v>
      </c>
      <c r="O134" s="6">
        <f>pm.rep!O86*(pm.rep!O32^0.5)</f>
        <v>4.0717477262936042</v>
      </c>
      <c r="P134" s="6">
        <f>pm.rep!P86*(pm.rep!P32^0.5)</f>
        <v>3.3935335771193049</v>
      </c>
    </row>
    <row r="135" spans="1:16" x14ac:dyDescent="0.15">
      <c r="A135">
        <v>1988</v>
      </c>
      <c r="B135" s="6">
        <f>pm.rep!B87*(pm.rep!B33^0.5)</f>
        <v>3545.8701871552944</v>
      </c>
      <c r="C135" s="6">
        <f>pm.rep!C87*(pm.rep!C33^0.5)</f>
        <v>2537.1592907033032</v>
      </c>
      <c r="D135" s="6">
        <f>pm.rep!D87*(pm.rep!D33^0.5)</f>
        <v>3141.5631372440353</v>
      </c>
      <c r="E135" s="6">
        <f>pm.rep!E87*(pm.rep!E33^0.5)</f>
        <v>5344.7919061694065</v>
      </c>
      <c r="F135" s="6">
        <f>pm.rep!F87*(pm.rep!F33^0.5)</f>
        <v>1423.9521772478274</v>
      </c>
      <c r="G135" s="6">
        <f>pm.rep!G87*(pm.rep!G33^0.5)</f>
        <v>3596.4029521252423</v>
      </c>
      <c r="H135" s="6">
        <f>pm.rep!H87*(pm.rep!H33^0.5)</f>
        <v>708.61285341363441</v>
      </c>
      <c r="I135" s="6">
        <f>pm.rep!I87*(pm.rep!I33^0.5)</f>
        <v>809.44636015608137</v>
      </c>
      <c r="J135" s="6">
        <f>pm.rep!J87*(pm.rep!J33^0.5)</f>
        <v>397.33552448746747</v>
      </c>
      <c r="K135" s="6">
        <f>pm.rep!K87*(pm.rep!K33^0.5)</f>
        <v>512.40050129737847</v>
      </c>
      <c r="L135" s="6">
        <f>pm.rep!L87*(pm.rep!L33^0.5)</f>
        <v>97.01298362837845</v>
      </c>
      <c r="M135" s="6">
        <f>pm.rep!M87*(pm.rep!M33^0.5)</f>
        <v>21.921769069468926</v>
      </c>
      <c r="N135" s="6">
        <f>pm.rep!N87*(pm.rep!N33^0.5)</f>
        <v>9.0321162637973664</v>
      </c>
      <c r="O135" s="6">
        <f>pm.rep!O87*(pm.rep!O33^0.5)</f>
        <v>5.138851339500464</v>
      </c>
      <c r="P135" s="6">
        <f>pm.rep!P87*(pm.rep!P33^0.5)</f>
        <v>4.679171758452898</v>
      </c>
    </row>
    <row r="136" spans="1:16" x14ac:dyDescent="0.15">
      <c r="A136">
        <v>1989</v>
      </c>
      <c r="B136" s="6">
        <f>pm.rep!B88*(pm.rep!B34^0.5)</f>
        <v>7078.9906470940778</v>
      </c>
      <c r="C136" s="6">
        <f>pm.rep!C88*(pm.rep!C34^0.5)</f>
        <v>1800.9649335050267</v>
      </c>
      <c r="D136" s="6">
        <f>pm.rep!D88*(pm.rep!D34^0.5)</f>
        <v>1703.59979419102</v>
      </c>
      <c r="E136" s="6">
        <f>pm.rep!E88*(pm.rep!E34^0.5)</f>
        <v>2163.0955006338468</v>
      </c>
      <c r="F136" s="6">
        <f>pm.rep!F88*(pm.rep!F34^0.5)</f>
        <v>3567.9676324671827</v>
      </c>
      <c r="G136" s="6">
        <f>pm.rep!G88*(pm.rep!G34^0.5)</f>
        <v>910.23492901640634</v>
      </c>
      <c r="H136" s="6">
        <f>pm.rep!H88*(pm.rep!H34^0.5)</f>
        <v>2222.6628560213348</v>
      </c>
      <c r="I136" s="6">
        <f>pm.rep!I88*(pm.rep!I34^0.5)</f>
        <v>432.6770310433418</v>
      </c>
      <c r="J136" s="6">
        <f>pm.rep!J88*(pm.rep!J34^0.5)</f>
        <v>498.76410656694532</v>
      </c>
      <c r="K136" s="6">
        <f>pm.rep!K88*(pm.rep!K34^0.5)</f>
        <v>243.77180964287587</v>
      </c>
      <c r="L136" s="6">
        <f>pm.rep!L88*(pm.rep!L34^0.5)</f>
        <v>315.10256917584104</v>
      </c>
      <c r="M136" s="6">
        <f>pm.rep!M88*(pm.rep!M34^0.5)</f>
        <v>59.658382107723277</v>
      </c>
      <c r="N136" s="6">
        <f>pm.rep!N88*(pm.rep!N34^0.5)</f>
        <v>13.480849064710361</v>
      </c>
      <c r="O136" s="6">
        <f>pm.rep!O88*(pm.rep!O34^0.5)</f>
        <v>5.5543348145158662</v>
      </c>
      <c r="P136" s="6">
        <f>pm.rep!P88*(pm.rep!P34^0.5)</f>
        <v>6.0376216373779865</v>
      </c>
    </row>
    <row r="137" spans="1:16" x14ac:dyDescent="0.15">
      <c r="A137">
        <v>1990</v>
      </c>
      <c r="B137" s="6">
        <f>pm.rep!B89*(pm.rep!B35^0.5)</f>
        <v>31144.446853441357</v>
      </c>
      <c r="C137" s="6">
        <f>pm.rep!C89*(pm.rep!C35^0.5)</f>
        <v>3591.9973596583854</v>
      </c>
      <c r="D137" s="6">
        <f>pm.rep!D89*(pm.rep!D35^0.5)</f>
        <v>1206.8704638204001</v>
      </c>
      <c r="E137" s="6">
        <f>pm.rep!E89*(pm.rep!E35^0.5)</f>
        <v>1153.0783645132769</v>
      </c>
      <c r="F137" s="6">
        <f>pm.rep!F89*(pm.rep!F35^0.5)</f>
        <v>1367.3225697993328</v>
      </c>
      <c r="G137" s="6">
        <f>pm.rep!G89*(pm.rep!G35^0.5)</f>
        <v>2182.2059402800987</v>
      </c>
      <c r="H137" s="6">
        <f>pm.rep!H89*(pm.rep!H35^0.5)</f>
        <v>539.71348713471696</v>
      </c>
      <c r="I137" s="6">
        <f>pm.rep!I89*(pm.rep!I35^0.5)</f>
        <v>1285.5236483852327</v>
      </c>
      <c r="J137" s="6">
        <f>pm.rep!J89*(pm.rep!J35^0.5)</f>
        <v>253.21256031760174</v>
      </c>
      <c r="K137" s="6">
        <f>pm.rep!K89*(pm.rep!K35^0.5)</f>
        <v>294.921453812138</v>
      </c>
      <c r="L137" s="6">
        <f>pm.rep!L89*(pm.rep!L35^0.5)</f>
        <v>144.27671557962154</v>
      </c>
      <c r="M137" s="6">
        <f>pm.rep!M89*(pm.rep!M35^0.5)</f>
        <v>186.49381635630681</v>
      </c>
      <c r="N137" s="6">
        <f>pm.rep!N89*(pm.rep!N35^0.5)</f>
        <v>35.308991947127922</v>
      </c>
      <c r="O137" s="6">
        <f>pm.rep!O89*(pm.rep!O35^0.5)</f>
        <v>7.9787001038996328</v>
      </c>
      <c r="P137" s="6">
        <f>pm.rep!P89*(pm.rep!P35^0.5)</f>
        <v>6.8607315256121062</v>
      </c>
    </row>
    <row r="138" spans="1:16" x14ac:dyDescent="0.15">
      <c r="A138">
        <v>1991</v>
      </c>
      <c r="B138" s="6">
        <f>pm.rep!B90*(pm.rep!B36^0.5)</f>
        <v>16310.140171536608</v>
      </c>
      <c r="C138" s="6">
        <f>pm.rep!C90*(pm.rep!C36^0.5)</f>
        <v>15799.79701654882</v>
      </c>
      <c r="D138" s="6">
        <f>pm.rep!D90*(pm.rep!D36^0.5)</f>
        <v>2415.9448783515959</v>
      </c>
      <c r="E138" s="6">
        <f>pm.rep!E90*(pm.rep!E36^0.5)</f>
        <v>824.45301976960116</v>
      </c>
      <c r="F138" s="6">
        <f>pm.rep!F90*(pm.rep!F36^0.5)</f>
        <v>719.10353444423038</v>
      </c>
      <c r="G138" s="6">
        <f>pm.rep!G90*(pm.rep!G36^0.5)</f>
        <v>796.40945164099628</v>
      </c>
      <c r="H138" s="6">
        <f>pm.rep!H90*(pm.rep!H36^0.5)</f>
        <v>1210.6231351471522</v>
      </c>
      <c r="I138" s="6">
        <f>pm.rep!I90*(pm.rep!I36^0.5)</f>
        <v>300.14293708833554</v>
      </c>
      <c r="J138" s="6">
        <f>pm.rep!J90*(pm.rep!J36^0.5)</f>
        <v>699.29362557445324</v>
      </c>
      <c r="K138" s="6">
        <f>pm.rep!K90*(pm.rep!K36^0.5)</f>
        <v>138.59353272042998</v>
      </c>
      <c r="L138" s="6">
        <f>pm.rep!L90*(pm.rep!L36^0.5)</f>
        <v>162.29850718221522</v>
      </c>
      <c r="M138" s="6">
        <f>pm.rep!M90*(pm.rep!M36^0.5)</f>
        <v>79.39711189626783</v>
      </c>
      <c r="N138" s="6">
        <f>pm.rep!N90*(pm.rep!N36^0.5)</f>
        <v>102.62940200407465</v>
      </c>
      <c r="O138" s="6">
        <f>pm.rep!O90*(pm.rep!O36^0.5)</f>
        <v>19.43082831409825</v>
      </c>
      <c r="P138" s="6">
        <f>pm.rep!P90*(pm.rep!P36^0.5)</f>
        <v>8.1662787210244652</v>
      </c>
    </row>
    <row r="139" spans="1:16" x14ac:dyDescent="0.15">
      <c r="A139">
        <v>1992</v>
      </c>
      <c r="B139" s="6">
        <f>pm.rep!B91*(pm.rep!B37^0.5)</f>
        <v>14524.434962233814</v>
      </c>
      <c r="C139" s="6">
        <f>pm.rep!C91*(pm.rep!C37^0.5)</f>
        <v>8268.7025819685878</v>
      </c>
      <c r="D139" s="6">
        <f>pm.rep!D91*(pm.rep!D37^0.5)</f>
        <v>10471.674651091653</v>
      </c>
      <c r="E139" s="6">
        <f>pm.rep!E91*(pm.rep!E37^0.5)</f>
        <v>1655.1002586377176</v>
      </c>
      <c r="F139" s="6">
        <f>pm.rep!F91*(pm.rep!F37^0.5)</f>
        <v>521.52478929300571</v>
      </c>
      <c r="G139" s="6">
        <f>pm.rep!G91*(pm.rep!G37^0.5)</f>
        <v>409.21940064894392</v>
      </c>
      <c r="H139" s="6">
        <f>pm.rep!H91*(pm.rep!H37^0.5)</f>
        <v>420.42354738731331</v>
      </c>
      <c r="I139" s="6">
        <f>pm.rep!I91*(pm.rep!I37^0.5)</f>
        <v>606.60079565041951</v>
      </c>
      <c r="J139" s="6">
        <f>pm.rep!J91*(pm.rep!J37^0.5)</f>
        <v>152.76742803611342</v>
      </c>
      <c r="K139" s="6">
        <f>pm.rep!K91*(pm.rep!K37^0.5)</f>
        <v>350.314166496734</v>
      </c>
      <c r="L139" s="6">
        <f>pm.rep!L91*(pm.rep!L37^0.5)</f>
        <v>69.47894542892125</v>
      </c>
      <c r="M139" s="6">
        <f>pm.rep!M91*(pm.rep!M37^0.5)</f>
        <v>81.362877932921435</v>
      </c>
      <c r="N139" s="6">
        <f>pm.rep!N91*(pm.rep!N37^0.5)</f>
        <v>39.802926884581041</v>
      </c>
      <c r="O139" s="6">
        <f>pm.rep!O91*(pm.rep!O37^0.5)</f>
        <v>51.449758028768585</v>
      </c>
      <c r="P139" s="6">
        <f>pm.rep!P91*(pm.rep!P37^0.5)</f>
        <v>13.834829982551264</v>
      </c>
    </row>
    <row r="140" spans="1:16" x14ac:dyDescent="0.15">
      <c r="A140">
        <v>1993</v>
      </c>
      <c r="B140" s="6">
        <f>pm.rep!B92*(pm.rep!B38^0.5)</f>
        <v>29879.801390981043</v>
      </c>
      <c r="C140" s="6">
        <f>pm.rep!C92*(pm.rep!C38^0.5)</f>
        <v>7380.8466989728158</v>
      </c>
      <c r="D140" s="6">
        <f>pm.rep!D92*(pm.rep!D38^0.5)</f>
        <v>5543.856098363276</v>
      </c>
      <c r="E140" s="6">
        <f>pm.rep!E92*(pm.rep!E38^0.5)</f>
        <v>6957.9503776223055</v>
      </c>
      <c r="F140" s="6">
        <f>pm.rep!F92*(pm.rep!F38^0.5)</f>
        <v>1079.7004468704929</v>
      </c>
      <c r="G140" s="6">
        <f>pm.rep!G92*(pm.rep!G38^0.5)</f>
        <v>313.83183826889581</v>
      </c>
      <c r="H140" s="6">
        <f>pm.rep!H92*(pm.rep!H38^0.5)</f>
        <v>221.837467150729</v>
      </c>
      <c r="I140" s="6">
        <f>pm.rep!I92*(pm.rep!I38^0.5)</f>
        <v>216.55826621919601</v>
      </c>
      <c r="J140" s="6">
        <f>pm.rep!J92*(pm.rep!J38^0.5)</f>
        <v>308.11379081623727</v>
      </c>
      <c r="K140" s="6">
        <f>pm.rep!K92*(pm.rep!K38^0.5)</f>
        <v>77.892945728568549</v>
      </c>
      <c r="L140" s="6">
        <f>pm.rep!L92*(pm.rep!L38^0.5)</f>
        <v>179.25689779658808</v>
      </c>
      <c r="M140" s="6">
        <f>pm.rep!M92*(pm.rep!M38^0.5)</f>
        <v>35.552659014211265</v>
      </c>
      <c r="N140" s="6">
        <f>pm.rep!N92*(pm.rep!N38^0.5)</f>
        <v>41.633617548453884</v>
      </c>
      <c r="O140" s="6">
        <f>pm.rep!O92*(pm.rep!O38^0.5)</f>
        <v>20.3673505063968</v>
      </c>
      <c r="P140" s="6">
        <f>pm.rep!P92*(pm.rep!P38^0.5)</f>
        <v>33.406368278110591</v>
      </c>
    </row>
    <row r="141" spans="1:16" x14ac:dyDescent="0.15">
      <c r="A141">
        <v>1994</v>
      </c>
      <c r="B141" s="6">
        <f>pm.rep!B93*(pm.rep!B39^0.5)</f>
        <v>10165.144782710888</v>
      </c>
      <c r="C141" s="6">
        <f>pm.rep!C93*(pm.rep!C39^0.5)</f>
        <v>15188.132342353429</v>
      </c>
      <c r="D141" s="6">
        <f>pm.rep!D93*(pm.rep!D39^0.5)</f>
        <v>5015.9281413961107</v>
      </c>
      <c r="E141" s="6">
        <f>pm.rep!E93*(pm.rep!E39^0.5)</f>
        <v>3856.1014344088912</v>
      </c>
      <c r="F141" s="6">
        <f>pm.rep!F93*(pm.rep!F39^0.5)</f>
        <v>4268.7291989567775</v>
      </c>
      <c r="G141" s="6">
        <f>pm.rep!G93*(pm.rep!G39^0.5)</f>
        <v>670.79478985535786</v>
      </c>
      <c r="H141" s="6">
        <f>pm.rep!H93*(pm.rep!H39^0.5)</f>
        <v>181.59925387263931</v>
      </c>
      <c r="I141" s="6">
        <f>pm.rep!I93*(pm.rep!I39^0.5)</f>
        <v>123.02630592881015</v>
      </c>
      <c r="J141" s="6">
        <f>pm.rep!J93*(pm.rep!J39^0.5)</f>
        <v>120.32539578903254</v>
      </c>
      <c r="K141" s="6">
        <f>pm.rep!K93*(pm.rep!K39^0.5)</f>
        <v>171.79342652096477</v>
      </c>
      <c r="L141" s="6">
        <f>pm.rep!L93*(pm.rep!L39^0.5)</f>
        <v>43.682531057110374</v>
      </c>
      <c r="M141" s="6">
        <f>pm.rep!M93*(pm.rep!M39^0.5)</f>
        <v>100.52785491644262</v>
      </c>
      <c r="N141" s="6">
        <f>pm.rep!N93*(pm.rep!N39^0.5)</f>
        <v>19.937985643479966</v>
      </c>
      <c r="O141" s="6">
        <f>pm.rep!O93*(pm.rep!O39^0.5)</f>
        <v>23.348215499889896</v>
      </c>
      <c r="P141" s="6">
        <f>pm.rep!P93*(pm.rep!P39^0.5)</f>
        <v>30.156473493586628</v>
      </c>
    </row>
    <row r="142" spans="1:16" x14ac:dyDescent="0.15">
      <c r="A142">
        <v>1995</v>
      </c>
      <c r="B142" s="6">
        <f>pm.rep!B94*(pm.rep!B40^0.5)</f>
        <v>6953.0176012883358</v>
      </c>
      <c r="C142" s="6">
        <f>pm.rep!C94*(pm.rep!C40^0.5)</f>
        <v>5166.8071686656276</v>
      </c>
      <c r="D142" s="6">
        <f>pm.rep!D94*(pm.rep!D40^0.5)</f>
        <v>10358.118731041563</v>
      </c>
      <c r="E142" s="6">
        <f>pm.rep!E94*(pm.rep!E40^0.5)</f>
        <v>3607.8815292287859</v>
      </c>
      <c r="F142" s="6">
        <f>pm.rep!F94*(pm.rep!F40^0.5)</f>
        <v>2543.5449846595147</v>
      </c>
      <c r="G142" s="6">
        <f>pm.rep!G94*(pm.rep!G40^0.5)</f>
        <v>2426.8727915891022</v>
      </c>
      <c r="H142" s="6">
        <f>pm.rep!H94*(pm.rep!H40^0.5)</f>
        <v>387.62239979912795</v>
      </c>
      <c r="I142" s="6">
        <f>pm.rep!I94*(pm.rep!I40^0.5)</f>
        <v>101.89997637656437</v>
      </c>
      <c r="J142" s="6">
        <f>pm.rep!J94*(pm.rep!J40^0.5)</f>
        <v>69.365528694784246</v>
      </c>
      <c r="K142" s="6">
        <f>pm.rep!K94*(pm.rep!K40^0.5)</f>
        <v>68.237696369052202</v>
      </c>
      <c r="L142" s="6">
        <f>pm.rep!L94*(pm.rep!L40^0.5)</f>
        <v>97.737190670072437</v>
      </c>
      <c r="M142" s="6">
        <f>pm.rep!M94*(pm.rep!M40^0.5)</f>
        <v>24.851852724185463</v>
      </c>
      <c r="N142" s="6">
        <f>pm.rep!N94*(pm.rep!N40^0.5)</f>
        <v>57.192428491636448</v>
      </c>
      <c r="O142" s="6">
        <f>pm.rep!O94*(pm.rep!O40^0.5)</f>
        <v>11.34317618846787</v>
      </c>
      <c r="P142" s="6">
        <f>pm.rep!P94*(pm.rep!P40^0.5)</f>
        <v>30.439899593261281</v>
      </c>
    </row>
    <row r="143" spans="1:16" x14ac:dyDescent="0.15">
      <c r="A143">
        <v>1996</v>
      </c>
      <c r="B143" s="6">
        <f>pm.rep!B95*(pm.rep!B41^0.5)</f>
        <v>14587.188510122483</v>
      </c>
      <c r="C143" s="6">
        <f>pm.rep!C95*(pm.rep!C41^0.5)</f>
        <v>3531.0177678989085</v>
      </c>
      <c r="D143" s="6">
        <f>pm.rep!D95*(pm.rep!D41^0.5)</f>
        <v>3516.9218904683289</v>
      </c>
      <c r="E143" s="6">
        <f>pm.rep!E95*(pm.rep!E41^0.5)</f>
        <v>7540.6354112186373</v>
      </c>
      <c r="F143" s="6">
        <f>pm.rep!F95*(pm.rep!F41^0.5)</f>
        <v>2512.797416899868</v>
      </c>
      <c r="G143" s="6">
        <f>pm.rep!G95*(pm.rep!G41^0.5)</f>
        <v>1545.3022499379908</v>
      </c>
      <c r="H143" s="6">
        <f>pm.rep!H95*(pm.rep!H41^0.5)</f>
        <v>1267.9485022622443</v>
      </c>
      <c r="I143" s="6">
        <f>pm.rep!I95*(pm.rep!I41^0.5)</f>
        <v>205.88390081531742</v>
      </c>
      <c r="J143" s="6">
        <f>pm.rep!J95*(pm.rep!J41^0.5)</f>
        <v>55.365641261021153</v>
      </c>
      <c r="K143" s="6">
        <f>pm.rep!K95*(pm.rep!K41^0.5)</f>
        <v>38.468101483018081</v>
      </c>
      <c r="L143" s="6">
        <f>pm.rep!L95*(pm.rep!L41^0.5)</f>
        <v>38.000095855704224</v>
      </c>
      <c r="M143" s="6">
        <f>pm.rep!M95*(pm.rep!M41^0.5)</f>
        <v>54.42747674386969</v>
      </c>
      <c r="N143" s="6">
        <f>pm.rep!N95*(pm.rep!N41^0.5)</f>
        <v>13.839489657861256</v>
      </c>
      <c r="O143" s="6">
        <f>pm.rep!O95*(pm.rep!O41^0.5)</f>
        <v>31.849154221737194</v>
      </c>
      <c r="P143" s="6">
        <f>pm.rep!P95*(pm.rep!P41^0.5)</f>
        <v>23.268092630694007</v>
      </c>
    </row>
    <row r="144" spans="1:16" x14ac:dyDescent="0.15">
      <c r="A144">
        <v>1997</v>
      </c>
      <c r="B144" s="6">
        <f>pm.rep!B96*(pm.rep!B42^0.5)</f>
        <v>19879.549305428318</v>
      </c>
      <c r="C144" s="6">
        <f>pm.rep!C96*(pm.rep!C42^0.5)</f>
        <v>7400.9602782049096</v>
      </c>
      <c r="D144" s="6">
        <f>pm.rep!D96*(pm.rep!D42^0.5)</f>
        <v>2397.7201303317261</v>
      </c>
      <c r="E144" s="6">
        <f>pm.rep!E96*(pm.rep!E42^0.5)</f>
        <v>2534.7860023686944</v>
      </c>
      <c r="F144" s="6">
        <f>pm.rep!F96*(pm.rep!F42^0.5)</f>
        <v>5289.1245201894026</v>
      </c>
      <c r="G144" s="6">
        <f>pm.rep!G96*(pm.rep!G42^0.5)</f>
        <v>1632.5415613031814</v>
      </c>
      <c r="H144" s="6">
        <f>pm.rep!H96*(pm.rep!H42^0.5)</f>
        <v>869.05345534287858</v>
      </c>
      <c r="I144" s="6">
        <f>pm.rep!I96*(pm.rep!I42^0.5)</f>
        <v>648.58854120451997</v>
      </c>
      <c r="J144" s="6">
        <f>pm.rep!J96*(pm.rep!J42^0.5)</f>
        <v>104.7475641680481</v>
      </c>
      <c r="K144" s="6">
        <f>pm.rep!K96*(pm.rep!K42^0.5)</f>
        <v>29.116256921251122</v>
      </c>
      <c r="L144" s="6">
        <f>pm.rep!L96*(pm.rep!L42^0.5)</f>
        <v>20.563592101183943</v>
      </c>
      <c r="M144" s="6">
        <f>pm.rep!M96*(pm.rep!M42^0.5)</f>
        <v>20.313439978516556</v>
      </c>
      <c r="N144" s="6">
        <f>pm.rep!N96*(pm.rep!N42^0.5)</f>
        <v>29.094939609928165</v>
      </c>
      <c r="O144" s="6">
        <f>pm.rep!O96*(pm.rep!O42^0.5)</f>
        <v>7.3980496312684858</v>
      </c>
      <c r="P144" s="6">
        <f>pm.rep!P96*(pm.rep!P42^0.5)</f>
        <v>29.463642086381402</v>
      </c>
    </row>
    <row r="145" spans="1:16" x14ac:dyDescent="0.15">
      <c r="A145">
        <v>1998</v>
      </c>
      <c r="B145" s="6">
        <f>pm.rep!B97*(pm.rep!B43^0.5)</f>
        <v>9872.1336952237434</v>
      </c>
      <c r="C145" s="6">
        <f>pm.rep!C97*(pm.rep!C43^0.5)</f>
        <v>10098.301016162794</v>
      </c>
      <c r="D145" s="6">
        <f>pm.rep!D97*(pm.rep!D43^0.5)</f>
        <v>5011.3533565543948</v>
      </c>
      <c r="E145" s="6">
        <f>pm.rep!E97*(pm.rep!E43^0.5)</f>
        <v>1718.4343309516835</v>
      </c>
      <c r="F145" s="6">
        <f>pm.rep!F97*(pm.rep!F43^0.5)</f>
        <v>1761.1698183358344</v>
      </c>
      <c r="G145" s="6">
        <f>pm.rep!G97*(pm.rep!G43^0.5)</f>
        <v>3407.1688259224311</v>
      </c>
      <c r="H145" s="6">
        <f>pm.rep!H97*(pm.rep!H43^0.5)</f>
        <v>997.33820072147057</v>
      </c>
      <c r="I145" s="6">
        <f>pm.rep!I97*(pm.rep!I43^0.5)</f>
        <v>480.91446094944632</v>
      </c>
      <c r="J145" s="6">
        <f>pm.rep!J97*(pm.rep!J43^0.5)</f>
        <v>345.88159792321682</v>
      </c>
      <c r="K145" s="6">
        <f>pm.rep!K97*(pm.rep!K43^0.5)</f>
        <v>55.901365475970643</v>
      </c>
      <c r="L145" s="6">
        <f>pm.rep!L97*(pm.rep!L43^0.5)</f>
        <v>15.714108568867328</v>
      </c>
      <c r="M145" s="6">
        <f>pm.rep!M97*(pm.rep!M43^0.5)</f>
        <v>11.098187801186345</v>
      </c>
      <c r="N145" s="6">
        <f>pm.rep!N97*(pm.rep!N43^0.5)</f>
        <v>10.963165382497447</v>
      </c>
      <c r="O145" s="6">
        <f>pm.rep!O97*(pm.rep!O43^0.5)</f>
        <v>15.702571372121586</v>
      </c>
      <c r="P145" s="6">
        <f>pm.rep!P97*(pm.rep!P43^0.5)</f>
        <v>19.894295467196159</v>
      </c>
    </row>
    <row r="146" spans="1:16" x14ac:dyDescent="0.15">
      <c r="A146">
        <v>1999</v>
      </c>
      <c r="B146" s="6">
        <f>pm.rep!B98*(pm.rep!B44^0.5)</f>
        <v>10729.239232063825</v>
      </c>
      <c r="C146" s="6">
        <f>pm.rep!C98*(pm.rep!C44^0.5)</f>
        <v>5020.0017099132911</v>
      </c>
      <c r="D146" s="6">
        <f>pm.rep!D98*(pm.rep!D44^0.5)</f>
        <v>6786.2933799795974</v>
      </c>
      <c r="E146" s="6">
        <f>pm.rep!E98*(pm.rep!E44^0.5)</f>
        <v>3557.7607590526923</v>
      </c>
      <c r="F146" s="6">
        <f>pm.rep!F98*(pm.rep!F44^0.5)</f>
        <v>1189.7692778754058</v>
      </c>
      <c r="G146" s="6">
        <f>pm.rep!G98*(pm.rep!G44^0.5)</f>
        <v>1168.7110010505451</v>
      </c>
      <c r="H146" s="6">
        <f>pm.rep!H98*(pm.rep!H44^0.5)</f>
        <v>2050.2347536112889</v>
      </c>
      <c r="I146" s="6">
        <f>pm.rep!I98*(pm.rep!I44^0.5)</f>
        <v>599.04106790416665</v>
      </c>
      <c r="J146" s="6">
        <f>pm.rep!J98*(pm.rep!J44^0.5)</f>
        <v>279.1679207311638</v>
      </c>
      <c r="K146" s="6">
        <f>pm.rep!K98*(pm.rep!K44^0.5)</f>
        <v>199.04399353616944</v>
      </c>
      <c r="L146" s="6">
        <f>pm.rep!L98*(pm.rep!L44^0.5)</f>
        <v>32.496541819438399</v>
      </c>
      <c r="M146" s="6">
        <f>pm.rep!M98*(pm.rep!M44^0.5)</f>
        <v>9.1349322760059781</v>
      </c>
      <c r="N146" s="6">
        <f>pm.rep!N98*(pm.rep!N44^0.5)</f>
        <v>6.4515976605430145</v>
      </c>
      <c r="O146" s="6">
        <f>pm.rep!O98*(pm.rep!O44^0.5)</f>
        <v>6.3731081256577831</v>
      </c>
      <c r="P146" s="6">
        <f>pm.rep!P98*(pm.rep!P44^0.5)</f>
        <v>20.693121555413914</v>
      </c>
    </row>
    <row r="147" spans="1:16" x14ac:dyDescent="0.15">
      <c r="A147">
        <v>2000</v>
      </c>
      <c r="B147" s="6">
        <f>pm.rep!B99*(pm.rep!B45^0.5)</f>
        <v>16482.581842422016</v>
      </c>
      <c r="C147" s="6">
        <f>pm.rep!C99*(pm.rep!C45^0.5)</f>
        <v>5456.090549692387</v>
      </c>
      <c r="D147" s="6">
        <f>pm.rep!D99*(pm.rep!D45^0.5)</f>
        <v>3404.5736694838533</v>
      </c>
      <c r="E147" s="6">
        <f>pm.rep!E99*(pm.rep!E45^0.5)</f>
        <v>4712.497449924178</v>
      </c>
      <c r="F147" s="6">
        <f>pm.rep!F99*(pm.rep!F45^0.5)</f>
        <v>2377.7838221849743</v>
      </c>
      <c r="G147" s="6">
        <f>pm.rep!G99*(pm.rep!G45^0.5)</f>
        <v>785.42422830870191</v>
      </c>
      <c r="H147" s="6">
        <f>pm.rep!H99*(pm.rep!H45^0.5)</f>
        <v>723.23455974600995</v>
      </c>
      <c r="I147" s="6">
        <f>pm.rep!I99*(pm.rep!I45^0.5)</f>
        <v>1174.1196764394786</v>
      </c>
      <c r="J147" s="6">
        <f>pm.rep!J99*(pm.rep!J45^0.5)</f>
        <v>355.00295100367265</v>
      </c>
      <c r="K147" s="6">
        <f>pm.rep!K99*(pm.rep!K45^0.5)</f>
        <v>168.27016687305283</v>
      </c>
      <c r="L147" s="6">
        <f>pm.rep!L99*(pm.rep!L45^0.5)</f>
        <v>120.67393898702244</v>
      </c>
      <c r="M147" s="6">
        <f>pm.rep!M99*(pm.rep!M45^0.5)</f>
        <v>19.70166955838905</v>
      </c>
      <c r="N147" s="6">
        <f>pm.rep!N99*(pm.rep!N45^0.5)</f>
        <v>5.5382111578371616</v>
      </c>
      <c r="O147" s="6">
        <f>pm.rep!O99*(pm.rep!O45^0.5)</f>
        <v>3.9114096142036447</v>
      </c>
      <c r="P147" s="6">
        <f>pm.rep!P99*(pm.rep!P45^0.5)</f>
        <v>16.409454164187906</v>
      </c>
    </row>
    <row r="148" spans="1:16" x14ac:dyDescent="0.15">
      <c r="A148">
        <v>2001</v>
      </c>
      <c r="B148" s="6">
        <f>pm.rep!B100*(pm.rep!B46^0.5)</f>
        <v>22930.834644702238</v>
      </c>
      <c r="C148" s="6">
        <f>pm.rep!C100*(pm.rep!C46^0.5)</f>
        <v>8383.1766311526571</v>
      </c>
      <c r="D148" s="6">
        <f>pm.rep!D100*(pm.rep!D46^0.5)</f>
        <v>3711.6287048373479</v>
      </c>
      <c r="E148" s="6">
        <f>pm.rep!E100*(pm.rep!E46^0.5)</f>
        <v>2404.4506532436235</v>
      </c>
      <c r="F148" s="6">
        <f>pm.rep!F100*(pm.rep!F46^0.5)</f>
        <v>3028.5480186510581</v>
      </c>
      <c r="G148" s="6">
        <f>pm.rep!G100*(pm.rep!G46^0.5)</f>
        <v>1421.49540167842</v>
      </c>
      <c r="H148" s="6">
        <f>pm.rep!H100*(pm.rep!H46^0.5)</f>
        <v>471.05580275064477</v>
      </c>
      <c r="I148" s="6">
        <f>pm.rep!I100*(pm.rep!I46^0.5)</f>
        <v>415.62275314979746</v>
      </c>
      <c r="J148" s="6">
        <f>pm.rep!J100*(pm.rep!J46^0.5)</f>
        <v>661.22598677732958</v>
      </c>
      <c r="K148" s="6">
        <f>pm.rep!K100*(pm.rep!K46^0.5)</f>
        <v>207.62318643218885</v>
      </c>
      <c r="L148" s="6">
        <f>pm.rep!L100*(pm.rep!L46^0.5)</f>
        <v>99.739180440004375</v>
      </c>
      <c r="M148" s="6">
        <f>pm.rep!M100*(pm.rep!M46^0.5)</f>
        <v>71.527557159153133</v>
      </c>
      <c r="N148" s="6">
        <f>pm.rep!N100*(pm.rep!N46^0.5)</f>
        <v>11.677787756167863</v>
      </c>
      <c r="O148" s="6">
        <f>pm.rep!O100*(pm.rep!O46^0.5)</f>
        <v>3.2826846264595262</v>
      </c>
      <c r="P148" s="6">
        <f>pm.rep!P100*(pm.rep!P46^0.5)</f>
        <v>12.044827940187078</v>
      </c>
    </row>
    <row r="149" spans="1:16" x14ac:dyDescent="0.15">
      <c r="A149">
        <v>2002</v>
      </c>
      <c r="B149" s="6">
        <f>pm.rep!B101*(pm.rep!B47^0.5)</f>
        <v>15272.029056395606</v>
      </c>
      <c r="C149" s="6">
        <f>pm.rep!C101*(pm.rep!C47^0.5)</f>
        <v>11654.218246648781</v>
      </c>
      <c r="D149" s="6">
        <f>pm.rep!D101*(pm.rep!D47^0.5)</f>
        <v>5693.4592023774712</v>
      </c>
      <c r="E149" s="6">
        <f>pm.rep!E101*(pm.rep!E47^0.5)</f>
        <v>2615.032805581985</v>
      </c>
      <c r="F149" s="6">
        <f>pm.rep!F101*(pm.rep!F47^0.5)</f>
        <v>1567.4916369839848</v>
      </c>
      <c r="G149" s="6">
        <f>pm.rep!G101*(pm.rep!G47^0.5)</f>
        <v>1701.1546826388064</v>
      </c>
      <c r="H149" s="6">
        <f>pm.rep!H101*(pm.rep!H47^0.5)</f>
        <v>765.21514470257398</v>
      </c>
      <c r="I149" s="6">
        <f>pm.rep!I101*(pm.rep!I47^0.5)</f>
        <v>254.89918637068129</v>
      </c>
      <c r="J149" s="6">
        <f>pm.rep!J101*(pm.rep!J47^0.5)</f>
        <v>228.44418224509445</v>
      </c>
      <c r="K149" s="6">
        <f>pm.rep!K101*(pm.rep!K47^0.5)</f>
        <v>376.75977450666039</v>
      </c>
      <c r="L149" s="6">
        <f>pm.rep!L101*(pm.rep!L47^0.5)</f>
        <v>119.30520492351707</v>
      </c>
      <c r="M149" s="6">
        <f>pm.rep!M101*(pm.rep!M47^0.5)</f>
        <v>57.312359509227427</v>
      </c>
      <c r="N149" s="6">
        <f>pm.rep!N101*(pm.rep!N47^0.5)</f>
        <v>41.101264712602983</v>
      </c>
      <c r="O149" s="6">
        <f>pm.rep!O101*(pm.rep!O47^0.5)</f>
        <v>6.7103345411732551</v>
      </c>
      <c r="P149" s="6">
        <f>pm.rep!P101*(pm.rep!P47^0.5)</f>
        <v>8.8075375022196756</v>
      </c>
    </row>
  </sheetData>
  <phoneticPr fontId="7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R33"/>
  <sheetViews>
    <sheetView workbookViewId="0"/>
  </sheetViews>
  <sheetFormatPr baseColWidth="10" defaultColWidth="8.83203125" defaultRowHeight="13" x14ac:dyDescent="0.15"/>
  <sheetData>
    <row r="1" spans="1:18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18" x14ac:dyDescent="0.15">
      <c r="A2">
        <v>2000</v>
      </c>
      <c r="B2">
        <v>8.2215521240638879E-4</v>
      </c>
      <c r="C2">
        <v>8.3791503744449596E-3</v>
      </c>
      <c r="D2">
        <v>6.4679700444032082E-2</v>
      </c>
      <c r="E2">
        <v>0.15978858771290347</v>
      </c>
      <c r="F2">
        <v>0.2940267744714693</v>
      </c>
      <c r="G2">
        <v>0.5914586785075221</v>
      </c>
      <c r="H2">
        <v>0.9451918616210484</v>
      </c>
      <c r="I2">
        <v>1</v>
      </c>
      <c r="J2">
        <v>0.97103850487109822</v>
      </c>
      <c r="K2">
        <v>0.95824773013453513</v>
      </c>
      <c r="L2">
        <v>0.98947577705613365</v>
      </c>
      <c r="M2">
        <v>0.98947577705613365</v>
      </c>
      <c r="N2">
        <v>0.98947577705613365</v>
      </c>
      <c r="O2">
        <v>0.98947577705613365</v>
      </c>
      <c r="P2">
        <v>0.98947577705613365</v>
      </c>
      <c r="R2">
        <f>MAX(B2:P2)</f>
        <v>1</v>
      </c>
    </row>
    <row r="3" spans="1:18" x14ac:dyDescent="0.15">
      <c r="A3">
        <v>2001</v>
      </c>
      <c r="B3" s="31">
        <v>7.5337138487587723E-4</v>
      </c>
      <c r="C3" s="31">
        <v>9.1872081273725315E-3</v>
      </c>
      <c r="D3" s="31">
        <v>8.1213643935876767E-2</v>
      </c>
      <c r="E3" s="31">
        <v>0.18364748614031734</v>
      </c>
      <c r="F3" s="31">
        <v>0.38218586995111559</v>
      </c>
      <c r="G3" s="31">
        <v>0.58397465658027692</v>
      </c>
      <c r="H3" s="31">
        <v>0.87728650626758053</v>
      </c>
      <c r="I3" s="31">
        <v>1</v>
      </c>
      <c r="J3" s="31">
        <v>0.88692683726138133</v>
      </c>
      <c r="K3" s="31">
        <v>0.7381489472103121</v>
      </c>
      <c r="L3" s="31">
        <v>0.68991998252177944</v>
      </c>
      <c r="M3" s="31">
        <v>0.68991998252177944</v>
      </c>
      <c r="N3" s="31">
        <v>0.68991998252177944</v>
      </c>
      <c r="O3" s="31">
        <v>0.68991998252177944</v>
      </c>
      <c r="P3" s="31">
        <v>0.68991998252177944</v>
      </c>
      <c r="R3">
        <f>MAX(B3:P3)</f>
        <v>1</v>
      </c>
    </row>
    <row r="5" spans="1:18" x14ac:dyDescent="0.15">
      <c r="B5" s="31">
        <v>9.7114444865762668E-3</v>
      </c>
      <c r="C5" s="31">
        <v>6.1834087255598337E-2</v>
      </c>
      <c r="D5" s="31">
        <v>0.2823048124629492</v>
      </c>
      <c r="E5" s="31">
        <v>0.91646149655794873</v>
      </c>
      <c r="F5" s="31">
        <v>1</v>
      </c>
      <c r="G5" s="31">
        <v>0.89580384847497629</v>
      </c>
      <c r="H5" s="31">
        <v>0.76118733410594785</v>
      </c>
      <c r="I5" s="31">
        <v>0.6518748364424839</v>
      </c>
      <c r="J5" s="31">
        <v>0.56735899339361151</v>
      </c>
      <c r="K5" s="31">
        <v>0.51044685248580723</v>
      </c>
      <c r="L5" s="31">
        <v>0.47080051056648314</v>
      </c>
      <c r="M5" s="31">
        <v>0.47080051056648314</v>
      </c>
      <c r="N5" s="31">
        <v>0.47080051056648314</v>
      </c>
      <c r="O5" s="31">
        <v>0.47080051056648314</v>
      </c>
      <c r="P5" s="31">
        <v>0.47080051056648314</v>
      </c>
      <c r="R5">
        <f t="shared" ref="R5:R17" si="0">MAX(B5:P5)</f>
        <v>1</v>
      </c>
    </row>
    <row r="6" spans="1:18" x14ac:dyDescent="0.15">
      <c r="B6" s="31">
        <v>1.2711402407276959E-2</v>
      </c>
      <c r="C6" s="31">
        <v>0.10145110410094638</v>
      </c>
      <c r="D6" s="31">
        <v>0.45658264677957799</v>
      </c>
      <c r="E6" s="31">
        <v>1</v>
      </c>
      <c r="F6" s="31">
        <v>0.96412361030290039</v>
      </c>
      <c r="G6" s="31">
        <v>0.82845242105907935</v>
      </c>
      <c r="H6" s="31">
        <v>0.75963982726409618</v>
      </c>
      <c r="I6" s="31">
        <v>0.7025328473859912</v>
      </c>
      <c r="J6" s="31">
        <v>0.65762763774463262</v>
      </c>
      <c r="K6" s="31">
        <v>0.63270343940461249</v>
      </c>
      <c r="L6" s="31">
        <v>0.6144497871428134</v>
      </c>
      <c r="M6" s="31">
        <v>0.6144497871428134</v>
      </c>
      <c r="N6" s="31">
        <v>0.6144497871428134</v>
      </c>
      <c r="O6" s="31">
        <v>0.6144497871428134</v>
      </c>
      <c r="P6" s="31">
        <v>0.6144497871428134</v>
      </c>
      <c r="R6">
        <f t="shared" si="0"/>
        <v>1</v>
      </c>
    </row>
    <row r="7" spans="1:18" x14ac:dyDescent="0.15">
      <c r="B7" s="31">
        <v>2.0506271432543483E-2</v>
      </c>
      <c r="C7" s="31">
        <v>0.14596604776174735</v>
      </c>
      <c r="D7" s="31">
        <v>0.633398467669684</v>
      </c>
      <c r="E7" s="31">
        <v>0.87223887052426707</v>
      </c>
      <c r="F7" s="31">
        <v>0.85391114955667469</v>
      </c>
      <c r="G7" s="31">
        <v>0.77857672464394956</v>
      </c>
      <c r="H7" s="31">
        <v>0.79273378850134391</v>
      </c>
      <c r="I7" s="31">
        <v>0.80671321325960033</v>
      </c>
      <c r="J7" s="31">
        <v>0.80914609657388248</v>
      </c>
      <c r="K7" s="31">
        <v>0.8719531032778276</v>
      </c>
      <c r="L7" s="31">
        <v>1</v>
      </c>
      <c r="M7" s="31">
        <v>1</v>
      </c>
      <c r="N7" s="31">
        <v>1</v>
      </c>
      <c r="O7" s="31">
        <v>1</v>
      </c>
      <c r="P7" s="31">
        <v>1</v>
      </c>
      <c r="R7">
        <f t="shared" si="0"/>
        <v>1</v>
      </c>
    </row>
    <row r="8" spans="1:18" x14ac:dyDescent="0.15">
      <c r="B8" s="31">
        <v>1.9216602233676976E-2</v>
      </c>
      <c r="C8" s="31">
        <v>0.23361944648993618</v>
      </c>
      <c r="D8" s="31">
        <v>0.78637395679921451</v>
      </c>
      <c r="E8" s="31">
        <v>1</v>
      </c>
      <c r="F8" s="31">
        <v>0.96363371379479634</v>
      </c>
      <c r="G8" s="31">
        <v>0.90953301423662258</v>
      </c>
      <c r="H8" s="31">
        <v>0.88464960726558672</v>
      </c>
      <c r="I8" s="31">
        <v>0.86663138193421696</v>
      </c>
      <c r="J8" s="31">
        <v>0.85758775159548362</v>
      </c>
      <c r="K8" s="31">
        <v>0.84529178939617089</v>
      </c>
      <c r="L8" s="31">
        <v>0.82787187039764365</v>
      </c>
      <c r="M8" s="31">
        <v>0.82787187039764365</v>
      </c>
      <c r="N8" s="31">
        <v>0.82787187039764365</v>
      </c>
      <c r="O8" s="31">
        <v>0.82787187039764365</v>
      </c>
      <c r="P8" s="31">
        <v>0.82787187039764365</v>
      </c>
      <c r="R8">
        <f t="shared" si="0"/>
        <v>1</v>
      </c>
    </row>
    <row r="9" spans="1:18" x14ac:dyDescent="0.15">
      <c r="B9" s="31">
        <v>1.1616085806512725E-2</v>
      </c>
      <c r="C9" s="31">
        <v>0.14244274586669969</v>
      </c>
      <c r="D9" s="31">
        <v>0.75492389189661824</v>
      </c>
      <c r="E9" s="31">
        <v>1</v>
      </c>
      <c r="F9" s="31">
        <v>0.95086673613185746</v>
      </c>
      <c r="G9" s="31">
        <v>0.88523670385240349</v>
      </c>
      <c r="H9" s="31">
        <v>0.84811897492695232</v>
      </c>
      <c r="I9" s="31">
        <v>0.82702438811125123</v>
      </c>
      <c r="J9" s="31">
        <v>0.81203593730645085</v>
      </c>
      <c r="K9" s="31">
        <v>0.79714949832044835</v>
      </c>
      <c r="L9" s="31">
        <v>0.78008437834726285</v>
      </c>
      <c r="M9" s="31">
        <v>0.78008437834726285</v>
      </c>
      <c r="N9" s="31">
        <v>0.78008437834726285</v>
      </c>
      <c r="O9" s="31">
        <v>0.78008437834726285</v>
      </c>
      <c r="P9" s="31">
        <v>0.78008437834726285</v>
      </c>
      <c r="R9">
        <f t="shared" si="0"/>
        <v>1</v>
      </c>
    </row>
    <row r="10" spans="1:18" x14ac:dyDescent="0.15">
      <c r="B10" s="31">
        <v>6.1571458594412839E-3</v>
      </c>
      <c r="C10" s="31">
        <v>9.8405890731904769E-2</v>
      </c>
      <c r="D10" s="31">
        <v>0.55987094564616691</v>
      </c>
      <c r="E10" s="31">
        <v>0.86726393872642515</v>
      </c>
      <c r="F10" s="31">
        <v>1</v>
      </c>
      <c r="G10" s="31">
        <v>0.96758073680851231</v>
      </c>
      <c r="H10" s="31">
        <v>0.94637783814498</v>
      </c>
      <c r="I10" s="31">
        <v>0.94046219828290778</v>
      </c>
      <c r="J10" s="31">
        <v>0.92866205350540576</v>
      </c>
      <c r="K10" s="31">
        <v>0.91160010274532399</v>
      </c>
      <c r="L10" s="31">
        <v>0.88984455877888746</v>
      </c>
      <c r="M10" s="31">
        <v>0.88984455877888746</v>
      </c>
      <c r="N10" s="31">
        <v>0.88984455877888746</v>
      </c>
      <c r="O10" s="31">
        <v>0.88984455877888746</v>
      </c>
      <c r="P10" s="31">
        <v>0.88984455877888746</v>
      </c>
      <c r="R10">
        <f t="shared" si="0"/>
        <v>1</v>
      </c>
    </row>
    <row r="11" spans="1:18" x14ac:dyDescent="0.15">
      <c r="B11" s="31">
        <v>2.8050152696652533E-3</v>
      </c>
      <c r="C11" s="31">
        <v>2.8252809321908261E-2</v>
      </c>
      <c r="D11" s="31">
        <v>0.18751890177009514</v>
      </c>
      <c r="E11" s="31">
        <v>0.56208230794319092</v>
      </c>
      <c r="F11" s="31">
        <v>0.89061434459038757</v>
      </c>
      <c r="G11" s="31">
        <v>1</v>
      </c>
      <c r="H11" s="31">
        <v>0.95014380170190049</v>
      </c>
      <c r="I11" s="31">
        <v>0.92342188750852428</v>
      </c>
      <c r="J11" s="31">
        <v>0.91208082545141866</v>
      </c>
      <c r="K11" s="31">
        <v>0.91375604115397169</v>
      </c>
      <c r="L11" s="31">
        <v>0.94960269220505822</v>
      </c>
      <c r="M11" s="31">
        <v>0.94960269220505822</v>
      </c>
      <c r="N11" s="31">
        <v>0.94960269220505822</v>
      </c>
      <c r="O11" s="31">
        <v>0.94960269220505822</v>
      </c>
      <c r="P11" s="31">
        <v>0.94960269220505822</v>
      </c>
      <c r="R11">
        <f t="shared" si="0"/>
        <v>1</v>
      </c>
    </row>
    <row r="12" spans="1:18" x14ac:dyDescent="0.15">
      <c r="B12" s="31">
        <v>2.1988286173924548E-3</v>
      </c>
      <c r="C12" s="31">
        <v>1.9924298876670542E-2</v>
      </c>
      <c r="D12" s="31">
        <v>0.13061194643118301</v>
      </c>
      <c r="E12" s="31">
        <v>0.36323307171062252</v>
      </c>
      <c r="F12" s="31">
        <v>0.63747031499188667</v>
      </c>
      <c r="G12" s="31">
        <v>0.83886176710239502</v>
      </c>
      <c r="H12" s="31">
        <v>0.89733339833276449</v>
      </c>
      <c r="I12" s="31">
        <v>0.80694472494794245</v>
      </c>
      <c r="J12" s="31">
        <v>0.8425388777848194</v>
      </c>
      <c r="K12" s="31">
        <v>0.90724349019088946</v>
      </c>
      <c r="L12" s="31">
        <v>1</v>
      </c>
      <c r="M12" s="31">
        <v>1</v>
      </c>
      <c r="N12" s="31">
        <v>1</v>
      </c>
      <c r="O12" s="31">
        <v>1</v>
      </c>
      <c r="P12" s="31">
        <v>1</v>
      </c>
      <c r="R12">
        <f t="shared" si="0"/>
        <v>1</v>
      </c>
    </row>
    <row r="13" spans="1:18" x14ac:dyDescent="0.15">
      <c r="B13" s="31">
        <v>1.8614707423580787E-3</v>
      </c>
      <c r="C13" s="31">
        <v>1.9323458515283845E-2</v>
      </c>
      <c r="D13" s="31">
        <v>0.13145013100436681</v>
      </c>
      <c r="E13" s="31">
        <v>0.36521711790393013</v>
      </c>
      <c r="F13" s="31">
        <v>0.57641152838427945</v>
      </c>
      <c r="G13" s="31">
        <v>0.77437903930131013</v>
      </c>
      <c r="H13" s="31">
        <v>1</v>
      </c>
      <c r="I13" s="31">
        <v>0.98038078602620093</v>
      </c>
      <c r="J13" s="31">
        <v>0.95749868995633192</v>
      </c>
      <c r="K13" s="31">
        <v>0.93616768558951968</v>
      </c>
      <c r="L13" s="31">
        <v>0.94753537117903941</v>
      </c>
      <c r="M13" s="31">
        <v>0.94753537117903941</v>
      </c>
      <c r="N13" s="31">
        <v>0.94753537117903941</v>
      </c>
      <c r="O13" s="31">
        <v>0.94753537117903941</v>
      </c>
      <c r="P13" s="31">
        <v>0.94753537117903941</v>
      </c>
      <c r="R13">
        <f t="shared" si="0"/>
        <v>1</v>
      </c>
    </row>
    <row r="14" spans="1:18" x14ac:dyDescent="0.15">
      <c r="B14" s="31">
        <v>9.7358018447286801E-4</v>
      </c>
      <c r="C14" s="31">
        <v>1.3298683667629402E-2</v>
      </c>
      <c r="D14" s="31">
        <v>0.11123607469420892</v>
      </c>
      <c r="E14" s="31">
        <v>0.28781494150373332</v>
      </c>
      <c r="F14" s="31">
        <v>0.62124565770034468</v>
      </c>
      <c r="G14" s="31">
        <v>0.77772084170737221</v>
      </c>
      <c r="H14" s="31">
        <v>1</v>
      </c>
      <c r="I14" s="31">
        <v>0.92011499607362934</v>
      </c>
      <c r="J14" s="31">
        <v>0.96417020483675608</v>
      </c>
      <c r="K14" s="31">
        <v>0.86608414411776447</v>
      </c>
      <c r="L14" s="31">
        <v>0.88392583818029358</v>
      </c>
      <c r="M14" s="31">
        <v>0.88392583818029358</v>
      </c>
      <c r="N14" s="31">
        <v>0.88392583818029358</v>
      </c>
      <c r="O14" s="31">
        <v>0.88392583818029358</v>
      </c>
      <c r="P14" s="31">
        <v>0.88392583818029358</v>
      </c>
      <c r="R14">
        <f t="shared" si="0"/>
        <v>1</v>
      </c>
    </row>
    <row r="15" spans="1:18" x14ac:dyDescent="0.15">
      <c r="B15" s="31">
        <v>5.2073098072922261E-4</v>
      </c>
      <c r="C15" s="31">
        <v>5.0869773302208371E-3</v>
      </c>
      <c r="D15" s="31">
        <v>3.8181045681411951E-2</v>
      </c>
      <c r="E15" s="31">
        <v>0.27717540998017248</v>
      </c>
      <c r="F15" s="31">
        <v>0.62696443745543684</v>
      </c>
      <c r="G15" s="31">
        <v>1</v>
      </c>
      <c r="H15" s="31">
        <v>0.84884209292558332</v>
      </c>
      <c r="I15" s="31">
        <v>0.71281365070373015</v>
      </c>
      <c r="J15" s="31">
        <v>0.6266714200599709</v>
      </c>
      <c r="K15" s="31">
        <v>0.5572067628414874</v>
      </c>
      <c r="L15" s="31">
        <v>0.52639598370823282</v>
      </c>
      <c r="M15" s="31">
        <v>0.52639598370823282</v>
      </c>
      <c r="N15" s="31">
        <v>0.52639598370823282</v>
      </c>
      <c r="O15" s="31">
        <v>0.52639598370823282</v>
      </c>
      <c r="P15" s="31">
        <v>0.52639598370823282</v>
      </c>
      <c r="R15">
        <f t="shared" si="0"/>
        <v>1</v>
      </c>
    </row>
    <row r="16" spans="1:18" x14ac:dyDescent="0.15">
      <c r="B16" s="31">
        <v>5.5814697351657587E-4</v>
      </c>
      <c r="C16" s="31">
        <v>6.9298744951343154E-3</v>
      </c>
      <c r="D16" s="31">
        <v>4.037033422786046E-2</v>
      </c>
      <c r="E16" s="31">
        <v>0.13176818194139492</v>
      </c>
      <c r="F16" s="31">
        <v>0.2722447209346453</v>
      </c>
      <c r="G16" s="31">
        <v>0.66619500691225508</v>
      </c>
      <c r="H16" s="31">
        <v>1</v>
      </c>
      <c r="I16" s="31">
        <v>0.90926784310536446</v>
      </c>
      <c r="J16" s="31">
        <v>0.88183025670217663</v>
      </c>
      <c r="K16" s="31">
        <v>0.77501287576915789</v>
      </c>
      <c r="L16" s="31">
        <v>0.68957740370280018</v>
      </c>
      <c r="M16" s="31">
        <v>0.68957740370280018</v>
      </c>
      <c r="N16" s="31">
        <v>0.68957740370280018</v>
      </c>
      <c r="O16" s="31">
        <v>0.68957740370280018</v>
      </c>
      <c r="P16" s="31">
        <v>0.68957740370280018</v>
      </c>
      <c r="R16">
        <f t="shared" si="0"/>
        <v>1</v>
      </c>
    </row>
    <row r="17" spans="1:18" x14ac:dyDescent="0.15">
      <c r="B17" s="31">
        <v>7.5337138487587723E-4</v>
      </c>
      <c r="C17" s="31">
        <v>9.1872081273725315E-3</v>
      </c>
      <c r="D17" s="31">
        <v>8.1213643935876767E-2</v>
      </c>
      <c r="E17" s="31">
        <v>0.18364748614031734</v>
      </c>
      <c r="F17" s="31">
        <v>0.38218586995111559</v>
      </c>
      <c r="G17" s="31">
        <v>0.58397465658027692</v>
      </c>
      <c r="H17" s="31">
        <v>0.87728650626758053</v>
      </c>
      <c r="I17" s="31">
        <v>1</v>
      </c>
      <c r="J17" s="31">
        <v>0.88692683726138133</v>
      </c>
      <c r="K17" s="31">
        <v>0.7381489472103121</v>
      </c>
      <c r="L17" s="31">
        <v>0.68991998252177944</v>
      </c>
      <c r="M17" s="31">
        <v>0.68991998252177944</v>
      </c>
      <c r="N17" s="31">
        <v>0.68991998252177944</v>
      </c>
      <c r="O17" s="31">
        <v>0.68991998252177944</v>
      </c>
      <c r="P17" s="31">
        <v>0.68991998252177944</v>
      </c>
      <c r="R17">
        <f t="shared" si="0"/>
        <v>1</v>
      </c>
    </row>
    <row r="23" spans="1:18" x14ac:dyDescent="0.15">
      <c r="A23" t="s">
        <v>319</v>
      </c>
    </row>
    <row r="24" spans="1:18" x14ac:dyDescent="0.15">
      <c r="A24" t="s">
        <v>103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  <c r="N24">
        <v>13</v>
      </c>
      <c r="O24">
        <v>14</v>
      </c>
      <c r="P24">
        <v>15</v>
      </c>
    </row>
    <row r="25" spans="1:18" x14ac:dyDescent="0.15">
      <c r="A25">
        <v>1998</v>
      </c>
      <c r="B25">
        <v>1.7717294057662893E-2</v>
      </c>
      <c r="C25">
        <v>1.5427469239723327E-2</v>
      </c>
      <c r="D25">
        <v>1.929619332557312E-2</v>
      </c>
      <c r="E25">
        <v>3.8600034632367795E-2</v>
      </c>
      <c r="F25">
        <v>9.952524795813332E-2</v>
      </c>
      <c r="G25">
        <v>0.2308179972871312</v>
      </c>
      <c r="H25">
        <v>0.30837141290440501</v>
      </c>
      <c r="I25">
        <v>0.38995613233412535</v>
      </c>
      <c r="J25">
        <v>0.45320830407218926</v>
      </c>
      <c r="K25">
        <v>0.64216586980153734</v>
      </c>
      <c r="L25">
        <v>1</v>
      </c>
      <c r="M25">
        <v>1</v>
      </c>
      <c r="N25">
        <v>1</v>
      </c>
      <c r="O25">
        <v>1</v>
      </c>
      <c r="P25">
        <v>1</v>
      </c>
      <c r="R25">
        <f>MAX(B25:P25)</f>
        <v>1</v>
      </c>
    </row>
    <row r="26" spans="1:18" x14ac:dyDescent="0.15">
      <c r="A26">
        <v>1999</v>
      </c>
      <c r="B26">
        <v>2.8769782024484922E-2</v>
      </c>
      <c r="C26">
        <v>2.6236466385764684E-2</v>
      </c>
      <c r="D26">
        <v>2.771363480530396E-2</v>
      </c>
      <c r="E26">
        <v>5.9111066874578372E-2</v>
      </c>
      <c r="F26">
        <v>0.14458323656591798</v>
      </c>
      <c r="G26">
        <v>0.32055118719794745</v>
      </c>
      <c r="H26">
        <v>0.4777451533348816</v>
      </c>
      <c r="I26">
        <v>0.63791292038530023</v>
      </c>
      <c r="J26">
        <v>0.73022350508167178</v>
      </c>
      <c r="K26">
        <v>0.84149497362396741</v>
      </c>
      <c r="L26">
        <v>1</v>
      </c>
      <c r="M26">
        <v>1</v>
      </c>
      <c r="N26">
        <v>1</v>
      </c>
      <c r="O26">
        <v>1</v>
      </c>
      <c r="P26">
        <v>1</v>
      </c>
      <c r="R26">
        <f>MAX(B26:P26)</f>
        <v>1</v>
      </c>
    </row>
    <row r="27" spans="1:18" x14ac:dyDescent="0.15">
      <c r="A27">
        <v>2000</v>
      </c>
      <c r="B27">
        <v>3.234082197614991E-2</v>
      </c>
      <c r="C27">
        <v>2.768941652470187E-2</v>
      </c>
      <c r="D27">
        <v>3.1828045144804085E-2</v>
      </c>
      <c r="E27">
        <v>6.2339757240204421E-2</v>
      </c>
      <c r="F27">
        <v>0.16398158006814309</v>
      </c>
      <c r="G27">
        <v>0.33209433560476997</v>
      </c>
      <c r="H27">
        <v>0.51864672061328787</v>
      </c>
      <c r="I27">
        <v>0.83739352640545139</v>
      </c>
      <c r="J27">
        <v>1</v>
      </c>
      <c r="K27">
        <v>0.93799510221465077</v>
      </c>
      <c r="L27">
        <v>0.80824105621805786</v>
      </c>
      <c r="M27">
        <v>0.80824105621805786</v>
      </c>
      <c r="N27">
        <v>0.80824105621805786</v>
      </c>
      <c r="O27">
        <v>0.80824105621805786</v>
      </c>
      <c r="P27">
        <v>0.80824105621805786</v>
      </c>
      <c r="R27">
        <f>MAX(B27:P27)</f>
        <v>1</v>
      </c>
    </row>
    <row r="30" spans="1:18" x14ac:dyDescent="0.15">
      <c r="A30">
        <v>1998</v>
      </c>
      <c r="B30" s="31">
        <v>4.8067102842486976E-2</v>
      </c>
      <c r="C30" s="31">
        <v>2.0747060419998655E-2</v>
      </c>
      <c r="D30" s="31">
        <v>4.4946205761086079E-2</v>
      </c>
      <c r="E30" s="31">
        <v>9.4647015053173314E-2</v>
      </c>
      <c r="F30" s="31">
        <v>0.18847662607020141</v>
      </c>
      <c r="G30" s="31">
        <v>0.34040842160502421</v>
      </c>
      <c r="H30" s="31">
        <v>0.53432105491388804</v>
      </c>
      <c r="I30" s="31">
        <v>0.71861652213710792</v>
      </c>
      <c r="J30" s="31">
        <v>0.85072011072309506</v>
      </c>
      <c r="K30" s="31">
        <v>0.92748017830263974</v>
      </c>
      <c r="L30" s="31">
        <v>0.96675102425873316</v>
      </c>
      <c r="M30" s="31">
        <v>0.98553869850289477</v>
      </c>
      <c r="N30" s="31">
        <v>0.99423651037978933</v>
      </c>
      <c r="O30" s="31">
        <v>0.99820335353976397</v>
      </c>
      <c r="P30" s="31">
        <v>1</v>
      </c>
      <c r="R30">
        <f>MAX(B30:P30)</f>
        <v>1</v>
      </c>
    </row>
    <row r="31" spans="1:18" x14ac:dyDescent="0.15">
      <c r="A31">
        <v>1999</v>
      </c>
      <c r="B31" s="31">
        <v>5.6725525876410665E-2</v>
      </c>
      <c r="C31" s="31">
        <v>2.276141762294959E-2</v>
      </c>
      <c r="D31" s="31">
        <v>5.3897442720561982E-2</v>
      </c>
      <c r="E31" s="31">
        <v>0.12229683968960112</v>
      </c>
      <c r="F31" s="31">
        <v>0.25418935452278224</v>
      </c>
      <c r="G31" s="31">
        <v>0.45467013866310801</v>
      </c>
      <c r="H31" s="31">
        <v>0.67107001981759018</v>
      </c>
      <c r="I31" s="31">
        <v>0.83320911909261253</v>
      </c>
      <c r="J31" s="31">
        <v>0.92454009885786248</v>
      </c>
      <c r="K31" s="31">
        <v>0.96791871286702802</v>
      </c>
      <c r="L31" s="31">
        <v>0.98684996353603438</v>
      </c>
      <c r="M31" s="31">
        <v>0.99480601070209895</v>
      </c>
      <c r="N31" s="31">
        <v>0.99809527048859714</v>
      </c>
      <c r="O31" s="31">
        <v>0.99944678811984988</v>
      </c>
      <c r="P31" s="31">
        <v>1</v>
      </c>
      <c r="R31">
        <f>MAX(B31:P31)</f>
        <v>1</v>
      </c>
    </row>
    <row r="32" spans="1:18" x14ac:dyDescent="0.15">
      <c r="A32">
        <v>2000</v>
      </c>
      <c r="B32" s="31">
        <v>6.1982409655184825E-2</v>
      </c>
      <c r="C32" s="31">
        <v>2.0888859548308433E-2</v>
      </c>
      <c r="D32" s="31">
        <v>5.1536529522792134E-2</v>
      </c>
      <c r="E32" s="31">
        <v>0.12156802730274377</v>
      </c>
      <c r="F32" s="31">
        <v>0.26062137347924935</v>
      </c>
      <c r="G32" s="31">
        <v>0.47309185368786089</v>
      </c>
      <c r="H32" s="31">
        <v>0.69582086775433527</v>
      </c>
      <c r="I32" s="31">
        <v>0.85361184212500485</v>
      </c>
      <c r="J32" s="31">
        <v>0.93704545022620589</v>
      </c>
      <c r="K32" s="31">
        <v>0.97444168709671286</v>
      </c>
      <c r="L32" s="31">
        <v>0.9899535185190742</v>
      </c>
      <c r="M32" s="31">
        <v>0.99618005647394903</v>
      </c>
      <c r="N32" s="31">
        <v>0.99864666572643435</v>
      </c>
      <c r="O32" s="31">
        <v>0.99961790562268882</v>
      </c>
      <c r="P32" s="31">
        <v>1</v>
      </c>
      <c r="R32">
        <f>MAX(B32:P32)</f>
        <v>1</v>
      </c>
    </row>
    <row r="33" spans="1:18" x14ac:dyDescent="0.15">
      <c r="A33">
        <v>2001</v>
      </c>
      <c r="B33" s="31">
        <v>6.9787771541128529E-2</v>
      </c>
      <c r="C33" s="31">
        <v>3.3380942276741744E-2</v>
      </c>
      <c r="D33" s="31">
        <v>7.1336246586969229E-2</v>
      </c>
      <c r="E33" s="31">
        <v>0.14593859347100224</v>
      </c>
      <c r="F33" s="31">
        <v>0.27544059124502557</v>
      </c>
      <c r="G33" s="31">
        <v>0.45826293748848979</v>
      </c>
      <c r="H33" s="31">
        <v>0.65317401852845325</v>
      </c>
      <c r="I33" s="31">
        <v>0.80760315159861962</v>
      </c>
      <c r="J33" s="31">
        <v>0.90365644692486935</v>
      </c>
      <c r="K33" s="31">
        <v>0.95470577873151352</v>
      </c>
      <c r="L33" s="31">
        <v>0.97958487136577277</v>
      </c>
      <c r="M33" s="31">
        <v>0.99119718309859151</v>
      </c>
      <c r="N33" s="31">
        <v>0.99650789901432479</v>
      </c>
      <c r="O33" s="31">
        <v>0.99891503655245861</v>
      </c>
      <c r="P33" s="31">
        <v>1</v>
      </c>
      <c r="R33">
        <f>MAX(B33:P33)</f>
        <v>1</v>
      </c>
    </row>
  </sheetData>
  <phoneticPr fontId="7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D6"/>
  <sheetViews>
    <sheetView workbookViewId="0"/>
  </sheetViews>
  <sheetFormatPr baseColWidth="10" defaultColWidth="33" defaultRowHeight="107.5" customHeight="1" x14ac:dyDescent="0.15"/>
  <sheetData>
    <row r="1" spans="1:4" ht="35.5" customHeight="1" x14ac:dyDescent="0.15">
      <c r="A1" s="39" t="s">
        <v>126</v>
      </c>
      <c r="B1" s="5"/>
      <c r="C1" s="5"/>
    </row>
    <row r="2" spans="1:4" ht="107.5" customHeight="1" x14ac:dyDescent="0.15">
      <c r="A2" s="2">
        <v>1964</v>
      </c>
      <c r="B2" s="2">
        <f>A6+1</f>
        <v>1969</v>
      </c>
      <c r="C2" s="2">
        <f>B6+1</f>
        <v>1974</v>
      </c>
    </row>
    <row r="3" spans="1:4" ht="107.5" customHeight="1" x14ac:dyDescent="0.15">
      <c r="A3" s="2">
        <f>A2+1</f>
        <v>1965</v>
      </c>
      <c r="B3" s="2">
        <f t="shared" ref="B3:C6" si="0">B2+1</f>
        <v>1970</v>
      </c>
      <c r="C3" s="2">
        <f t="shared" si="0"/>
        <v>1975</v>
      </c>
      <c r="D3" s="2"/>
    </row>
    <row r="4" spans="1:4" ht="107.5" customHeight="1" x14ac:dyDescent="0.15">
      <c r="A4" s="2">
        <f>A3+1</f>
        <v>1966</v>
      </c>
      <c r="B4" s="2">
        <f t="shared" si="0"/>
        <v>1971</v>
      </c>
      <c r="C4" s="2">
        <f t="shared" si="0"/>
        <v>1976</v>
      </c>
      <c r="D4" s="2"/>
    </row>
    <row r="5" spans="1:4" ht="107.5" customHeight="1" x14ac:dyDescent="0.15">
      <c r="A5" s="2">
        <f>A4+1</f>
        <v>1967</v>
      </c>
      <c r="B5" s="2">
        <f t="shared" si="0"/>
        <v>1972</v>
      </c>
      <c r="C5" s="2">
        <f t="shared" si="0"/>
        <v>1977</v>
      </c>
    </row>
    <row r="6" spans="1:4" ht="107.5" customHeight="1" x14ac:dyDescent="0.15">
      <c r="A6" s="2">
        <f>A5+1</f>
        <v>1968</v>
      </c>
      <c r="B6" s="2">
        <f t="shared" si="0"/>
        <v>1973</v>
      </c>
      <c r="C6" s="2">
        <f t="shared" si="0"/>
        <v>1978</v>
      </c>
    </row>
  </sheetData>
  <phoneticPr fontId="7" type="noConversion"/>
  <printOptions horizontalCentered="1" verticalCentered="1"/>
  <pageMargins left="0.5" right="0.5" top="1" bottom="1" header="0.5" footer="0.5"/>
  <pageSetup scale="68" orientation="landscape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BD104"/>
  <sheetViews>
    <sheetView showGridLines="0" topLeftCell="A92" zoomScale="160" zoomScaleNormal="160" zoomScalePageLayoutView="160" workbookViewId="0">
      <selection activeCell="C104" sqref="B104:C104"/>
    </sheetView>
  </sheetViews>
  <sheetFormatPr baseColWidth="10" defaultColWidth="8.83203125" defaultRowHeight="13" x14ac:dyDescent="0.15"/>
  <cols>
    <col min="1" max="1" width="9" style="31" bestFit="1" customWidth="1"/>
    <col min="2" max="2" width="9.5" style="31" bestFit="1" customWidth="1"/>
    <col min="3" max="17" width="9" style="31" bestFit="1" customWidth="1"/>
    <col min="18" max="18" width="8.83203125" style="31"/>
    <col min="19" max="23" width="9" style="31" bestFit="1" customWidth="1"/>
    <col min="24" max="24" width="8.83203125" style="31"/>
    <col min="25" max="27" width="9" style="31" bestFit="1" customWidth="1"/>
    <col min="28" max="28" width="10" style="31" bestFit="1" customWidth="1"/>
    <col min="29" max="30" width="9" style="31" bestFit="1" customWidth="1"/>
    <col min="31" max="31" width="10" style="31" bestFit="1" customWidth="1"/>
    <col min="32" max="43" width="9" style="31" bestFit="1" customWidth="1"/>
    <col min="44" max="44" width="8.83203125" style="31"/>
    <col min="45" max="49" width="9" style="31" bestFit="1" customWidth="1"/>
    <col min="50" max="50" width="8.83203125" style="31"/>
    <col min="51" max="51" width="9" style="31" bestFit="1" customWidth="1"/>
    <col min="52" max="52" width="8.83203125" style="31"/>
    <col min="53" max="56" width="9" style="31" bestFit="1" customWidth="1"/>
    <col min="57" max="16384" width="8.83203125" style="31"/>
  </cols>
  <sheetData>
    <row r="1" spans="1:42" ht="14" thickTop="1" x14ac:dyDescent="0.15">
      <c r="A1" s="241"/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2" t="s">
        <v>346</v>
      </c>
      <c r="T1" s="242"/>
      <c r="U1" s="242"/>
      <c r="V1" s="243"/>
      <c r="W1" s="243"/>
      <c r="X1" s="243"/>
      <c r="Y1" s="243"/>
      <c r="Z1" s="241"/>
      <c r="AA1" s="242" t="s">
        <v>346</v>
      </c>
      <c r="AB1" s="242"/>
      <c r="AC1" s="242">
        <v>2003</v>
      </c>
      <c r="AD1" s="242"/>
      <c r="AE1" s="242">
        <v>2002</v>
      </c>
      <c r="AF1" s="242"/>
      <c r="AG1" s="242">
        <v>2001</v>
      </c>
      <c r="AH1" s="242"/>
      <c r="AI1" s="242">
        <v>2000</v>
      </c>
      <c r="AJ1" s="242"/>
      <c r="AK1" s="242">
        <v>1999</v>
      </c>
      <c r="AL1" s="242"/>
      <c r="AM1" s="242">
        <v>1998</v>
      </c>
      <c r="AN1" s="242"/>
      <c r="AO1" s="242">
        <v>1997</v>
      </c>
      <c r="AP1" s="242"/>
    </row>
    <row r="2" spans="1:42" ht="14" thickBot="1" x14ac:dyDescent="0.2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4" t="s">
        <v>347</v>
      </c>
      <c r="T2" s="244" t="s">
        <v>199</v>
      </c>
      <c r="U2" s="244"/>
      <c r="V2" s="243"/>
      <c r="W2" s="243"/>
      <c r="X2" s="243"/>
      <c r="Y2" s="243"/>
      <c r="Z2" s="241"/>
      <c r="AA2" s="244" t="s">
        <v>347</v>
      </c>
      <c r="AB2" s="244" t="s">
        <v>199</v>
      </c>
      <c r="AC2" s="244" t="s">
        <v>347</v>
      </c>
      <c r="AD2" s="244" t="s">
        <v>199</v>
      </c>
      <c r="AE2" s="244" t="s">
        <v>347</v>
      </c>
      <c r="AF2" s="244" t="s">
        <v>199</v>
      </c>
      <c r="AG2" s="244" t="s">
        <v>347</v>
      </c>
      <c r="AH2" s="244" t="s">
        <v>199</v>
      </c>
      <c r="AI2" s="244" t="s">
        <v>347</v>
      </c>
      <c r="AJ2" s="244" t="s">
        <v>199</v>
      </c>
      <c r="AK2" s="244" t="s">
        <v>347</v>
      </c>
      <c r="AL2" s="244" t="s">
        <v>199</v>
      </c>
      <c r="AM2" s="244" t="s">
        <v>347</v>
      </c>
      <c r="AN2" s="244" t="s">
        <v>199</v>
      </c>
      <c r="AO2" s="244" t="s">
        <v>347</v>
      </c>
      <c r="AP2" s="244" t="s">
        <v>199</v>
      </c>
    </row>
    <row r="3" spans="1:42" x14ac:dyDescent="0.15">
      <c r="A3" s="245">
        <v>1964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6">
        <f t="shared" ref="S3:T22" si="0">S51</f>
        <v>1964</v>
      </c>
      <c r="T3" s="246">
        <f t="shared" si="0"/>
        <v>1564.3</v>
      </c>
      <c r="U3" s="246"/>
      <c r="V3" s="246"/>
      <c r="W3" s="246"/>
      <c r="X3" s="246"/>
      <c r="Y3" s="246"/>
      <c r="Z3" s="245">
        <v>1964</v>
      </c>
      <c r="AA3" s="246">
        <v>1810.1</v>
      </c>
      <c r="AB3" s="246">
        <v>0.23257278603392079</v>
      </c>
      <c r="AC3" s="246">
        <v>1822</v>
      </c>
      <c r="AD3" s="246">
        <v>0.46</v>
      </c>
      <c r="AE3" s="246">
        <v>1784</v>
      </c>
      <c r="AF3" s="246">
        <v>0.46</v>
      </c>
      <c r="AG3" s="246">
        <v>1726</v>
      </c>
      <c r="AH3" s="246">
        <v>0.46</v>
      </c>
      <c r="AI3" s="246">
        <v>751</v>
      </c>
      <c r="AJ3" s="245">
        <v>0.35</v>
      </c>
      <c r="AK3" s="246">
        <v>917</v>
      </c>
      <c r="AL3" s="245">
        <v>0.41</v>
      </c>
      <c r="AM3" s="246">
        <v>1037</v>
      </c>
      <c r="AN3" s="245">
        <v>0.3</v>
      </c>
      <c r="AO3" s="246"/>
      <c r="AP3" s="245"/>
    </row>
    <row r="4" spans="1:42" x14ac:dyDescent="0.15">
      <c r="A4" s="245">
        <v>1965</v>
      </c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6">
        <f t="shared" si="0"/>
        <v>1965</v>
      </c>
      <c r="T4" s="246">
        <f t="shared" si="0"/>
        <v>2007.8</v>
      </c>
      <c r="U4" s="246"/>
      <c r="V4" s="246"/>
      <c r="W4" s="246"/>
      <c r="X4" s="246"/>
      <c r="Y4" s="246"/>
      <c r="Z4" s="245">
        <v>1965</v>
      </c>
      <c r="AA4" s="246">
        <v>2230.9</v>
      </c>
      <c r="AB4" s="246">
        <v>0.20664305885517056</v>
      </c>
      <c r="AC4" s="246">
        <v>2312</v>
      </c>
      <c r="AD4" s="246">
        <v>0.4</v>
      </c>
      <c r="AE4" s="246">
        <v>2266</v>
      </c>
      <c r="AF4" s="246">
        <v>0.4</v>
      </c>
      <c r="AG4" s="246">
        <v>2196</v>
      </c>
      <c r="AH4" s="246">
        <v>0.4</v>
      </c>
      <c r="AI4" s="246">
        <v>976</v>
      </c>
      <c r="AJ4" s="245">
        <v>0.36</v>
      </c>
      <c r="AK4" s="246">
        <v>976</v>
      </c>
      <c r="AL4" s="245">
        <v>0.32</v>
      </c>
      <c r="AM4" s="246">
        <v>1227</v>
      </c>
      <c r="AN4" s="245">
        <v>0.26</v>
      </c>
      <c r="AO4" s="246"/>
      <c r="AP4" s="245"/>
    </row>
    <row r="5" spans="1:42" x14ac:dyDescent="0.15">
      <c r="A5" s="245">
        <v>1966</v>
      </c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6">
        <f t="shared" si="0"/>
        <v>1966</v>
      </c>
      <c r="T5" s="246">
        <f t="shared" si="0"/>
        <v>1947.4</v>
      </c>
      <c r="U5" s="246"/>
      <c r="V5" s="246"/>
      <c r="W5" s="246"/>
      <c r="X5" s="246"/>
      <c r="Y5" s="246"/>
      <c r="Z5" s="245">
        <v>1966</v>
      </c>
      <c r="AA5" s="246">
        <v>2251.5</v>
      </c>
      <c r="AB5" s="246">
        <v>0.21022429491450145</v>
      </c>
      <c r="AC5" s="246">
        <v>2372</v>
      </c>
      <c r="AD5" s="246">
        <v>0.4</v>
      </c>
      <c r="AE5" s="246">
        <v>2324</v>
      </c>
      <c r="AF5" s="246">
        <v>0.4</v>
      </c>
      <c r="AG5" s="246">
        <v>2251</v>
      </c>
      <c r="AH5" s="246">
        <v>0.41</v>
      </c>
      <c r="AI5" s="246">
        <v>1001</v>
      </c>
      <c r="AJ5" s="245">
        <v>0.39</v>
      </c>
      <c r="AK5" s="246">
        <v>919</v>
      </c>
      <c r="AL5" s="245">
        <v>0.31</v>
      </c>
      <c r="AM5" s="246">
        <v>1096</v>
      </c>
      <c r="AN5" s="245">
        <v>0.28000000000000003</v>
      </c>
      <c r="AO5" s="246"/>
      <c r="AP5" s="245"/>
    </row>
    <row r="6" spans="1:42" x14ac:dyDescent="0.15">
      <c r="A6" s="245">
        <v>1967</v>
      </c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6">
        <f t="shared" si="0"/>
        <v>1967</v>
      </c>
      <c r="T6" s="246">
        <f t="shared" si="0"/>
        <v>3148.8</v>
      </c>
      <c r="U6" s="246"/>
      <c r="V6" s="246"/>
      <c r="W6" s="246"/>
      <c r="X6" s="246"/>
      <c r="Y6" s="246"/>
      <c r="Z6" s="245">
        <v>1967</v>
      </c>
      <c r="AA6" s="246">
        <v>3517.9</v>
      </c>
      <c r="AB6" s="246">
        <v>0.1661985843827283</v>
      </c>
      <c r="AC6" s="246">
        <v>3575</v>
      </c>
      <c r="AD6" s="246">
        <v>0.33</v>
      </c>
      <c r="AE6" s="246">
        <v>3511</v>
      </c>
      <c r="AF6" s="246">
        <v>0.33</v>
      </c>
      <c r="AG6" s="246">
        <v>3420</v>
      </c>
      <c r="AH6" s="246">
        <v>0.33</v>
      </c>
      <c r="AI6" s="246">
        <v>1957</v>
      </c>
      <c r="AJ6" s="245">
        <v>0.34</v>
      </c>
      <c r="AK6" s="246">
        <v>1858</v>
      </c>
      <c r="AL6" s="245">
        <v>0.24</v>
      </c>
      <c r="AM6" s="246">
        <v>2095</v>
      </c>
      <c r="AN6" s="245">
        <v>0.22</v>
      </c>
      <c r="AO6" s="246"/>
      <c r="AP6" s="245"/>
    </row>
    <row r="7" spans="1:42" x14ac:dyDescent="0.15">
      <c r="A7" s="245">
        <v>1968</v>
      </c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6">
        <f t="shared" si="0"/>
        <v>1968</v>
      </c>
      <c r="T7" s="246">
        <f t="shared" si="0"/>
        <v>3510.3</v>
      </c>
      <c r="U7" s="246"/>
      <c r="V7" s="246"/>
      <c r="W7" s="246"/>
      <c r="X7" s="246"/>
      <c r="Y7" s="246"/>
      <c r="Z7" s="245">
        <v>1968</v>
      </c>
      <c r="AA7" s="246">
        <v>3881.4</v>
      </c>
      <c r="AB7" s="246">
        <v>0.16789045189879939</v>
      </c>
      <c r="AC7" s="246">
        <v>4049</v>
      </c>
      <c r="AD7" s="246">
        <v>0.34</v>
      </c>
      <c r="AE7" s="246">
        <v>3976</v>
      </c>
      <c r="AF7" s="246">
        <v>0.34</v>
      </c>
      <c r="AG7" s="246">
        <v>3876</v>
      </c>
      <c r="AH7" s="246">
        <v>0.34</v>
      </c>
      <c r="AI7" s="246">
        <v>2312</v>
      </c>
      <c r="AJ7" s="245">
        <v>0.36</v>
      </c>
      <c r="AK7" s="246">
        <v>2312</v>
      </c>
      <c r="AL7" s="245">
        <v>0.27</v>
      </c>
      <c r="AM7" s="246">
        <v>2510</v>
      </c>
      <c r="AN7" s="245">
        <v>0.23</v>
      </c>
      <c r="AO7" s="246"/>
      <c r="AP7" s="245"/>
    </row>
    <row r="8" spans="1:42" x14ac:dyDescent="0.15">
      <c r="A8" s="245">
        <v>1969</v>
      </c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6">
        <f t="shared" si="0"/>
        <v>1969</v>
      </c>
      <c r="T8" s="246">
        <f t="shared" si="0"/>
        <v>5006.8999999999996</v>
      </c>
      <c r="U8" s="246"/>
      <c r="V8" s="246"/>
      <c r="W8" s="246"/>
      <c r="X8" s="246"/>
      <c r="Y8" s="246"/>
      <c r="Z8" s="245">
        <v>1969</v>
      </c>
      <c r="AA8" s="246">
        <v>5057.8999999999996</v>
      </c>
      <c r="AB8" s="246">
        <v>0.16274145396310724</v>
      </c>
      <c r="AC8" s="246">
        <v>5340</v>
      </c>
      <c r="AD8" s="246">
        <v>0.31</v>
      </c>
      <c r="AE8" s="246">
        <v>5252</v>
      </c>
      <c r="AF8" s="246">
        <v>0.32</v>
      </c>
      <c r="AG8" s="246">
        <v>5137</v>
      </c>
      <c r="AH8" s="246">
        <v>0.32</v>
      </c>
      <c r="AI8" s="246">
        <v>3379</v>
      </c>
      <c r="AJ8" s="245">
        <v>0.28999999999999998</v>
      </c>
      <c r="AK8" s="246">
        <v>3579</v>
      </c>
      <c r="AL8" s="245">
        <v>0.22</v>
      </c>
      <c r="AM8" s="246">
        <v>3810</v>
      </c>
      <c r="AN8" s="245">
        <v>0.19</v>
      </c>
      <c r="AO8" s="246"/>
      <c r="AP8" s="245"/>
    </row>
    <row r="9" spans="1:42" x14ac:dyDescent="0.15">
      <c r="A9" s="245">
        <v>1970</v>
      </c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6">
        <f t="shared" si="0"/>
        <v>1970</v>
      </c>
      <c r="T9" s="246">
        <f t="shared" si="0"/>
        <v>6158.5</v>
      </c>
      <c r="U9" s="246"/>
      <c r="V9" s="246"/>
      <c r="W9" s="246"/>
      <c r="X9" s="246"/>
      <c r="Y9" s="246"/>
      <c r="Z9" s="245">
        <v>1970</v>
      </c>
      <c r="AA9" s="246">
        <v>5929.2</v>
      </c>
      <c r="AB9" s="246">
        <v>0.15528064494366864</v>
      </c>
      <c r="AC9" s="246">
        <v>6296</v>
      </c>
      <c r="AD9" s="246">
        <v>0.3</v>
      </c>
      <c r="AE9" s="246">
        <v>6201</v>
      </c>
      <c r="AF9" s="246">
        <v>0.3</v>
      </c>
      <c r="AG9" s="246">
        <v>6079</v>
      </c>
      <c r="AH9" s="246">
        <v>0.3</v>
      </c>
      <c r="AI9" s="246">
        <v>3998</v>
      </c>
      <c r="AJ9" s="245">
        <v>0.25</v>
      </c>
      <c r="AK9" s="246">
        <v>4479</v>
      </c>
      <c r="AL9" s="245">
        <v>0.19</v>
      </c>
      <c r="AM9" s="246">
        <v>5083</v>
      </c>
      <c r="AN9" s="245">
        <v>0.15</v>
      </c>
      <c r="AO9" s="246"/>
      <c r="AP9" s="245"/>
    </row>
    <row r="10" spans="1:42" x14ac:dyDescent="0.15">
      <c r="A10" s="245">
        <v>1971</v>
      </c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6">
        <f t="shared" si="0"/>
        <v>1971</v>
      </c>
      <c r="T10" s="246">
        <f t="shared" si="0"/>
        <v>6949.4</v>
      </c>
      <c r="U10" s="246"/>
      <c r="V10" s="246"/>
      <c r="W10" s="246"/>
      <c r="X10" s="246"/>
      <c r="Y10" s="246"/>
      <c r="Z10" s="245">
        <v>1971</v>
      </c>
      <c r="AA10" s="246">
        <v>6616.7</v>
      </c>
      <c r="AB10" s="246">
        <v>0.13384466576994575</v>
      </c>
      <c r="AC10" s="246">
        <v>6797</v>
      </c>
      <c r="AD10" s="246">
        <v>0.27</v>
      </c>
      <c r="AE10" s="246">
        <v>6702</v>
      </c>
      <c r="AF10" s="246">
        <v>0.27</v>
      </c>
      <c r="AG10" s="246">
        <v>6580</v>
      </c>
      <c r="AH10" s="246">
        <v>0.28000000000000003</v>
      </c>
      <c r="AI10" s="246">
        <v>4372</v>
      </c>
      <c r="AJ10" s="245">
        <v>0.21</v>
      </c>
      <c r="AK10" s="246">
        <v>5161</v>
      </c>
      <c r="AL10" s="245">
        <v>0.16</v>
      </c>
      <c r="AM10" s="246">
        <v>5813</v>
      </c>
      <c r="AN10" s="245">
        <v>0.12</v>
      </c>
      <c r="AO10" s="246"/>
      <c r="AP10" s="245"/>
    </row>
    <row r="11" spans="1:42" x14ac:dyDescent="0.15">
      <c r="A11" s="245">
        <v>1972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6">
        <f t="shared" si="0"/>
        <v>1972</v>
      </c>
      <c r="T11" s="246">
        <f t="shared" si="0"/>
        <v>6444.4</v>
      </c>
      <c r="U11" s="246"/>
      <c r="V11" s="246"/>
      <c r="W11" s="246"/>
      <c r="X11" s="246"/>
      <c r="Y11" s="246"/>
      <c r="Z11" s="245">
        <v>1972</v>
      </c>
      <c r="AA11" s="246">
        <v>6265.1</v>
      </c>
      <c r="AB11" s="246">
        <v>0.13157491500534707</v>
      </c>
      <c r="AC11" s="246">
        <v>6282</v>
      </c>
      <c r="AD11" s="246">
        <v>0.26</v>
      </c>
      <c r="AE11" s="246">
        <v>6194</v>
      </c>
      <c r="AF11" s="246">
        <v>0.26</v>
      </c>
      <c r="AG11" s="246">
        <v>6078</v>
      </c>
      <c r="AH11" s="246">
        <v>0.27</v>
      </c>
      <c r="AI11" s="246">
        <v>3984</v>
      </c>
      <c r="AJ11" s="245">
        <v>0.19</v>
      </c>
      <c r="AK11" s="246">
        <v>4896</v>
      </c>
      <c r="AL11" s="245">
        <v>0.15</v>
      </c>
      <c r="AM11" s="246">
        <v>5648</v>
      </c>
      <c r="AN11" s="245">
        <v>0.11</v>
      </c>
      <c r="AO11" s="246"/>
      <c r="AP11" s="245"/>
    </row>
    <row r="12" spans="1:42" x14ac:dyDescent="0.15">
      <c r="A12" s="245">
        <v>1973</v>
      </c>
      <c r="B12" s="245"/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6">
        <f t="shared" si="0"/>
        <v>1973</v>
      </c>
      <c r="T12" s="246">
        <f t="shared" si="0"/>
        <v>4695.5</v>
      </c>
      <c r="U12" s="246"/>
      <c r="V12" s="246"/>
      <c r="W12" s="246"/>
      <c r="X12" s="246"/>
      <c r="Y12" s="246"/>
      <c r="Z12" s="245">
        <v>1973</v>
      </c>
      <c r="AA12" s="246">
        <v>4750.7</v>
      </c>
      <c r="AB12" s="246">
        <v>0.15606752689077399</v>
      </c>
      <c r="AC12" s="246">
        <v>4705</v>
      </c>
      <c r="AD12" s="246">
        <v>0.31</v>
      </c>
      <c r="AE12" s="246">
        <v>4626</v>
      </c>
      <c r="AF12" s="246">
        <v>0.31</v>
      </c>
      <c r="AG12" s="246">
        <v>4520</v>
      </c>
      <c r="AH12" s="246">
        <v>0.32</v>
      </c>
      <c r="AI12" s="246">
        <v>2873</v>
      </c>
      <c r="AJ12" s="245">
        <v>0.26</v>
      </c>
      <c r="AK12" s="246">
        <v>3357</v>
      </c>
      <c r="AL12" s="245">
        <v>0.2</v>
      </c>
      <c r="AM12" s="246">
        <v>3922</v>
      </c>
      <c r="AN12" s="245">
        <v>0.14000000000000001</v>
      </c>
      <c r="AO12" s="246"/>
      <c r="AP12" s="245"/>
    </row>
    <row r="13" spans="1:42" x14ac:dyDescent="0.15">
      <c r="A13" s="245">
        <v>1974</v>
      </c>
      <c r="B13" s="245"/>
      <c r="C13" s="245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6">
        <f t="shared" si="0"/>
        <v>1974</v>
      </c>
      <c r="T13" s="246">
        <f t="shared" si="0"/>
        <v>3195.5</v>
      </c>
      <c r="U13" s="246"/>
      <c r="V13" s="246"/>
      <c r="W13" s="246"/>
      <c r="X13" s="246"/>
      <c r="Y13" s="246"/>
      <c r="Z13" s="245">
        <v>1974</v>
      </c>
      <c r="AA13" s="246">
        <v>3460.1</v>
      </c>
      <c r="AB13" s="246">
        <v>0.18752348198028959</v>
      </c>
      <c r="AC13" s="246">
        <v>3356</v>
      </c>
      <c r="AD13" s="246">
        <v>0.38</v>
      </c>
      <c r="AE13" s="246">
        <v>3287</v>
      </c>
      <c r="AF13" s="246">
        <v>0.38</v>
      </c>
      <c r="AG13" s="246">
        <v>3193</v>
      </c>
      <c r="AH13" s="246">
        <v>0.39</v>
      </c>
      <c r="AI13" s="246">
        <v>1648</v>
      </c>
      <c r="AJ13" s="245">
        <v>0.41</v>
      </c>
      <c r="AK13" s="246">
        <v>1952</v>
      </c>
      <c r="AL13" s="245">
        <v>0.28000000000000003</v>
      </c>
      <c r="AM13" s="246">
        <v>2342</v>
      </c>
      <c r="AN13" s="245">
        <v>0.19</v>
      </c>
      <c r="AO13" s="246"/>
      <c r="AP13" s="245"/>
    </row>
    <row r="14" spans="1:42" x14ac:dyDescent="0.15">
      <c r="A14" s="245">
        <v>1975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6">
        <f t="shared" si="0"/>
        <v>1975</v>
      </c>
      <c r="T14" s="246">
        <f t="shared" si="0"/>
        <v>3383.7</v>
      </c>
      <c r="U14" s="246"/>
      <c r="V14" s="246"/>
      <c r="W14" s="246"/>
      <c r="X14" s="246"/>
      <c r="Y14" s="246"/>
      <c r="Z14" s="245">
        <v>1975</v>
      </c>
      <c r="AA14" s="246">
        <v>3584.7</v>
      </c>
      <c r="AB14" s="246">
        <v>0.13453566546712417</v>
      </c>
      <c r="AC14" s="246">
        <v>3489</v>
      </c>
      <c r="AD14" s="246">
        <v>0.27</v>
      </c>
      <c r="AE14" s="246">
        <v>3436</v>
      </c>
      <c r="AF14" s="246">
        <v>0.27</v>
      </c>
      <c r="AG14" s="246">
        <v>3366</v>
      </c>
      <c r="AH14" s="246">
        <v>0.26</v>
      </c>
      <c r="AI14" s="246">
        <v>2536</v>
      </c>
      <c r="AJ14" s="245">
        <v>0.23</v>
      </c>
      <c r="AK14" s="246">
        <v>2683</v>
      </c>
      <c r="AL14" s="245">
        <v>0.18</v>
      </c>
      <c r="AM14" s="246">
        <v>3014</v>
      </c>
      <c r="AN14" s="245">
        <v>0.13</v>
      </c>
      <c r="AO14" s="246"/>
      <c r="AP14" s="245"/>
    </row>
    <row r="15" spans="1:42" x14ac:dyDescent="0.15">
      <c r="A15" s="245">
        <v>1976</v>
      </c>
      <c r="B15" s="245"/>
      <c r="C15" s="245"/>
      <c r="D15" s="245"/>
      <c r="E15" s="245"/>
      <c r="F15" s="245"/>
      <c r="G15" s="245"/>
      <c r="H15" s="245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6">
        <f t="shared" si="0"/>
        <v>1976</v>
      </c>
      <c r="T15" s="246">
        <f t="shared" si="0"/>
        <v>3430.9</v>
      </c>
      <c r="U15" s="246"/>
      <c r="V15" s="246"/>
      <c r="W15" s="246"/>
      <c r="X15" s="246"/>
      <c r="Y15" s="246"/>
      <c r="Z15" s="245">
        <v>1976</v>
      </c>
      <c r="AA15" s="246">
        <v>3576.5</v>
      </c>
      <c r="AB15" s="246">
        <v>0.11262407381518244</v>
      </c>
      <c r="AC15" s="246">
        <v>3538</v>
      </c>
      <c r="AD15" s="246">
        <v>0.22</v>
      </c>
      <c r="AE15" s="246">
        <v>3492</v>
      </c>
      <c r="AF15" s="246">
        <v>0.22</v>
      </c>
      <c r="AG15" s="246">
        <v>3434</v>
      </c>
      <c r="AH15" s="246">
        <v>0.22</v>
      </c>
      <c r="AI15" s="246">
        <v>2694</v>
      </c>
      <c r="AJ15" s="245">
        <v>0.17</v>
      </c>
      <c r="AK15" s="246">
        <v>2748</v>
      </c>
      <c r="AL15" s="245">
        <v>0.16</v>
      </c>
      <c r="AM15" s="246">
        <v>3008</v>
      </c>
      <c r="AN15" s="245">
        <v>0.13</v>
      </c>
      <c r="AO15" s="246"/>
      <c r="AP15" s="245"/>
    </row>
    <row r="16" spans="1:42" x14ac:dyDescent="0.15">
      <c r="A16" s="245">
        <v>1977</v>
      </c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6">
        <f t="shared" si="0"/>
        <v>1977</v>
      </c>
      <c r="T16" s="246">
        <f t="shared" si="0"/>
        <v>3456.5</v>
      </c>
      <c r="U16" s="246"/>
      <c r="V16" s="246"/>
      <c r="W16" s="246"/>
      <c r="X16" s="246"/>
      <c r="Y16" s="246"/>
      <c r="Z16" s="245">
        <v>1977</v>
      </c>
      <c r="AA16" s="246">
        <v>3581.5</v>
      </c>
      <c r="AB16" s="246">
        <v>9.8690492810275018E-2</v>
      </c>
      <c r="AC16" s="246">
        <v>3541</v>
      </c>
      <c r="AD16" s="246">
        <v>0.2</v>
      </c>
      <c r="AE16" s="246">
        <v>3496</v>
      </c>
      <c r="AF16" s="246">
        <v>0.2</v>
      </c>
      <c r="AG16" s="246">
        <v>3444</v>
      </c>
      <c r="AH16" s="246">
        <v>0.2</v>
      </c>
      <c r="AI16" s="246">
        <v>2701</v>
      </c>
      <c r="AJ16" s="245">
        <v>0.13</v>
      </c>
      <c r="AK16" s="246">
        <v>2716</v>
      </c>
      <c r="AL16" s="245">
        <v>0.14000000000000001</v>
      </c>
      <c r="AM16" s="246">
        <v>2894</v>
      </c>
      <c r="AN16" s="245">
        <v>0.13</v>
      </c>
      <c r="AO16" s="246"/>
      <c r="AP16" s="245"/>
    </row>
    <row r="17" spans="1:42" x14ac:dyDescent="0.15">
      <c r="A17" s="245">
        <v>1978</v>
      </c>
      <c r="B17" s="245"/>
      <c r="C17" s="245"/>
      <c r="D17" s="245"/>
      <c r="E17" s="245"/>
      <c r="F17" s="245"/>
      <c r="G17" s="245"/>
      <c r="H17" s="245"/>
      <c r="I17" s="245"/>
      <c r="J17" s="245"/>
      <c r="K17" s="245"/>
      <c r="L17" s="245"/>
      <c r="M17" s="245"/>
      <c r="N17" s="245"/>
      <c r="O17" s="245"/>
      <c r="P17" s="245"/>
      <c r="Q17" s="245"/>
      <c r="R17" s="245"/>
      <c r="S17" s="246">
        <f t="shared" si="0"/>
        <v>1978</v>
      </c>
      <c r="T17" s="246">
        <f t="shared" si="0"/>
        <v>3340</v>
      </c>
      <c r="U17" s="246"/>
      <c r="V17" s="246"/>
      <c r="W17" s="246"/>
      <c r="X17" s="246"/>
      <c r="Y17" s="246"/>
      <c r="Z17" s="245">
        <v>1978</v>
      </c>
      <c r="AA17" s="246">
        <v>3437.6</v>
      </c>
      <c r="AB17" s="246">
        <v>9.5968117291133345E-2</v>
      </c>
      <c r="AC17" s="246">
        <v>3422</v>
      </c>
      <c r="AD17" s="246">
        <v>0.2</v>
      </c>
      <c r="AE17" s="246">
        <v>3375</v>
      </c>
      <c r="AF17" s="246">
        <v>0.2</v>
      </c>
      <c r="AG17" s="246">
        <v>3327</v>
      </c>
      <c r="AH17" s="246">
        <v>0.19</v>
      </c>
      <c r="AI17" s="246">
        <v>2608</v>
      </c>
      <c r="AJ17" s="245">
        <v>0.14000000000000001</v>
      </c>
      <c r="AK17" s="246">
        <v>2668</v>
      </c>
      <c r="AL17" s="245">
        <v>0.15</v>
      </c>
      <c r="AM17" s="246">
        <v>2867</v>
      </c>
      <c r="AN17" s="245">
        <v>0.13</v>
      </c>
      <c r="AO17" s="246">
        <v>3244</v>
      </c>
      <c r="AP17" s="245">
        <v>0.19</v>
      </c>
    </row>
    <row r="18" spans="1:42" x14ac:dyDescent="0.15">
      <c r="A18" s="245">
        <v>1979</v>
      </c>
      <c r="B18" s="245"/>
      <c r="C18" s="245"/>
      <c r="D18" s="245"/>
      <c r="E18" s="245"/>
      <c r="F18" s="245"/>
      <c r="G18" s="245"/>
      <c r="H18" s="245"/>
      <c r="I18" s="245"/>
      <c r="J18" s="245"/>
      <c r="K18" s="245"/>
      <c r="L18" s="245"/>
      <c r="M18" s="245"/>
      <c r="N18" s="245"/>
      <c r="O18" s="245"/>
      <c r="P18" s="245"/>
      <c r="Q18" s="245"/>
      <c r="R18" s="245"/>
      <c r="S18" s="246">
        <f t="shared" si="0"/>
        <v>1979</v>
      </c>
      <c r="T18" s="246">
        <f t="shared" si="0"/>
        <v>3211.9</v>
      </c>
      <c r="U18" s="246"/>
      <c r="V18" s="246"/>
      <c r="W18" s="246"/>
      <c r="X18" s="246"/>
      <c r="Y18" s="246"/>
      <c r="Z18" s="245">
        <v>1979</v>
      </c>
      <c r="AA18" s="246">
        <v>3322.9</v>
      </c>
      <c r="AB18" s="246">
        <v>9.4486743507177465E-2</v>
      </c>
      <c r="AC18" s="246">
        <v>3380</v>
      </c>
      <c r="AD18" s="246">
        <v>0.19</v>
      </c>
      <c r="AE18" s="246">
        <v>3329</v>
      </c>
      <c r="AF18" s="246">
        <v>0.19</v>
      </c>
      <c r="AG18" s="246">
        <v>3280</v>
      </c>
      <c r="AH18" s="246">
        <v>0.19</v>
      </c>
      <c r="AI18" s="246">
        <v>2640</v>
      </c>
      <c r="AJ18" s="245">
        <v>0.16</v>
      </c>
      <c r="AK18" s="246">
        <v>2720</v>
      </c>
      <c r="AL18" s="245">
        <v>0.16</v>
      </c>
      <c r="AM18" s="246">
        <v>2933</v>
      </c>
      <c r="AN18" s="245">
        <v>0.15</v>
      </c>
      <c r="AO18" s="246">
        <v>3183</v>
      </c>
      <c r="AP18" s="245">
        <v>0.21</v>
      </c>
    </row>
    <row r="19" spans="1:42" x14ac:dyDescent="0.15">
      <c r="A19" s="245">
        <v>1980</v>
      </c>
      <c r="B19" s="245"/>
      <c r="C19" s="245"/>
      <c r="D19" s="245"/>
      <c r="E19" s="245"/>
      <c r="F19" s="245"/>
      <c r="G19" s="245"/>
      <c r="H19" s="245"/>
      <c r="I19" s="245"/>
      <c r="J19" s="245"/>
      <c r="K19" s="245"/>
      <c r="L19" s="245"/>
      <c r="M19" s="245"/>
      <c r="N19" s="245"/>
      <c r="O19" s="245"/>
      <c r="P19" s="245"/>
      <c r="Q19" s="245"/>
      <c r="R19" s="245"/>
      <c r="S19" s="246">
        <f t="shared" si="0"/>
        <v>1980</v>
      </c>
      <c r="T19" s="246">
        <f t="shared" si="0"/>
        <v>4123.8</v>
      </c>
      <c r="U19" s="246"/>
      <c r="V19" s="246"/>
      <c r="W19" s="246"/>
      <c r="X19" s="246"/>
      <c r="Y19" s="246"/>
      <c r="Z19" s="245">
        <v>1980</v>
      </c>
      <c r="AA19" s="246">
        <v>4319.5</v>
      </c>
      <c r="AB19" s="246">
        <v>8.0398194235443907E-2</v>
      </c>
      <c r="AC19" s="246">
        <v>4462</v>
      </c>
      <c r="AD19" s="246">
        <v>0.16</v>
      </c>
      <c r="AE19" s="246">
        <v>4385</v>
      </c>
      <c r="AF19" s="246">
        <v>0.16</v>
      </c>
      <c r="AG19" s="246">
        <v>4322</v>
      </c>
      <c r="AH19" s="246">
        <v>0.16</v>
      </c>
      <c r="AI19" s="246">
        <v>3723</v>
      </c>
      <c r="AJ19" s="245">
        <v>0.15</v>
      </c>
      <c r="AK19" s="246">
        <v>3888</v>
      </c>
      <c r="AL19" s="245">
        <v>0.16</v>
      </c>
      <c r="AM19" s="246">
        <v>4294</v>
      </c>
      <c r="AN19" s="245">
        <v>0.14000000000000001</v>
      </c>
      <c r="AO19" s="246">
        <v>4618</v>
      </c>
      <c r="AP19" s="245">
        <v>0.19</v>
      </c>
    </row>
    <row r="20" spans="1:42" x14ac:dyDescent="0.15">
      <c r="A20" s="245">
        <v>1981</v>
      </c>
      <c r="B20" s="245"/>
      <c r="C20" s="245"/>
      <c r="D20" s="245"/>
      <c r="E20" s="245"/>
      <c r="F20" s="245"/>
      <c r="G20" s="245"/>
      <c r="H20" s="245"/>
      <c r="I20" s="245"/>
      <c r="J20" s="245"/>
      <c r="K20" s="245"/>
      <c r="L20" s="245"/>
      <c r="M20" s="245"/>
      <c r="N20" s="245"/>
      <c r="O20" s="245"/>
      <c r="P20" s="245"/>
      <c r="Q20" s="245"/>
      <c r="R20" s="245"/>
      <c r="S20" s="246">
        <f t="shared" si="0"/>
        <v>1981</v>
      </c>
      <c r="T20" s="246">
        <f t="shared" si="0"/>
        <v>8031</v>
      </c>
      <c r="U20" s="246"/>
      <c r="V20" s="246"/>
      <c r="W20" s="246"/>
      <c r="X20" s="246"/>
      <c r="Y20" s="246"/>
      <c r="Z20" s="245">
        <v>1981</v>
      </c>
      <c r="AA20" s="246">
        <v>8364</v>
      </c>
      <c r="AB20" s="246">
        <v>6.67156862745098E-2</v>
      </c>
      <c r="AC20" s="246">
        <v>8414</v>
      </c>
      <c r="AD20" s="246">
        <v>0.14000000000000001</v>
      </c>
      <c r="AE20" s="246">
        <v>8239</v>
      </c>
      <c r="AF20" s="246">
        <v>0.14000000000000001</v>
      </c>
      <c r="AG20" s="246">
        <v>8127</v>
      </c>
      <c r="AH20" s="246">
        <v>0.14000000000000001</v>
      </c>
      <c r="AI20" s="246">
        <v>7834</v>
      </c>
      <c r="AJ20" s="245">
        <v>0.12</v>
      </c>
      <c r="AK20" s="246">
        <v>8064</v>
      </c>
      <c r="AL20" s="245">
        <v>0.13</v>
      </c>
      <c r="AM20" s="246">
        <v>8569</v>
      </c>
      <c r="AN20" s="245">
        <v>0.12</v>
      </c>
      <c r="AO20" s="246">
        <v>9190</v>
      </c>
      <c r="AP20" s="245">
        <v>0.16</v>
      </c>
    </row>
    <row r="21" spans="1:42" x14ac:dyDescent="0.15">
      <c r="A21" s="245">
        <v>1982</v>
      </c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6">
        <f t="shared" si="0"/>
        <v>1982</v>
      </c>
      <c r="T21" s="246">
        <f t="shared" si="0"/>
        <v>9164.5</v>
      </c>
      <c r="U21" s="246"/>
      <c r="V21" s="246"/>
      <c r="W21" s="246"/>
      <c r="X21" s="246"/>
      <c r="Y21" s="246"/>
      <c r="Z21" s="245">
        <v>1982</v>
      </c>
      <c r="AA21" s="246">
        <v>9475.9</v>
      </c>
      <c r="AB21" s="246">
        <v>6.4133222174147048E-2</v>
      </c>
      <c r="AC21" s="246">
        <v>9614</v>
      </c>
      <c r="AD21" s="246">
        <v>0.13</v>
      </c>
      <c r="AE21" s="246">
        <v>9388</v>
      </c>
      <c r="AF21" s="246">
        <v>0.13</v>
      </c>
      <c r="AG21" s="246">
        <v>9261</v>
      </c>
      <c r="AH21" s="246">
        <v>0.13</v>
      </c>
      <c r="AI21" s="246">
        <v>9021</v>
      </c>
      <c r="AJ21" s="245">
        <v>0.13</v>
      </c>
      <c r="AK21" s="246">
        <v>9229</v>
      </c>
      <c r="AL21" s="245">
        <v>0.13</v>
      </c>
      <c r="AM21" s="246">
        <v>9778</v>
      </c>
      <c r="AN21" s="245">
        <v>0.12</v>
      </c>
      <c r="AO21" s="246">
        <v>10524</v>
      </c>
      <c r="AP21" s="245">
        <v>0.17</v>
      </c>
    </row>
    <row r="22" spans="1:42" x14ac:dyDescent="0.15">
      <c r="A22" s="245">
        <v>1983</v>
      </c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6">
        <f t="shared" si="0"/>
        <v>1983</v>
      </c>
      <c r="T22" s="246">
        <f t="shared" si="0"/>
        <v>10168</v>
      </c>
      <c r="U22" s="246"/>
      <c r="V22" s="246"/>
      <c r="W22" s="246"/>
      <c r="X22" s="246"/>
      <c r="Y22" s="246"/>
      <c r="Z22" s="245">
        <v>1983</v>
      </c>
      <c r="AA22" s="246">
        <v>10443</v>
      </c>
      <c r="AB22" s="246">
        <v>6.2041558939002199E-2</v>
      </c>
      <c r="AC22" s="246">
        <v>10728</v>
      </c>
      <c r="AD22" s="246">
        <v>0.13</v>
      </c>
      <c r="AE22" s="246">
        <v>10441</v>
      </c>
      <c r="AF22" s="246">
        <v>0.13</v>
      </c>
      <c r="AG22" s="246">
        <v>10298</v>
      </c>
      <c r="AH22" s="246">
        <v>0.13</v>
      </c>
      <c r="AI22" s="246">
        <v>9958</v>
      </c>
      <c r="AJ22" s="245">
        <v>0.12</v>
      </c>
      <c r="AK22" s="246">
        <v>10153</v>
      </c>
      <c r="AL22" s="245">
        <v>0.12</v>
      </c>
      <c r="AM22" s="246">
        <v>10705</v>
      </c>
      <c r="AN22" s="245">
        <v>0.12</v>
      </c>
      <c r="AO22" s="246">
        <v>11555</v>
      </c>
      <c r="AP22" s="245">
        <v>0.16</v>
      </c>
    </row>
    <row r="23" spans="1:42" x14ac:dyDescent="0.15">
      <c r="A23" s="245">
        <v>1984</v>
      </c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6">
        <f t="shared" ref="S23:T42" si="1">S71</f>
        <v>1984</v>
      </c>
      <c r="T23" s="246">
        <f t="shared" si="1"/>
        <v>9856.5</v>
      </c>
      <c r="U23" s="246"/>
      <c r="V23" s="246"/>
      <c r="W23" s="246"/>
      <c r="X23" s="246"/>
      <c r="Y23" s="246"/>
      <c r="Z23" s="245">
        <v>1984</v>
      </c>
      <c r="AA23" s="246">
        <v>10088</v>
      </c>
      <c r="AB23" s="246">
        <v>6.217089611419508E-2</v>
      </c>
      <c r="AC23" s="246">
        <v>10456</v>
      </c>
      <c r="AD23" s="246">
        <v>0.13</v>
      </c>
      <c r="AE23" s="246">
        <v>10143</v>
      </c>
      <c r="AF23" s="246">
        <v>0.13</v>
      </c>
      <c r="AG23" s="246">
        <v>10000</v>
      </c>
      <c r="AH23" s="246">
        <v>0.13</v>
      </c>
      <c r="AI23" s="246">
        <v>9518</v>
      </c>
      <c r="AJ23" s="245">
        <v>0.13</v>
      </c>
      <c r="AK23" s="246">
        <v>9685</v>
      </c>
      <c r="AL23" s="245">
        <v>0.12</v>
      </c>
      <c r="AM23" s="246">
        <v>10179</v>
      </c>
      <c r="AN23" s="245">
        <v>0.12</v>
      </c>
      <c r="AO23" s="246">
        <v>11028</v>
      </c>
      <c r="AP23" s="245">
        <v>0.17</v>
      </c>
    </row>
    <row r="24" spans="1:42" x14ac:dyDescent="0.15">
      <c r="A24" s="245">
        <v>1985</v>
      </c>
      <c r="B24" s="245"/>
      <c r="C24" s="245"/>
      <c r="D24" s="245"/>
      <c r="E24" s="245"/>
      <c r="F24" s="245"/>
      <c r="G24" s="245"/>
      <c r="H24" s="245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6">
        <f t="shared" si="1"/>
        <v>1985</v>
      </c>
      <c r="T24" s="246">
        <f t="shared" si="1"/>
        <v>12027</v>
      </c>
      <c r="U24" s="246"/>
      <c r="V24" s="246"/>
      <c r="W24" s="246"/>
      <c r="X24" s="246"/>
      <c r="Y24" s="246"/>
      <c r="Z24" s="245">
        <v>1985</v>
      </c>
      <c r="AA24" s="246">
        <v>12285</v>
      </c>
      <c r="AB24" s="246">
        <v>5.2814000814000818E-2</v>
      </c>
      <c r="AC24" s="246">
        <v>12771</v>
      </c>
      <c r="AD24" s="246">
        <v>0.11</v>
      </c>
      <c r="AE24" s="246">
        <v>12344</v>
      </c>
      <c r="AF24" s="246">
        <v>0.11</v>
      </c>
      <c r="AG24" s="246">
        <v>12181</v>
      </c>
      <c r="AH24" s="246">
        <v>0.11</v>
      </c>
      <c r="AI24" s="246">
        <v>11182</v>
      </c>
      <c r="AJ24" s="245">
        <v>0.1</v>
      </c>
      <c r="AK24" s="246">
        <v>11370</v>
      </c>
      <c r="AL24" s="245">
        <v>0.1</v>
      </c>
      <c r="AM24" s="246">
        <v>11919</v>
      </c>
      <c r="AN24" s="245">
        <v>0.11</v>
      </c>
      <c r="AO24" s="246">
        <v>12853</v>
      </c>
      <c r="AP24" s="245">
        <v>0.15</v>
      </c>
    </row>
    <row r="25" spans="1:42" x14ac:dyDescent="0.15">
      <c r="A25" s="245">
        <v>1986</v>
      </c>
      <c r="B25" s="245"/>
      <c r="C25" s="245"/>
      <c r="D25" s="245"/>
      <c r="E25" s="245"/>
      <c r="F25" s="245"/>
      <c r="G25" s="245"/>
      <c r="H25" s="245"/>
      <c r="I25" s="245"/>
      <c r="J25" s="245"/>
      <c r="K25" s="245"/>
      <c r="L25" s="245"/>
      <c r="M25" s="245"/>
      <c r="N25" s="245"/>
      <c r="O25" s="245"/>
      <c r="P25" s="245"/>
      <c r="Q25" s="245"/>
      <c r="R25" s="245"/>
      <c r="S25" s="246">
        <f t="shared" si="1"/>
        <v>1986</v>
      </c>
      <c r="T25" s="246">
        <f t="shared" si="1"/>
        <v>11269</v>
      </c>
      <c r="U25" s="246"/>
      <c r="V25" s="246"/>
      <c r="W25" s="246"/>
      <c r="X25" s="246"/>
      <c r="Y25" s="246"/>
      <c r="Z25" s="245">
        <v>1986</v>
      </c>
      <c r="AA25" s="246">
        <v>11486</v>
      </c>
      <c r="AB25" s="246">
        <v>5.2473445934180747E-2</v>
      </c>
      <c r="AC25" s="246">
        <v>11973</v>
      </c>
      <c r="AD25" s="246">
        <v>0.11</v>
      </c>
      <c r="AE25" s="246">
        <v>11538</v>
      </c>
      <c r="AF25" s="246">
        <v>0.11</v>
      </c>
      <c r="AG25" s="246">
        <v>11381</v>
      </c>
      <c r="AH25" s="246">
        <v>0.11</v>
      </c>
      <c r="AI25" s="246">
        <v>10277</v>
      </c>
      <c r="AJ25" s="245">
        <v>0.1</v>
      </c>
      <c r="AK25" s="246">
        <v>10440</v>
      </c>
      <c r="AL25" s="245">
        <v>0.1</v>
      </c>
      <c r="AM25" s="246">
        <v>10913</v>
      </c>
      <c r="AN25" s="245">
        <v>0.11</v>
      </c>
      <c r="AO25" s="246">
        <v>11796</v>
      </c>
      <c r="AP25" s="245">
        <v>0.16</v>
      </c>
    </row>
    <row r="26" spans="1:42" x14ac:dyDescent="0.15">
      <c r="A26" s="245">
        <v>1987</v>
      </c>
      <c r="B26" s="245"/>
      <c r="C26" s="245"/>
      <c r="D26" s="245"/>
      <c r="E26" s="245"/>
      <c r="F26" s="245"/>
      <c r="G26" s="245"/>
      <c r="H26" s="245"/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246">
        <f t="shared" si="1"/>
        <v>1987</v>
      </c>
      <c r="T26" s="246">
        <f t="shared" si="1"/>
        <v>11915</v>
      </c>
      <c r="U26" s="246"/>
      <c r="V26" s="246"/>
      <c r="W26" s="246"/>
      <c r="X26" s="246"/>
      <c r="Y26" s="246"/>
      <c r="Z26" s="245">
        <v>1987</v>
      </c>
      <c r="AA26" s="246">
        <v>12077</v>
      </c>
      <c r="AB26" s="246">
        <v>4.7582181005216523E-2</v>
      </c>
      <c r="AC26" s="246">
        <v>12596</v>
      </c>
      <c r="AD26" s="246">
        <v>0.1</v>
      </c>
      <c r="AE26" s="246">
        <v>12116</v>
      </c>
      <c r="AF26" s="246">
        <v>0.1</v>
      </c>
      <c r="AG26" s="246">
        <v>11951</v>
      </c>
      <c r="AH26" s="246">
        <v>0.1</v>
      </c>
      <c r="AI26" s="246">
        <v>10636</v>
      </c>
      <c r="AJ26" s="245">
        <v>0.09</v>
      </c>
      <c r="AK26" s="246">
        <v>10769</v>
      </c>
      <c r="AL26" s="245">
        <v>0.09</v>
      </c>
      <c r="AM26" s="246">
        <v>11116</v>
      </c>
      <c r="AN26" s="245">
        <v>0.1</v>
      </c>
      <c r="AO26" s="246">
        <v>11952</v>
      </c>
      <c r="AP26" s="245">
        <v>0.15</v>
      </c>
    </row>
    <row r="27" spans="1:42" x14ac:dyDescent="0.15">
      <c r="A27" s="245">
        <v>1988</v>
      </c>
      <c r="B27" s="245"/>
      <c r="C27" s="245"/>
      <c r="D27" s="245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6">
        <f t="shared" si="1"/>
        <v>1988</v>
      </c>
      <c r="T27" s="246">
        <f t="shared" si="1"/>
        <v>11227</v>
      </c>
      <c r="U27" s="246"/>
      <c r="V27" s="246"/>
      <c r="W27" s="246"/>
      <c r="X27" s="246"/>
      <c r="Y27" s="246"/>
      <c r="Z27" s="245">
        <v>1988</v>
      </c>
      <c r="AA27" s="246">
        <v>11330</v>
      </c>
      <c r="AB27" s="246">
        <v>4.6274492497793467E-2</v>
      </c>
      <c r="AC27" s="246">
        <v>11633</v>
      </c>
      <c r="AD27" s="246">
        <v>0.1</v>
      </c>
      <c r="AE27" s="246">
        <v>11317</v>
      </c>
      <c r="AF27" s="246">
        <v>0.1</v>
      </c>
      <c r="AG27" s="246">
        <v>11159</v>
      </c>
      <c r="AH27" s="246">
        <v>0.1</v>
      </c>
      <c r="AI27" s="246">
        <v>9910</v>
      </c>
      <c r="AJ27" s="245">
        <v>0.08</v>
      </c>
      <c r="AK27" s="246">
        <v>9991</v>
      </c>
      <c r="AL27" s="245">
        <v>0.09</v>
      </c>
      <c r="AM27" s="246">
        <v>10274</v>
      </c>
      <c r="AN27" s="245">
        <v>0.1</v>
      </c>
      <c r="AO27" s="246">
        <v>11020</v>
      </c>
      <c r="AP27" s="245">
        <v>0.15</v>
      </c>
    </row>
    <row r="28" spans="1:42" x14ac:dyDescent="0.15">
      <c r="A28" s="245">
        <v>1989</v>
      </c>
      <c r="B28" s="245"/>
      <c r="C28" s="245"/>
      <c r="D28" s="245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6">
        <f t="shared" si="1"/>
        <v>1989</v>
      </c>
      <c r="T28" s="246">
        <f t="shared" si="1"/>
        <v>9520.6</v>
      </c>
      <c r="U28" s="246"/>
      <c r="V28" s="246"/>
      <c r="W28" s="246"/>
      <c r="X28" s="246"/>
      <c r="Y28" s="246"/>
      <c r="Z28" s="245">
        <v>1989</v>
      </c>
      <c r="AA28" s="246">
        <v>9584.1</v>
      </c>
      <c r="AB28" s="246">
        <v>4.8224663766029151E-2</v>
      </c>
      <c r="AC28" s="246">
        <v>9850</v>
      </c>
      <c r="AD28" s="246">
        <v>0.1</v>
      </c>
      <c r="AE28" s="246">
        <v>9540</v>
      </c>
      <c r="AF28" s="246">
        <v>0.1</v>
      </c>
      <c r="AG28" s="246">
        <v>9394</v>
      </c>
      <c r="AH28" s="246">
        <v>0.1</v>
      </c>
      <c r="AI28" s="246">
        <v>8251</v>
      </c>
      <c r="AJ28" s="245">
        <v>0.09</v>
      </c>
      <c r="AK28" s="246">
        <v>8305</v>
      </c>
      <c r="AL28" s="245">
        <v>0.09</v>
      </c>
      <c r="AM28" s="246">
        <v>8546</v>
      </c>
      <c r="AN28" s="245">
        <v>0.1</v>
      </c>
      <c r="AO28" s="246">
        <v>9210</v>
      </c>
      <c r="AP28" s="245">
        <v>0.16</v>
      </c>
    </row>
    <row r="29" spans="1:42" x14ac:dyDescent="0.15">
      <c r="A29" s="245">
        <v>1990</v>
      </c>
      <c r="B29" s="245"/>
      <c r="C29" s="245"/>
      <c r="D29" s="245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6">
        <f t="shared" si="1"/>
        <v>1990</v>
      </c>
      <c r="T29" s="246">
        <f t="shared" si="1"/>
        <v>7558.3</v>
      </c>
      <c r="U29" s="246"/>
      <c r="V29" s="246"/>
      <c r="W29" s="246"/>
      <c r="X29" s="246"/>
      <c r="Y29" s="246"/>
      <c r="Z29" s="245">
        <v>1990</v>
      </c>
      <c r="AA29" s="246">
        <v>7602.7</v>
      </c>
      <c r="AB29" s="246">
        <v>5.2447156931090276E-2</v>
      </c>
      <c r="AC29" s="246">
        <v>7811</v>
      </c>
      <c r="AD29" s="246">
        <v>0.11</v>
      </c>
      <c r="AE29" s="246">
        <v>7524</v>
      </c>
      <c r="AF29" s="246">
        <v>0.11</v>
      </c>
      <c r="AG29" s="246">
        <v>7393</v>
      </c>
      <c r="AH29" s="246">
        <v>0.11</v>
      </c>
      <c r="AI29" s="246">
        <v>6473</v>
      </c>
      <c r="AJ29" s="245">
        <v>0.1</v>
      </c>
      <c r="AK29" s="246">
        <v>6497</v>
      </c>
      <c r="AL29" s="245">
        <v>0.1</v>
      </c>
      <c r="AM29" s="246">
        <v>6659</v>
      </c>
      <c r="AN29" s="245">
        <v>0.12</v>
      </c>
      <c r="AO29" s="246">
        <v>7240</v>
      </c>
      <c r="AP29" s="245">
        <v>0.18</v>
      </c>
    </row>
    <row r="30" spans="1:42" x14ac:dyDescent="0.15">
      <c r="A30" s="245">
        <v>1991</v>
      </c>
      <c r="B30" s="245"/>
      <c r="C30" s="245"/>
      <c r="D30" s="245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6">
        <f t="shared" si="1"/>
        <v>1991</v>
      </c>
      <c r="T30" s="246">
        <f t="shared" si="1"/>
        <v>5811.2</v>
      </c>
      <c r="U30" s="246"/>
      <c r="V30" s="246"/>
      <c r="W30" s="246"/>
      <c r="X30" s="246"/>
      <c r="Y30" s="246"/>
      <c r="Z30" s="245">
        <v>1991</v>
      </c>
      <c r="AA30" s="246">
        <v>5928.5</v>
      </c>
      <c r="AB30" s="246">
        <v>5.819515897781901E-2</v>
      </c>
      <c r="AC30" s="246">
        <v>5977</v>
      </c>
      <c r="AD30" s="246">
        <v>0.13</v>
      </c>
      <c r="AE30" s="246">
        <v>5708</v>
      </c>
      <c r="AF30" s="246">
        <v>0.13</v>
      </c>
      <c r="AG30" s="246">
        <v>5582</v>
      </c>
      <c r="AH30" s="246">
        <v>0.12</v>
      </c>
      <c r="AI30" s="246">
        <v>4859</v>
      </c>
      <c r="AJ30" s="245">
        <v>0.11</v>
      </c>
      <c r="AK30" s="246">
        <v>4842</v>
      </c>
      <c r="AL30" s="245">
        <v>0.11</v>
      </c>
      <c r="AM30" s="246">
        <v>5180</v>
      </c>
      <c r="AN30" s="245">
        <v>0.13</v>
      </c>
      <c r="AO30" s="246">
        <v>5690</v>
      </c>
      <c r="AP30" s="245">
        <v>0.2</v>
      </c>
    </row>
    <row r="31" spans="1:42" x14ac:dyDescent="0.15">
      <c r="A31" s="245">
        <v>1992</v>
      </c>
      <c r="B31" s="245"/>
      <c r="C31" s="245"/>
      <c r="D31" s="245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6">
        <f t="shared" si="1"/>
        <v>1992</v>
      </c>
      <c r="T31" s="246">
        <f t="shared" si="1"/>
        <v>9211</v>
      </c>
      <c r="U31" s="246"/>
      <c r="V31" s="246"/>
      <c r="W31" s="246"/>
      <c r="X31" s="246"/>
      <c r="Y31" s="246"/>
      <c r="Z31" s="245">
        <v>1992</v>
      </c>
      <c r="AA31" s="246">
        <v>9269.6</v>
      </c>
      <c r="AB31" s="246">
        <v>4.6001984983170797E-2</v>
      </c>
      <c r="AC31" s="246">
        <v>9614</v>
      </c>
      <c r="AD31" s="246">
        <v>0.1</v>
      </c>
      <c r="AE31" s="246">
        <v>9227</v>
      </c>
      <c r="AF31" s="246">
        <v>0.1</v>
      </c>
      <c r="AG31" s="246">
        <v>8898</v>
      </c>
      <c r="AH31" s="246">
        <v>0.1</v>
      </c>
      <c r="AI31" s="246">
        <v>7920</v>
      </c>
      <c r="AJ31" s="245">
        <v>0.09</v>
      </c>
      <c r="AK31" s="246">
        <v>7800</v>
      </c>
      <c r="AL31" s="245">
        <v>0.1</v>
      </c>
      <c r="AM31" s="246">
        <v>8294</v>
      </c>
      <c r="AN31" s="245">
        <v>0.13</v>
      </c>
      <c r="AO31" s="246">
        <v>9465</v>
      </c>
      <c r="AP31" s="245">
        <v>0.21</v>
      </c>
    </row>
    <row r="32" spans="1:42" x14ac:dyDescent="0.15">
      <c r="A32" s="245">
        <v>1993</v>
      </c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246">
        <f t="shared" si="1"/>
        <v>1993</v>
      </c>
      <c r="T32" s="246">
        <f t="shared" si="1"/>
        <v>11388</v>
      </c>
      <c r="U32" s="246"/>
      <c r="V32" s="246"/>
      <c r="W32" s="246"/>
      <c r="X32" s="246"/>
      <c r="Y32" s="246"/>
      <c r="Z32" s="245">
        <v>1993</v>
      </c>
      <c r="AA32" s="246">
        <v>11795</v>
      </c>
      <c r="AB32" s="246">
        <v>4.4151759220008475E-2</v>
      </c>
      <c r="AC32" s="246">
        <v>12363</v>
      </c>
      <c r="AD32" s="246">
        <v>0.11</v>
      </c>
      <c r="AE32" s="246">
        <v>12110</v>
      </c>
      <c r="AF32" s="246">
        <v>0.1</v>
      </c>
      <c r="AG32" s="246">
        <v>11503</v>
      </c>
      <c r="AH32" s="246">
        <v>0.1</v>
      </c>
      <c r="AI32" s="246">
        <v>10233</v>
      </c>
      <c r="AJ32" s="245">
        <v>0.1</v>
      </c>
      <c r="AK32" s="246">
        <v>9873</v>
      </c>
      <c r="AL32" s="245">
        <v>0.1</v>
      </c>
      <c r="AM32" s="246">
        <v>10279</v>
      </c>
      <c r="AN32" s="245">
        <v>0.16</v>
      </c>
      <c r="AO32" s="246">
        <v>12086</v>
      </c>
      <c r="AP32" s="245">
        <v>0.25</v>
      </c>
    </row>
    <row r="33" spans="1:48" x14ac:dyDescent="0.15">
      <c r="A33" s="245">
        <v>1994</v>
      </c>
      <c r="B33" s="245"/>
      <c r="C33" s="245"/>
      <c r="D33" s="245"/>
      <c r="E33" s="245"/>
      <c r="F33" s="245"/>
      <c r="G33" s="245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6">
        <f t="shared" si="1"/>
        <v>1994</v>
      </c>
      <c r="T33" s="246">
        <f t="shared" si="1"/>
        <v>10990</v>
      </c>
      <c r="U33" s="246"/>
      <c r="V33" s="246"/>
      <c r="W33" s="246"/>
      <c r="X33" s="246"/>
      <c r="Y33" s="246"/>
      <c r="Z33" s="245">
        <v>1994</v>
      </c>
      <c r="AA33" s="246">
        <v>11407</v>
      </c>
      <c r="AB33" s="246">
        <v>4.5735074953975635E-2</v>
      </c>
      <c r="AC33" s="246">
        <v>11696</v>
      </c>
      <c r="AD33" s="246">
        <v>0.11</v>
      </c>
      <c r="AE33" s="246">
        <v>11358</v>
      </c>
      <c r="AF33" s="246">
        <v>0.11</v>
      </c>
      <c r="AG33" s="246">
        <v>10590</v>
      </c>
      <c r="AH33" s="246">
        <v>0.11</v>
      </c>
      <c r="AI33" s="246">
        <v>9285</v>
      </c>
      <c r="AJ33" s="245">
        <v>0.1</v>
      </c>
      <c r="AK33" s="246">
        <v>8622</v>
      </c>
      <c r="AL33" s="245">
        <v>0.12</v>
      </c>
      <c r="AM33" s="246">
        <v>8917</v>
      </c>
      <c r="AN33" s="245">
        <v>0.18</v>
      </c>
      <c r="AO33" s="246">
        <v>10626</v>
      </c>
      <c r="AP33" s="245">
        <v>0.28999999999999998</v>
      </c>
    </row>
    <row r="34" spans="1:48" x14ac:dyDescent="0.15">
      <c r="A34" s="245">
        <v>1995</v>
      </c>
      <c r="B34" s="245"/>
      <c r="C34" s="245"/>
      <c r="D34" s="245"/>
      <c r="E34" s="245"/>
      <c r="F34" s="245"/>
      <c r="G34" s="245"/>
      <c r="H34" s="245"/>
      <c r="I34" s="245"/>
      <c r="J34" s="245"/>
      <c r="K34" s="245"/>
      <c r="L34" s="245"/>
      <c r="M34" s="245"/>
      <c r="N34" s="245"/>
      <c r="O34" s="245"/>
      <c r="P34" s="245"/>
      <c r="Q34" s="245"/>
      <c r="R34" s="245"/>
      <c r="S34" s="246">
        <f t="shared" si="1"/>
        <v>1995</v>
      </c>
      <c r="T34" s="246">
        <f t="shared" si="1"/>
        <v>12699</v>
      </c>
      <c r="U34" s="246"/>
      <c r="V34" s="246"/>
      <c r="W34" s="246"/>
      <c r="X34" s="246"/>
      <c r="Y34" s="246"/>
      <c r="Z34" s="245">
        <v>1995</v>
      </c>
      <c r="AA34" s="246">
        <v>13658</v>
      </c>
      <c r="AB34" s="246">
        <v>4.4612681212476211E-2</v>
      </c>
      <c r="AC34" s="246">
        <v>14474</v>
      </c>
      <c r="AD34" s="246">
        <v>0.12</v>
      </c>
      <c r="AE34" s="246">
        <v>13848</v>
      </c>
      <c r="AF34" s="246">
        <v>0.12</v>
      </c>
      <c r="AG34" s="246">
        <v>12617</v>
      </c>
      <c r="AH34" s="246">
        <v>0.13</v>
      </c>
      <c r="AI34" s="246">
        <v>10267</v>
      </c>
      <c r="AJ34" s="245">
        <v>0.12</v>
      </c>
      <c r="AK34" s="246">
        <v>8817</v>
      </c>
      <c r="AL34" s="245">
        <v>0.15</v>
      </c>
      <c r="AM34" s="246">
        <v>8680</v>
      </c>
      <c r="AN34" s="245">
        <v>0.22</v>
      </c>
      <c r="AO34" s="246">
        <v>9998</v>
      </c>
      <c r="AP34" s="245">
        <v>0.32</v>
      </c>
    </row>
    <row r="35" spans="1:48" x14ac:dyDescent="0.15">
      <c r="A35" s="245">
        <v>1996</v>
      </c>
      <c r="B35" s="245"/>
      <c r="C35" s="245"/>
      <c r="D35" s="245"/>
      <c r="E35" s="245"/>
      <c r="F35" s="245"/>
      <c r="G35" s="245"/>
      <c r="H35" s="245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6">
        <f t="shared" si="1"/>
        <v>1996</v>
      </c>
      <c r="T35" s="246">
        <f t="shared" si="1"/>
        <v>10843</v>
      </c>
      <c r="U35" s="246"/>
      <c r="V35" s="246"/>
      <c r="W35" s="246"/>
      <c r="X35" s="246"/>
      <c r="Y35" s="246"/>
      <c r="Z35" s="245">
        <v>1996</v>
      </c>
      <c r="AA35" s="246">
        <v>11480</v>
      </c>
      <c r="AB35" s="246">
        <v>4.8066202090592328E-2</v>
      </c>
      <c r="AC35" s="246">
        <v>12630</v>
      </c>
      <c r="AD35" s="246">
        <v>0.13</v>
      </c>
      <c r="AE35" s="246">
        <v>11988</v>
      </c>
      <c r="AF35" s="246">
        <v>0.13</v>
      </c>
      <c r="AG35" s="246">
        <v>10752</v>
      </c>
      <c r="AH35" s="246">
        <v>0.14000000000000001</v>
      </c>
      <c r="AI35" s="246">
        <v>8556</v>
      </c>
      <c r="AJ35" s="245">
        <v>0.14000000000000001</v>
      </c>
      <c r="AK35" s="246">
        <v>7147</v>
      </c>
      <c r="AL35" s="245">
        <v>0.17</v>
      </c>
      <c r="AM35" s="246">
        <v>6811</v>
      </c>
      <c r="AN35" s="245">
        <v>0.26</v>
      </c>
      <c r="AO35" s="246">
        <v>8142</v>
      </c>
      <c r="AP35" s="245">
        <v>0.36</v>
      </c>
    </row>
    <row r="36" spans="1:48" x14ac:dyDescent="0.15">
      <c r="A36" s="245">
        <v>1997</v>
      </c>
      <c r="B36" s="245"/>
      <c r="C36" s="245"/>
      <c r="D36" s="245"/>
      <c r="E36" s="245"/>
      <c r="F36" s="245"/>
      <c r="G36" s="245"/>
      <c r="H36" s="245"/>
      <c r="I36" s="245"/>
      <c r="J36" s="245"/>
      <c r="K36" s="245"/>
      <c r="L36" s="245"/>
      <c r="M36" s="245"/>
      <c r="N36" s="245"/>
      <c r="O36" s="245"/>
      <c r="P36" s="245"/>
      <c r="Q36" s="245"/>
      <c r="R36" s="245"/>
      <c r="S36" s="246">
        <f t="shared" si="1"/>
        <v>1997</v>
      </c>
      <c r="T36" s="246">
        <f t="shared" si="1"/>
        <v>9440.1</v>
      </c>
      <c r="U36" s="246"/>
      <c r="V36" s="246"/>
      <c r="W36" s="246"/>
      <c r="X36" s="246"/>
      <c r="Y36" s="246"/>
      <c r="Z36" s="245">
        <v>1997</v>
      </c>
      <c r="AA36" s="246">
        <v>10056</v>
      </c>
      <c r="AB36" s="246">
        <v>5.1127684964200476E-2</v>
      </c>
      <c r="AC36" s="246">
        <v>10775</v>
      </c>
      <c r="AD36" s="246">
        <v>0.15</v>
      </c>
      <c r="AE36" s="246">
        <v>10142</v>
      </c>
      <c r="AF36" s="246">
        <v>0.15</v>
      </c>
      <c r="AG36" s="246">
        <v>8984</v>
      </c>
      <c r="AH36" s="246">
        <v>0.16</v>
      </c>
      <c r="AI36" s="246">
        <v>7057</v>
      </c>
      <c r="AJ36" s="245">
        <v>0.17</v>
      </c>
      <c r="AK36" s="246">
        <v>5710</v>
      </c>
      <c r="AL36" s="245">
        <v>0.22</v>
      </c>
      <c r="AM36" s="246">
        <v>5307</v>
      </c>
      <c r="AN36" s="245">
        <v>0.31</v>
      </c>
      <c r="AO36" s="246">
        <v>6631</v>
      </c>
      <c r="AP36" s="245">
        <v>0.42</v>
      </c>
    </row>
    <row r="37" spans="1:48" x14ac:dyDescent="0.15">
      <c r="A37" s="245">
        <v>1998</v>
      </c>
      <c r="B37" s="245"/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6">
        <f t="shared" si="1"/>
        <v>1998</v>
      </c>
      <c r="T37" s="246">
        <f t="shared" si="1"/>
        <v>9537.7000000000007</v>
      </c>
      <c r="U37" s="246"/>
      <c r="V37" s="246"/>
      <c r="W37" s="246"/>
      <c r="X37" s="246"/>
      <c r="Y37" s="246"/>
      <c r="Z37" s="245">
        <v>1998</v>
      </c>
      <c r="AA37" s="246">
        <v>9972.7999999999993</v>
      </c>
      <c r="AB37" s="246">
        <v>5.1163163805551103E-2</v>
      </c>
      <c r="AC37" s="246">
        <v>11110</v>
      </c>
      <c r="AD37" s="246">
        <v>0.16</v>
      </c>
      <c r="AE37" s="246">
        <v>10466</v>
      </c>
      <c r="AF37" s="246">
        <v>0.17</v>
      </c>
      <c r="AG37" s="246">
        <v>9335</v>
      </c>
      <c r="AH37" s="246">
        <v>0.2</v>
      </c>
      <c r="AI37" s="246">
        <v>7448</v>
      </c>
      <c r="AJ37" s="245">
        <v>0.22</v>
      </c>
      <c r="AK37" s="246">
        <v>5961</v>
      </c>
      <c r="AL37" s="245">
        <v>0.28000000000000003</v>
      </c>
      <c r="AM37" s="246">
        <v>5133</v>
      </c>
      <c r="AN37" s="245">
        <v>0.39</v>
      </c>
      <c r="AO37" s="246">
        <v>5133</v>
      </c>
      <c r="AP37" s="245">
        <v>0.39</v>
      </c>
    </row>
    <row r="38" spans="1:48" x14ac:dyDescent="0.15">
      <c r="A38" s="245">
        <v>1999</v>
      </c>
      <c r="B38" s="245"/>
      <c r="C38" s="245"/>
      <c r="D38" s="245"/>
      <c r="E38" s="245"/>
      <c r="F38" s="245"/>
      <c r="G38" s="245"/>
      <c r="H38" s="245"/>
      <c r="I38" s="245"/>
      <c r="J38" s="245"/>
      <c r="K38" s="245"/>
      <c r="L38" s="245"/>
      <c r="M38" s="245"/>
      <c r="N38" s="245"/>
      <c r="O38" s="245"/>
      <c r="P38" s="245"/>
      <c r="Q38" s="245"/>
      <c r="R38" s="245"/>
      <c r="S38" s="246">
        <f t="shared" si="1"/>
        <v>1999</v>
      </c>
      <c r="T38" s="246">
        <f t="shared" si="1"/>
        <v>10421</v>
      </c>
      <c r="U38" s="246"/>
      <c r="V38" s="246"/>
      <c r="W38" s="246"/>
      <c r="X38" s="246"/>
      <c r="Y38" s="246"/>
      <c r="Z38" s="245">
        <v>1999</v>
      </c>
      <c r="AA38" s="246">
        <v>10872</v>
      </c>
      <c r="AB38" s="246">
        <v>4.8437270051508462E-2</v>
      </c>
      <c r="AC38" s="246">
        <v>13339</v>
      </c>
      <c r="AD38" s="246">
        <v>0.2</v>
      </c>
      <c r="AE38" s="246">
        <v>12712</v>
      </c>
      <c r="AF38" s="246">
        <v>0.21</v>
      </c>
      <c r="AG38" s="246">
        <v>12593</v>
      </c>
      <c r="AH38" s="246">
        <v>0.28000000000000003</v>
      </c>
      <c r="AI38" s="246">
        <v>10772</v>
      </c>
      <c r="AJ38" s="245">
        <v>0.3</v>
      </c>
      <c r="AK38" s="246">
        <v>7513</v>
      </c>
      <c r="AL38" s="245">
        <v>0.36</v>
      </c>
      <c r="AM38" s="246"/>
      <c r="AN38" s="245"/>
      <c r="AO38" s="246"/>
      <c r="AP38" s="245"/>
    </row>
    <row r="39" spans="1:48" x14ac:dyDescent="0.15">
      <c r="A39" s="245">
        <v>2000</v>
      </c>
      <c r="B39" s="245"/>
      <c r="C39" s="245"/>
      <c r="D39" s="245"/>
      <c r="E39" s="245"/>
      <c r="F39" s="245"/>
      <c r="G39" s="245"/>
      <c r="H39" s="245"/>
      <c r="I39" s="245"/>
      <c r="J39" s="245"/>
      <c r="K39" s="245"/>
      <c r="L39" s="245"/>
      <c r="M39" s="245"/>
      <c r="N39" s="245"/>
      <c r="O39" s="245"/>
      <c r="P39" s="245"/>
      <c r="Q39" s="245"/>
      <c r="R39" s="245"/>
      <c r="S39" s="246">
        <f t="shared" si="1"/>
        <v>2000</v>
      </c>
      <c r="T39" s="246">
        <f t="shared" si="1"/>
        <v>9632.2000000000007</v>
      </c>
      <c r="U39" s="246"/>
      <c r="V39" s="246"/>
      <c r="W39" s="246"/>
      <c r="X39" s="246"/>
      <c r="Y39" s="246"/>
      <c r="Z39" s="245">
        <v>2000</v>
      </c>
      <c r="AA39" s="246">
        <v>10052</v>
      </c>
      <c r="AB39" s="246">
        <v>5.0500397930760048E-2</v>
      </c>
      <c r="AC39" s="246">
        <v>12498</v>
      </c>
      <c r="AD39" s="246">
        <v>0.23</v>
      </c>
      <c r="AE39" s="246">
        <v>11807</v>
      </c>
      <c r="AF39" s="246">
        <v>0.24</v>
      </c>
      <c r="AG39" s="246">
        <v>11680</v>
      </c>
      <c r="AH39" s="246">
        <v>0.33</v>
      </c>
      <c r="AI39" s="246">
        <v>10490</v>
      </c>
      <c r="AJ39" s="245">
        <v>0.34</v>
      </c>
      <c r="AK39" s="246"/>
      <c r="AL39" s="245"/>
      <c r="AM39" s="246"/>
      <c r="AN39" s="245"/>
      <c r="AO39" s="246"/>
      <c r="AP39" s="245"/>
    </row>
    <row r="40" spans="1:48" x14ac:dyDescent="0.15">
      <c r="A40" s="245">
        <f>A88</f>
        <v>2001</v>
      </c>
      <c r="B40" s="245"/>
      <c r="C40" s="245"/>
      <c r="D40" s="245"/>
      <c r="E40" s="245"/>
      <c r="F40" s="245"/>
      <c r="G40" s="245"/>
      <c r="H40" s="245"/>
      <c r="I40" s="245"/>
      <c r="J40" s="245"/>
      <c r="K40" s="245"/>
      <c r="L40" s="245"/>
      <c r="M40" s="245"/>
      <c r="N40" s="245"/>
      <c r="O40" s="245"/>
      <c r="P40" s="245"/>
      <c r="Q40" s="245"/>
      <c r="R40" s="245"/>
      <c r="S40" s="246">
        <f t="shared" si="1"/>
        <v>2001</v>
      </c>
      <c r="T40" s="246">
        <f t="shared" si="1"/>
        <v>9341.2000000000007</v>
      </c>
      <c r="U40" s="246"/>
      <c r="V40" s="246"/>
      <c r="W40" s="246"/>
      <c r="X40" s="246"/>
      <c r="Y40" s="246"/>
      <c r="Z40" s="245">
        <v>2001</v>
      </c>
      <c r="AA40" s="246">
        <v>9799.9</v>
      </c>
      <c r="AB40" s="246">
        <v>5.5624036979969184E-2</v>
      </c>
      <c r="AC40" s="246">
        <v>12394</v>
      </c>
      <c r="AD40" s="246">
        <v>0.27</v>
      </c>
      <c r="AE40" s="246">
        <v>11511</v>
      </c>
      <c r="AF40" s="246">
        <v>0.27</v>
      </c>
      <c r="AG40" s="246">
        <v>11145</v>
      </c>
      <c r="AH40" s="246">
        <v>0.39</v>
      </c>
      <c r="AI40" s="246"/>
      <c r="AJ40" s="245"/>
      <c r="AK40" s="246"/>
      <c r="AL40" s="245"/>
      <c r="AM40" s="246"/>
      <c r="AN40" s="245"/>
      <c r="AO40" s="246"/>
      <c r="AP40" s="245"/>
    </row>
    <row r="41" spans="1:48" ht="14" thickBot="1" x14ac:dyDescent="0.2">
      <c r="A41" s="245">
        <f>A89</f>
        <v>2002</v>
      </c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6">
        <f t="shared" si="1"/>
        <v>2002</v>
      </c>
      <c r="T41" s="246">
        <f t="shared" si="1"/>
        <v>9595.1</v>
      </c>
      <c r="U41" s="246"/>
      <c r="V41" s="246"/>
      <c r="W41" s="246"/>
      <c r="X41" s="246"/>
      <c r="Y41" s="246"/>
      <c r="Z41" s="245">
        <v>2002</v>
      </c>
      <c r="AA41" s="246">
        <v>10197</v>
      </c>
      <c r="AB41" s="246">
        <v>6.876728449543984E-2</v>
      </c>
      <c r="AC41" s="246">
        <v>12930</v>
      </c>
      <c r="AD41" s="246">
        <v>0.32</v>
      </c>
      <c r="AE41" s="247">
        <v>11118</v>
      </c>
      <c r="AF41" s="247">
        <v>0.33</v>
      </c>
      <c r="AG41" s="247"/>
      <c r="AH41" s="247"/>
      <c r="AI41" s="247"/>
      <c r="AJ41" s="248"/>
      <c r="AK41" s="247"/>
      <c r="AL41" s="248"/>
      <c r="AM41" s="247"/>
      <c r="AN41" s="248"/>
      <c r="AO41" s="247"/>
      <c r="AP41" s="248"/>
    </row>
    <row r="42" spans="1:48" x14ac:dyDescent="0.15">
      <c r="A42" s="245">
        <v>2003</v>
      </c>
      <c r="B42" s="245"/>
      <c r="C42" s="245"/>
      <c r="D42" s="245"/>
      <c r="E42" s="245"/>
      <c r="F42" s="245"/>
      <c r="G42" s="245"/>
      <c r="H42" s="245"/>
      <c r="I42" s="245"/>
      <c r="J42" s="245"/>
      <c r="K42" s="245"/>
      <c r="L42" s="245"/>
      <c r="M42" s="245"/>
      <c r="N42" s="245"/>
      <c r="O42" s="245"/>
      <c r="P42" s="245"/>
      <c r="Q42" s="245"/>
      <c r="R42" s="245"/>
      <c r="S42" s="246">
        <f t="shared" si="1"/>
        <v>2003</v>
      </c>
      <c r="T42" s="246">
        <f t="shared" si="1"/>
        <v>11453</v>
      </c>
      <c r="U42" s="246"/>
      <c r="V42" s="246"/>
      <c r="W42" s="246"/>
      <c r="X42" s="246"/>
      <c r="Y42" s="246"/>
      <c r="Z42" s="245">
        <v>2003</v>
      </c>
      <c r="AA42" s="246">
        <v>13320</v>
      </c>
      <c r="AB42" s="246">
        <v>0.10071321321321321</v>
      </c>
      <c r="AC42" s="246">
        <v>12688</v>
      </c>
      <c r="AD42" s="246">
        <v>0.37</v>
      </c>
      <c r="AE42" s="249"/>
      <c r="AF42" s="249"/>
      <c r="AG42" s="249"/>
      <c r="AH42" s="249"/>
      <c r="AI42" s="249"/>
      <c r="AJ42" s="250"/>
      <c r="AK42" s="249"/>
      <c r="AL42" s="250"/>
      <c r="AM42" s="249"/>
      <c r="AN42" s="250"/>
      <c r="AO42" s="249"/>
      <c r="AP42" s="250"/>
    </row>
    <row r="43" spans="1:48" x14ac:dyDescent="0.15">
      <c r="A43" s="245">
        <v>2004</v>
      </c>
      <c r="B43" s="245"/>
      <c r="C43" s="245"/>
      <c r="D43" s="245"/>
      <c r="E43" s="245"/>
      <c r="F43" s="245"/>
      <c r="G43" s="245"/>
      <c r="H43" s="245"/>
      <c r="I43" s="245"/>
      <c r="J43" s="245"/>
      <c r="K43" s="245"/>
      <c r="L43" s="245"/>
      <c r="M43" s="245"/>
      <c r="N43" s="245"/>
      <c r="O43" s="245"/>
      <c r="P43" s="245"/>
      <c r="Q43" s="245"/>
      <c r="R43" s="245"/>
      <c r="S43" s="246">
        <f t="shared" ref="S43:T48" si="2">S91</f>
        <v>2004</v>
      </c>
      <c r="T43" s="246">
        <f t="shared" si="2"/>
        <v>10606</v>
      </c>
      <c r="U43" s="246"/>
      <c r="V43" s="246"/>
      <c r="W43" s="246"/>
      <c r="X43" s="246"/>
      <c r="Y43" s="246"/>
      <c r="Z43" s="245">
        <v>2004</v>
      </c>
      <c r="AA43" s="246">
        <v>12055</v>
      </c>
      <c r="AB43" s="246">
        <v>0.12213189547905433</v>
      </c>
      <c r="AC43" s="246">
        <v>11217</v>
      </c>
      <c r="AD43" s="246">
        <v>0.42</v>
      </c>
      <c r="AE43" s="251"/>
      <c r="AF43" s="251"/>
      <c r="AG43" s="251"/>
      <c r="AH43" s="251"/>
      <c r="AI43" s="251"/>
      <c r="AJ43" s="251"/>
      <c r="AK43" s="251"/>
      <c r="AL43" s="251"/>
      <c r="AM43" s="251"/>
      <c r="AN43" s="251"/>
      <c r="AO43" s="251"/>
      <c r="AP43" s="251"/>
    </row>
    <row r="44" spans="1:48" x14ac:dyDescent="0.15">
      <c r="A44" s="245">
        <v>2005</v>
      </c>
      <c r="B44" s="245"/>
      <c r="C44" s="245"/>
      <c r="D44" s="245"/>
      <c r="E44" s="245"/>
      <c r="F44" s="245"/>
      <c r="G44" s="245"/>
      <c r="H44" s="245"/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246">
        <f t="shared" si="2"/>
        <v>2005</v>
      </c>
      <c r="T44" s="246">
        <f t="shared" si="2"/>
        <v>8735.9</v>
      </c>
      <c r="U44" s="246"/>
      <c r="V44" s="246"/>
      <c r="W44" s="246"/>
      <c r="X44" s="246"/>
      <c r="Y44" s="246"/>
      <c r="Z44" s="245">
        <v>2005</v>
      </c>
      <c r="AA44" s="246">
        <v>9759.1</v>
      </c>
      <c r="AB44" s="246">
        <v>0.14380424424383395</v>
      </c>
    </row>
    <row r="45" spans="1:48" x14ac:dyDescent="0.15">
      <c r="A45" s="245">
        <v>2006</v>
      </c>
      <c r="B45" s="245"/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6">
        <f t="shared" si="2"/>
        <v>2006</v>
      </c>
      <c r="T45" s="246">
        <f t="shared" si="2"/>
        <v>6542.8</v>
      </c>
      <c r="U45" s="252"/>
      <c r="V45" s="252"/>
      <c r="W45" s="252"/>
      <c r="X45" s="252"/>
      <c r="Y45" s="252"/>
      <c r="Z45" s="245"/>
      <c r="AA45" s="252"/>
      <c r="AB45" s="252"/>
      <c r="AC45" s="241"/>
      <c r="AD45" s="241"/>
      <c r="AE45" s="241"/>
      <c r="AF45" s="241"/>
      <c r="AG45" s="241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>
        <v>1000</v>
      </c>
      <c r="AR45" s="241"/>
      <c r="AS45" s="241"/>
      <c r="AT45" s="241"/>
      <c r="AU45" s="241"/>
      <c r="AV45" s="241"/>
    </row>
    <row r="46" spans="1:48" x14ac:dyDescent="0.15">
      <c r="A46" s="245">
        <v>2007</v>
      </c>
      <c r="B46" s="245"/>
      <c r="C46" s="245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6">
        <f t="shared" si="2"/>
        <v>2007</v>
      </c>
      <c r="T46" s="246">
        <f t="shared" si="2"/>
        <v>5089.6000000000004</v>
      </c>
      <c r="U46" s="252"/>
      <c r="V46" s="252"/>
      <c r="W46" s="252"/>
      <c r="X46" s="252"/>
      <c r="Y46" s="252"/>
      <c r="Z46" s="245"/>
      <c r="AA46" s="252"/>
      <c r="AB46" s="252"/>
      <c r="AC46" s="241"/>
      <c r="AD46" s="241"/>
      <c r="AE46" s="241"/>
      <c r="AF46" s="241"/>
      <c r="AG46" s="241"/>
      <c r="AH46" s="241"/>
      <c r="AI46" s="241"/>
      <c r="AJ46" s="241"/>
      <c r="AK46" s="241"/>
      <c r="AL46" s="241"/>
      <c r="AM46" s="241"/>
      <c r="AN46" s="241"/>
      <c r="AO46" s="241"/>
      <c r="AP46" s="241"/>
      <c r="AQ46" s="241"/>
      <c r="AR46" s="241"/>
      <c r="AS46" s="241"/>
      <c r="AT46" s="241"/>
      <c r="AU46" s="241"/>
      <c r="AV46" s="241"/>
    </row>
    <row r="47" spans="1:48" x14ac:dyDescent="0.15">
      <c r="A47" s="245">
        <v>2008</v>
      </c>
      <c r="B47" s="245"/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6">
        <f t="shared" si="2"/>
        <v>2008</v>
      </c>
      <c r="T47" s="246">
        <f t="shared" si="2"/>
        <v>3809.2</v>
      </c>
      <c r="U47" s="252"/>
      <c r="V47" s="252"/>
      <c r="W47" s="252"/>
      <c r="X47" s="252"/>
      <c r="Y47" s="252"/>
      <c r="Z47" s="245"/>
      <c r="AA47" s="252"/>
      <c r="AB47" s="252"/>
      <c r="AC47" s="241"/>
      <c r="AD47" s="241"/>
      <c r="AE47" s="241"/>
      <c r="AF47" s="241"/>
      <c r="AG47" s="241"/>
      <c r="AH47" s="241"/>
      <c r="AI47" s="241"/>
      <c r="AJ47" s="241"/>
      <c r="AK47" s="241"/>
      <c r="AL47" s="241"/>
      <c r="AM47" s="241"/>
      <c r="AN47" s="241"/>
      <c r="AO47" s="241"/>
      <c r="AP47" s="241"/>
      <c r="AQ47" s="241"/>
      <c r="AR47" s="241"/>
      <c r="AS47" s="241"/>
      <c r="AT47" s="241"/>
      <c r="AU47" s="241"/>
      <c r="AV47" s="241"/>
    </row>
    <row r="48" spans="1:48" x14ac:dyDescent="0.15">
      <c r="A48" s="245">
        <v>2009</v>
      </c>
      <c r="B48" s="245"/>
      <c r="C48" s="245"/>
      <c r="D48" s="245"/>
      <c r="E48" s="245"/>
      <c r="F48" s="245"/>
      <c r="G48" s="245"/>
      <c r="H48" s="245"/>
      <c r="I48" s="245"/>
      <c r="J48" s="245"/>
      <c r="K48" s="245"/>
      <c r="L48" s="245"/>
      <c r="M48" s="245"/>
      <c r="N48" s="245"/>
      <c r="O48" s="245"/>
      <c r="P48" s="245"/>
      <c r="Q48" s="245"/>
      <c r="R48" s="245"/>
      <c r="S48" s="246">
        <f t="shared" si="2"/>
        <v>2009</v>
      </c>
      <c r="T48" s="246">
        <f t="shared" si="2"/>
        <v>4761.6000000000004</v>
      </c>
      <c r="U48" s="252"/>
      <c r="V48" s="252"/>
      <c r="W48" s="252"/>
      <c r="X48" s="252"/>
      <c r="Y48" s="252"/>
      <c r="Z48" s="245"/>
      <c r="AA48" s="252"/>
      <c r="AB48" s="252"/>
      <c r="AC48" s="241"/>
      <c r="AD48" s="241"/>
      <c r="AE48" s="241"/>
      <c r="AF48" s="241"/>
      <c r="AG48" s="241"/>
      <c r="AH48" s="241"/>
      <c r="AI48" s="241"/>
      <c r="AJ48" s="241"/>
      <c r="AK48" s="241"/>
      <c r="AL48" s="241"/>
      <c r="AM48" s="241"/>
      <c r="AN48" s="241"/>
      <c r="AO48" s="241"/>
      <c r="AP48" s="241"/>
      <c r="AQ48" s="241"/>
      <c r="AR48" s="241"/>
      <c r="AS48" s="241"/>
      <c r="AT48" s="241"/>
      <c r="AU48" s="241"/>
      <c r="AV48" s="241"/>
    </row>
    <row r="49" spans="1:56" x14ac:dyDescent="0.15">
      <c r="A49" s="150" t="s">
        <v>197</v>
      </c>
      <c r="B49" s="245"/>
      <c r="C49" s="245"/>
      <c r="D49" s="245"/>
      <c r="E49" s="245"/>
      <c r="F49" s="245"/>
      <c r="G49" s="245"/>
      <c r="H49" s="245"/>
      <c r="I49" s="245"/>
      <c r="J49" s="245"/>
      <c r="K49" s="245"/>
      <c r="L49" s="245"/>
      <c r="M49" s="245"/>
      <c r="N49" s="245"/>
      <c r="O49" s="245"/>
      <c r="P49" s="245"/>
      <c r="Q49" s="245"/>
      <c r="R49" s="245"/>
      <c r="S49" s="246"/>
      <c r="T49" s="252"/>
      <c r="U49" s="252"/>
      <c r="V49" s="252"/>
      <c r="W49" s="252"/>
      <c r="X49" s="252"/>
      <c r="Y49" s="252"/>
      <c r="Z49" s="245"/>
      <c r="AA49" s="252"/>
      <c r="AB49" s="252"/>
      <c r="AC49" s="241"/>
      <c r="AD49" s="241"/>
      <c r="AE49" s="241"/>
      <c r="AF49" s="241"/>
      <c r="AG49" s="241"/>
      <c r="AH49" s="241"/>
      <c r="AI49" s="241"/>
      <c r="AJ49" s="241"/>
      <c r="AK49" s="241"/>
      <c r="AL49" s="241"/>
      <c r="AM49" s="241"/>
      <c r="AN49" s="241"/>
      <c r="AO49" s="241"/>
      <c r="AP49" s="241"/>
      <c r="AQ49" s="241"/>
      <c r="AR49" s="241"/>
      <c r="AS49" s="241"/>
      <c r="AT49" s="241"/>
      <c r="AU49" s="241"/>
      <c r="AV49" s="241"/>
    </row>
    <row r="50" spans="1:56" ht="14" x14ac:dyDescent="0.15">
      <c r="B50" s="150" t="s">
        <v>346</v>
      </c>
      <c r="C50" s="150"/>
      <c r="E50" s="150">
        <v>2014</v>
      </c>
      <c r="F50" s="150"/>
      <c r="G50" s="150"/>
      <c r="H50" s="150">
        <v>2013</v>
      </c>
      <c r="I50" s="150"/>
      <c r="J50" s="150"/>
      <c r="K50" s="150">
        <v>2012</v>
      </c>
      <c r="L50" s="150"/>
      <c r="M50" s="150"/>
      <c r="N50" s="150">
        <v>2011</v>
      </c>
      <c r="O50" s="150"/>
      <c r="P50" s="31">
        <v>2010</v>
      </c>
      <c r="Q50" s="150"/>
      <c r="R50" s="150"/>
      <c r="S50" s="241"/>
      <c r="T50" s="241">
        <v>2009</v>
      </c>
      <c r="U50" s="241"/>
      <c r="V50" s="241">
        <v>2008</v>
      </c>
      <c r="W50" s="241" t="s">
        <v>199</v>
      </c>
      <c r="X50" s="241"/>
      <c r="Y50" s="241"/>
      <c r="Z50" s="150">
        <v>2007</v>
      </c>
      <c r="AA50" s="241" t="s">
        <v>199</v>
      </c>
      <c r="AB50" s="241"/>
      <c r="AC50" s="241"/>
      <c r="AD50" s="241">
        <v>2006</v>
      </c>
      <c r="AE50" s="241" t="s">
        <v>199</v>
      </c>
      <c r="AF50" s="241">
        <v>1997</v>
      </c>
      <c r="AG50" s="241" t="s">
        <v>199</v>
      </c>
      <c r="AH50" s="241">
        <v>1998</v>
      </c>
      <c r="AI50" s="241"/>
      <c r="AJ50" s="241"/>
      <c r="AK50" s="241">
        <v>2000</v>
      </c>
      <c r="AL50" s="241"/>
      <c r="AM50" s="241"/>
      <c r="AN50" s="241">
        <v>2001</v>
      </c>
      <c r="AO50" s="241"/>
      <c r="AP50" s="241"/>
      <c r="AQ50" s="253">
        <v>1999</v>
      </c>
      <c r="AR50" s="253"/>
      <c r="AS50" s="241"/>
      <c r="AT50" s="241"/>
      <c r="AU50" s="241"/>
      <c r="AV50" s="31" t="s">
        <v>96</v>
      </c>
      <c r="AW50" s="31" t="s">
        <v>95</v>
      </c>
      <c r="AY50" s="31">
        <v>2002</v>
      </c>
      <c r="BB50" s="31">
        <v>2003</v>
      </c>
      <c r="BC50" s="31">
        <v>2004</v>
      </c>
      <c r="BD50" s="31">
        <v>2005</v>
      </c>
    </row>
    <row r="51" spans="1:56" ht="14" x14ac:dyDescent="0.15">
      <c r="A51" s="150">
        <v>1964</v>
      </c>
      <c r="B51" s="150">
        <f>Stdev!D286</f>
        <v>1868.9</v>
      </c>
      <c r="C51" s="150">
        <f>Stdev!E286/Stdev!D286</f>
        <v>0.23730001605222323</v>
      </c>
      <c r="D51" s="150">
        <v>1964</v>
      </c>
      <c r="E51" s="150">
        <v>1622.2</v>
      </c>
      <c r="F51" s="150">
        <v>0.21104672666748861</v>
      </c>
      <c r="G51" s="150">
        <v>1964</v>
      </c>
      <c r="H51" s="150">
        <v>1602</v>
      </c>
      <c r="I51" s="150">
        <v>0.21091136079900125</v>
      </c>
      <c r="J51" s="150">
        <v>1964</v>
      </c>
      <c r="K51" s="150">
        <v>1608.1</v>
      </c>
      <c r="L51" s="150">
        <v>0.21107518189167343</v>
      </c>
      <c r="M51" s="150">
        <v>1964</v>
      </c>
      <c r="N51" s="150">
        <v>1601.5</v>
      </c>
      <c r="O51" s="150">
        <v>0.21163908835466749</v>
      </c>
      <c r="P51" s="150">
        <v>1583.6</v>
      </c>
      <c r="Q51" s="150">
        <v>0.20549381156857793</v>
      </c>
      <c r="R51" s="150"/>
      <c r="S51" s="254">
        <v>1964</v>
      </c>
      <c r="T51" s="254">
        <v>1564.3</v>
      </c>
      <c r="U51" s="254">
        <v>0.2215623601610944</v>
      </c>
      <c r="V51" s="150">
        <v>1600</v>
      </c>
      <c r="W51" s="254">
        <v>0.21843124999999999</v>
      </c>
      <c r="X51" s="254"/>
      <c r="Y51" s="254">
        <v>1964</v>
      </c>
      <c r="Z51" s="31">
        <v>1716.6</v>
      </c>
      <c r="AA51" s="254">
        <v>0.23382849819410462</v>
      </c>
      <c r="AB51" s="254"/>
      <c r="AC51" s="254">
        <v>1964</v>
      </c>
      <c r="AD51" s="241">
        <v>1810.1</v>
      </c>
      <c r="AE51" s="255">
        <v>0.23257278603392079</v>
      </c>
      <c r="AF51" s="255"/>
      <c r="AG51" s="241"/>
      <c r="AH51" s="254">
        <v>1037</v>
      </c>
      <c r="AI51" s="241">
        <v>0.3</v>
      </c>
      <c r="AJ51" s="241"/>
      <c r="AK51" s="241">
        <v>751.26</v>
      </c>
      <c r="AL51" s="254">
        <v>1.1297553443548172</v>
      </c>
      <c r="AM51" s="241"/>
      <c r="AN51" s="252">
        <v>1725.5</v>
      </c>
      <c r="AO51" s="241">
        <v>0.45666763257026949</v>
      </c>
      <c r="AP51" s="241"/>
      <c r="AQ51" s="253">
        <v>917</v>
      </c>
      <c r="AR51" s="253"/>
      <c r="AS51" s="252"/>
      <c r="AT51" s="252"/>
      <c r="AU51" s="241"/>
      <c r="AV51" s="246">
        <v>1800</v>
      </c>
      <c r="AW51" s="31">
        <v>3000</v>
      </c>
      <c r="AX51" s="150"/>
      <c r="AY51" s="254">
        <v>1784</v>
      </c>
      <c r="AZ51" s="254"/>
      <c r="BA51" s="31">
        <v>1964</v>
      </c>
      <c r="BB51" s="31">
        <v>1822.3</v>
      </c>
      <c r="BC51" s="31">
        <v>1788.9</v>
      </c>
      <c r="BD51" s="31">
        <v>1779.2</v>
      </c>
    </row>
    <row r="52" spans="1:56" ht="14" x14ac:dyDescent="0.15">
      <c r="A52" s="150">
        <v>1965</v>
      </c>
      <c r="B52" s="150">
        <f>Stdev!D287</f>
        <v>2323.6999999999998</v>
      </c>
      <c r="C52" s="150">
        <f>Stdev!E287/Stdev!D287</f>
        <v>0.22033395016568405</v>
      </c>
      <c r="D52" s="150">
        <v>1965</v>
      </c>
      <c r="E52" s="150">
        <v>2076.6</v>
      </c>
      <c r="F52" s="150">
        <v>0.19514109602234422</v>
      </c>
      <c r="G52" s="150">
        <v>1965</v>
      </c>
      <c r="H52" s="150">
        <v>2051.4</v>
      </c>
      <c r="I52" s="150">
        <v>0.19538851516037828</v>
      </c>
      <c r="J52" s="150">
        <v>1965</v>
      </c>
      <c r="K52" s="150">
        <v>2059.1999999999998</v>
      </c>
      <c r="L52" s="150">
        <v>0.1954399766899767</v>
      </c>
      <c r="M52" s="150">
        <v>1965</v>
      </c>
      <c r="N52" s="150">
        <v>2050.3000000000002</v>
      </c>
      <c r="O52" s="150">
        <v>0.19616153733599959</v>
      </c>
      <c r="P52" s="150">
        <v>2000.5</v>
      </c>
      <c r="Q52" s="150">
        <v>0.19036240939765059</v>
      </c>
      <c r="R52" s="150"/>
      <c r="S52" s="254">
        <v>1965</v>
      </c>
      <c r="T52" s="254">
        <v>2007.8</v>
      </c>
      <c r="U52" s="254">
        <v>0.20112561012052993</v>
      </c>
      <c r="V52" s="150">
        <v>2050.4</v>
      </c>
      <c r="W52" s="254">
        <v>0.19908310573546623</v>
      </c>
      <c r="X52" s="254"/>
      <c r="Y52" s="254">
        <v>1965</v>
      </c>
      <c r="Z52" s="31">
        <v>2141.4</v>
      </c>
      <c r="AA52" s="254">
        <v>0.20812552535724291</v>
      </c>
      <c r="AB52" s="254"/>
      <c r="AC52" s="254">
        <v>1965</v>
      </c>
      <c r="AD52" s="241">
        <v>2230.9</v>
      </c>
      <c r="AE52" s="255">
        <v>0.20664305885517056</v>
      </c>
      <c r="AF52" s="255"/>
      <c r="AG52" s="241"/>
      <c r="AH52" s="254">
        <v>1227</v>
      </c>
      <c r="AI52" s="241">
        <v>0.26</v>
      </c>
      <c r="AJ52" s="241"/>
      <c r="AK52" s="241">
        <v>975.71</v>
      </c>
      <c r="AL52" s="254">
        <v>1.1014440766211271</v>
      </c>
      <c r="AM52" s="241"/>
      <c r="AN52" s="252">
        <v>2195.9</v>
      </c>
      <c r="AO52" s="241">
        <v>0.40036431531490502</v>
      </c>
      <c r="AP52" s="241"/>
      <c r="AQ52" s="253">
        <v>976</v>
      </c>
      <c r="AR52" s="253"/>
      <c r="AS52" s="252"/>
      <c r="AT52" s="252"/>
      <c r="AU52" s="241"/>
      <c r="AV52" s="246">
        <v>2000</v>
      </c>
      <c r="AW52" s="31">
        <v>2600</v>
      </c>
      <c r="AX52" s="150"/>
      <c r="AY52" s="254">
        <v>2266</v>
      </c>
      <c r="AZ52" s="254"/>
      <c r="BA52" s="31">
        <v>1965</v>
      </c>
      <c r="BB52" s="31">
        <v>2311.9</v>
      </c>
      <c r="BC52" s="31">
        <v>2271.6999999999998</v>
      </c>
      <c r="BD52" s="31">
        <v>2221.5</v>
      </c>
    </row>
    <row r="53" spans="1:56" ht="14" x14ac:dyDescent="0.15">
      <c r="A53" s="150">
        <v>1966</v>
      </c>
      <c r="B53" s="150">
        <f>Stdev!D288</f>
        <v>2562.9</v>
      </c>
      <c r="C53" s="150">
        <f>Stdev!E288/Stdev!D288</f>
        <v>0.21659448281243904</v>
      </c>
      <c r="D53" s="150">
        <v>1966</v>
      </c>
      <c r="E53" s="150">
        <v>2186.3000000000002</v>
      </c>
      <c r="F53" s="150">
        <v>0.19887938526277271</v>
      </c>
      <c r="G53" s="150">
        <v>1966</v>
      </c>
      <c r="H53" s="150">
        <v>2149.6</v>
      </c>
      <c r="I53" s="150">
        <v>0.1997953107554894</v>
      </c>
      <c r="J53" s="150">
        <v>1966</v>
      </c>
      <c r="K53" s="150">
        <v>2157.4</v>
      </c>
      <c r="L53" s="150">
        <v>0.19975896912950772</v>
      </c>
      <c r="M53" s="150">
        <v>1966</v>
      </c>
      <c r="N53" s="150">
        <v>2158.8000000000002</v>
      </c>
      <c r="O53" s="150">
        <v>0.20017139151380395</v>
      </c>
      <c r="P53" s="150">
        <v>1935.9</v>
      </c>
      <c r="Q53" s="150">
        <v>0.20580608502505293</v>
      </c>
      <c r="R53" s="150"/>
      <c r="S53" s="254">
        <v>1966</v>
      </c>
      <c r="T53" s="254">
        <v>1947.4</v>
      </c>
      <c r="U53" s="254">
        <v>0.21533839991783918</v>
      </c>
      <c r="V53" s="150">
        <v>2007.1</v>
      </c>
      <c r="W53" s="254">
        <v>0.21282447312042252</v>
      </c>
      <c r="X53" s="254"/>
      <c r="Y53" s="254">
        <v>1966</v>
      </c>
      <c r="Z53" s="31">
        <v>2037.4</v>
      </c>
      <c r="AA53" s="254">
        <v>0.22059978403848041</v>
      </c>
      <c r="AB53" s="254"/>
      <c r="AC53" s="254">
        <v>1966</v>
      </c>
      <c r="AD53" s="241">
        <v>2251.5</v>
      </c>
      <c r="AE53" s="255">
        <v>0.21022429491450145</v>
      </c>
      <c r="AF53" s="255"/>
      <c r="AG53" s="241"/>
      <c r="AH53" s="254">
        <v>1096</v>
      </c>
      <c r="AI53" s="241">
        <v>0.28000000000000003</v>
      </c>
      <c r="AJ53" s="241"/>
      <c r="AK53" s="241">
        <v>1000.8</v>
      </c>
      <c r="AL53" s="254">
        <v>1.0054956035171863</v>
      </c>
      <c r="AM53" s="241"/>
      <c r="AN53" s="252">
        <v>2250.6999999999998</v>
      </c>
      <c r="AO53" s="241">
        <v>0.40572266406007024</v>
      </c>
      <c r="AP53" s="241"/>
      <c r="AQ53" s="253">
        <v>919</v>
      </c>
      <c r="AR53" s="253"/>
      <c r="AS53" s="252"/>
      <c r="AT53" s="252"/>
      <c r="AU53" s="241"/>
      <c r="AV53" s="246">
        <v>2900</v>
      </c>
      <c r="AW53" s="31">
        <v>2800</v>
      </c>
      <c r="AX53" s="150"/>
      <c r="AY53" s="254">
        <v>2324</v>
      </c>
      <c r="AZ53" s="254"/>
      <c r="BA53" s="31">
        <v>1966</v>
      </c>
      <c r="BB53" s="31">
        <v>2371.6</v>
      </c>
      <c r="BC53" s="31">
        <v>2326</v>
      </c>
      <c r="BD53" s="31">
        <v>2287.9</v>
      </c>
    </row>
    <row r="54" spans="1:56" ht="14" x14ac:dyDescent="0.15">
      <c r="A54" s="150">
        <v>1967</v>
      </c>
      <c r="B54" s="150">
        <f>Stdev!D289</f>
        <v>3888.1</v>
      </c>
      <c r="C54" s="150">
        <f>Stdev!E289/Stdev!D289</f>
        <v>0.18612432807798152</v>
      </c>
      <c r="D54" s="150">
        <v>1967</v>
      </c>
      <c r="E54" s="150">
        <v>3397.3</v>
      </c>
      <c r="F54" s="150">
        <v>0.16106614075883791</v>
      </c>
      <c r="G54" s="150">
        <v>1967</v>
      </c>
      <c r="H54" s="150">
        <v>3344</v>
      </c>
      <c r="I54" s="150">
        <v>0.16160287081339711</v>
      </c>
      <c r="J54" s="150">
        <v>1967</v>
      </c>
      <c r="K54" s="150">
        <v>3352.9</v>
      </c>
      <c r="L54" s="150">
        <v>0.16157952816964419</v>
      </c>
      <c r="M54" s="150">
        <v>1967</v>
      </c>
      <c r="N54" s="150">
        <v>3364.8</v>
      </c>
      <c r="O54" s="150">
        <v>0.16192641464574417</v>
      </c>
      <c r="P54" s="150">
        <v>3130</v>
      </c>
      <c r="Q54" s="150">
        <v>0.16605431309904153</v>
      </c>
      <c r="R54" s="150"/>
      <c r="S54" s="254">
        <v>1967</v>
      </c>
      <c r="T54" s="254">
        <v>3148.8</v>
      </c>
      <c r="U54" s="254">
        <v>0.1702045223577236</v>
      </c>
      <c r="V54" s="150">
        <v>3245.1</v>
      </c>
      <c r="W54" s="254">
        <v>0.16550491510277035</v>
      </c>
      <c r="X54" s="254"/>
      <c r="Y54" s="254">
        <v>1967</v>
      </c>
      <c r="Z54" s="31">
        <v>3206.1</v>
      </c>
      <c r="AA54" s="254">
        <v>0.17527525654221643</v>
      </c>
      <c r="AB54" s="254"/>
      <c r="AC54" s="254">
        <v>1967</v>
      </c>
      <c r="AD54" s="241">
        <v>3517.9</v>
      </c>
      <c r="AE54" s="255">
        <v>0.1661985843827283</v>
      </c>
      <c r="AF54" s="255"/>
      <c r="AG54" s="241"/>
      <c r="AH54" s="254">
        <v>2095</v>
      </c>
      <c r="AI54" s="241">
        <v>0.22</v>
      </c>
      <c r="AJ54" s="241"/>
      <c r="AK54" s="241">
        <v>1957</v>
      </c>
      <c r="AL54" s="254">
        <v>0.65820132856412872</v>
      </c>
      <c r="AM54" s="241"/>
      <c r="AN54" s="252">
        <v>3420.3</v>
      </c>
      <c r="AO54" s="241">
        <v>0.33067859544484401</v>
      </c>
      <c r="AP54" s="241"/>
      <c r="AQ54" s="253">
        <v>1858</v>
      </c>
      <c r="AR54" s="253"/>
      <c r="AS54" s="252"/>
      <c r="AT54" s="252"/>
      <c r="AU54" s="241"/>
      <c r="AV54" s="246">
        <v>4000</v>
      </c>
      <c r="AW54" s="31">
        <v>3300</v>
      </c>
      <c r="AX54" s="150"/>
      <c r="AY54" s="254">
        <v>3511</v>
      </c>
      <c r="AZ54" s="254"/>
      <c r="BA54" s="31">
        <v>1967</v>
      </c>
      <c r="BB54" s="31">
        <v>3574.6</v>
      </c>
      <c r="BC54" s="31">
        <v>3514.3</v>
      </c>
      <c r="BD54" s="31">
        <v>3482.6</v>
      </c>
    </row>
    <row r="55" spans="1:56" ht="14" x14ac:dyDescent="0.15">
      <c r="A55" s="150">
        <v>1968</v>
      </c>
      <c r="B55" s="150">
        <f>Stdev!D290</f>
        <v>4495</v>
      </c>
      <c r="C55" s="150">
        <f>Stdev!E290/Stdev!D290</f>
        <v>0.1847630700778643</v>
      </c>
      <c r="D55" s="150">
        <v>1968</v>
      </c>
      <c r="E55" s="150">
        <v>3870.9</v>
      </c>
      <c r="F55" s="150">
        <v>0.16878245369293962</v>
      </c>
      <c r="G55" s="150">
        <v>1968</v>
      </c>
      <c r="H55" s="150">
        <v>3800</v>
      </c>
      <c r="I55" s="150">
        <v>0.16972368421052633</v>
      </c>
      <c r="J55" s="150">
        <v>1968</v>
      </c>
      <c r="K55" s="150">
        <v>3808.5</v>
      </c>
      <c r="L55" s="150">
        <v>0.1696941052907969</v>
      </c>
      <c r="M55" s="150">
        <v>1968</v>
      </c>
      <c r="N55" s="150">
        <v>3838.1</v>
      </c>
      <c r="O55" s="150">
        <v>0.16956045960240743</v>
      </c>
      <c r="P55" s="150">
        <v>3475.5</v>
      </c>
      <c r="Q55" s="150">
        <v>0.18270464681340814</v>
      </c>
      <c r="R55" s="150"/>
      <c r="S55" s="254">
        <v>1968</v>
      </c>
      <c r="T55" s="254">
        <v>3510.3</v>
      </c>
      <c r="U55" s="254">
        <v>0.18651112440532147</v>
      </c>
      <c r="V55" s="150">
        <v>3591.5</v>
      </c>
      <c r="W55" s="254">
        <v>0.18082973687874149</v>
      </c>
      <c r="X55" s="254"/>
      <c r="Y55" s="254">
        <v>1968</v>
      </c>
      <c r="Z55" s="31">
        <v>3558.1</v>
      </c>
      <c r="AA55" s="254">
        <v>0.18782496276102414</v>
      </c>
      <c r="AB55" s="254"/>
      <c r="AC55" s="254">
        <v>1968</v>
      </c>
      <c r="AD55" s="241">
        <v>3881.4</v>
      </c>
      <c r="AE55" s="255">
        <v>0.16789045189879939</v>
      </c>
      <c r="AF55" s="255"/>
      <c r="AG55" s="241"/>
      <c r="AH55" s="254">
        <v>2510</v>
      </c>
      <c r="AI55" s="241">
        <v>0.23</v>
      </c>
      <c r="AJ55" s="241"/>
      <c r="AK55" s="241">
        <v>2311.9</v>
      </c>
      <c r="AL55" s="254">
        <v>0.55348414723820227</v>
      </c>
      <c r="AM55" s="241"/>
      <c r="AN55" s="252">
        <v>3875.6</v>
      </c>
      <c r="AO55" s="241">
        <v>0.34454020022706161</v>
      </c>
      <c r="AP55" s="241"/>
      <c r="AQ55" s="253">
        <v>2312</v>
      </c>
      <c r="AR55" s="253"/>
      <c r="AS55" s="252"/>
      <c r="AT55" s="252"/>
      <c r="AU55" s="241"/>
      <c r="AV55" s="246">
        <v>6400</v>
      </c>
      <c r="AW55" s="31">
        <v>4600</v>
      </c>
      <c r="AX55" s="150"/>
      <c r="AY55" s="254">
        <v>3976</v>
      </c>
      <c r="AZ55" s="254"/>
      <c r="BA55" s="31">
        <v>1968</v>
      </c>
      <c r="BB55" s="31">
        <v>4048.8</v>
      </c>
      <c r="BC55" s="31">
        <v>3976.2</v>
      </c>
      <c r="BD55" s="31">
        <v>3881.2</v>
      </c>
    </row>
    <row r="56" spans="1:56" ht="14" x14ac:dyDescent="0.15">
      <c r="A56" s="150">
        <v>1969</v>
      </c>
      <c r="B56" s="150">
        <f>Stdev!D291</f>
        <v>5690</v>
      </c>
      <c r="C56" s="150">
        <f>Stdev!E291/Stdev!D291</f>
        <v>0.16463620386643232</v>
      </c>
      <c r="D56" s="150">
        <v>1969</v>
      </c>
      <c r="E56" s="150">
        <v>5220.3999999999996</v>
      </c>
      <c r="F56" s="150">
        <v>0.15995517584859398</v>
      </c>
      <c r="G56" s="150">
        <v>1969</v>
      </c>
      <c r="H56" s="150">
        <v>5145.2</v>
      </c>
      <c r="I56" s="150">
        <v>0.16101220555080464</v>
      </c>
      <c r="J56" s="150">
        <v>1969</v>
      </c>
      <c r="K56" s="150">
        <v>5154.3</v>
      </c>
      <c r="L56" s="150">
        <v>0.1609083677705993</v>
      </c>
      <c r="M56" s="150">
        <v>1969</v>
      </c>
      <c r="N56" s="150">
        <v>5187.1000000000004</v>
      </c>
      <c r="O56" s="150">
        <v>0.1605077981916678</v>
      </c>
      <c r="P56" s="150">
        <v>4867.7</v>
      </c>
      <c r="Q56" s="150">
        <v>0.16905520060809007</v>
      </c>
      <c r="R56" s="150"/>
      <c r="S56" s="254">
        <v>1969</v>
      </c>
      <c r="T56" s="254">
        <v>5006.8999999999996</v>
      </c>
      <c r="U56" s="254">
        <v>0.16697956819588969</v>
      </c>
      <c r="V56" s="150">
        <v>5019.8999999999996</v>
      </c>
      <c r="W56" s="254">
        <v>0.16678419888842408</v>
      </c>
      <c r="X56" s="254"/>
      <c r="Y56" s="254">
        <v>1969</v>
      </c>
      <c r="Z56" s="31">
        <v>5117.6000000000004</v>
      </c>
      <c r="AA56" s="254">
        <v>0.16757855244645928</v>
      </c>
      <c r="AB56" s="254"/>
      <c r="AC56" s="254">
        <v>1969</v>
      </c>
      <c r="AD56" s="241">
        <v>5057.8999999999996</v>
      </c>
      <c r="AE56" s="255">
        <v>0.16274145396310724</v>
      </c>
      <c r="AF56" s="255"/>
      <c r="AG56" s="241"/>
      <c r="AH56" s="254">
        <v>3810</v>
      </c>
      <c r="AI56" s="241">
        <v>0.19</v>
      </c>
      <c r="AJ56" s="241"/>
      <c r="AK56" s="241">
        <v>3379.1</v>
      </c>
      <c r="AL56" s="254">
        <v>0.48557308158977236</v>
      </c>
      <c r="AM56" s="241"/>
      <c r="AN56" s="252">
        <v>5137</v>
      </c>
      <c r="AO56" s="241">
        <v>0.31938874829667124</v>
      </c>
      <c r="AP56" s="241"/>
      <c r="AQ56" s="253">
        <v>3579</v>
      </c>
      <c r="AR56" s="253"/>
      <c r="AS56" s="252"/>
      <c r="AT56" s="252"/>
      <c r="AU56" s="241"/>
      <c r="AV56" s="246">
        <v>8000</v>
      </c>
      <c r="AW56" s="31">
        <v>5600</v>
      </c>
      <c r="AX56" s="150"/>
      <c r="AY56" s="254">
        <v>5252</v>
      </c>
      <c r="AZ56" s="254"/>
      <c r="BA56" s="31">
        <v>1969</v>
      </c>
      <c r="BB56" s="31">
        <v>5339.9</v>
      </c>
      <c r="BC56" s="31">
        <v>5258.3</v>
      </c>
      <c r="BD56" s="31">
        <v>5322.8</v>
      </c>
    </row>
    <row r="57" spans="1:56" ht="14" x14ac:dyDescent="0.15">
      <c r="A57" s="150">
        <v>1970</v>
      </c>
      <c r="B57" s="150">
        <f>Stdev!D292</f>
        <v>6423.9</v>
      </c>
      <c r="C57" s="150">
        <f>Stdev!E292/Stdev!D292</f>
        <v>0.15182832858543877</v>
      </c>
      <c r="D57" s="150">
        <v>1970</v>
      </c>
      <c r="E57" s="150">
        <v>6252.8</v>
      </c>
      <c r="F57" s="150">
        <v>0.15315538638689866</v>
      </c>
      <c r="G57" s="150">
        <v>1970</v>
      </c>
      <c r="H57" s="150">
        <v>6178.6</v>
      </c>
      <c r="I57" s="150">
        <v>0.1541918881299971</v>
      </c>
      <c r="J57" s="150">
        <v>1970</v>
      </c>
      <c r="K57" s="150">
        <v>6187.9</v>
      </c>
      <c r="L57" s="150">
        <v>0.15415084277380048</v>
      </c>
      <c r="M57" s="150">
        <v>1970</v>
      </c>
      <c r="N57" s="150">
        <v>6221.4</v>
      </c>
      <c r="O57" s="150">
        <v>0.15356672131674542</v>
      </c>
      <c r="P57" s="150">
        <v>5962.2</v>
      </c>
      <c r="Q57" s="150">
        <v>0.15815303076045756</v>
      </c>
      <c r="R57" s="150"/>
      <c r="S57" s="254">
        <v>1970</v>
      </c>
      <c r="T57" s="254">
        <v>6158.5</v>
      </c>
      <c r="U57" s="254">
        <v>0.1539725582528213</v>
      </c>
      <c r="V57" s="150">
        <v>6005.2</v>
      </c>
      <c r="W57" s="254">
        <v>0.16142176780123893</v>
      </c>
      <c r="X57" s="254"/>
      <c r="Y57" s="254">
        <v>1970</v>
      </c>
      <c r="Z57" s="31">
        <v>6368.2</v>
      </c>
      <c r="AA57" s="254">
        <v>0.1514855061084765</v>
      </c>
      <c r="AB57" s="254"/>
      <c r="AC57" s="254">
        <v>1970</v>
      </c>
      <c r="AD57" s="241">
        <v>5929.2</v>
      </c>
      <c r="AE57" s="255">
        <v>0.15528064494366864</v>
      </c>
      <c r="AF57" s="255"/>
      <c r="AG57" s="241"/>
      <c r="AH57" s="254">
        <v>5083</v>
      </c>
      <c r="AI57" s="241">
        <v>0.15</v>
      </c>
      <c r="AJ57" s="241"/>
      <c r="AK57" s="241">
        <v>3997.5</v>
      </c>
      <c r="AL57" s="254">
        <v>0.50223889931207</v>
      </c>
      <c r="AM57" s="241"/>
      <c r="AN57" s="252">
        <v>6079.3</v>
      </c>
      <c r="AO57" s="241">
        <v>0.30213675916635135</v>
      </c>
      <c r="AP57" s="241"/>
      <c r="AQ57" s="253">
        <v>4479</v>
      </c>
      <c r="AR57" s="253"/>
      <c r="AS57" s="252"/>
      <c r="AT57" s="252"/>
      <c r="AU57" s="241"/>
      <c r="AV57" s="246">
        <v>9000</v>
      </c>
      <c r="AW57" s="31">
        <v>6600</v>
      </c>
      <c r="AX57" s="150"/>
      <c r="AY57" s="254">
        <v>6201</v>
      </c>
      <c r="AZ57" s="254"/>
      <c r="BA57" s="31">
        <v>1970</v>
      </c>
      <c r="BB57" s="31">
        <v>6296.1</v>
      </c>
      <c r="BC57" s="31">
        <v>6210.8</v>
      </c>
      <c r="BD57" s="31">
        <v>6447.3</v>
      </c>
    </row>
    <row r="58" spans="1:56" ht="14" x14ac:dyDescent="0.15">
      <c r="A58" s="150">
        <v>1971</v>
      </c>
      <c r="B58" s="150">
        <f>Stdev!D293</f>
        <v>6858.4</v>
      </c>
      <c r="C58" s="150">
        <f>Stdev!E293/Stdev!D293</f>
        <v>0.13602735331855825</v>
      </c>
      <c r="D58" s="150">
        <v>1971</v>
      </c>
      <c r="E58" s="150">
        <v>6945.8</v>
      </c>
      <c r="F58" s="150">
        <v>0.13548619309510782</v>
      </c>
      <c r="G58" s="150">
        <v>1971</v>
      </c>
      <c r="H58" s="150">
        <v>6884.2</v>
      </c>
      <c r="I58" s="150">
        <v>0.13585166032363966</v>
      </c>
      <c r="J58" s="150">
        <v>1971</v>
      </c>
      <c r="K58" s="150">
        <v>6893.7</v>
      </c>
      <c r="L58" s="150">
        <v>0.13588203722239148</v>
      </c>
      <c r="M58" s="150">
        <v>1971</v>
      </c>
      <c r="N58" s="150">
        <v>6917.7</v>
      </c>
      <c r="O58" s="150">
        <v>0.1357069546236466</v>
      </c>
      <c r="P58" s="150">
        <v>6774.6</v>
      </c>
      <c r="Q58" s="150">
        <v>0.13277389070941456</v>
      </c>
      <c r="R58" s="150"/>
      <c r="S58" s="254">
        <v>1971</v>
      </c>
      <c r="T58" s="254">
        <v>6949.4</v>
      </c>
      <c r="U58" s="254">
        <v>0.13017670590266786</v>
      </c>
      <c r="V58" s="150">
        <v>6726.5</v>
      </c>
      <c r="W58" s="254">
        <v>0.13730469040362744</v>
      </c>
      <c r="X58" s="254"/>
      <c r="Y58" s="254">
        <v>1971</v>
      </c>
      <c r="Z58" s="31">
        <v>7163.5</v>
      </c>
      <c r="AA58" s="254">
        <v>0.13315976826970055</v>
      </c>
      <c r="AB58" s="254"/>
      <c r="AC58" s="254">
        <v>1971</v>
      </c>
      <c r="AD58" s="241">
        <v>6616.7</v>
      </c>
      <c r="AE58" s="255">
        <v>0.13384466576994575</v>
      </c>
      <c r="AF58" s="255"/>
      <c r="AG58" s="241"/>
      <c r="AH58" s="254">
        <v>5813</v>
      </c>
      <c r="AI58" s="241">
        <v>0.12</v>
      </c>
      <c r="AJ58" s="241"/>
      <c r="AK58" s="241">
        <v>4371.7</v>
      </c>
      <c r="AL58" s="254">
        <v>0.5386462932040168</v>
      </c>
      <c r="AM58" s="241"/>
      <c r="AN58" s="252">
        <v>6579.5</v>
      </c>
      <c r="AO58" s="241">
        <v>0.27555285356030096</v>
      </c>
      <c r="AP58" s="241"/>
      <c r="AQ58" s="253">
        <v>5161</v>
      </c>
      <c r="AR58" s="253"/>
      <c r="AS58" s="252"/>
      <c r="AT58" s="252"/>
      <c r="AU58" s="241"/>
      <c r="AV58" s="246">
        <v>10000</v>
      </c>
      <c r="AW58" s="31">
        <v>6600</v>
      </c>
      <c r="AX58" s="150"/>
      <c r="AY58" s="254">
        <v>6702</v>
      </c>
      <c r="AZ58" s="254"/>
      <c r="BA58" s="31">
        <v>1971</v>
      </c>
      <c r="BB58" s="31">
        <v>6796.5</v>
      </c>
      <c r="BC58" s="31">
        <v>6713.8</v>
      </c>
      <c r="BD58" s="31">
        <v>7144.8</v>
      </c>
    </row>
    <row r="59" spans="1:56" ht="14" x14ac:dyDescent="0.15">
      <c r="A59" s="150">
        <v>1972</v>
      </c>
      <c r="B59" s="150">
        <f>Stdev!D294</f>
        <v>6430.6</v>
      </c>
      <c r="C59" s="150">
        <f>Stdev!E294/Stdev!D294</f>
        <v>0.1293083071564084</v>
      </c>
      <c r="D59" s="150">
        <v>1972</v>
      </c>
      <c r="E59" s="150">
        <v>6353</v>
      </c>
      <c r="F59" s="150">
        <v>0.13540217220210923</v>
      </c>
      <c r="G59" s="150">
        <v>1972</v>
      </c>
      <c r="H59" s="150">
        <v>6299</v>
      </c>
      <c r="I59" s="150">
        <v>0.13560882679790442</v>
      </c>
      <c r="J59" s="150">
        <v>1972</v>
      </c>
      <c r="K59" s="150">
        <v>6308.1</v>
      </c>
      <c r="L59" s="150">
        <v>0.13566842630903123</v>
      </c>
      <c r="M59" s="150">
        <v>1972</v>
      </c>
      <c r="N59" s="150">
        <v>6328.9</v>
      </c>
      <c r="O59" s="150">
        <v>0.13555910189764417</v>
      </c>
      <c r="P59" s="150">
        <v>6268.2</v>
      </c>
      <c r="Q59" s="150">
        <v>0.13017453176350469</v>
      </c>
      <c r="R59" s="150"/>
      <c r="S59" s="254">
        <v>1972</v>
      </c>
      <c r="T59" s="254">
        <v>6444.4</v>
      </c>
      <c r="U59" s="254">
        <v>0.12752467258394887</v>
      </c>
      <c r="V59" s="150">
        <v>6288.8</v>
      </c>
      <c r="W59" s="254">
        <v>0.13560297672051902</v>
      </c>
      <c r="X59" s="254"/>
      <c r="Y59" s="254">
        <v>1972</v>
      </c>
      <c r="Z59" s="31">
        <v>6665.8</v>
      </c>
      <c r="AA59" s="254">
        <v>0.1314980947523178</v>
      </c>
      <c r="AB59" s="254"/>
      <c r="AC59" s="254">
        <v>1972</v>
      </c>
      <c r="AD59" s="241">
        <v>6265.1</v>
      </c>
      <c r="AE59" s="255">
        <v>0.13157491500534707</v>
      </c>
      <c r="AF59" s="255"/>
      <c r="AG59" s="241"/>
      <c r="AH59" s="254">
        <v>5648</v>
      </c>
      <c r="AI59" s="241">
        <v>0.11</v>
      </c>
      <c r="AJ59" s="241"/>
      <c r="AK59" s="241">
        <v>3983.8</v>
      </c>
      <c r="AL59" s="254">
        <v>0.57859330287665045</v>
      </c>
      <c r="AM59" s="241"/>
      <c r="AN59" s="252">
        <v>6078.1</v>
      </c>
      <c r="AO59" s="241">
        <v>0.266316776624274</v>
      </c>
      <c r="AP59" s="241"/>
      <c r="AQ59" s="253">
        <v>4896</v>
      </c>
      <c r="AR59" s="253"/>
      <c r="AS59" s="252"/>
      <c r="AT59" s="252"/>
      <c r="AU59" s="241"/>
      <c r="AV59" s="246">
        <v>9900</v>
      </c>
      <c r="AW59" s="31">
        <v>6500</v>
      </c>
      <c r="AX59" s="150"/>
      <c r="AY59" s="254">
        <v>6194</v>
      </c>
      <c r="AZ59" s="254"/>
      <c r="BA59" s="31">
        <v>1972</v>
      </c>
      <c r="BB59" s="31">
        <v>6281.7</v>
      </c>
      <c r="BC59" s="31">
        <v>6204.4</v>
      </c>
      <c r="BD59" s="31">
        <v>6692.3</v>
      </c>
    </row>
    <row r="60" spans="1:56" ht="14" x14ac:dyDescent="0.15">
      <c r="A60" s="150">
        <v>1973</v>
      </c>
      <c r="B60" s="150">
        <f>Stdev!D295</f>
        <v>5161.2</v>
      </c>
      <c r="C60" s="150">
        <f>Stdev!E295/Stdev!D295</f>
        <v>0.14219173835542123</v>
      </c>
      <c r="D60" s="150">
        <v>1973</v>
      </c>
      <c r="E60" s="150">
        <v>4748.6000000000004</v>
      </c>
      <c r="F60" s="150">
        <v>0.16198458493029524</v>
      </c>
      <c r="G60" s="150">
        <v>1973</v>
      </c>
      <c r="H60" s="150">
        <v>4692</v>
      </c>
      <c r="I60" s="150">
        <v>0.16279624893435635</v>
      </c>
      <c r="J60" s="150">
        <v>1973</v>
      </c>
      <c r="K60" s="150">
        <v>4700.2</v>
      </c>
      <c r="L60" s="150">
        <v>0.16284626186119738</v>
      </c>
      <c r="M60" s="150">
        <v>1973</v>
      </c>
      <c r="N60" s="150">
        <v>4727.6000000000004</v>
      </c>
      <c r="O60" s="150">
        <v>0.16224299856163801</v>
      </c>
      <c r="P60" s="150">
        <v>4538.8</v>
      </c>
      <c r="Q60" s="150">
        <v>0.15960826650215915</v>
      </c>
      <c r="R60" s="150"/>
      <c r="S60" s="254">
        <v>1973</v>
      </c>
      <c r="T60" s="254">
        <v>4695.5</v>
      </c>
      <c r="U60" s="254">
        <v>0.15611117026940688</v>
      </c>
      <c r="V60" s="150">
        <v>4555.8999999999996</v>
      </c>
      <c r="W60" s="254">
        <v>0.16707346517702321</v>
      </c>
      <c r="X60" s="254"/>
      <c r="Y60" s="254">
        <v>1973</v>
      </c>
      <c r="Z60" s="31">
        <v>4941.8</v>
      </c>
      <c r="AA60" s="254">
        <v>0.15914039418835244</v>
      </c>
      <c r="AB60" s="254"/>
      <c r="AC60" s="254">
        <v>1973</v>
      </c>
      <c r="AD60" s="241">
        <v>4750.7</v>
      </c>
      <c r="AE60" s="255">
        <v>0.15606752689077399</v>
      </c>
      <c r="AF60" s="255"/>
      <c r="AG60" s="241"/>
      <c r="AH60" s="254">
        <v>3922</v>
      </c>
      <c r="AI60" s="241">
        <v>0.14000000000000001</v>
      </c>
      <c r="AJ60" s="241"/>
      <c r="AK60" s="241">
        <v>2872.5</v>
      </c>
      <c r="AL60" s="254">
        <v>0.58604003481288069</v>
      </c>
      <c r="AM60" s="241"/>
      <c r="AN60" s="252">
        <v>4519.5</v>
      </c>
      <c r="AO60" s="241">
        <v>0.31586679942471513</v>
      </c>
      <c r="AP60" s="241"/>
      <c r="AQ60" s="253">
        <v>3357</v>
      </c>
      <c r="AR60" s="253"/>
      <c r="AS60" s="252"/>
      <c r="AT60" s="252"/>
      <c r="AU60" s="241"/>
      <c r="AV60" s="246">
        <v>9000</v>
      </c>
      <c r="AW60" s="31">
        <v>5700</v>
      </c>
      <c r="AX60" s="150"/>
      <c r="AY60" s="254">
        <v>4626</v>
      </c>
      <c r="AZ60" s="254"/>
      <c r="BA60" s="31">
        <v>1973</v>
      </c>
      <c r="BB60" s="31">
        <v>4705.1000000000004</v>
      </c>
      <c r="BC60" s="31">
        <v>4631.6000000000004</v>
      </c>
      <c r="BD60" s="31">
        <v>5054.7</v>
      </c>
    </row>
    <row r="61" spans="1:56" ht="14" x14ac:dyDescent="0.15">
      <c r="A61" s="150">
        <v>1974</v>
      </c>
      <c r="B61" s="150">
        <f>Stdev!D296</f>
        <v>3845.8</v>
      </c>
      <c r="C61" s="150">
        <f>Stdev!E296/Stdev!D296</f>
        <v>0.16542201882573196</v>
      </c>
      <c r="D61" s="150">
        <v>1974</v>
      </c>
      <c r="E61" s="150">
        <v>3348.1</v>
      </c>
      <c r="F61" s="150">
        <v>0.19820793883097876</v>
      </c>
      <c r="G61" s="150">
        <v>1974</v>
      </c>
      <c r="H61" s="150">
        <v>3291.1</v>
      </c>
      <c r="I61" s="150">
        <v>0.20018534836376897</v>
      </c>
      <c r="J61" s="150">
        <v>1974</v>
      </c>
      <c r="K61" s="150">
        <v>3298.4</v>
      </c>
      <c r="L61" s="150">
        <v>0.200187969924812</v>
      </c>
      <c r="M61" s="150">
        <v>1974</v>
      </c>
      <c r="N61" s="150">
        <v>3329.3</v>
      </c>
      <c r="O61" s="150">
        <v>0.19861832817709427</v>
      </c>
      <c r="P61" s="150">
        <v>3077.6</v>
      </c>
      <c r="Q61" s="150">
        <v>0.2032492851572654</v>
      </c>
      <c r="R61" s="150"/>
      <c r="S61" s="254">
        <v>1974</v>
      </c>
      <c r="T61" s="254">
        <v>3195.5</v>
      </c>
      <c r="U61" s="254">
        <v>0.19938037865748709</v>
      </c>
      <c r="V61" s="150">
        <v>3064.3</v>
      </c>
      <c r="W61" s="254">
        <v>0.21800737525699179</v>
      </c>
      <c r="X61" s="254"/>
      <c r="Y61" s="254">
        <v>1974</v>
      </c>
      <c r="Z61" s="31">
        <v>3474.7</v>
      </c>
      <c r="AA61" s="254">
        <v>0.19797392580654447</v>
      </c>
      <c r="AB61" s="254"/>
      <c r="AC61" s="254">
        <v>1974</v>
      </c>
      <c r="AD61" s="241">
        <v>3460.1</v>
      </c>
      <c r="AE61" s="255">
        <v>0.18752348198028959</v>
      </c>
      <c r="AF61" s="255"/>
      <c r="AG61" s="241"/>
      <c r="AH61" s="254">
        <v>2342</v>
      </c>
      <c r="AI61" s="241">
        <v>0.19</v>
      </c>
      <c r="AJ61" s="241"/>
      <c r="AK61" s="241">
        <v>1648.3</v>
      </c>
      <c r="AL61" s="254">
        <v>0.85906691743007968</v>
      </c>
      <c r="AM61" s="241"/>
      <c r="AN61" s="252">
        <v>3193.3</v>
      </c>
      <c r="AO61" s="241">
        <v>0.38574515391601161</v>
      </c>
      <c r="AP61" s="241"/>
      <c r="AQ61" s="253">
        <v>1952</v>
      </c>
      <c r="AR61" s="253"/>
      <c r="AS61" s="252"/>
      <c r="AT61" s="252"/>
      <c r="AU61" s="241"/>
      <c r="AV61" s="246">
        <v>6400</v>
      </c>
      <c r="AW61" s="31">
        <v>3800</v>
      </c>
      <c r="AX61" s="150"/>
      <c r="AY61" s="254">
        <v>3287</v>
      </c>
      <c r="AZ61" s="254"/>
      <c r="BA61" s="31">
        <v>1974</v>
      </c>
      <c r="BB61" s="31">
        <v>3355.8</v>
      </c>
      <c r="BC61" s="31">
        <v>3288.2</v>
      </c>
      <c r="BD61" s="31">
        <v>3634.5</v>
      </c>
    </row>
    <row r="62" spans="1:56" ht="14" x14ac:dyDescent="0.15">
      <c r="A62" s="150">
        <v>1975</v>
      </c>
      <c r="B62" s="150">
        <f>Stdev!D297</f>
        <v>3868.4</v>
      </c>
      <c r="C62" s="150">
        <f>Stdev!E297/Stdev!D297</f>
        <v>0.12891893289215178</v>
      </c>
      <c r="D62" s="150">
        <v>1975</v>
      </c>
      <c r="E62" s="150">
        <v>3554.2</v>
      </c>
      <c r="F62" s="150">
        <v>0.13745146587136345</v>
      </c>
      <c r="G62" s="150">
        <v>1975</v>
      </c>
      <c r="H62" s="150">
        <v>3515.5</v>
      </c>
      <c r="I62" s="150">
        <v>0.13724647987484001</v>
      </c>
      <c r="J62" s="150">
        <v>1975</v>
      </c>
      <c r="K62" s="150">
        <v>3523</v>
      </c>
      <c r="L62" s="150">
        <v>0.13739426625035481</v>
      </c>
      <c r="M62" s="150">
        <v>1975</v>
      </c>
      <c r="N62" s="150">
        <v>3533.4</v>
      </c>
      <c r="O62" s="150">
        <v>0.13703232014490294</v>
      </c>
      <c r="P62" s="150">
        <v>3360.1</v>
      </c>
      <c r="Q62" s="150">
        <v>0.13151691913931135</v>
      </c>
      <c r="R62" s="150"/>
      <c r="S62" s="254">
        <v>1975</v>
      </c>
      <c r="T62" s="254">
        <v>3383.7</v>
      </c>
      <c r="U62" s="254">
        <v>0.13449773916127317</v>
      </c>
      <c r="V62" s="150">
        <v>3275.8</v>
      </c>
      <c r="W62" s="254">
        <v>0.13641858477318516</v>
      </c>
      <c r="X62" s="254"/>
      <c r="Y62" s="254">
        <v>1975</v>
      </c>
      <c r="Z62" s="31">
        <v>3604.2</v>
      </c>
      <c r="AA62" s="254">
        <v>0.14113256756006881</v>
      </c>
      <c r="AB62" s="254"/>
      <c r="AC62" s="254">
        <v>1975</v>
      </c>
      <c r="AD62" s="241">
        <v>3584.7</v>
      </c>
      <c r="AE62" s="255">
        <v>0.13453566546712417</v>
      </c>
      <c r="AF62" s="255"/>
      <c r="AG62" s="241"/>
      <c r="AH62" s="254">
        <v>3014</v>
      </c>
      <c r="AI62" s="241">
        <v>0.13</v>
      </c>
      <c r="AJ62" s="241"/>
      <c r="AK62" s="241">
        <v>2536.1999999999998</v>
      </c>
      <c r="AL62" s="254">
        <v>0.29161738033278151</v>
      </c>
      <c r="AM62" s="241"/>
      <c r="AN62" s="252">
        <v>3366.1</v>
      </c>
      <c r="AO62" s="241">
        <v>0.26390778645910701</v>
      </c>
      <c r="AP62" s="241"/>
      <c r="AQ62" s="253">
        <v>2683</v>
      </c>
      <c r="AR62" s="253"/>
      <c r="AS62" s="252"/>
      <c r="AT62" s="252"/>
      <c r="AU62" s="241"/>
      <c r="AV62" s="246">
        <v>6100</v>
      </c>
      <c r="AW62" s="31">
        <v>3600</v>
      </c>
      <c r="AX62" s="150"/>
      <c r="AY62" s="254">
        <v>3436</v>
      </c>
      <c r="AZ62" s="254"/>
      <c r="BA62" s="31">
        <v>1975</v>
      </c>
      <c r="BB62" s="31">
        <v>3489.3</v>
      </c>
      <c r="BC62" s="31">
        <v>3440.1</v>
      </c>
      <c r="BD62" s="31">
        <v>3666.1</v>
      </c>
    </row>
    <row r="63" spans="1:56" x14ac:dyDescent="0.15">
      <c r="A63" s="150">
        <v>1976</v>
      </c>
      <c r="B63" s="150">
        <f>Stdev!D298</f>
        <v>3871.5</v>
      </c>
      <c r="C63" s="150">
        <f>Stdev!E298/Stdev!D298</f>
        <v>0.10863489603512851</v>
      </c>
      <c r="D63" s="150">
        <v>1976</v>
      </c>
      <c r="E63" s="150">
        <v>3609.4</v>
      </c>
      <c r="F63" s="150">
        <v>0.10923699229788883</v>
      </c>
      <c r="G63" s="150">
        <v>1976</v>
      </c>
      <c r="H63" s="150">
        <v>3577.9</v>
      </c>
      <c r="I63" s="150">
        <v>0.1084910142821208</v>
      </c>
      <c r="J63" s="150">
        <v>1976</v>
      </c>
      <c r="K63" s="150">
        <v>3587</v>
      </c>
      <c r="L63" s="150">
        <v>0.10869250069696125</v>
      </c>
      <c r="M63" s="150">
        <v>1976</v>
      </c>
      <c r="N63" s="150">
        <v>3580.3</v>
      </c>
      <c r="O63" s="150">
        <v>0.1081585342010446</v>
      </c>
      <c r="P63" s="150">
        <v>3454.7</v>
      </c>
      <c r="Q63" s="150">
        <v>0.10336353373664862</v>
      </c>
      <c r="R63" s="150"/>
      <c r="S63" s="254">
        <v>1976</v>
      </c>
      <c r="T63" s="254">
        <v>3430.9</v>
      </c>
      <c r="U63" s="254">
        <v>0.10772100614998979</v>
      </c>
      <c r="V63" s="150">
        <v>3339.3</v>
      </c>
      <c r="W63" s="254">
        <v>0.1105381367352439</v>
      </c>
      <c r="X63" s="254"/>
      <c r="Y63" s="254">
        <v>1976</v>
      </c>
      <c r="Z63" s="31">
        <v>3583.8</v>
      </c>
      <c r="AA63" s="254">
        <v>0.1136279926335175</v>
      </c>
      <c r="AB63" s="254"/>
      <c r="AC63" s="254">
        <v>1976</v>
      </c>
      <c r="AD63" s="241">
        <v>3576.5</v>
      </c>
      <c r="AE63" s="255">
        <v>0.11262407381518244</v>
      </c>
      <c r="AF63" s="255"/>
      <c r="AG63" s="241"/>
      <c r="AH63" s="254">
        <v>3008</v>
      </c>
      <c r="AI63" s="241">
        <v>0.13</v>
      </c>
      <c r="AJ63" s="241"/>
      <c r="AK63" s="241">
        <v>2694.1</v>
      </c>
      <c r="AL63" s="254">
        <v>0.23948628484466067</v>
      </c>
      <c r="AM63" s="241"/>
      <c r="AN63" s="252">
        <v>3433.7</v>
      </c>
      <c r="AO63" s="241">
        <v>0.21701371698168156</v>
      </c>
      <c r="AP63" s="241"/>
      <c r="AQ63" s="241">
        <v>2748</v>
      </c>
      <c r="AR63" s="241"/>
      <c r="AS63" s="252"/>
      <c r="AT63" s="252"/>
      <c r="AU63" s="241"/>
      <c r="AV63" s="246">
        <v>5400</v>
      </c>
      <c r="AW63" s="31">
        <v>4200</v>
      </c>
      <c r="AX63" s="150"/>
      <c r="AY63" s="254">
        <v>3492</v>
      </c>
      <c r="AZ63" s="254"/>
      <c r="BA63" s="31">
        <v>1976</v>
      </c>
      <c r="BB63" s="31">
        <v>3538.2</v>
      </c>
      <c r="BC63" s="31">
        <v>3497.2</v>
      </c>
      <c r="BD63" s="31">
        <v>3613.7</v>
      </c>
    </row>
    <row r="64" spans="1:56" x14ac:dyDescent="0.15">
      <c r="A64" s="150">
        <v>1977</v>
      </c>
      <c r="B64" s="150">
        <f>Stdev!D299</f>
        <v>3939.3</v>
      </c>
      <c r="C64" s="150">
        <f>Stdev!E299/Stdev!D299</f>
        <v>9.7458939405478132E-2</v>
      </c>
      <c r="D64" s="150">
        <v>1977</v>
      </c>
      <c r="E64" s="150">
        <v>3642.6</v>
      </c>
      <c r="F64" s="150">
        <v>9.5618514248064571E-2</v>
      </c>
      <c r="G64" s="150">
        <v>1977</v>
      </c>
      <c r="H64" s="150">
        <v>3612.5</v>
      </c>
      <c r="I64" s="150">
        <v>9.4815224913494811E-2</v>
      </c>
      <c r="J64" s="150">
        <v>1977</v>
      </c>
      <c r="K64" s="150">
        <v>3623.7</v>
      </c>
      <c r="L64" s="150">
        <v>9.5029941772221765E-2</v>
      </c>
      <c r="M64" s="150">
        <v>1977</v>
      </c>
      <c r="N64" s="150">
        <v>3598.2</v>
      </c>
      <c r="O64" s="150">
        <v>9.4019231838141301E-2</v>
      </c>
      <c r="P64" s="150">
        <v>3493.7</v>
      </c>
      <c r="Q64" s="150">
        <v>9.1802387154020101E-2</v>
      </c>
      <c r="R64" s="150"/>
      <c r="S64" s="254">
        <v>1977</v>
      </c>
      <c r="T64" s="254">
        <v>3456.5</v>
      </c>
      <c r="U64" s="254">
        <v>9.3863734992043979E-2</v>
      </c>
      <c r="V64" s="150">
        <v>3340.1</v>
      </c>
      <c r="W64" s="254">
        <v>9.5033082841831096E-2</v>
      </c>
      <c r="X64" s="254"/>
      <c r="Y64" s="254">
        <v>1977</v>
      </c>
      <c r="Z64" s="31">
        <v>3602.2</v>
      </c>
      <c r="AA64" s="254">
        <v>9.7751374160235424E-2</v>
      </c>
      <c r="AB64" s="254"/>
      <c r="AC64" s="254">
        <v>1977</v>
      </c>
      <c r="AD64" s="241">
        <v>3581.5</v>
      </c>
      <c r="AE64" s="255">
        <v>9.8690492810275018E-2</v>
      </c>
      <c r="AF64" s="255"/>
      <c r="AG64" s="241"/>
      <c r="AH64" s="254">
        <v>2894</v>
      </c>
      <c r="AI64" s="241">
        <v>0.13</v>
      </c>
      <c r="AJ64" s="241"/>
      <c r="AK64" s="241">
        <v>2700.2</v>
      </c>
      <c r="AL64" s="254">
        <v>0.23698244574475968</v>
      </c>
      <c r="AM64" s="241"/>
      <c r="AN64" s="252">
        <v>3444</v>
      </c>
      <c r="AO64" s="241">
        <v>0.19581881533101045</v>
      </c>
      <c r="AP64" s="241"/>
      <c r="AQ64" s="241">
        <v>2716</v>
      </c>
      <c r="AR64" s="241"/>
      <c r="AS64" s="252">
        <v>1000</v>
      </c>
      <c r="AT64" s="252"/>
      <c r="AU64" s="241"/>
      <c r="AV64" s="246">
        <v>5000</v>
      </c>
      <c r="AW64" s="31">
        <v>4300</v>
      </c>
      <c r="AX64" s="150"/>
      <c r="AY64" s="254">
        <v>3496</v>
      </c>
      <c r="AZ64" s="254"/>
      <c r="BA64" s="31">
        <v>1977</v>
      </c>
      <c r="BB64" s="31">
        <v>3541.1</v>
      </c>
      <c r="BC64" s="31">
        <v>3503.8</v>
      </c>
      <c r="BD64" s="31">
        <v>3548</v>
      </c>
    </row>
    <row r="65" spans="1:56" x14ac:dyDescent="0.15">
      <c r="A65" s="150">
        <v>1978</v>
      </c>
      <c r="B65" s="150">
        <f>Stdev!D300</f>
        <v>3888.3</v>
      </c>
      <c r="C65" s="150">
        <f>Stdev!E300/Stdev!D300</f>
        <v>9.4372862176272401E-2</v>
      </c>
      <c r="D65" s="150">
        <v>1978</v>
      </c>
      <c r="E65" s="150">
        <v>3556.6</v>
      </c>
      <c r="F65" s="150">
        <v>9.0867682618230902E-2</v>
      </c>
      <c r="G65" s="150">
        <v>1978</v>
      </c>
      <c r="H65" s="150">
        <v>3524</v>
      </c>
      <c r="I65" s="150">
        <v>9.0130533484676506E-2</v>
      </c>
      <c r="J65" s="150">
        <v>1978</v>
      </c>
      <c r="K65" s="150">
        <v>3537.1</v>
      </c>
      <c r="L65" s="150">
        <v>9.0342370868790822E-2</v>
      </c>
      <c r="M65" s="150">
        <v>1978</v>
      </c>
      <c r="N65" s="150">
        <v>3496.6</v>
      </c>
      <c r="O65" s="150">
        <v>8.9015043184808101E-2</v>
      </c>
      <c r="P65" s="150">
        <v>3382.9</v>
      </c>
      <c r="Q65" s="150">
        <v>8.9837121995920671E-2</v>
      </c>
      <c r="R65" s="150"/>
      <c r="S65" s="254">
        <v>1978</v>
      </c>
      <c r="T65" s="254">
        <v>3340</v>
      </c>
      <c r="U65" s="254">
        <v>9.1059880239520954E-2</v>
      </c>
      <c r="V65" s="150">
        <v>3202.1</v>
      </c>
      <c r="W65" s="254">
        <v>9.2267574404297184E-2</v>
      </c>
      <c r="X65" s="254"/>
      <c r="Y65" s="254">
        <v>1978</v>
      </c>
      <c r="Z65" s="31">
        <v>3475.7</v>
      </c>
      <c r="AA65" s="254">
        <v>9.3992577034841901E-2</v>
      </c>
      <c r="AB65" s="254"/>
      <c r="AC65" s="254">
        <v>1978</v>
      </c>
      <c r="AD65" s="241">
        <v>3437.6</v>
      </c>
      <c r="AE65" s="255">
        <v>9.5968117291133345E-2</v>
      </c>
      <c r="AF65" s="255">
        <v>3243.6</v>
      </c>
      <c r="AG65" s="241">
        <v>0.19269946972499691</v>
      </c>
      <c r="AH65" s="254">
        <v>2867</v>
      </c>
      <c r="AI65" s="241">
        <v>0.13</v>
      </c>
      <c r="AJ65" s="241"/>
      <c r="AK65" s="241">
        <v>2607.4</v>
      </c>
      <c r="AL65" s="254">
        <v>0.22808161386822115</v>
      </c>
      <c r="AM65" s="241"/>
      <c r="AN65" s="252">
        <v>3326.8</v>
      </c>
      <c r="AO65" s="241">
        <v>0.194348923890826</v>
      </c>
      <c r="AP65" s="241"/>
      <c r="AQ65" s="241">
        <v>2668</v>
      </c>
      <c r="AR65" s="241"/>
      <c r="AS65" s="252" t="s">
        <v>98</v>
      </c>
      <c r="AT65" s="252" t="s">
        <v>100</v>
      </c>
      <c r="AU65" s="241" t="s">
        <v>99</v>
      </c>
      <c r="AV65" s="246">
        <v>4400</v>
      </c>
      <c r="AW65" s="31">
        <v>4200</v>
      </c>
      <c r="AX65" s="150"/>
      <c r="AY65" s="254">
        <v>3375</v>
      </c>
      <c r="AZ65" s="254"/>
      <c r="BA65" s="31">
        <v>1978</v>
      </c>
      <c r="BB65" s="31">
        <v>3422</v>
      </c>
      <c r="BC65" s="31">
        <v>3385.2</v>
      </c>
      <c r="BD65" s="31">
        <v>3360.6</v>
      </c>
    </row>
    <row r="66" spans="1:56" ht="14" x14ac:dyDescent="0.15">
      <c r="A66" s="150">
        <v>1979</v>
      </c>
      <c r="B66" s="150">
        <f>Stdev!D301</f>
        <v>3859.2</v>
      </c>
      <c r="C66" s="150">
        <f>Stdev!E301/Stdev!D301</f>
        <v>9.2539904643449425E-2</v>
      </c>
      <c r="D66" s="150">
        <v>1979</v>
      </c>
      <c r="E66" s="150">
        <v>3426.3</v>
      </c>
      <c r="F66" s="150">
        <v>8.9583515745848288E-2</v>
      </c>
      <c r="G66" s="150">
        <v>1979</v>
      </c>
      <c r="H66" s="150">
        <v>3386.9</v>
      </c>
      <c r="I66" s="150">
        <v>8.8978121586111195E-2</v>
      </c>
      <c r="J66" s="150">
        <v>1979</v>
      </c>
      <c r="K66" s="150">
        <v>3402.6</v>
      </c>
      <c r="L66" s="150">
        <v>8.9158290718862054E-2</v>
      </c>
      <c r="M66" s="150">
        <v>1979</v>
      </c>
      <c r="N66" s="150">
        <v>3342.5</v>
      </c>
      <c r="O66" s="150">
        <v>8.7877337322363511E-2</v>
      </c>
      <c r="P66" s="150">
        <v>3259.4</v>
      </c>
      <c r="Q66" s="150">
        <v>8.9178989998159167E-2</v>
      </c>
      <c r="R66" s="150"/>
      <c r="S66" s="254">
        <v>1979</v>
      </c>
      <c r="T66" s="254">
        <v>3211.9</v>
      </c>
      <c r="U66" s="254">
        <v>9.0002802079765867E-2</v>
      </c>
      <c r="V66" s="150">
        <v>3089.6</v>
      </c>
      <c r="W66" s="254">
        <v>9.0927628171931646E-2</v>
      </c>
      <c r="X66" s="254"/>
      <c r="Y66" s="254">
        <v>1979</v>
      </c>
      <c r="Z66" s="31">
        <v>3363</v>
      </c>
      <c r="AA66" s="254">
        <v>9.1700862325304777E-2</v>
      </c>
      <c r="AB66" s="254"/>
      <c r="AC66" s="254">
        <v>1979</v>
      </c>
      <c r="AD66" s="241">
        <v>3322.9</v>
      </c>
      <c r="AE66" s="255">
        <v>9.4486743507177465E-2</v>
      </c>
      <c r="AF66" s="255">
        <v>3183.4</v>
      </c>
      <c r="AG66" s="241">
        <v>0.20928566941006471</v>
      </c>
      <c r="AH66" s="254">
        <v>2933</v>
      </c>
      <c r="AI66" s="241">
        <v>0.15</v>
      </c>
      <c r="AJ66" s="241"/>
      <c r="AK66" s="241">
        <v>2639.3</v>
      </c>
      <c r="AL66" s="254">
        <v>0.17061342022505957</v>
      </c>
      <c r="AM66" s="241"/>
      <c r="AN66" s="252">
        <v>3280.1</v>
      </c>
      <c r="AO66" s="241">
        <v>0.18857961647510746</v>
      </c>
      <c r="AP66" s="253"/>
      <c r="AQ66" s="253">
        <v>2720</v>
      </c>
      <c r="AR66" s="253"/>
      <c r="AS66" s="252">
        <v>3210</v>
      </c>
      <c r="AT66" s="252">
        <v>4494</v>
      </c>
      <c r="AU66" s="241">
        <v>4489</v>
      </c>
      <c r="AV66" s="246">
        <v>4000</v>
      </c>
      <c r="AW66" s="31">
        <v>4500</v>
      </c>
      <c r="AX66" s="150"/>
      <c r="AY66" s="254">
        <v>3329</v>
      </c>
      <c r="AZ66" s="254"/>
      <c r="BA66" s="31">
        <v>1979</v>
      </c>
      <c r="BB66" s="31">
        <v>3380.3</v>
      </c>
      <c r="BC66" s="31">
        <v>3341.4</v>
      </c>
      <c r="BD66" s="31">
        <v>3272.5</v>
      </c>
    </row>
    <row r="67" spans="1:56" ht="14" x14ac:dyDescent="0.15">
      <c r="A67" s="150">
        <v>1980</v>
      </c>
      <c r="B67" s="150">
        <f>Stdev!D302</f>
        <v>4887.3</v>
      </c>
      <c r="C67" s="150">
        <f>Stdev!E302/Stdev!D302</f>
        <v>7.8255887708959956E-2</v>
      </c>
      <c r="D67" s="150">
        <v>1980</v>
      </c>
      <c r="E67" s="150">
        <v>4372.1000000000004</v>
      </c>
      <c r="F67" s="150">
        <v>7.4620891562407074E-2</v>
      </c>
      <c r="G67" s="150">
        <v>1980</v>
      </c>
      <c r="H67" s="150">
        <v>4307.3999999999996</v>
      </c>
      <c r="I67" s="150">
        <v>7.4372010957886439E-2</v>
      </c>
      <c r="J67" s="150">
        <v>1980</v>
      </c>
      <c r="K67" s="150">
        <v>4332.6000000000004</v>
      </c>
      <c r="L67" s="150">
        <v>7.4447214143932045E-2</v>
      </c>
      <c r="M67" s="150">
        <v>1980</v>
      </c>
      <c r="N67" s="150">
        <v>4229.6000000000004</v>
      </c>
      <c r="O67" s="150">
        <v>7.3886419519576307E-2</v>
      </c>
      <c r="P67" s="150">
        <v>4190.6000000000004</v>
      </c>
      <c r="Q67" s="150">
        <v>7.4664725814919092E-2</v>
      </c>
      <c r="R67" s="150"/>
      <c r="S67" s="254">
        <v>1980</v>
      </c>
      <c r="T67" s="254">
        <v>4123.8</v>
      </c>
      <c r="U67" s="254">
        <v>7.5207333042339578E-2</v>
      </c>
      <c r="V67" s="150">
        <v>4043.6</v>
      </c>
      <c r="W67" s="254">
        <v>7.4727965179542985E-2</v>
      </c>
      <c r="X67" s="254"/>
      <c r="Y67" s="254">
        <v>1980</v>
      </c>
      <c r="Z67" s="31">
        <v>4383.8999999999996</v>
      </c>
      <c r="AA67" s="254">
        <v>7.7253130773968393E-2</v>
      </c>
      <c r="AB67" s="254"/>
      <c r="AC67" s="254">
        <v>1980</v>
      </c>
      <c r="AD67" s="241">
        <v>4319.5</v>
      </c>
      <c r="AE67" s="255">
        <v>8.0398194235443907E-2</v>
      </c>
      <c r="AF67" s="255">
        <v>4617.8999999999996</v>
      </c>
      <c r="AG67" s="241">
        <v>0.19026397280148988</v>
      </c>
      <c r="AH67" s="254">
        <v>4294</v>
      </c>
      <c r="AI67" s="241">
        <v>0.14000000000000001</v>
      </c>
      <c r="AJ67" s="241"/>
      <c r="AK67" s="241">
        <v>3720.7</v>
      </c>
      <c r="AL67" s="254">
        <v>8.6784744806084904E-2</v>
      </c>
      <c r="AM67" s="241"/>
      <c r="AN67" s="252">
        <v>4322.3</v>
      </c>
      <c r="AO67" s="241">
        <v>0.1603683224209333</v>
      </c>
      <c r="AP67" s="253"/>
      <c r="AQ67" s="253">
        <v>3888</v>
      </c>
      <c r="AR67" s="253"/>
      <c r="AS67" s="252">
        <v>4660</v>
      </c>
      <c r="AT67" s="252">
        <v>5718</v>
      </c>
      <c r="AU67" s="241">
        <v>5702</v>
      </c>
      <c r="AV67" s="246">
        <v>4000</v>
      </c>
      <c r="AW67" s="31">
        <v>5000</v>
      </c>
      <c r="AX67" s="150"/>
      <c r="AY67" s="254">
        <v>4385</v>
      </c>
      <c r="AZ67" s="254"/>
      <c r="BA67" s="31">
        <v>1980</v>
      </c>
      <c r="BB67" s="31">
        <v>4461.6000000000004</v>
      </c>
      <c r="BC67" s="31">
        <v>4408.6000000000004</v>
      </c>
      <c r="BD67" s="31">
        <v>4372.7</v>
      </c>
    </row>
    <row r="68" spans="1:56" ht="14" x14ac:dyDescent="0.15">
      <c r="A68" s="150">
        <v>1981</v>
      </c>
      <c r="B68" s="150">
        <f>Stdev!D303</f>
        <v>9054.2999999999993</v>
      </c>
      <c r="C68" s="150">
        <f>Stdev!E303/Stdev!D303</f>
        <v>5.5013639927990021E-2</v>
      </c>
      <c r="D68" s="150">
        <v>1981</v>
      </c>
      <c r="E68" s="150">
        <v>8527.7000000000007</v>
      </c>
      <c r="F68" s="150">
        <v>5.8407307949388455E-2</v>
      </c>
      <c r="G68" s="150">
        <v>1981</v>
      </c>
      <c r="H68" s="150">
        <v>8320.7999999999993</v>
      </c>
      <c r="I68" s="150">
        <v>6.1270550908566486E-2</v>
      </c>
      <c r="J68" s="150">
        <v>1981</v>
      </c>
      <c r="K68" s="150">
        <v>8363.5</v>
      </c>
      <c r="L68" s="150">
        <v>6.3791474861003172E-2</v>
      </c>
      <c r="M68" s="150">
        <v>1981</v>
      </c>
      <c r="N68" s="150">
        <v>8159.6</v>
      </c>
      <c r="O68" s="150">
        <v>5.9565419873523207E-2</v>
      </c>
      <c r="P68" s="150">
        <v>8166.2</v>
      </c>
      <c r="Q68" s="150">
        <v>6.0618157772280863E-2</v>
      </c>
      <c r="R68" s="150"/>
      <c r="S68" s="254">
        <v>1981</v>
      </c>
      <c r="T68" s="254">
        <v>8031</v>
      </c>
      <c r="U68" s="254">
        <v>6.0833022039596563E-2</v>
      </c>
      <c r="V68" s="150">
        <v>7704</v>
      </c>
      <c r="W68" s="254">
        <v>6.0826843198338525E-2</v>
      </c>
      <c r="X68" s="254"/>
      <c r="Y68" s="254">
        <v>1981</v>
      </c>
      <c r="Z68" s="31">
        <v>8307.4</v>
      </c>
      <c r="AA68" s="254">
        <v>6.320870549148952E-2</v>
      </c>
      <c r="AB68" s="254"/>
      <c r="AC68" s="254">
        <v>1981</v>
      </c>
      <c r="AD68" s="241">
        <v>8364</v>
      </c>
      <c r="AE68" s="255">
        <v>6.67156862745098E-2</v>
      </c>
      <c r="AF68" s="255">
        <v>9189.9</v>
      </c>
      <c r="AG68" s="241">
        <v>0.16299198032622772</v>
      </c>
      <c r="AH68" s="254">
        <v>8569</v>
      </c>
      <c r="AI68" s="241">
        <v>0.12</v>
      </c>
      <c r="AJ68" s="241"/>
      <c r="AK68" s="241">
        <v>7829.1</v>
      </c>
      <c r="AL68" s="254">
        <v>-1.5978848143464813E-2</v>
      </c>
      <c r="AM68" s="241"/>
      <c r="AN68" s="252">
        <v>8126.7</v>
      </c>
      <c r="AO68" s="241">
        <v>0.13575990254346781</v>
      </c>
      <c r="AP68" s="253"/>
      <c r="AQ68" s="253">
        <v>8064</v>
      </c>
      <c r="AR68" s="253"/>
      <c r="AS68" s="252">
        <v>9266</v>
      </c>
      <c r="AT68" s="252">
        <v>10547</v>
      </c>
      <c r="AU68" s="241">
        <v>10513</v>
      </c>
      <c r="AV68" s="246">
        <v>7500</v>
      </c>
      <c r="AW68" s="31">
        <v>9100</v>
      </c>
      <c r="AX68" s="150"/>
      <c r="AY68" s="254">
        <v>8239</v>
      </c>
      <c r="AZ68" s="254"/>
      <c r="BA68" s="31">
        <v>1981</v>
      </c>
      <c r="BB68" s="31">
        <v>8414</v>
      </c>
      <c r="BC68" s="31">
        <v>8301.1</v>
      </c>
      <c r="BD68" s="31">
        <v>8288.9</v>
      </c>
    </row>
    <row r="69" spans="1:56" ht="14" x14ac:dyDescent="0.15">
      <c r="A69" s="150">
        <v>1982</v>
      </c>
      <c r="B69" s="150">
        <f>Stdev!D304</f>
        <v>10289</v>
      </c>
      <c r="C69" s="150">
        <f>Stdev!E304/Stdev!D304</f>
        <v>5.1891340266303813E-2</v>
      </c>
      <c r="D69" s="150">
        <v>1982</v>
      </c>
      <c r="E69" s="150">
        <v>9766.5</v>
      </c>
      <c r="F69" s="150">
        <v>5.3997849792658578E-2</v>
      </c>
      <c r="G69" s="150">
        <v>1982</v>
      </c>
      <c r="H69" s="150">
        <v>9496.9</v>
      </c>
      <c r="I69" s="150">
        <v>5.6696395665954163E-2</v>
      </c>
      <c r="J69" s="150">
        <v>1982</v>
      </c>
      <c r="K69" s="150">
        <v>9548.7999999999993</v>
      </c>
      <c r="L69" s="150">
        <v>5.86942861930295E-2</v>
      </c>
      <c r="M69" s="150">
        <v>1982</v>
      </c>
      <c r="N69" s="150">
        <v>9313.2999999999993</v>
      </c>
      <c r="O69" s="150">
        <v>5.5684880761921129E-2</v>
      </c>
      <c r="P69" s="150">
        <v>9321.1</v>
      </c>
      <c r="Q69" s="150">
        <v>5.6695025265258395E-2</v>
      </c>
      <c r="R69" s="150"/>
      <c r="S69" s="254">
        <v>1982</v>
      </c>
      <c r="T69" s="254">
        <v>9164.5</v>
      </c>
      <c r="U69" s="254">
        <v>5.7061487260625245E-2</v>
      </c>
      <c r="V69" s="150">
        <v>8782.7999999999993</v>
      </c>
      <c r="W69" s="254">
        <v>5.7917748326274089E-2</v>
      </c>
      <c r="X69" s="254"/>
      <c r="Y69" s="254">
        <v>1982</v>
      </c>
      <c r="Z69" s="31">
        <v>9439</v>
      </c>
      <c r="AA69" s="254">
        <v>6.0973620086873605E-2</v>
      </c>
      <c r="AB69" s="254"/>
      <c r="AC69" s="254">
        <v>1982</v>
      </c>
      <c r="AD69" s="241">
        <v>9475.9</v>
      </c>
      <c r="AE69" s="255">
        <v>6.4133222174147048E-2</v>
      </c>
      <c r="AF69" s="255">
        <v>10524</v>
      </c>
      <c r="AG69" s="241">
        <v>0.1653458760927404</v>
      </c>
      <c r="AH69" s="254">
        <v>9778</v>
      </c>
      <c r="AI69" s="241">
        <v>0.12</v>
      </c>
      <c r="AJ69" s="241"/>
      <c r="AK69" s="241">
        <v>9014.7999999999993</v>
      </c>
      <c r="AL69" s="254">
        <v>-2.5735457248080934E-2</v>
      </c>
      <c r="AM69" s="241"/>
      <c r="AN69" s="252">
        <v>9261</v>
      </c>
      <c r="AO69" s="241">
        <v>0.13188208616780045</v>
      </c>
      <c r="AP69" s="253"/>
      <c r="AQ69" s="253">
        <v>9229</v>
      </c>
      <c r="AR69" s="253"/>
      <c r="AS69" s="252">
        <v>10625</v>
      </c>
      <c r="AT69" s="252">
        <v>11586</v>
      </c>
      <c r="AU69" s="241">
        <v>11546</v>
      </c>
      <c r="AV69" s="246">
        <v>8400</v>
      </c>
      <c r="AW69" s="31">
        <v>10300</v>
      </c>
      <c r="AX69" s="150"/>
      <c r="AY69" s="254">
        <v>9388</v>
      </c>
      <c r="AZ69" s="254"/>
      <c r="BA69" s="31">
        <v>1982</v>
      </c>
      <c r="BB69" s="31">
        <v>9614.4</v>
      </c>
      <c r="BC69" s="31">
        <v>9472.2999999999993</v>
      </c>
      <c r="BD69" s="31">
        <v>9445.7999999999993</v>
      </c>
    </row>
    <row r="70" spans="1:56" ht="14" x14ac:dyDescent="0.15">
      <c r="A70" s="150">
        <v>1983</v>
      </c>
      <c r="B70" s="150">
        <f>Stdev!D305</f>
        <v>11383</v>
      </c>
      <c r="C70" s="150">
        <f>Stdev!E305/Stdev!D305</f>
        <v>4.8210489326188176E-2</v>
      </c>
      <c r="D70" s="150">
        <v>1983</v>
      </c>
      <c r="E70" s="150">
        <v>10911</v>
      </c>
      <c r="F70" s="150">
        <v>4.9592154706259738E-2</v>
      </c>
      <c r="G70" s="150">
        <v>1983</v>
      </c>
      <c r="H70" s="150">
        <v>10560</v>
      </c>
      <c r="I70" s="150">
        <v>5.1990530303030302E-2</v>
      </c>
      <c r="J70" s="150">
        <v>1983</v>
      </c>
      <c r="K70" s="150">
        <v>10621</v>
      </c>
      <c r="L70" s="150">
        <v>5.316260239148856E-2</v>
      </c>
      <c r="M70" s="150">
        <v>1983</v>
      </c>
      <c r="N70" s="150">
        <v>10340</v>
      </c>
      <c r="O70" s="150">
        <v>5.1843326885880073E-2</v>
      </c>
      <c r="P70" s="150">
        <v>10345</v>
      </c>
      <c r="Q70" s="150">
        <v>5.2704688255195746E-2</v>
      </c>
      <c r="R70" s="150"/>
      <c r="S70" s="254">
        <v>1983</v>
      </c>
      <c r="T70" s="254">
        <v>10168</v>
      </c>
      <c r="U70" s="254">
        <v>5.3312352478363495E-2</v>
      </c>
      <c r="V70" s="150">
        <v>9803.6</v>
      </c>
      <c r="W70" s="254">
        <v>5.4299441021665514E-2</v>
      </c>
      <c r="X70" s="254"/>
      <c r="Y70" s="254">
        <v>1983</v>
      </c>
      <c r="Z70" s="31">
        <v>10493</v>
      </c>
      <c r="AA70" s="254">
        <v>5.8250262079481564E-2</v>
      </c>
      <c r="AB70" s="254"/>
      <c r="AC70" s="254">
        <v>1983</v>
      </c>
      <c r="AD70" s="241">
        <v>10443</v>
      </c>
      <c r="AE70" s="255">
        <v>6.2041558939002199E-2</v>
      </c>
      <c r="AF70" s="255">
        <v>11555</v>
      </c>
      <c r="AG70" s="241">
        <v>0.16342535698831676</v>
      </c>
      <c r="AH70" s="254">
        <v>10705</v>
      </c>
      <c r="AI70" s="241">
        <v>0.12</v>
      </c>
      <c r="AJ70" s="241"/>
      <c r="AK70" s="241">
        <v>9950.9</v>
      </c>
      <c r="AL70" s="254">
        <v>-1.480268116451771E-2</v>
      </c>
      <c r="AM70" s="241"/>
      <c r="AN70" s="252">
        <v>10298</v>
      </c>
      <c r="AO70" s="241">
        <v>0.12820547679161001</v>
      </c>
      <c r="AP70" s="253"/>
      <c r="AQ70" s="253">
        <v>10153</v>
      </c>
      <c r="AR70" s="253"/>
      <c r="AS70" s="252">
        <v>11685</v>
      </c>
      <c r="AT70" s="252">
        <v>12686</v>
      </c>
      <c r="AU70" s="241">
        <v>12645</v>
      </c>
      <c r="AV70" s="246">
        <v>8500</v>
      </c>
      <c r="AW70" s="31">
        <v>10400</v>
      </c>
      <c r="AX70" s="150"/>
      <c r="AY70" s="254">
        <v>10441</v>
      </c>
      <c r="AZ70" s="254"/>
      <c r="BA70" s="31">
        <v>1983</v>
      </c>
      <c r="BB70" s="31">
        <v>10728</v>
      </c>
      <c r="BC70" s="31">
        <v>10552</v>
      </c>
      <c r="BD70" s="31">
        <v>10536</v>
      </c>
    </row>
    <row r="71" spans="1:56" ht="14" x14ac:dyDescent="0.15">
      <c r="A71" s="150">
        <v>1984</v>
      </c>
      <c r="B71" s="150">
        <f>Stdev!D306</f>
        <v>11040</v>
      </c>
      <c r="C71" s="150">
        <f>Stdev!E306/Stdev!D306</f>
        <v>4.7772644927536231E-2</v>
      </c>
      <c r="D71" s="150">
        <v>1984</v>
      </c>
      <c r="E71" s="150">
        <v>10601</v>
      </c>
      <c r="F71" s="150">
        <v>4.9036883312895012E-2</v>
      </c>
      <c r="G71" s="150">
        <v>1984</v>
      </c>
      <c r="H71" s="150">
        <v>10239</v>
      </c>
      <c r="I71" s="150">
        <v>5.1233518898329916E-2</v>
      </c>
      <c r="J71" s="150">
        <v>1984</v>
      </c>
      <c r="K71" s="150">
        <v>10300</v>
      </c>
      <c r="L71" s="150">
        <v>5.1981553398058246E-2</v>
      </c>
      <c r="M71" s="150">
        <v>1984</v>
      </c>
      <c r="N71" s="150">
        <v>10031</v>
      </c>
      <c r="O71" s="150">
        <v>5.1583092413518092E-2</v>
      </c>
      <c r="P71" s="150">
        <v>10029</v>
      </c>
      <c r="Q71" s="150">
        <v>5.2310300129624093E-2</v>
      </c>
      <c r="R71" s="150"/>
      <c r="S71" s="254">
        <v>1984</v>
      </c>
      <c r="T71" s="254">
        <v>9856.5</v>
      </c>
      <c r="U71" s="254">
        <v>5.3061431542636837E-2</v>
      </c>
      <c r="V71" s="150">
        <v>9517.7000000000007</v>
      </c>
      <c r="W71" s="254">
        <v>5.4126522163968176E-2</v>
      </c>
      <c r="X71" s="254"/>
      <c r="Y71" s="254">
        <v>1984</v>
      </c>
      <c r="Z71" s="31">
        <v>10200</v>
      </c>
      <c r="AA71" s="254">
        <v>5.8353921568627454E-2</v>
      </c>
      <c r="AB71" s="254"/>
      <c r="AC71" s="254">
        <v>1984</v>
      </c>
      <c r="AD71" s="241">
        <v>10088</v>
      </c>
      <c r="AE71" s="255">
        <v>6.217089611419508E-2</v>
      </c>
      <c r="AF71" s="255">
        <v>11028</v>
      </c>
      <c r="AG71" s="241">
        <v>0.16705114254624592</v>
      </c>
      <c r="AH71" s="254">
        <v>10179</v>
      </c>
      <c r="AI71" s="241">
        <v>0.12</v>
      </c>
      <c r="AJ71" s="241"/>
      <c r="AK71" s="241">
        <v>9511.2000000000007</v>
      </c>
      <c r="AL71" s="254">
        <v>6.8340482799226175E-4</v>
      </c>
      <c r="AM71" s="241"/>
      <c r="AN71" s="252">
        <v>9999.7999999999993</v>
      </c>
      <c r="AO71" s="241">
        <v>0.12837656753135063</v>
      </c>
      <c r="AP71" s="253"/>
      <c r="AQ71" s="253">
        <v>9685</v>
      </c>
      <c r="AR71" s="253"/>
      <c r="AS71" s="252">
        <v>11173</v>
      </c>
      <c r="AT71" s="252">
        <v>12401</v>
      </c>
      <c r="AU71" s="241">
        <v>12361</v>
      </c>
      <c r="AV71" s="246">
        <v>8400</v>
      </c>
      <c r="AW71" s="31">
        <v>9800</v>
      </c>
      <c r="AX71" s="150"/>
      <c r="AY71" s="254">
        <v>10143</v>
      </c>
      <c r="AZ71" s="254"/>
      <c r="BA71" s="31">
        <v>1984</v>
      </c>
      <c r="BB71" s="31">
        <v>10456</v>
      </c>
      <c r="BC71" s="31">
        <v>10263</v>
      </c>
      <c r="BD71" s="31">
        <v>10244</v>
      </c>
    </row>
    <row r="72" spans="1:56" ht="14" x14ac:dyDescent="0.15">
      <c r="A72" s="150">
        <v>1985</v>
      </c>
      <c r="B72" s="150">
        <f>Stdev!D307</f>
        <v>12951</v>
      </c>
      <c r="C72" s="150">
        <f>Stdev!E307/Stdev!D307</f>
        <v>4.038143772681646E-2</v>
      </c>
      <c r="D72" s="150">
        <v>1985</v>
      </c>
      <c r="E72" s="150">
        <v>12838</v>
      </c>
      <c r="F72" s="150">
        <v>4.0805421405203303E-2</v>
      </c>
      <c r="G72" s="150">
        <v>1985</v>
      </c>
      <c r="H72" s="150">
        <v>12409</v>
      </c>
      <c r="I72" s="150">
        <v>4.2412764928680791E-2</v>
      </c>
      <c r="J72" s="150">
        <v>1985</v>
      </c>
      <c r="K72" s="150">
        <v>12478</v>
      </c>
      <c r="L72" s="150">
        <v>4.2565314954319602E-2</v>
      </c>
      <c r="M72" s="150">
        <v>1985</v>
      </c>
      <c r="N72" s="150">
        <v>12186</v>
      </c>
      <c r="O72" s="150">
        <v>4.3120794354176928E-2</v>
      </c>
      <c r="P72" s="150">
        <v>12213</v>
      </c>
      <c r="Q72" s="150">
        <v>4.3265372963235897E-2</v>
      </c>
      <c r="R72" s="150"/>
      <c r="S72" s="254">
        <v>1985</v>
      </c>
      <c r="T72" s="254">
        <v>12027</v>
      </c>
      <c r="U72" s="254">
        <v>4.4005986530306809E-2</v>
      </c>
      <c r="V72" s="150">
        <v>11802</v>
      </c>
      <c r="W72" s="254">
        <v>4.4173021521775976E-2</v>
      </c>
      <c r="X72" s="254"/>
      <c r="Y72" s="254">
        <v>1985</v>
      </c>
      <c r="Z72" s="31">
        <v>12531</v>
      </c>
      <c r="AA72" s="254">
        <v>4.8980129279387122E-2</v>
      </c>
      <c r="AB72" s="254"/>
      <c r="AC72" s="254">
        <v>1985</v>
      </c>
      <c r="AD72" s="241">
        <v>12285</v>
      </c>
      <c r="AE72" s="255">
        <v>5.2814000814000818E-2</v>
      </c>
      <c r="AF72" s="255">
        <v>12853</v>
      </c>
      <c r="AG72" s="241">
        <v>0.15214502450789699</v>
      </c>
      <c r="AH72" s="254">
        <v>11919</v>
      </c>
      <c r="AI72" s="241">
        <v>0.11</v>
      </c>
      <c r="AJ72" s="241"/>
      <c r="AK72" s="241">
        <v>11175</v>
      </c>
      <c r="AL72" s="254">
        <v>5.6107382550335573E-2</v>
      </c>
      <c r="AM72" s="241"/>
      <c r="AN72" s="252">
        <v>12181</v>
      </c>
      <c r="AO72" s="241">
        <v>0.10858878581397258</v>
      </c>
      <c r="AP72" s="253"/>
      <c r="AQ72" s="253">
        <v>11370</v>
      </c>
      <c r="AR72" s="253"/>
      <c r="AS72" s="252">
        <v>13031</v>
      </c>
      <c r="AT72" s="252">
        <v>15266</v>
      </c>
      <c r="AU72" s="241">
        <v>13858</v>
      </c>
      <c r="AV72" s="246">
        <v>9400</v>
      </c>
      <c r="AW72" s="31">
        <v>10800</v>
      </c>
      <c r="AX72" s="150"/>
      <c r="AY72" s="254">
        <v>12344</v>
      </c>
      <c r="AZ72" s="254"/>
      <c r="BA72" s="31">
        <v>1985</v>
      </c>
      <c r="BB72" s="31">
        <v>12771</v>
      </c>
      <c r="BC72" s="31">
        <v>12492</v>
      </c>
      <c r="BD72" s="31">
        <v>12435</v>
      </c>
    </row>
    <row r="73" spans="1:56" ht="14" x14ac:dyDescent="0.15">
      <c r="A73" s="150">
        <v>1986</v>
      </c>
      <c r="B73" s="150">
        <f>Stdev!D308</f>
        <v>12019</v>
      </c>
      <c r="C73" s="150">
        <f>Stdev!E308/Stdev!D308</f>
        <v>4.0493385473001083E-2</v>
      </c>
      <c r="D73" s="150">
        <v>1986</v>
      </c>
      <c r="E73" s="150">
        <v>12036</v>
      </c>
      <c r="F73" s="150">
        <v>4.0600697906281159E-2</v>
      </c>
      <c r="G73" s="150">
        <v>1986</v>
      </c>
      <c r="H73" s="150">
        <v>11621</v>
      </c>
      <c r="I73" s="150">
        <v>4.2166767059633424E-2</v>
      </c>
      <c r="J73" s="150">
        <v>1986</v>
      </c>
      <c r="K73" s="150">
        <v>11685</v>
      </c>
      <c r="L73" s="150">
        <v>4.216773641420625E-2</v>
      </c>
      <c r="M73" s="150">
        <v>1986</v>
      </c>
      <c r="N73" s="150">
        <v>11426</v>
      </c>
      <c r="O73" s="150">
        <v>4.3005426220899701E-2</v>
      </c>
      <c r="P73" s="150">
        <v>11440</v>
      </c>
      <c r="Q73" s="150">
        <v>4.3002622377622375E-2</v>
      </c>
      <c r="R73" s="150"/>
      <c r="S73" s="254">
        <v>1986</v>
      </c>
      <c r="T73" s="254">
        <v>11269</v>
      </c>
      <c r="U73" s="254">
        <v>4.3765196556926081E-2</v>
      </c>
      <c r="V73" s="150">
        <v>11075</v>
      </c>
      <c r="W73" s="254">
        <v>4.3832054176072235E-2</v>
      </c>
      <c r="X73" s="254"/>
      <c r="Y73" s="254">
        <v>1986</v>
      </c>
      <c r="Z73" s="31">
        <v>11773</v>
      </c>
      <c r="AA73" s="254">
        <v>4.871060902064045E-2</v>
      </c>
      <c r="AB73" s="254"/>
      <c r="AC73" s="254">
        <v>1986</v>
      </c>
      <c r="AD73" s="241">
        <v>11486</v>
      </c>
      <c r="AE73" s="255">
        <v>5.2473445934180747E-2</v>
      </c>
      <c r="AF73" s="255">
        <v>11796</v>
      </c>
      <c r="AG73" s="241">
        <v>0.15561715835876569</v>
      </c>
      <c r="AH73" s="254">
        <v>10913</v>
      </c>
      <c r="AI73" s="241">
        <v>0.11</v>
      </c>
      <c r="AJ73" s="241"/>
      <c r="AK73" s="241">
        <v>10271</v>
      </c>
      <c r="AL73" s="254">
        <v>7.8278648622334732E-2</v>
      </c>
      <c r="AM73" s="241"/>
      <c r="AN73" s="252">
        <v>11381</v>
      </c>
      <c r="AO73" s="241">
        <v>0.10755118179421844</v>
      </c>
      <c r="AP73" s="253"/>
      <c r="AQ73" s="253">
        <v>10440</v>
      </c>
      <c r="AR73" s="253"/>
      <c r="AS73" s="252">
        <v>11966</v>
      </c>
      <c r="AT73" s="252">
        <v>14479</v>
      </c>
      <c r="AU73" s="241">
        <v>12953</v>
      </c>
      <c r="AV73" s="246">
        <v>8700</v>
      </c>
      <c r="AW73" s="31">
        <v>9800</v>
      </c>
      <c r="AX73" s="150"/>
      <c r="AY73" s="254">
        <v>11538</v>
      </c>
      <c r="AZ73" s="254"/>
      <c r="BA73" s="31">
        <v>1986</v>
      </c>
      <c r="BB73" s="31">
        <v>11973</v>
      </c>
      <c r="BC73" s="31">
        <v>11677</v>
      </c>
      <c r="BD73" s="31">
        <v>11609</v>
      </c>
    </row>
    <row r="74" spans="1:56" ht="14" x14ac:dyDescent="0.15">
      <c r="A74" s="150">
        <v>1987</v>
      </c>
      <c r="B74" s="150">
        <f>Stdev!D309</f>
        <v>12334</v>
      </c>
      <c r="C74" s="150">
        <f>Stdev!E309/Stdev!D309</f>
        <v>3.6636938543862491E-2</v>
      </c>
      <c r="D74" s="150">
        <v>1987</v>
      </c>
      <c r="E74" s="150">
        <v>12615</v>
      </c>
      <c r="F74" s="150">
        <v>3.6170432025366628E-2</v>
      </c>
      <c r="G74" s="150">
        <v>1987</v>
      </c>
      <c r="H74" s="150">
        <v>12243</v>
      </c>
      <c r="I74" s="150">
        <v>3.7197582291921917E-2</v>
      </c>
      <c r="J74" s="150">
        <v>1987</v>
      </c>
      <c r="K74" s="150">
        <v>12308</v>
      </c>
      <c r="L74" s="150">
        <v>3.7067760805979851E-2</v>
      </c>
      <c r="M74" s="150">
        <v>1987</v>
      </c>
      <c r="N74" s="150">
        <v>12063</v>
      </c>
      <c r="O74" s="150">
        <v>3.7973969990881207E-2</v>
      </c>
      <c r="P74" s="150">
        <v>12080</v>
      </c>
      <c r="Q74" s="150">
        <v>3.7982615894039735E-2</v>
      </c>
      <c r="R74" s="150"/>
      <c r="S74" s="254">
        <v>1987</v>
      </c>
      <c r="T74" s="254">
        <v>11915</v>
      </c>
      <c r="U74" s="254">
        <v>3.865044062106588E-2</v>
      </c>
      <c r="V74" s="150">
        <v>11732</v>
      </c>
      <c r="W74" s="254">
        <v>3.8574838049778383E-2</v>
      </c>
      <c r="X74" s="254"/>
      <c r="Y74" s="254">
        <v>1987</v>
      </c>
      <c r="Z74" s="31">
        <v>12401</v>
      </c>
      <c r="AA74" s="254">
        <v>4.3735989033142492E-2</v>
      </c>
      <c r="AB74" s="254"/>
      <c r="AC74" s="254">
        <v>1987</v>
      </c>
      <c r="AD74" s="241">
        <v>12077</v>
      </c>
      <c r="AE74" s="255">
        <v>4.7582181005216523E-2</v>
      </c>
      <c r="AF74" s="255">
        <v>11952</v>
      </c>
      <c r="AG74" s="241">
        <v>0.15031793842034805</v>
      </c>
      <c r="AH74" s="254">
        <v>11116</v>
      </c>
      <c r="AI74" s="241">
        <v>0.1</v>
      </c>
      <c r="AJ74" s="241"/>
      <c r="AK74" s="241">
        <v>10630</v>
      </c>
      <c r="AL74" s="254">
        <v>0.10366886171213546</v>
      </c>
      <c r="AM74" s="241"/>
      <c r="AN74" s="252">
        <v>11951</v>
      </c>
      <c r="AO74" s="241">
        <v>9.7424483306836243E-2</v>
      </c>
      <c r="AP74" s="253"/>
      <c r="AQ74" s="253">
        <v>10769</v>
      </c>
      <c r="AR74" s="253"/>
      <c r="AS74" s="252">
        <v>12116</v>
      </c>
      <c r="AT74" s="252">
        <v>14874</v>
      </c>
      <c r="AU74" s="241">
        <v>13430</v>
      </c>
      <c r="AV74" s="246">
        <v>8800</v>
      </c>
      <c r="AW74" s="31">
        <v>9000</v>
      </c>
      <c r="AX74" s="150"/>
      <c r="AY74" s="254">
        <v>12116</v>
      </c>
      <c r="AZ74" s="254"/>
      <c r="BA74" s="31">
        <v>1987</v>
      </c>
      <c r="BB74" s="31">
        <v>12596</v>
      </c>
      <c r="BC74" s="31">
        <v>12226</v>
      </c>
      <c r="BD74" s="31">
        <v>12106</v>
      </c>
    </row>
    <row r="75" spans="1:56" ht="14" x14ac:dyDescent="0.15">
      <c r="A75" s="150">
        <v>1988</v>
      </c>
      <c r="B75" s="150">
        <f>Stdev!D310</f>
        <v>11536</v>
      </c>
      <c r="C75" s="150">
        <f>Stdev!E310/Stdev!D310</f>
        <v>3.5696081830790573E-2</v>
      </c>
      <c r="D75" s="150">
        <v>1988</v>
      </c>
      <c r="E75" s="150">
        <v>11906</v>
      </c>
      <c r="F75" s="150">
        <v>3.4905089870653452E-2</v>
      </c>
      <c r="G75" s="150">
        <v>1988</v>
      </c>
      <c r="H75" s="150">
        <v>11583</v>
      </c>
      <c r="I75" s="150">
        <v>3.5700595700595701E-2</v>
      </c>
      <c r="J75" s="150">
        <v>1988</v>
      </c>
      <c r="K75" s="150">
        <v>11642</v>
      </c>
      <c r="L75" s="150">
        <v>3.5586668957223844E-2</v>
      </c>
      <c r="M75" s="150">
        <v>1988</v>
      </c>
      <c r="N75" s="150">
        <v>11424</v>
      </c>
      <c r="O75" s="150">
        <v>3.6356792717086833E-2</v>
      </c>
      <c r="P75" s="150">
        <v>11372</v>
      </c>
      <c r="Q75" s="150">
        <v>3.6500175870559266E-2</v>
      </c>
      <c r="R75" s="150"/>
      <c r="S75" s="254">
        <v>1988</v>
      </c>
      <c r="T75" s="254">
        <v>11227</v>
      </c>
      <c r="U75" s="254">
        <v>3.7096285739734572E-2</v>
      </c>
      <c r="V75" s="150">
        <v>11004</v>
      </c>
      <c r="W75" s="254">
        <v>3.7250090876045069E-2</v>
      </c>
      <c r="X75" s="254"/>
      <c r="Y75" s="254">
        <v>1988</v>
      </c>
      <c r="Z75" s="31">
        <v>11617</v>
      </c>
      <c r="AA75" s="254">
        <v>4.2435224240337438E-2</v>
      </c>
      <c r="AB75" s="254"/>
      <c r="AC75" s="254">
        <v>1988</v>
      </c>
      <c r="AD75" s="241">
        <v>11330</v>
      </c>
      <c r="AE75" s="255">
        <v>4.6274492497793467E-2</v>
      </c>
      <c r="AF75" s="255">
        <v>11020</v>
      </c>
      <c r="AG75" s="241">
        <v>0.15021778584392015</v>
      </c>
      <c r="AH75" s="254">
        <v>10274</v>
      </c>
      <c r="AI75" s="241">
        <v>0.1</v>
      </c>
      <c r="AJ75" s="241"/>
      <c r="AK75" s="241">
        <v>9904.2999999999993</v>
      </c>
      <c r="AL75" s="254">
        <v>0.1110325818079017</v>
      </c>
      <c r="AM75" s="241"/>
      <c r="AN75" s="252">
        <v>11159</v>
      </c>
      <c r="AO75" s="241">
        <v>9.5101711622905274E-2</v>
      </c>
      <c r="AP75" s="253"/>
      <c r="AQ75" s="253">
        <v>9991</v>
      </c>
      <c r="AR75" s="253"/>
      <c r="AS75" s="252">
        <v>11162</v>
      </c>
      <c r="AT75" s="252">
        <v>13690</v>
      </c>
      <c r="AU75" s="241">
        <v>12367</v>
      </c>
      <c r="AV75" s="246">
        <v>8500</v>
      </c>
      <c r="AW75" s="31">
        <v>7600</v>
      </c>
      <c r="AX75" s="150"/>
      <c r="AY75" s="254">
        <v>11317</v>
      </c>
      <c r="AZ75" s="254"/>
      <c r="BA75" s="31">
        <v>1988</v>
      </c>
      <c r="BB75" s="31">
        <v>11633</v>
      </c>
      <c r="BC75" s="31">
        <v>11243</v>
      </c>
      <c r="BD75" s="31">
        <v>11153</v>
      </c>
    </row>
    <row r="76" spans="1:56" ht="14" x14ac:dyDescent="0.15">
      <c r="A76" s="150">
        <v>1989</v>
      </c>
      <c r="B76" s="150">
        <f>Stdev!D311</f>
        <v>9699.9</v>
      </c>
      <c r="C76" s="150">
        <f>Stdev!E311/Stdev!D311</f>
        <v>3.776224497159765E-2</v>
      </c>
      <c r="D76" s="150">
        <v>1989</v>
      </c>
      <c r="E76" s="150">
        <v>10128</v>
      </c>
      <c r="F76" s="150">
        <v>3.621050552922591E-2</v>
      </c>
      <c r="G76" s="150">
        <v>1989</v>
      </c>
      <c r="H76" s="150">
        <v>9860.9</v>
      </c>
      <c r="I76" s="150">
        <v>3.6910423997809534E-2</v>
      </c>
      <c r="J76" s="150">
        <v>1989</v>
      </c>
      <c r="K76" s="150">
        <v>9912.7000000000007</v>
      </c>
      <c r="L76" s="150">
        <v>3.6801275131901498E-2</v>
      </c>
      <c r="M76" s="150">
        <v>1989</v>
      </c>
      <c r="N76" s="150">
        <v>9723.9</v>
      </c>
      <c r="O76" s="150">
        <v>3.7562089285163365E-2</v>
      </c>
      <c r="P76" s="150">
        <v>9644.2999999999993</v>
      </c>
      <c r="Q76" s="150">
        <v>3.7848262704395341E-2</v>
      </c>
      <c r="R76" s="150"/>
      <c r="S76" s="254">
        <v>1989</v>
      </c>
      <c r="T76" s="254">
        <v>9520.6</v>
      </c>
      <c r="U76" s="254">
        <v>3.8481818372791632E-2</v>
      </c>
      <c r="V76" s="150">
        <v>9320.1</v>
      </c>
      <c r="W76" s="254">
        <v>3.8668040042488812E-2</v>
      </c>
      <c r="X76" s="254"/>
      <c r="Y76" s="254">
        <v>1989</v>
      </c>
      <c r="Z76" s="31">
        <v>9874.5</v>
      </c>
      <c r="AA76" s="254">
        <v>4.4092359106790213E-2</v>
      </c>
      <c r="AB76" s="254"/>
      <c r="AC76" s="254">
        <v>1989</v>
      </c>
      <c r="AD76" s="241">
        <v>9584.1</v>
      </c>
      <c r="AE76" s="255">
        <v>4.8224663766029151E-2</v>
      </c>
      <c r="AF76" s="255">
        <v>9210</v>
      </c>
      <c r="AG76" s="241">
        <v>0.16060803474484256</v>
      </c>
      <c r="AH76" s="254">
        <v>8546</v>
      </c>
      <c r="AI76" s="241">
        <v>0.1</v>
      </c>
      <c r="AJ76" s="241"/>
      <c r="AK76" s="241">
        <v>8246.6</v>
      </c>
      <c r="AL76" s="254">
        <v>0.13017485994227923</v>
      </c>
      <c r="AM76" s="241"/>
      <c r="AN76" s="252">
        <v>9394</v>
      </c>
      <c r="AO76" s="241">
        <v>9.9797743240366193E-2</v>
      </c>
      <c r="AP76" s="253"/>
      <c r="AQ76" s="253">
        <v>8305</v>
      </c>
      <c r="AR76" s="253"/>
      <c r="AS76" s="252">
        <v>9330</v>
      </c>
      <c r="AT76" s="252">
        <v>11563</v>
      </c>
      <c r="AU76" s="241">
        <v>10478</v>
      </c>
      <c r="AV76" s="246">
        <v>7900</v>
      </c>
      <c r="AW76" s="31">
        <v>6200</v>
      </c>
      <c r="AX76" s="150"/>
      <c r="AY76" s="254">
        <v>9540</v>
      </c>
      <c r="AZ76" s="254"/>
      <c r="BA76" s="31">
        <v>1989</v>
      </c>
      <c r="BB76" s="31">
        <v>9849.5</v>
      </c>
      <c r="BC76" s="31">
        <v>9466</v>
      </c>
      <c r="BD76" s="31">
        <v>9384.2999999999993</v>
      </c>
    </row>
    <row r="77" spans="1:56" ht="14" x14ac:dyDescent="0.15">
      <c r="A77" s="150">
        <v>1990</v>
      </c>
      <c r="B77" s="150">
        <f>Stdev!D312</f>
        <v>7700.5</v>
      </c>
      <c r="C77" s="150">
        <f>Stdev!E312/Stdev!D312</f>
        <v>4.1654438023504964E-2</v>
      </c>
      <c r="D77" s="150">
        <v>1990</v>
      </c>
      <c r="E77" s="150">
        <v>8101.9</v>
      </c>
      <c r="F77" s="150">
        <v>3.9480862513731348E-2</v>
      </c>
      <c r="G77" s="150">
        <v>1990</v>
      </c>
      <c r="H77" s="150">
        <v>7891.2</v>
      </c>
      <c r="I77" s="150">
        <v>4.0153588807785891E-2</v>
      </c>
      <c r="J77" s="150">
        <v>1990</v>
      </c>
      <c r="K77" s="150">
        <v>7935.9</v>
      </c>
      <c r="L77" s="150">
        <v>4.0033266548217594E-2</v>
      </c>
      <c r="M77" s="150">
        <v>1990</v>
      </c>
      <c r="N77" s="150">
        <v>7764.1</v>
      </c>
      <c r="O77" s="150">
        <v>4.0886902538607175E-2</v>
      </c>
      <c r="P77" s="150">
        <v>7657.5</v>
      </c>
      <c r="Q77" s="150">
        <v>4.1257590597453479E-2</v>
      </c>
      <c r="R77" s="150"/>
      <c r="S77" s="254">
        <v>1990</v>
      </c>
      <c r="T77" s="254">
        <v>7558.3</v>
      </c>
      <c r="U77" s="254">
        <v>4.196710900599341E-2</v>
      </c>
      <c r="V77" s="150">
        <v>7344.7</v>
      </c>
      <c r="W77" s="254">
        <v>4.2256320884447293E-2</v>
      </c>
      <c r="X77" s="254"/>
      <c r="Y77" s="254">
        <v>1990</v>
      </c>
      <c r="Z77" s="31">
        <v>7846.9</v>
      </c>
      <c r="AA77" s="254">
        <v>4.7939950808599578E-2</v>
      </c>
      <c r="AB77" s="254"/>
      <c r="AC77" s="254">
        <v>1990</v>
      </c>
      <c r="AD77" s="241">
        <v>7602.7</v>
      </c>
      <c r="AE77" s="255">
        <v>5.2447156931090276E-2</v>
      </c>
      <c r="AF77" s="255">
        <v>7239.6</v>
      </c>
      <c r="AG77" s="241">
        <v>0.17782474169843637</v>
      </c>
      <c r="AH77" s="254">
        <v>6659</v>
      </c>
      <c r="AI77" s="241">
        <v>0.12</v>
      </c>
      <c r="AJ77" s="241"/>
      <c r="AK77" s="241">
        <v>6469</v>
      </c>
      <c r="AL77" s="254">
        <v>0.13536868140361721</v>
      </c>
      <c r="AM77" s="241"/>
      <c r="AN77" s="252">
        <v>7393.2</v>
      </c>
      <c r="AO77" s="241">
        <v>0.10912730617324028</v>
      </c>
      <c r="AP77" s="253"/>
      <c r="AQ77" s="253">
        <v>6497</v>
      </c>
      <c r="AR77" s="253"/>
      <c r="AS77" s="252">
        <v>7341</v>
      </c>
      <c r="AT77" s="241">
        <v>9249</v>
      </c>
      <c r="AU77" s="241">
        <v>8439</v>
      </c>
      <c r="AV77" s="246"/>
      <c r="AX77" s="150"/>
      <c r="AY77" s="254">
        <v>7524</v>
      </c>
      <c r="AZ77" s="254"/>
      <c r="BA77" s="31">
        <v>1990</v>
      </c>
      <c r="BB77" s="31">
        <v>7810.8</v>
      </c>
      <c r="BC77" s="31">
        <v>7453.7</v>
      </c>
      <c r="BD77" s="31">
        <v>7391.6</v>
      </c>
    </row>
    <row r="78" spans="1:56" ht="14" x14ac:dyDescent="0.15">
      <c r="A78" s="150">
        <v>1991</v>
      </c>
      <c r="B78" s="150">
        <f>Stdev!D313</f>
        <v>6063.2</v>
      </c>
      <c r="C78" s="150">
        <f>Stdev!E313/Stdev!D313</f>
        <v>4.6447420504024277E-2</v>
      </c>
      <c r="D78" s="150">
        <v>1991</v>
      </c>
      <c r="E78" s="150">
        <v>6331.4</v>
      </c>
      <c r="F78" s="150">
        <v>4.456834191490034E-2</v>
      </c>
      <c r="G78" s="150">
        <v>1991</v>
      </c>
      <c r="H78" s="150">
        <v>6170.8</v>
      </c>
      <c r="I78" s="150">
        <v>4.5227523173656574E-2</v>
      </c>
      <c r="J78" s="150">
        <v>1991</v>
      </c>
      <c r="K78" s="150">
        <v>6209.3</v>
      </c>
      <c r="L78" s="150">
        <v>4.5079155460357852E-2</v>
      </c>
      <c r="M78" s="150">
        <v>1991</v>
      </c>
      <c r="N78" s="150">
        <v>6048.8</v>
      </c>
      <c r="O78" s="150">
        <v>4.6131464092051315E-2</v>
      </c>
      <c r="P78" s="150">
        <v>5889.5</v>
      </c>
      <c r="Q78" s="150">
        <v>4.6778164530095936E-2</v>
      </c>
      <c r="R78" s="150"/>
      <c r="S78" s="254">
        <v>1991</v>
      </c>
      <c r="T78" s="254">
        <v>5811.2</v>
      </c>
      <c r="U78" s="254">
        <v>4.7606346365638763E-2</v>
      </c>
      <c r="V78" s="150">
        <v>5590.1</v>
      </c>
      <c r="W78" s="254">
        <v>4.8056385395610093E-2</v>
      </c>
      <c r="X78" s="254"/>
      <c r="Y78" s="254">
        <v>1991</v>
      </c>
      <c r="Z78" s="31">
        <v>6096.8</v>
      </c>
      <c r="AA78" s="254">
        <v>5.3396863928618289E-2</v>
      </c>
      <c r="AB78" s="254"/>
      <c r="AC78" s="254">
        <v>1991</v>
      </c>
      <c r="AD78" s="241">
        <v>5928.5</v>
      </c>
      <c r="AE78" s="255">
        <v>5.819515897781901E-2</v>
      </c>
      <c r="AF78" s="255">
        <v>5690.2</v>
      </c>
      <c r="AG78" s="241">
        <v>0.19828125549189834</v>
      </c>
      <c r="AH78" s="254">
        <v>5180</v>
      </c>
      <c r="AI78" s="241">
        <v>0.13</v>
      </c>
      <c r="AJ78" s="241"/>
      <c r="AK78" s="241">
        <v>4854.3</v>
      </c>
      <c r="AL78" s="254">
        <v>0.15157695239272401</v>
      </c>
      <c r="AM78" s="241"/>
      <c r="AN78" s="252">
        <v>5581.8</v>
      </c>
      <c r="AO78" s="241">
        <v>0.12398867748754883</v>
      </c>
      <c r="AP78" s="253"/>
      <c r="AQ78" s="253">
        <v>4842</v>
      </c>
      <c r="AR78" s="253"/>
      <c r="AS78" s="252">
        <v>5787</v>
      </c>
      <c r="AT78" s="241">
        <v>7618</v>
      </c>
      <c r="AU78" s="241">
        <v>7350</v>
      </c>
      <c r="AV78" s="246"/>
      <c r="AX78" s="150"/>
      <c r="AY78" s="254">
        <v>5708</v>
      </c>
      <c r="AZ78" s="254"/>
      <c r="BA78" s="31">
        <v>1991</v>
      </c>
      <c r="BB78" s="31">
        <v>5977.4</v>
      </c>
      <c r="BC78" s="31">
        <v>5636.9</v>
      </c>
      <c r="BD78" s="31">
        <v>5454.2</v>
      </c>
    </row>
    <row r="79" spans="1:56" ht="14" x14ac:dyDescent="0.15">
      <c r="A79" s="150">
        <v>1992</v>
      </c>
      <c r="B79" s="150">
        <f>Stdev!D314</f>
        <v>9472.2000000000007</v>
      </c>
      <c r="C79" s="150">
        <f>Stdev!E314/Stdev!D314</f>
        <v>3.3608876501763051E-2</v>
      </c>
      <c r="D79" s="150">
        <v>1992</v>
      </c>
      <c r="E79" s="150">
        <v>9704.5</v>
      </c>
      <c r="F79" s="150">
        <v>3.4013086712349941E-2</v>
      </c>
      <c r="G79" s="150">
        <v>1992</v>
      </c>
      <c r="H79" s="150">
        <v>9561.7000000000007</v>
      </c>
      <c r="I79" s="150">
        <v>3.4178022736542663E-2</v>
      </c>
      <c r="J79" s="150">
        <v>1992</v>
      </c>
      <c r="K79" s="150">
        <v>9601.7999999999993</v>
      </c>
      <c r="L79" s="150">
        <v>3.413839071840697E-2</v>
      </c>
      <c r="M79" s="150">
        <v>1992</v>
      </c>
      <c r="N79" s="150">
        <v>9411</v>
      </c>
      <c r="O79" s="150">
        <v>3.4501115715651898E-2</v>
      </c>
      <c r="P79" s="150">
        <v>9292.2000000000007</v>
      </c>
      <c r="Q79" s="150">
        <v>3.4659176513635093E-2</v>
      </c>
      <c r="R79" s="150"/>
      <c r="S79" s="254">
        <v>1992</v>
      </c>
      <c r="T79" s="254">
        <v>9211</v>
      </c>
      <c r="U79" s="254">
        <v>3.5042883508848113E-2</v>
      </c>
      <c r="V79" s="150">
        <v>8966.2000000000007</v>
      </c>
      <c r="W79" s="254">
        <v>3.5491066449554992E-2</v>
      </c>
      <c r="X79" s="254"/>
      <c r="Y79" s="254">
        <v>1992</v>
      </c>
      <c r="Z79" s="31">
        <v>9557</v>
      </c>
      <c r="AA79" s="254">
        <v>4.1267134037877996E-2</v>
      </c>
      <c r="AB79" s="254"/>
      <c r="AC79" s="254">
        <v>1992</v>
      </c>
      <c r="AD79" s="241">
        <v>9269.6</v>
      </c>
      <c r="AE79" s="255">
        <v>4.6001984983170797E-2</v>
      </c>
      <c r="AF79" s="255">
        <v>9464.5</v>
      </c>
      <c r="AG79" s="241">
        <v>0.20780178561994822</v>
      </c>
      <c r="AH79" s="254">
        <v>8294</v>
      </c>
      <c r="AI79" s="241">
        <v>0.13</v>
      </c>
      <c r="AJ79" s="241"/>
      <c r="AK79" s="241">
        <v>7903.5</v>
      </c>
      <c r="AL79" s="254">
        <v>0.1344594167141141</v>
      </c>
      <c r="AM79" s="241"/>
      <c r="AN79" s="252">
        <v>8897.7000000000007</v>
      </c>
      <c r="AO79" s="241">
        <v>9.9304314598154572E-2</v>
      </c>
      <c r="AP79" s="253"/>
      <c r="AQ79" s="253">
        <v>7800</v>
      </c>
      <c r="AR79" s="253"/>
      <c r="AS79" s="252">
        <v>9799</v>
      </c>
      <c r="AT79" s="241">
        <v>9197</v>
      </c>
      <c r="AU79" s="241">
        <v>9564</v>
      </c>
      <c r="AV79" s="246"/>
      <c r="AX79" s="150"/>
      <c r="AY79" s="254">
        <v>9227</v>
      </c>
      <c r="AZ79" s="254"/>
      <c r="BA79" s="31">
        <v>1992</v>
      </c>
      <c r="BB79" s="31">
        <v>9613.9</v>
      </c>
      <c r="BC79" s="31">
        <v>9119.9</v>
      </c>
      <c r="BD79" s="31">
        <v>8904.5</v>
      </c>
    </row>
    <row r="80" spans="1:56" ht="14" x14ac:dyDescent="0.15">
      <c r="A80" s="150">
        <v>1993</v>
      </c>
      <c r="B80" s="150">
        <f>Stdev!D315</f>
        <v>11712</v>
      </c>
      <c r="C80" s="150">
        <f>Stdev!E315/Stdev!D315</f>
        <v>3.1885245901639346E-2</v>
      </c>
      <c r="D80" s="150">
        <v>1993</v>
      </c>
      <c r="E80" s="150">
        <v>11840</v>
      </c>
      <c r="F80" s="150">
        <v>3.3187500000000002E-2</v>
      </c>
      <c r="G80" s="150">
        <v>1993</v>
      </c>
      <c r="H80" s="150">
        <v>11712</v>
      </c>
      <c r="I80" s="150">
        <v>3.3243681693989072E-2</v>
      </c>
      <c r="J80" s="150">
        <v>1993</v>
      </c>
      <c r="K80" s="150">
        <v>11754</v>
      </c>
      <c r="L80" s="150">
        <v>3.3218478815722305E-2</v>
      </c>
      <c r="M80" s="150">
        <v>1993</v>
      </c>
      <c r="N80" s="150">
        <v>11543</v>
      </c>
      <c r="O80" s="150">
        <v>3.3367408819197787E-2</v>
      </c>
      <c r="P80" s="150">
        <v>11466</v>
      </c>
      <c r="Q80" s="150">
        <v>3.3384789813361244E-2</v>
      </c>
      <c r="R80" s="150"/>
      <c r="S80" s="254">
        <v>1993</v>
      </c>
      <c r="T80" s="254">
        <v>11388</v>
      </c>
      <c r="U80" s="254">
        <v>3.3651211801896737E-2</v>
      </c>
      <c r="V80" s="150">
        <v>11175</v>
      </c>
      <c r="W80" s="254">
        <v>3.4031319910514543E-2</v>
      </c>
      <c r="X80" s="254"/>
      <c r="Y80" s="254">
        <v>1993</v>
      </c>
      <c r="Z80" s="31">
        <v>11832</v>
      </c>
      <c r="AA80" s="254">
        <v>3.9994083840432723E-2</v>
      </c>
      <c r="AB80" s="254"/>
      <c r="AC80" s="254">
        <v>1993</v>
      </c>
      <c r="AD80" s="241">
        <v>11795</v>
      </c>
      <c r="AE80" s="255">
        <v>4.4151759220008475E-2</v>
      </c>
      <c r="AF80" s="255">
        <v>12086</v>
      </c>
      <c r="AG80" s="241">
        <v>0.24884990898560316</v>
      </c>
      <c r="AH80" s="254">
        <v>10279</v>
      </c>
      <c r="AI80" s="241">
        <v>0.16</v>
      </c>
      <c r="AJ80" s="241"/>
      <c r="AK80" s="241">
        <v>10203</v>
      </c>
      <c r="AL80" s="254">
        <v>9.5266098206409883E-2</v>
      </c>
      <c r="AM80" s="241"/>
      <c r="AN80" s="252">
        <v>11503</v>
      </c>
      <c r="AO80" s="241">
        <v>0.1015839346257498</v>
      </c>
      <c r="AP80" s="253"/>
      <c r="AQ80" s="253">
        <v>9873</v>
      </c>
      <c r="AR80" s="253"/>
      <c r="AS80" s="252">
        <v>12659</v>
      </c>
      <c r="AT80" s="241">
        <v>9168</v>
      </c>
      <c r="AU80" s="241">
        <v>10083</v>
      </c>
      <c r="AV80" s="246"/>
      <c r="AX80" s="150"/>
      <c r="AY80" s="254">
        <v>12110</v>
      </c>
      <c r="AZ80" s="254"/>
      <c r="BA80" s="31">
        <v>1993</v>
      </c>
      <c r="BB80" s="31">
        <v>12363</v>
      </c>
      <c r="BC80" s="31">
        <v>11721</v>
      </c>
      <c r="BD80" s="31">
        <v>11669</v>
      </c>
    </row>
    <row r="81" spans="1:56" ht="14" x14ac:dyDescent="0.15">
      <c r="A81" s="150">
        <v>1994</v>
      </c>
      <c r="B81" s="150">
        <f>Stdev!D316</f>
        <v>11418</v>
      </c>
      <c r="C81" s="150">
        <f>Stdev!E316/Stdev!D316</f>
        <v>3.2456647398843928E-2</v>
      </c>
      <c r="D81" s="150">
        <v>1994</v>
      </c>
      <c r="E81" s="150">
        <v>11402</v>
      </c>
      <c r="F81" s="150">
        <v>3.4500087703911594E-2</v>
      </c>
      <c r="G81" s="150">
        <v>1994</v>
      </c>
      <c r="H81" s="150">
        <v>11306</v>
      </c>
      <c r="I81" s="150">
        <v>3.4567486290465237E-2</v>
      </c>
      <c r="J81" s="150">
        <v>1994</v>
      </c>
      <c r="K81" s="150">
        <v>11341</v>
      </c>
      <c r="L81" s="150">
        <v>3.452693765981836E-2</v>
      </c>
      <c r="M81" s="150">
        <v>1994</v>
      </c>
      <c r="N81" s="150">
        <v>11146</v>
      </c>
      <c r="O81" s="150">
        <v>3.4663556432801008E-2</v>
      </c>
      <c r="P81" s="150">
        <v>11050</v>
      </c>
      <c r="Q81" s="150">
        <v>3.4823529411764705E-2</v>
      </c>
      <c r="R81" s="150"/>
      <c r="S81" s="254">
        <v>1994</v>
      </c>
      <c r="T81" s="254">
        <v>10990</v>
      </c>
      <c r="U81" s="254">
        <v>3.5101000909918106E-2</v>
      </c>
      <c r="V81" s="150">
        <v>10782</v>
      </c>
      <c r="W81" s="254">
        <v>3.5237432758300873E-2</v>
      </c>
      <c r="X81" s="254"/>
      <c r="Y81" s="254">
        <v>1994</v>
      </c>
      <c r="Z81" s="31">
        <v>11485</v>
      </c>
      <c r="AA81" s="254">
        <v>4.1529821506312584E-2</v>
      </c>
      <c r="AB81" s="254"/>
      <c r="AC81" s="254">
        <v>1994</v>
      </c>
      <c r="AD81" s="241">
        <v>11407</v>
      </c>
      <c r="AE81" s="255">
        <v>4.5735074953975635E-2</v>
      </c>
      <c r="AF81" s="255">
        <v>10626</v>
      </c>
      <c r="AG81" s="241">
        <v>0.28537549407114626</v>
      </c>
      <c r="AH81" s="254">
        <v>8917</v>
      </c>
      <c r="AI81" s="241">
        <v>0.18</v>
      </c>
      <c r="AJ81" s="241"/>
      <c r="AK81" s="241">
        <v>9246.7000000000007</v>
      </c>
      <c r="AL81" s="254">
        <v>0.16603761341884121</v>
      </c>
      <c r="AM81" s="241"/>
      <c r="AN81" s="252">
        <v>10590</v>
      </c>
      <c r="AO81" s="241">
        <v>0.11016241737488196</v>
      </c>
      <c r="AP81" s="253"/>
      <c r="AQ81" s="253">
        <v>8622</v>
      </c>
      <c r="AR81" s="253"/>
      <c r="AS81" s="252">
        <v>11224</v>
      </c>
      <c r="AT81" s="241">
        <v>8630</v>
      </c>
      <c r="AU81" s="241">
        <v>9870</v>
      </c>
      <c r="AV81" s="246"/>
      <c r="AX81" s="150"/>
      <c r="AY81" s="254">
        <v>11358</v>
      </c>
      <c r="AZ81" s="254"/>
      <c r="BA81" s="31">
        <v>1994</v>
      </c>
      <c r="BB81" s="31">
        <v>11696</v>
      </c>
      <c r="BC81" s="31">
        <v>10998</v>
      </c>
      <c r="BD81" s="31">
        <v>11000</v>
      </c>
    </row>
    <row r="82" spans="1:56" ht="14" x14ac:dyDescent="0.15">
      <c r="A82" s="150">
        <v>1995</v>
      </c>
      <c r="B82" s="150">
        <f>Stdev!D317</f>
        <v>13177</v>
      </c>
      <c r="C82" s="150">
        <f>Stdev!E317/Stdev!D317</f>
        <v>3.12248615011004E-2</v>
      </c>
      <c r="D82" s="150">
        <v>1995</v>
      </c>
      <c r="E82" s="150">
        <v>13135</v>
      </c>
      <c r="F82" s="150">
        <v>3.2525314046440809E-2</v>
      </c>
      <c r="G82" s="150">
        <v>1995</v>
      </c>
      <c r="H82" s="150">
        <v>13074</v>
      </c>
      <c r="I82" s="150">
        <v>3.2640354902860637E-2</v>
      </c>
      <c r="J82" s="150">
        <v>1995</v>
      </c>
      <c r="K82" s="150">
        <v>13109</v>
      </c>
      <c r="L82" s="150">
        <v>3.2553207719887102E-2</v>
      </c>
      <c r="M82" s="150">
        <v>1995</v>
      </c>
      <c r="N82" s="150">
        <v>12883</v>
      </c>
      <c r="O82" s="150">
        <v>3.2805247225025223E-2</v>
      </c>
      <c r="P82" s="150">
        <v>12748</v>
      </c>
      <c r="Q82" s="150">
        <v>3.2898493881393161E-2</v>
      </c>
      <c r="R82" s="150"/>
      <c r="S82" s="254">
        <v>1995</v>
      </c>
      <c r="T82" s="254">
        <v>12699</v>
      </c>
      <c r="U82" s="254">
        <v>3.3251437121033151E-2</v>
      </c>
      <c r="V82" s="150">
        <v>12704</v>
      </c>
      <c r="W82" s="254">
        <v>3.3270623425692696E-2</v>
      </c>
      <c r="X82" s="254"/>
      <c r="Y82" s="254">
        <v>1995</v>
      </c>
      <c r="Z82" s="31">
        <v>13615</v>
      </c>
      <c r="AA82" s="254">
        <v>4.0738890929122286E-2</v>
      </c>
      <c r="AB82" s="254"/>
      <c r="AC82" s="254">
        <v>1995</v>
      </c>
      <c r="AD82" s="241">
        <v>13658</v>
      </c>
      <c r="AE82" s="255">
        <v>4.4612681212476211E-2</v>
      </c>
      <c r="AF82" s="255">
        <v>9998</v>
      </c>
      <c r="AG82" s="241">
        <v>0.31548309661932383</v>
      </c>
      <c r="AH82" s="254">
        <v>8680</v>
      </c>
      <c r="AI82" s="241">
        <v>0.22</v>
      </c>
      <c r="AJ82" s="241"/>
      <c r="AK82" s="241">
        <v>10210</v>
      </c>
      <c r="AL82" s="254">
        <v>0.24427032321253672</v>
      </c>
      <c r="AM82" s="241"/>
      <c r="AN82" s="252">
        <v>12617</v>
      </c>
      <c r="AO82" s="241">
        <v>0.1261694539113894</v>
      </c>
      <c r="AP82" s="253"/>
      <c r="AQ82" s="253">
        <v>8817</v>
      </c>
      <c r="AR82" s="253"/>
      <c r="AS82" s="252">
        <v>10606</v>
      </c>
      <c r="AT82" s="241">
        <v>8695</v>
      </c>
      <c r="AU82" s="241">
        <v>9765</v>
      </c>
      <c r="AV82" s="246"/>
      <c r="AX82" s="150"/>
      <c r="AY82" s="254">
        <v>13848</v>
      </c>
      <c r="AZ82" s="254"/>
      <c r="BA82" s="31">
        <v>1995</v>
      </c>
      <c r="BB82" s="31">
        <v>14474</v>
      </c>
      <c r="BC82" s="31">
        <v>13554</v>
      </c>
      <c r="BD82" s="31">
        <v>13605</v>
      </c>
    </row>
    <row r="83" spans="1:56" ht="14" x14ac:dyDescent="0.15">
      <c r="A83" s="150">
        <v>1996</v>
      </c>
      <c r="B83" s="150">
        <f>Stdev!D318</f>
        <v>11358</v>
      </c>
      <c r="C83" s="150">
        <f>Stdev!E318/Stdev!D318</f>
        <v>3.2864060574044722E-2</v>
      </c>
      <c r="D83" s="150">
        <v>1996</v>
      </c>
      <c r="E83" s="150">
        <v>11235</v>
      </c>
      <c r="F83" s="150">
        <v>3.4488651535380506E-2</v>
      </c>
      <c r="G83" s="150">
        <v>1996</v>
      </c>
      <c r="H83" s="150">
        <v>11198</v>
      </c>
      <c r="I83" s="150">
        <v>3.4641007322736207E-2</v>
      </c>
      <c r="J83" s="150">
        <v>1996</v>
      </c>
      <c r="K83" s="150">
        <v>11229</v>
      </c>
      <c r="L83" s="150">
        <v>3.4522219253718046E-2</v>
      </c>
      <c r="M83" s="150">
        <v>1996</v>
      </c>
      <c r="N83" s="150">
        <v>11019</v>
      </c>
      <c r="O83" s="150">
        <v>3.4886105817224795E-2</v>
      </c>
      <c r="P83" s="150">
        <v>10874</v>
      </c>
      <c r="Q83" s="150">
        <v>3.5055177487585062E-2</v>
      </c>
      <c r="R83" s="150"/>
      <c r="S83" s="254">
        <v>1996</v>
      </c>
      <c r="T83" s="254">
        <v>10843</v>
      </c>
      <c r="U83" s="254">
        <v>3.5494789264963571E-2</v>
      </c>
      <c r="V83" s="150">
        <v>10829</v>
      </c>
      <c r="W83" s="254">
        <v>3.5616400406316376E-2</v>
      </c>
      <c r="X83" s="254"/>
      <c r="Y83" s="254">
        <v>1996</v>
      </c>
      <c r="Z83" s="31">
        <v>11537</v>
      </c>
      <c r="AA83" s="254">
        <v>4.3795614111120741E-2</v>
      </c>
      <c r="AB83" s="254"/>
      <c r="AC83" s="254">
        <v>1996</v>
      </c>
      <c r="AD83" s="241">
        <v>11480</v>
      </c>
      <c r="AE83" s="255">
        <v>4.8066202090592328E-2</v>
      </c>
      <c r="AF83" s="255">
        <v>8141.6</v>
      </c>
      <c r="AG83" s="241">
        <v>0.35931512233467622</v>
      </c>
      <c r="AH83" s="254">
        <v>6811</v>
      </c>
      <c r="AI83" s="241">
        <v>0.26</v>
      </c>
      <c r="AJ83" s="241"/>
      <c r="AK83" s="241">
        <v>8498.2999999999993</v>
      </c>
      <c r="AL83" s="254">
        <v>0.27425485097019414</v>
      </c>
      <c r="AM83" s="241"/>
      <c r="AN83" s="252">
        <v>10752</v>
      </c>
      <c r="AO83" s="241">
        <v>0.14148065476190477</v>
      </c>
      <c r="AP83" s="253"/>
      <c r="AQ83" s="253">
        <v>7147</v>
      </c>
      <c r="AR83" s="253"/>
      <c r="AS83" s="252">
        <v>8663</v>
      </c>
      <c r="AT83" s="241">
        <v>7194</v>
      </c>
      <c r="AU83" s="241">
        <v>8150</v>
      </c>
      <c r="AV83" s="246"/>
      <c r="AX83" s="150"/>
      <c r="AY83" s="254">
        <v>11988</v>
      </c>
      <c r="AZ83" s="254"/>
      <c r="BA83" s="31">
        <v>1996</v>
      </c>
      <c r="BB83" s="31">
        <v>12630</v>
      </c>
      <c r="BC83" s="31">
        <v>11772</v>
      </c>
      <c r="BD83" s="31">
        <v>11826</v>
      </c>
    </row>
    <row r="84" spans="1:56" ht="14" x14ac:dyDescent="0.15">
      <c r="A84" s="150">
        <v>1997</v>
      </c>
      <c r="B84" s="150">
        <f>Stdev!D319</f>
        <v>9940</v>
      </c>
      <c r="C84" s="150">
        <f>Stdev!E319/Stdev!D319</f>
        <v>3.4583501006036216E-2</v>
      </c>
      <c r="D84" s="150">
        <v>1997</v>
      </c>
      <c r="E84" s="150">
        <v>9816.4</v>
      </c>
      <c r="F84" s="150">
        <v>3.6061081455523412E-2</v>
      </c>
      <c r="G84" s="150">
        <v>1997</v>
      </c>
      <c r="H84" s="150">
        <v>9801.2000000000007</v>
      </c>
      <c r="I84" s="150">
        <v>3.624862261763865E-2</v>
      </c>
      <c r="J84" s="150">
        <v>1997</v>
      </c>
      <c r="K84" s="150">
        <v>9828.1</v>
      </c>
      <c r="L84" s="150">
        <v>3.610158626794599E-2</v>
      </c>
      <c r="M84" s="150">
        <v>1997</v>
      </c>
      <c r="N84" s="150">
        <v>9626.5</v>
      </c>
      <c r="O84" s="150">
        <v>3.6583389601620525E-2</v>
      </c>
      <c r="P84" s="150">
        <v>9457.1</v>
      </c>
      <c r="Q84" s="150">
        <v>3.6908777532224463E-2</v>
      </c>
      <c r="R84" s="150"/>
      <c r="S84" s="254">
        <v>1997</v>
      </c>
      <c r="T84" s="254">
        <v>9440.1</v>
      </c>
      <c r="U84" s="254">
        <v>3.746040825838709E-2</v>
      </c>
      <c r="V84" s="150">
        <v>9403.2000000000007</v>
      </c>
      <c r="W84" s="254">
        <v>3.7863705972434915E-2</v>
      </c>
      <c r="X84" s="254"/>
      <c r="Y84" s="254">
        <v>1997</v>
      </c>
      <c r="Z84" s="31">
        <v>10104</v>
      </c>
      <c r="AA84" s="254">
        <v>4.6535035629453679E-2</v>
      </c>
      <c r="AB84" s="254"/>
      <c r="AC84" s="254">
        <v>1997</v>
      </c>
      <c r="AD84" s="241">
        <v>10056</v>
      </c>
      <c r="AE84" s="255">
        <v>5.1127684964200476E-2</v>
      </c>
      <c r="AF84" s="255">
        <v>6630.8</v>
      </c>
      <c r="AG84" s="241">
        <v>0.41723472280871082</v>
      </c>
      <c r="AH84" s="254">
        <v>5307</v>
      </c>
      <c r="AI84" s="241">
        <v>0.31</v>
      </c>
      <c r="AJ84" s="241"/>
      <c r="AK84" s="241">
        <v>7000.1</v>
      </c>
      <c r="AL84" s="254">
        <v>0.34329509578434597</v>
      </c>
      <c r="AM84" s="241"/>
      <c r="AN84" s="252">
        <v>8983.9</v>
      </c>
      <c r="AO84" s="241">
        <v>0.16168701788755441</v>
      </c>
      <c r="AP84" s="253"/>
      <c r="AQ84" s="253">
        <v>5710</v>
      </c>
      <c r="AR84" s="253"/>
      <c r="AS84" s="252">
        <v>7057</v>
      </c>
      <c r="AT84" s="241">
        <v>5594</v>
      </c>
      <c r="AU84" s="241">
        <v>6406</v>
      </c>
      <c r="AV84" s="246"/>
      <c r="AX84" s="150"/>
      <c r="AY84" s="254">
        <v>10142</v>
      </c>
      <c r="AZ84" s="254"/>
      <c r="BA84" s="31">
        <v>1997</v>
      </c>
      <c r="BB84" s="31">
        <v>10775</v>
      </c>
      <c r="BC84" s="31">
        <v>9948.7999999999993</v>
      </c>
      <c r="BD84" s="31">
        <v>9966.4</v>
      </c>
    </row>
    <row r="85" spans="1:56" x14ac:dyDescent="0.15">
      <c r="A85" s="150">
        <v>1998</v>
      </c>
      <c r="B85" s="150">
        <f>Stdev!D320</f>
        <v>9989.7999999999993</v>
      </c>
      <c r="C85" s="150">
        <f>Stdev!E320/Stdev!D320</f>
        <v>3.3755430539149936E-2</v>
      </c>
      <c r="D85" s="150">
        <v>1998</v>
      </c>
      <c r="E85" s="150">
        <v>9906.7999999999993</v>
      </c>
      <c r="F85" s="150">
        <v>3.4881091775346228E-2</v>
      </c>
      <c r="G85" s="150">
        <v>1998</v>
      </c>
      <c r="H85" s="150">
        <v>9902.7000000000007</v>
      </c>
      <c r="I85" s="150">
        <v>3.5081341452331175E-2</v>
      </c>
      <c r="J85" s="150">
        <v>1998</v>
      </c>
      <c r="K85" s="150">
        <v>9929.2999999999993</v>
      </c>
      <c r="L85" s="150">
        <v>3.4905783892117272E-2</v>
      </c>
      <c r="M85" s="150">
        <v>1998</v>
      </c>
      <c r="N85" s="150">
        <v>9721.7999999999993</v>
      </c>
      <c r="O85" s="150">
        <v>3.553045732271802E-2</v>
      </c>
      <c r="P85" s="150">
        <v>9555.5</v>
      </c>
      <c r="Q85" s="150">
        <v>3.5777301030819948E-2</v>
      </c>
      <c r="R85" s="150"/>
      <c r="S85" s="254">
        <v>1998</v>
      </c>
      <c r="T85" s="254">
        <v>9537.7000000000007</v>
      </c>
      <c r="U85" s="254">
        <v>3.650460802918943E-2</v>
      </c>
      <c r="V85" s="150">
        <v>9466.9</v>
      </c>
      <c r="W85" s="254">
        <v>3.7324784248275573E-2</v>
      </c>
      <c r="X85" s="254"/>
      <c r="Y85" s="254">
        <v>1998</v>
      </c>
      <c r="Z85" s="31">
        <v>10178</v>
      </c>
      <c r="AA85" s="254">
        <v>4.5990371389270972E-2</v>
      </c>
      <c r="AB85" s="254"/>
      <c r="AC85" s="254">
        <v>1998</v>
      </c>
      <c r="AD85" s="241">
        <v>9972.7999999999993</v>
      </c>
      <c r="AE85" s="255">
        <v>5.1163163805551103E-2</v>
      </c>
      <c r="AF85" s="255"/>
      <c r="AG85" s="241"/>
      <c r="AH85" s="254">
        <v>5133</v>
      </c>
      <c r="AI85" s="241">
        <v>0.39</v>
      </c>
      <c r="AJ85" s="241"/>
      <c r="AK85" s="241">
        <v>7387.1</v>
      </c>
      <c r="AL85" s="254">
        <v>0.28154485522058714</v>
      </c>
      <c r="AM85" s="241"/>
      <c r="AN85" s="252">
        <v>9334.5</v>
      </c>
      <c r="AO85" s="241">
        <v>0.19898655525202208</v>
      </c>
      <c r="AP85" s="241"/>
      <c r="AQ85" s="241">
        <v>5961</v>
      </c>
      <c r="AR85" s="241"/>
      <c r="AS85" s="252"/>
      <c r="AT85" s="241"/>
      <c r="AU85" s="241"/>
      <c r="AV85" s="246"/>
      <c r="AX85" s="150"/>
      <c r="AY85" s="254">
        <v>10466</v>
      </c>
      <c r="AZ85" s="254"/>
      <c r="BA85" s="31">
        <v>1998</v>
      </c>
      <c r="BB85" s="31">
        <v>11110</v>
      </c>
      <c r="BC85" s="31">
        <v>9943.2000000000007</v>
      </c>
      <c r="BD85" s="31">
        <v>9915.1</v>
      </c>
    </row>
    <row r="86" spans="1:56" x14ac:dyDescent="0.15">
      <c r="A86" s="150">
        <v>1999</v>
      </c>
      <c r="B86" s="150">
        <f>Stdev!D321</f>
        <v>10853</v>
      </c>
      <c r="C86" s="150">
        <f>Stdev!E321/Stdev!D321</f>
        <v>3.1052243619275777E-2</v>
      </c>
      <c r="D86" s="150">
        <v>1999</v>
      </c>
      <c r="E86" s="150">
        <v>10799</v>
      </c>
      <c r="F86" s="150">
        <v>3.2059449949069355E-2</v>
      </c>
      <c r="G86" s="150">
        <v>1999</v>
      </c>
      <c r="H86" s="150">
        <v>10791</v>
      </c>
      <c r="I86" s="150">
        <v>3.2262996941896022E-2</v>
      </c>
      <c r="J86" s="150">
        <v>1999</v>
      </c>
      <c r="K86" s="150">
        <v>10819</v>
      </c>
      <c r="L86" s="150">
        <v>3.2088917644884002E-2</v>
      </c>
      <c r="M86" s="150">
        <v>1999</v>
      </c>
      <c r="N86" s="150">
        <v>10607</v>
      </c>
      <c r="O86" s="150">
        <v>3.2808522673706042E-2</v>
      </c>
      <c r="P86" s="150">
        <v>10482</v>
      </c>
      <c r="Q86" s="150">
        <v>3.2899255867200917E-2</v>
      </c>
      <c r="R86" s="150"/>
      <c r="S86" s="254">
        <v>1999</v>
      </c>
      <c r="T86" s="254">
        <v>10421</v>
      </c>
      <c r="U86" s="254">
        <v>3.3711735917858171E-2</v>
      </c>
      <c r="V86" s="150">
        <v>10379</v>
      </c>
      <c r="W86" s="254">
        <v>3.5115136332980051E-2</v>
      </c>
      <c r="X86" s="254"/>
      <c r="Y86" s="254">
        <v>1999</v>
      </c>
      <c r="Z86" s="31">
        <v>11081</v>
      </c>
      <c r="AA86" s="254">
        <v>4.3654904791986283E-2</v>
      </c>
      <c r="AB86" s="254"/>
      <c r="AC86" s="254">
        <v>1999</v>
      </c>
      <c r="AD86" s="241">
        <v>10872</v>
      </c>
      <c r="AE86" s="241">
        <v>4.8437270051508462E-2</v>
      </c>
      <c r="AF86" s="241"/>
      <c r="AG86" s="241"/>
      <c r="AH86" s="254"/>
      <c r="AI86" s="241"/>
      <c r="AJ86" s="241"/>
      <c r="AK86" s="241">
        <v>10741</v>
      </c>
      <c r="AL86" s="254">
        <v>-3.3702634763988458E-2</v>
      </c>
      <c r="AM86" s="241"/>
      <c r="AN86" s="252">
        <v>12593</v>
      </c>
      <c r="AO86" s="241">
        <v>0.28271261812117843</v>
      </c>
      <c r="AP86" s="241"/>
      <c r="AQ86" s="241">
        <v>7513</v>
      </c>
      <c r="AR86" s="241"/>
      <c r="AS86" s="252"/>
      <c r="AT86" s="241"/>
      <c r="AU86" s="241"/>
      <c r="AV86" s="246"/>
      <c r="AX86" s="150"/>
      <c r="AY86" s="254">
        <v>12712</v>
      </c>
      <c r="AZ86" s="254"/>
      <c r="BA86" s="31">
        <v>1999</v>
      </c>
      <c r="BB86" s="31">
        <v>13339</v>
      </c>
      <c r="BC86" s="31">
        <v>11093</v>
      </c>
      <c r="BD86" s="31">
        <v>10998</v>
      </c>
    </row>
    <row r="87" spans="1:56" ht="15" x14ac:dyDescent="0.15">
      <c r="A87" s="150">
        <v>2000</v>
      </c>
      <c r="B87" s="150">
        <f>Stdev!D322</f>
        <v>10068</v>
      </c>
      <c r="C87" s="150">
        <f>Stdev!E322/Stdev!D322</f>
        <v>3.1189908621374652E-2</v>
      </c>
      <c r="D87" s="150">
        <v>2000</v>
      </c>
      <c r="E87" s="150">
        <v>10031</v>
      </c>
      <c r="F87" s="150">
        <v>3.2299870401754562E-2</v>
      </c>
      <c r="G87" s="150">
        <v>2000</v>
      </c>
      <c r="H87" s="150">
        <v>10020</v>
      </c>
      <c r="I87" s="150">
        <v>3.250499001996008E-2</v>
      </c>
      <c r="J87" s="150">
        <v>2000</v>
      </c>
      <c r="K87" s="150">
        <v>10044</v>
      </c>
      <c r="L87" s="150">
        <v>3.2314814814814817E-2</v>
      </c>
      <c r="M87" s="150">
        <v>2000</v>
      </c>
      <c r="N87" s="150">
        <v>9840.7000000000007</v>
      </c>
      <c r="O87" s="150">
        <v>3.3151096974808704E-2</v>
      </c>
      <c r="P87" s="150">
        <v>9721.7999999999993</v>
      </c>
      <c r="Q87" s="150">
        <v>3.3223271410644122E-2</v>
      </c>
      <c r="R87" s="150"/>
      <c r="S87" s="254">
        <v>2000</v>
      </c>
      <c r="T87" s="254">
        <v>9632.2000000000007</v>
      </c>
      <c r="U87" s="254">
        <v>3.4150038412823651E-2</v>
      </c>
      <c r="V87" s="150">
        <v>9503.2999999999993</v>
      </c>
      <c r="W87" s="254">
        <v>3.6160070712278891E-2</v>
      </c>
      <c r="X87" s="254"/>
      <c r="Y87" s="254">
        <v>2000</v>
      </c>
      <c r="Z87" s="31">
        <v>10201</v>
      </c>
      <c r="AA87" s="254">
        <v>4.4840701891971375E-2</v>
      </c>
      <c r="AB87" s="254"/>
      <c r="AC87" s="254">
        <v>2000</v>
      </c>
      <c r="AD87" s="241">
        <v>10052</v>
      </c>
      <c r="AE87" s="241">
        <v>5.0500397930760048E-2</v>
      </c>
      <c r="AF87" s="241"/>
      <c r="AG87" s="241"/>
      <c r="AH87" s="254"/>
      <c r="AI87" s="241"/>
      <c r="AJ87" s="241"/>
      <c r="AK87" s="241">
        <v>10464</v>
      </c>
      <c r="AL87" s="254">
        <v>-9.181001529051995E-2</v>
      </c>
      <c r="AM87" s="241"/>
      <c r="AN87" s="256">
        <v>11680</v>
      </c>
      <c r="AO87" s="241">
        <v>0.3326712328767123</v>
      </c>
      <c r="AP87" s="241"/>
      <c r="AQ87" s="241"/>
      <c r="AR87" s="241"/>
      <c r="AS87" s="241"/>
      <c r="AT87" s="241"/>
      <c r="AU87" s="241"/>
      <c r="AV87" s="246"/>
      <c r="AX87" s="150"/>
      <c r="AY87" s="254">
        <v>11807</v>
      </c>
      <c r="AZ87" s="254"/>
      <c r="BA87" s="31">
        <v>2000</v>
      </c>
      <c r="BB87" s="31">
        <v>12498</v>
      </c>
      <c r="BC87" s="31">
        <v>10036</v>
      </c>
      <c r="BD87" s="31">
        <v>9947.2000000000007</v>
      </c>
    </row>
    <row r="88" spans="1:56" x14ac:dyDescent="0.15">
      <c r="A88" s="150">
        <v>2001</v>
      </c>
      <c r="B88" s="150">
        <f>Stdev!D323</f>
        <v>9854</v>
      </c>
      <c r="C88" s="150">
        <f>Stdev!E323/Stdev!D323</f>
        <v>3.1953521412624315E-2</v>
      </c>
      <c r="D88" s="150">
        <v>2001</v>
      </c>
      <c r="E88" s="150">
        <v>9818.9</v>
      </c>
      <c r="F88" s="150">
        <v>3.3079061809367649E-2</v>
      </c>
      <c r="G88" s="150">
        <v>2001</v>
      </c>
      <c r="H88" s="150">
        <v>9802.5</v>
      </c>
      <c r="I88" s="150">
        <v>3.3319051262433057E-2</v>
      </c>
      <c r="J88" s="150">
        <v>2001</v>
      </c>
      <c r="K88" s="150">
        <v>9829.9</v>
      </c>
      <c r="L88" s="150">
        <v>3.310308344947558E-2</v>
      </c>
      <c r="M88" s="150">
        <v>2001</v>
      </c>
      <c r="N88" s="150">
        <v>9615.7000000000007</v>
      </c>
      <c r="O88" s="150">
        <v>3.4199278263672951E-2</v>
      </c>
      <c r="P88" s="150">
        <v>9481.2999999999993</v>
      </c>
      <c r="Q88" s="150">
        <v>3.4322297575227027E-2</v>
      </c>
      <c r="R88" s="150"/>
      <c r="S88" s="254">
        <v>2001</v>
      </c>
      <c r="T88" s="254">
        <v>9341.2000000000007</v>
      </c>
      <c r="U88" s="254">
        <v>3.5474029032672459E-2</v>
      </c>
      <c r="V88" s="150">
        <v>9175.1</v>
      </c>
      <c r="W88" s="254">
        <v>3.8180510294165727E-2</v>
      </c>
      <c r="X88" s="254"/>
      <c r="Y88" s="254">
        <v>2001</v>
      </c>
      <c r="Z88" s="31">
        <v>9897.5</v>
      </c>
      <c r="AA88" s="254">
        <v>4.7592826471331146E-2</v>
      </c>
      <c r="AB88" s="254"/>
      <c r="AC88" s="254">
        <v>2001</v>
      </c>
      <c r="AD88" s="241">
        <v>9799.9</v>
      </c>
      <c r="AE88" s="241">
        <v>5.5624036979969184E-2</v>
      </c>
      <c r="AF88" s="241"/>
      <c r="AG88" s="241"/>
      <c r="AH88" s="241"/>
      <c r="AI88" s="241"/>
      <c r="AJ88" s="241"/>
      <c r="AK88" s="241"/>
      <c r="AL88" s="254"/>
      <c r="AM88" s="241"/>
      <c r="AN88" s="241">
        <v>11145</v>
      </c>
      <c r="AO88" s="241">
        <v>0.38576940331987436</v>
      </c>
      <c r="AP88" s="241"/>
      <c r="AQ88" s="241"/>
      <c r="AR88" s="241"/>
      <c r="AS88" s="241"/>
      <c r="AT88" s="241"/>
      <c r="AU88" s="241"/>
      <c r="AV88" s="246"/>
      <c r="AX88" s="150"/>
      <c r="AY88" s="254">
        <v>11511</v>
      </c>
      <c r="AZ88" s="254"/>
      <c r="BA88" s="31">
        <v>2001</v>
      </c>
      <c r="BB88" s="31">
        <v>12394</v>
      </c>
      <c r="BC88" s="31">
        <v>9674.9</v>
      </c>
      <c r="BD88" s="31">
        <v>9565.7000000000007</v>
      </c>
    </row>
    <row r="89" spans="1:56" ht="14" thickBot="1" x14ac:dyDescent="0.2">
      <c r="A89" s="150">
        <v>2002</v>
      </c>
      <c r="B89" s="150">
        <f>Stdev!D324</f>
        <v>10276</v>
      </c>
      <c r="C89" s="150">
        <f>Stdev!E324/Stdev!D324</f>
        <v>3.0818411833398208E-2</v>
      </c>
      <c r="D89" s="150">
        <v>2002</v>
      </c>
      <c r="E89" s="150">
        <v>10221</v>
      </c>
      <c r="F89" s="150">
        <v>3.1925447607866156E-2</v>
      </c>
      <c r="G89" s="150">
        <v>2002</v>
      </c>
      <c r="H89" s="150">
        <v>10182</v>
      </c>
      <c r="I89" s="150">
        <v>3.2200942840306425E-2</v>
      </c>
      <c r="J89" s="150">
        <v>2002</v>
      </c>
      <c r="K89" s="150">
        <v>10230</v>
      </c>
      <c r="L89" s="150">
        <v>3.200488758553275E-2</v>
      </c>
      <c r="M89" s="150">
        <v>2002</v>
      </c>
      <c r="N89" s="150">
        <v>9987.6</v>
      </c>
      <c r="O89" s="150">
        <v>3.3420441347270617E-2</v>
      </c>
      <c r="P89" s="150">
        <v>9818.1</v>
      </c>
      <c r="Q89" s="150">
        <v>3.3725466230737106E-2</v>
      </c>
      <c r="R89" s="150"/>
      <c r="S89" s="254">
        <v>2002</v>
      </c>
      <c r="T89" s="254">
        <v>9595.1</v>
      </c>
      <c r="U89" s="254">
        <v>3.5191920876280605E-2</v>
      </c>
      <c r="V89" s="150">
        <v>9553.6</v>
      </c>
      <c r="W89" s="254">
        <v>3.8269343493552169E-2</v>
      </c>
      <c r="X89" s="254"/>
      <c r="Y89" s="254">
        <v>2002</v>
      </c>
      <c r="Z89" s="31">
        <v>10224</v>
      </c>
      <c r="AA89" s="254">
        <v>5.113458528951486E-2</v>
      </c>
      <c r="AB89" s="254"/>
      <c r="AC89" s="254">
        <v>2002</v>
      </c>
      <c r="AD89" s="241">
        <v>10197</v>
      </c>
      <c r="AE89" s="241">
        <v>6.876728449543984E-2</v>
      </c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  <c r="AV89" s="247"/>
      <c r="AX89" s="150"/>
      <c r="AY89" s="254">
        <v>11118</v>
      </c>
      <c r="AZ89" s="254"/>
      <c r="BA89" s="31">
        <v>2002</v>
      </c>
      <c r="BB89" s="31">
        <v>12930</v>
      </c>
      <c r="BC89" s="31">
        <v>9898.9</v>
      </c>
      <c r="BD89" s="31">
        <v>9823.5</v>
      </c>
    </row>
    <row r="90" spans="1:56" x14ac:dyDescent="0.15">
      <c r="A90" s="150">
        <v>2003</v>
      </c>
      <c r="B90" s="150">
        <f>Stdev!D325</f>
        <v>12365</v>
      </c>
      <c r="C90" s="150">
        <f>Stdev!E325/Stdev!D325</f>
        <v>2.7735543873837445E-2</v>
      </c>
      <c r="D90" s="150">
        <v>2003</v>
      </c>
      <c r="E90" s="150">
        <v>12278</v>
      </c>
      <c r="F90" s="150">
        <v>2.880517999674214E-2</v>
      </c>
      <c r="G90" s="150">
        <v>2003</v>
      </c>
      <c r="H90" s="150">
        <v>12211</v>
      </c>
      <c r="I90" s="150">
        <v>2.9184341986733274E-2</v>
      </c>
      <c r="J90" s="150">
        <v>2003</v>
      </c>
      <c r="K90" s="150">
        <v>12269</v>
      </c>
      <c r="L90" s="150">
        <v>2.8942049066753604E-2</v>
      </c>
      <c r="M90" s="150">
        <v>2003</v>
      </c>
      <c r="N90" s="150">
        <v>11974</v>
      </c>
      <c r="O90" s="150">
        <v>3.0663938533489227E-2</v>
      </c>
      <c r="P90" s="150">
        <v>11780</v>
      </c>
      <c r="Q90" s="150">
        <v>3.1202037351443123E-2</v>
      </c>
      <c r="R90" s="150"/>
      <c r="S90" s="254">
        <v>2003</v>
      </c>
      <c r="T90" s="254">
        <v>11453</v>
      </c>
      <c r="U90" s="254">
        <v>3.3255915480660092E-2</v>
      </c>
      <c r="V90" s="150">
        <v>11182</v>
      </c>
      <c r="W90" s="254">
        <v>3.8345555356823463E-2</v>
      </c>
      <c r="X90" s="254"/>
      <c r="Y90" s="254">
        <v>2003</v>
      </c>
      <c r="Z90" s="31">
        <v>12865</v>
      </c>
      <c r="AA90" s="254">
        <v>5.9820443062572871E-2</v>
      </c>
      <c r="AB90" s="254"/>
      <c r="AC90" s="254">
        <v>2003</v>
      </c>
      <c r="AD90" s="241">
        <v>13320</v>
      </c>
      <c r="AE90" s="241">
        <v>0.10071321321321321</v>
      </c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  <c r="AX90" s="150"/>
      <c r="AY90" s="254"/>
      <c r="AZ90" s="254"/>
      <c r="BA90" s="31">
        <v>2003</v>
      </c>
      <c r="BB90" s="31">
        <v>12688</v>
      </c>
      <c r="BC90" s="31">
        <v>12239</v>
      </c>
      <c r="BD90" s="31">
        <v>13073</v>
      </c>
    </row>
    <row r="91" spans="1:56" x14ac:dyDescent="0.15">
      <c r="A91" s="150">
        <v>2004</v>
      </c>
      <c r="B91" s="150">
        <f>Stdev!D326</f>
        <v>11591</v>
      </c>
      <c r="C91" s="150">
        <f>Stdev!E326/Stdev!D326</f>
        <v>2.7804330946423948E-2</v>
      </c>
      <c r="D91" s="150">
        <v>2004</v>
      </c>
      <c r="E91" s="150">
        <v>11493</v>
      </c>
      <c r="F91" s="150">
        <v>2.9095101366048898E-2</v>
      </c>
      <c r="G91" s="150">
        <v>2004</v>
      </c>
      <c r="H91" s="150">
        <v>11416</v>
      </c>
      <c r="I91" s="150">
        <v>2.9622459705676247E-2</v>
      </c>
      <c r="J91" s="150">
        <v>2004</v>
      </c>
      <c r="K91" s="150">
        <v>11491</v>
      </c>
      <c r="L91" s="150">
        <v>2.9411713514924727E-2</v>
      </c>
      <c r="M91" s="150">
        <v>2004</v>
      </c>
      <c r="N91" s="150">
        <v>11178</v>
      </c>
      <c r="O91" s="150">
        <v>3.1645195920558242E-2</v>
      </c>
      <c r="P91" s="150">
        <v>10952</v>
      </c>
      <c r="Q91" s="150">
        <v>3.2459824689554419E-2</v>
      </c>
      <c r="R91" s="150"/>
      <c r="S91" s="254">
        <v>2004</v>
      </c>
      <c r="T91" s="254">
        <v>10606</v>
      </c>
      <c r="U91" s="254">
        <v>3.5130115029228734E-2</v>
      </c>
      <c r="V91" s="150">
        <v>10274</v>
      </c>
      <c r="W91" s="254">
        <v>4.2125754331321784E-2</v>
      </c>
      <c r="X91" s="254"/>
      <c r="Y91" s="254">
        <v>2004</v>
      </c>
      <c r="Z91" s="31">
        <v>11784</v>
      </c>
      <c r="AA91" s="254">
        <v>7.0067888662593336E-2</v>
      </c>
      <c r="AB91" s="254"/>
      <c r="AC91" s="254">
        <v>2004</v>
      </c>
      <c r="AD91" s="241">
        <v>12055</v>
      </c>
      <c r="AE91" s="241">
        <v>0.12213189547905433</v>
      </c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  <c r="AT91" s="241"/>
      <c r="AU91" s="241"/>
      <c r="AV91" s="241"/>
      <c r="AX91" s="150"/>
      <c r="AY91" s="254"/>
      <c r="AZ91" s="254"/>
      <c r="BA91" s="31">
        <v>2004</v>
      </c>
      <c r="BB91" s="31">
        <v>11217</v>
      </c>
      <c r="BC91" s="31">
        <v>9893.7000000000007</v>
      </c>
      <c r="BD91" s="31">
        <v>10972</v>
      </c>
    </row>
    <row r="92" spans="1:56" x14ac:dyDescent="0.15">
      <c r="A92" s="150">
        <v>2005</v>
      </c>
      <c r="B92" s="150">
        <f>Stdev!D327</f>
        <v>9705.2000000000007</v>
      </c>
      <c r="C92" s="150">
        <f>Stdev!E327/Stdev!D327</f>
        <v>2.9626385855005558E-2</v>
      </c>
      <c r="D92" s="150">
        <v>2005</v>
      </c>
      <c r="E92" s="150">
        <v>9601.9</v>
      </c>
      <c r="F92" s="150">
        <v>3.1090721628011121E-2</v>
      </c>
      <c r="G92" s="150">
        <v>2005</v>
      </c>
      <c r="H92" s="150">
        <v>9521.5</v>
      </c>
      <c r="I92" s="150">
        <v>3.183111904636874E-2</v>
      </c>
      <c r="J92" s="150">
        <v>2005</v>
      </c>
      <c r="K92" s="150">
        <v>9608</v>
      </c>
      <c r="L92" s="150">
        <v>3.1580974188176521E-2</v>
      </c>
      <c r="M92" s="150">
        <v>2005</v>
      </c>
      <c r="N92" s="150">
        <v>9298.6</v>
      </c>
      <c r="O92" s="150">
        <v>3.4611661970619226E-2</v>
      </c>
      <c r="P92" s="150">
        <v>9056.9</v>
      </c>
      <c r="Q92" s="150">
        <v>3.5867680994600804E-2</v>
      </c>
      <c r="R92" s="150"/>
      <c r="S92" s="254">
        <v>2005</v>
      </c>
      <c r="T92" s="254">
        <v>8735.9</v>
      </c>
      <c r="U92" s="254">
        <v>3.942925170846736E-2</v>
      </c>
      <c r="V92" s="150">
        <v>8423.4</v>
      </c>
      <c r="W92" s="254">
        <v>4.8806895077997008E-2</v>
      </c>
      <c r="X92" s="254"/>
      <c r="Y92" s="254">
        <v>2005</v>
      </c>
      <c r="Z92" s="31">
        <v>9597.5</v>
      </c>
      <c r="AA92" s="254">
        <v>8.3738473560823132E-2</v>
      </c>
      <c r="AB92" s="254"/>
      <c r="AC92" s="254">
        <v>2005</v>
      </c>
      <c r="AD92" s="31">
        <v>9759.1</v>
      </c>
      <c r="AE92" s="31">
        <v>0.14380424424383395</v>
      </c>
      <c r="AX92" s="150"/>
      <c r="AZ92" s="254"/>
      <c r="BA92" s="31">
        <v>2005</v>
      </c>
      <c r="BC92" s="31">
        <v>8572.6</v>
      </c>
      <c r="BD92" s="31">
        <v>9276.9</v>
      </c>
    </row>
    <row r="93" spans="1:56" x14ac:dyDescent="0.15">
      <c r="A93" s="150">
        <v>2006</v>
      </c>
      <c r="B93" s="150">
        <f>Stdev!D328</f>
        <v>7445.9</v>
      </c>
      <c r="C93" s="150">
        <f>Stdev!E328/Stdev!D328</f>
        <v>3.3262600894451981E-2</v>
      </c>
      <c r="D93" s="150">
        <v>2006</v>
      </c>
      <c r="E93" s="150">
        <v>7343.1</v>
      </c>
      <c r="F93" s="150">
        <v>3.4930751317563423E-2</v>
      </c>
      <c r="G93" s="150">
        <v>2006</v>
      </c>
      <c r="H93" s="150">
        <v>7261.9</v>
      </c>
      <c r="I93" s="150">
        <v>3.5946515374764183E-2</v>
      </c>
      <c r="J93" s="150">
        <v>2006</v>
      </c>
      <c r="K93" s="150">
        <v>7348.7</v>
      </c>
      <c r="L93" s="150">
        <v>3.5583164369208165E-2</v>
      </c>
      <c r="M93" s="150">
        <v>2006</v>
      </c>
      <c r="N93" s="150">
        <v>7059.8</v>
      </c>
      <c r="O93" s="150">
        <v>3.985948610442222E-2</v>
      </c>
      <c r="P93" s="150">
        <v>6816.8</v>
      </c>
      <c r="Q93" s="150">
        <v>4.1931698157493244E-2</v>
      </c>
      <c r="R93" s="150"/>
      <c r="S93" s="254">
        <v>2006</v>
      </c>
      <c r="T93" s="254">
        <v>6542.8</v>
      </c>
      <c r="U93" s="254">
        <v>4.6736871064376108E-2</v>
      </c>
      <c r="V93" s="150">
        <v>6340.2</v>
      </c>
      <c r="W93" s="254">
        <v>6.0231538437273274E-2</v>
      </c>
      <c r="X93" s="254"/>
      <c r="Y93" s="254">
        <v>2006</v>
      </c>
      <c r="Z93" s="31">
        <v>7178.1</v>
      </c>
      <c r="AA93" s="254">
        <v>0.10326966746074866</v>
      </c>
      <c r="AB93" s="254"/>
      <c r="AC93" s="254">
        <v>2006</v>
      </c>
      <c r="AD93" s="31">
        <v>7950.4</v>
      </c>
      <c r="AE93" s="31">
        <v>0.17340008049909439</v>
      </c>
      <c r="AX93" s="150"/>
      <c r="BA93" s="31">
        <v>2006</v>
      </c>
      <c r="BD93" s="31">
        <v>8232.2999999999993</v>
      </c>
    </row>
    <row r="94" spans="1:56" x14ac:dyDescent="0.15">
      <c r="A94" s="150">
        <v>2007</v>
      </c>
      <c r="B94" s="150">
        <f>Stdev!D329</f>
        <v>6045.3</v>
      </c>
      <c r="C94" s="150">
        <f>Stdev!E329/Stdev!D329</f>
        <v>3.9040246141630687E-2</v>
      </c>
      <c r="D94" s="150">
        <v>2007</v>
      </c>
      <c r="E94" s="150">
        <v>5932.6</v>
      </c>
      <c r="F94" s="150">
        <v>4.1007315510905841E-2</v>
      </c>
      <c r="G94" s="150">
        <v>2007</v>
      </c>
      <c r="H94" s="150">
        <v>5840</v>
      </c>
      <c r="I94" s="150">
        <v>4.253253424657534E-2</v>
      </c>
      <c r="J94" s="150">
        <v>2007</v>
      </c>
      <c r="K94" s="150">
        <v>5953.8</v>
      </c>
      <c r="L94" s="150">
        <v>4.1828748026470484E-2</v>
      </c>
      <c r="M94" s="150">
        <v>2007</v>
      </c>
      <c r="N94" s="150">
        <v>5633</v>
      </c>
      <c r="O94" s="150">
        <v>4.8325936445943553E-2</v>
      </c>
      <c r="P94" s="150">
        <v>5352.1</v>
      </c>
      <c r="Q94" s="150">
        <v>5.2087965471497161E-2</v>
      </c>
      <c r="R94" s="150"/>
      <c r="S94" s="254">
        <v>2007</v>
      </c>
      <c r="T94" s="254">
        <v>5089.6000000000004</v>
      </c>
      <c r="U94" s="254">
        <v>5.9568531908204964E-2</v>
      </c>
      <c r="V94" s="150">
        <v>5015.1000000000004</v>
      </c>
      <c r="W94" s="254">
        <v>8.0788020179059242E-2</v>
      </c>
      <c r="X94" s="254"/>
      <c r="Y94" s="254">
        <v>2007</v>
      </c>
      <c r="Z94" s="31">
        <v>5363.4</v>
      </c>
      <c r="AA94" s="254">
        <v>0.13676026401163441</v>
      </c>
      <c r="AB94" s="254"/>
      <c r="AC94" s="254">
        <v>2007</v>
      </c>
      <c r="AD94" s="31">
        <v>6360.9</v>
      </c>
      <c r="AE94" s="31">
        <v>0.21283151755254759</v>
      </c>
    </row>
    <row r="95" spans="1:56" x14ac:dyDescent="0.15">
      <c r="A95" s="150">
        <v>2008</v>
      </c>
      <c r="B95" s="150">
        <f>Stdev!D330</f>
        <v>4848.8</v>
      </c>
      <c r="C95" s="150">
        <f>Stdev!E330/Stdev!D330</f>
        <v>4.4359429137106089E-2</v>
      </c>
      <c r="D95" s="150">
        <v>2008</v>
      </c>
      <c r="E95" s="150">
        <v>4721.6000000000004</v>
      </c>
      <c r="F95" s="150">
        <v>4.6357167062012872E-2</v>
      </c>
      <c r="G95" s="150">
        <v>2008</v>
      </c>
      <c r="H95" s="150">
        <v>4607.2</v>
      </c>
      <c r="I95" s="150">
        <v>4.9071019274179548E-2</v>
      </c>
      <c r="J95" s="150">
        <v>2008</v>
      </c>
      <c r="K95" s="150">
        <v>4724.2</v>
      </c>
      <c r="L95" s="150">
        <v>4.8183819482663731E-2</v>
      </c>
      <c r="M95" s="150">
        <v>2008</v>
      </c>
      <c r="N95" s="150">
        <v>4392.8</v>
      </c>
      <c r="O95" s="150">
        <v>5.9775086505190304E-2</v>
      </c>
      <c r="P95" s="150">
        <v>4069.3</v>
      </c>
      <c r="Q95" s="150">
        <v>6.8046101295063027E-2</v>
      </c>
      <c r="R95" s="150"/>
      <c r="S95" s="254">
        <v>2008</v>
      </c>
      <c r="T95" s="254">
        <v>3809.2</v>
      </c>
      <c r="U95" s="254">
        <v>7.8780321327312816E-2</v>
      </c>
      <c r="V95" s="150">
        <v>4222.2</v>
      </c>
      <c r="W95" s="254">
        <v>0.12377196722088012</v>
      </c>
      <c r="X95" s="254"/>
      <c r="Y95" s="254">
        <v>2008</v>
      </c>
      <c r="Z95" s="31">
        <v>4356.7</v>
      </c>
      <c r="AA95" s="254">
        <v>0.1957123510914224</v>
      </c>
      <c r="AB95" s="254"/>
      <c r="AC95" s="254">
        <v>2008</v>
      </c>
      <c r="AD95" s="31">
        <v>6419.9</v>
      </c>
      <c r="AE95" s="31">
        <v>0.27310394242900982</v>
      </c>
    </row>
    <row r="96" spans="1:56" x14ac:dyDescent="0.15">
      <c r="A96" s="150">
        <v>2009</v>
      </c>
      <c r="B96" s="150">
        <f>Stdev!D331</f>
        <v>6331.1</v>
      </c>
      <c r="C96" s="150">
        <f>Stdev!E331/Stdev!D331</f>
        <v>4.6916017753628907E-2</v>
      </c>
      <c r="D96" s="150">
        <v>2009</v>
      </c>
      <c r="E96" s="150">
        <v>6068.8</v>
      </c>
      <c r="F96" s="150">
        <v>4.7503625098866332E-2</v>
      </c>
      <c r="G96" s="150">
        <v>2009</v>
      </c>
      <c r="H96" s="150">
        <v>5879.7</v>
      </c>
      <c r="I96" s="150">
        <v>5.2298586662584828E-2</v>
      </c>
      <c r="J96" s="150">
        <v>2009</v>
      </c>
      <c r="K96" s="150">
        <v>6069.2</v>
      </c>
      <c r="L96" s="150">
        <v>5.6109536676992033E-2</v>
      </c>
      <c r="M96" s="150">
        <v>2009</v>
      </c>
      <c r="N96" s="150">
        <v>6172</v>
      </c>
      <c r="O96" s="150">
        <v>8.4257939079714836E-2</v>
      </c>
      <c r="P96" s="150">
        <v>5903.2</v>
      </c>
      <c r="Q96" s="150">
        <v>9.7989226182409545E-2</v>
      </c>
      <c r="R96" s="150"/>
      <c r="S96" s="254">
        <v>2009</v>
      </c>
      <c r="T96" s="254">
        <v>4761.6000000000004</v>
      </c>
      <c r="U96" s="31">
        <v>0.10877856182795699</v>
      </c>
      <c r="V96" s="150">
        <v>6239.8</v>
      </c>
      <c r="W96" s="31">
        <v>0.20039103817430046</v>
      </c>
      <c r="Y96" s="31">
        <v>2009</v>
      </c>
      <c r="Z96" s="31">
        <v>6657.9</v>
      </c>
      <c r="AA96" s="254">
        <v>0.38522657294342066</v>
      </c>
      <c r="AC96" s="31">
        <v>2009</v>
      </c>
    </row>
    <row r="97" spans="1:23" x14ac:dyDescent="0.15">
      <c r="A97" s="150">
        <v>2010</v>
      </c>
      <c r="B97" s="150">
        <f>Stdev!D332</f>
        <v>6680.3</v>
      </c>
      <c r="C97" s="150">
        <f>Stdev!E332/Stdev!D332</f>
        <v>5.4790952502133131E-2</v>
      </c>
      <c r="D97" s="150">
        <v>2010</v>
      </c>
      <c r="E97" s="150">
        <v>5936.8</v>
      </c>
      <c r="F97" s="150">
        <v>5.4510847594663792E-2</v>
      </c>
      <c r="G97" s="150">
        <v>2010</v>
      </c>
      <c r="H97" s="150">
        <v>5622.3</v>
      </c>
      <c r="I97" s="150">
        <v>6.0290272664212156E-2</v>
      </c>
      <c r="J97" s="150">
        <v>2010</v>
      </c>
      <c r="K97" s="150">
        <v>5768.9</v>
      </c>
      <c r="L97" s="150">
        <v>6.6920903465132006E-2</v>
      </c>
      <c r="M97" s="150">
        <v>2010</v>
      </c>
      <c r="N97" s="150">
        <v>6094.7</v>
      </c>
      <c r="O97" s="150">
        <v>9.9883505340705864E-2</v>
      </c>
      <c r="P97" s="150">
        <v>6168</v>
      </c>
      <c r="Q97" s="150">
        <v>0.11492055771725034</v>
      </c>
      <c r="R97" s="150"/>
      <c r="S97" s="254">
        <v>2010</v>
      </c>
      <c r="T97" s="254">
        <v>4615.5</v>
      </c>
      <c r="U97" s="31">
        <v>0.1335478279709674</v>
      </c>
      <c r="V97" s="31">
        <v>5766.8</v>
      </c>
      <c r="W97" s="31">
        <v>0.24318512866754527</v>
      </c>
    </row>
    <row r="98" spans="1:23" x14ac:dyDescent="0.15">
      <c r="A98" s="150">
        <v>2011</v>
      </c>
      <c r="B98" s="150">
        <f>Stdev!D333</f>
        <v>10053</v>
      </c>
      <c r="C98" s="150">
        <f>Stdev!E333/Stdev!D333</f>
        <v>6.5323783945091016E-2</v>
      </c>
      <c r="D98" s="150">
        <v>2011</v>
      </c>
      <c r="E98" s="150">
        <v>8895.2999999999993</v>
      </c>
      <c r="F98" s="150">
        <v>6.4049554258990712E-2</v>
      </c>
      <c r="G98" s="150">
        <v>2011</v>
      </c>
      <c r="H98" s="150">
        <v>7927.5</v>
      </c>
      <c r="I98" s="150">
        <v>7.8756228319142224E-2</v>
      </c>
      <c r="J98" s="150">
        <v>2011</v>
      </c>
      <c r="K98" s="150">
        <v>7780.8</v>
      </c>
      <c r="L98" s="150">
        <v>9.0398159572280479E-2</v>
      </c>
      <c r="M98" s="150">
        <v>2011</v>
      </c>
      <c r="N98" s="150">
        <v>7823.2</v>
      </c>
      <c r="O98" s="150">
        <v>0.10822681255752122</v>
      </c>
      <c r="P98" s="150">
        <v>9050</v>
      </c>
      <c r="Q98" s="150">
        <v>0.15501657458563536</v>
      </c>
      <c r="R98" s="150"/>
      <c r="S98" s="254">
        <v>2011</v>
      </c>
      <c r="T98" s="254">
        <v>6223.3</v>
      </c>
      <c r="U98" s="31">
        <v>0.29084247907058958</v>
      </c>
    </row>
    <row r="99" spans="1:23" x14ac:dyDescent="0.15">
      <c r="A99" s="150">
        <v>2012</v>
      </c>
      <c r="B99" s="150">
        <f>Stdev!D334</f>
        <v>10164</v>
      </c>
      <c r="C99" s="150">
        <f>Stdev!E334/Stdev!D334</f>
        <v>7.5696576151121603E-2</v>
      </c>
      <c r="D99" s="150">
        <v>2012</v>
      </c>
      <c r="E99" s="150">
        <v>8822.7000000000007</v>
      </c>
      <c r="F99" s="150">
        <v>7.7004771781880824E-2</v>
      </c>
      <c r="G99" s="150">
        <v>2012</v>
      </c>
      <c r="H99" s="150">
        <v>7853</v>
      </c>
      <c r="I99" s="150">
        <v>9.6447217623838025E-2</v>
      </c>
      <c r="J99" s="150">
        <v>2012</v>
      </c>
      <c r="K99" s="150">
        <v>7866.9</v>
      </c>
      <c r="L99" s="150">
        <v>0.10437402280440836</v>
      </c>
      <c r="M99" s="150">
        <v>2012</v>
      </c>
      <c r="N99" s="150">
        <v>8340.7000000000007</v>
      </c>
      <c r="O99" s="150">
        <v>0.120313642739818</v>
      </c>
      <c r="P99" s="150"/>
      <c r="Q99" s="150"/>
      <c r="S99" s="254"/>
      <c r="T99" s="254"/>
    </row>
    <row r="100" spans="1:23" x14ac:dyDescent="0.15">
      <c r="A100" s="150">
        <v>2013</v>
      </c>
      <c r="B100" s="150">
        <f>Stdev!D335</f>
        <v>10337</v>
      </c>
      <c r="C100" s="150">
        <f>Stdev!E335/Stdev!D335</f>
        <v>8.6801780013543578E-2</v>
      </c>
      <c r="D100" s="150">
        <v>2013</v>
      </c>
      <c r="E100" s="150">
        <v>9540.7999999999993</v>
      </c>
      <c r="F100" s="150">
        <v>8.3881854771088379E-2</v>
      </c>
      <c r="G100" s="150">
        <v>2013</v>
      </c>
      <c r="H100" s="31">
        <v>8261</v>
      </c>
      <c r="I100" s="31">
        <v>0.10884275511439293</v>
      </c>
      <c r="J100" s="31">
        <v>2013</v>
      </c>
      <c r="K100" s="31">
        <v>8138.1</v>
      </c>
      <c r="S100" s="254"/>
      <c r="T100" s="254"/>
    </row>
    <row r="101" spans="1:23" x14ac:dyDescent="0.15">
      <c r="A101" s="150">
        <v>2014</v>
      </c>
      <c r="B101" s="150">
        <f>Stdev!D336</f>
        <v>9804.9</v>
      </c>
      <c r="C101" s="150">
        <f>Stdev!E336/Stdev!D336</f>
        <v>9.9981641832145154E-2</v>
      </c>
      <c r="D101" s="150">
        <v>2014</v>
      </c>
      <c r="E101" s="150">
        <v>8960.4</v>
      </c>
      <c r="F101" s="150">
        <v>9.3097406365787255E-2</v>
      </c>
      <c r="G101" s="150">
        <v>2014</v>
      </c>
      <c r="H101" s="31">
        <v>8045.3</v>
      </c>
      <c r="I101" s="31">
        <v>0.11930443861633501</v>
      </c>
      <c r="J101" s="31">
        <v>2014</v>
      </c>
      <c r="K101" s="31">
        <v>7946.1</v>
      </c>
      <c r="S101" s="254"/>
      <c r="T101" s="254"/>
    </row>
    <row r="102" spans="1:23" x14ac:dyDescent="0.15">
      <c r="A102" s="150">
        <v>2015</v>
      </c>
      <c r="B102" s="150">
        <f>Stdev!D337</f>
        <v>10970</v>
      </c>
      <c r="C102" s="150">
        <f>Stdev!E337/Stdev!D337</f>
        <v>0.10565177757520511</v>
      </c>
      <c r="D102" s="150">
        <v>2015</v>
      </c>
      <c r="E102" s="150">
        <v>9203.4</v>
      </c>
      <c r="F102" s="150">
        <v>9.7936632114218658E-2</v>
      </c>
      <c r="G102" s="31">
        <v>2015</v>
      </c>
      <c r="H102" s="31">
        <v>7778.4</v>
      </c>
      <c r="I102" s="31">
        <v>0.12912681271212589</v>
      </c>
      <c r="S102" s="254"/>
      <c r="T102" s="254"/>
    </row>
    <row r="103" spans="1:23" x14ac:dyDescent="0.15">
      <c r="A103" s="150">
        <v>2016</v>
      </c>
      <c r="B103" s="150">
        <f>Stdev!D338</f>
        <v>11292</v>
      </c>
      <c r="C103" s="150">
        <f>Stdev!E338/Stdev!D338</f>
        <v>0.11615302869287991</v>
      </c>
    </row>
    <row r="104" spans="1:23" x14ac:dyDescent="0.15">
      <c r="B104" s="150"/>
      <c r="C104" s="150"/>
    </row>
  </sheetData>
  <phoneticPr fontId="7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pageSetUpPr fitToPage="1"/>
  </sheetPr>
  <dimension ref="A1:F10"/>
  <sheetViews>
    <sheetView showGridLines="0" topLeftCell="A5" zoomScale="125" zoomScaleNormal="125" zoomScalePageLayoutView="125" workbookViewId="0">
      <selection activeCell="F7" sqref="F7"/>
    </sheetView>
  </sheetViews>
  <sheetFormatPr baseColWidth="10" defaultColWidth="36.5" defaultRowHeight="163.25" customHeight="1" x14ac:dyDescent="0.15"/>
  <sheetData>
    <row r="1" spans="1:6" ht="39.5" customHeight="1" x14ac:dyDescent="0.15">
      <c r="A1" s="258" t="s">
        <v>2</v>
      </c>
      <c r="B1" s="258"/>
      <c r="C1" s="258"/>
      <c r="D1" s="258"/>
    </row>
    <row r="2" spans="1:6" ht="98.5" customHeight="1" x14ac:dyDescent="0.15">
      <c r="A2" s="34">
        <v>1982</v>
      </c>
      <c r="B2" s="34">
        <f t="shared" ref="B2:C5" si="0">A7+4</f>
        <v>1991</v>
      </c>
      <c r="C2" s="34">
        <f t="shared" si="0"/>
        <v>2000</v>
      </c>
    </row>
    <row r="3" spans="1:6" ht="98.5" customHeight="1" x14ac:dyDescent="0.15">
      <c r="A3" s="34">
        <f>A2+1</f>
        <v>1983</v>
      </c>
      <c r="B3" s="34">
        <f t="shared" si="0"/>
        <v>1992</v>
      </c>
      <c r="C3" s="34">
        <f t="shared" si="0"/>
        <v>2001</v>
      </c>
      <c r="D3" s="34">
        <f>C10+1</f>
        <v>2009</v>
      </c>
    </row>
    <row r="4" spans="1:6" ht="98.5" customHeight="1" x14ac:dyDescent="0.15">
      <c r="A4" s="34">
        <f>A3+1</f>
        <v>1984</v>
      </c>
      <c r="B4" s="34">
        <f t="shared" si="0"/>
        <v>1993</v>
      </c>
      <c r="C4" s="34">
        <f t="shared" si="0"/>
        <v>2002</v>
      </c>
      <c r="D4" s="34">
        <f t="shared" ref="D4:D10" si="1">D3+1</f>
        <v>2010</v>
      </c>
      <c r="E4" s="2"/>
    </row>
    <row r="5" spans="1:6" ht="98.5" customHeight="1" x14ac:dyDescent="0.15">
      <c r="A5" s="34">
        <f>A4+1</f>
        <v>1985</v>
      </c>
      <c r="B5" s="34">
        <f t="shared" si="0"/>
        <v>1994</v>
      </c>
      <c r="C5" s="34">
        <f t="shared" si="0"/>
        <v>2003</v>
      </c>
      <c r="D5" s="34">
        <f t="shared" si="1"/>
        <v>2011</v>
      </c>
    </row>
    <row r="6" spans="1:6" ht="98.5" customHeight="1" x14ac:dyDescent="0.15">
      <c r="A6" s="34">
        <f t="shared" ref="A6:B10" si="2">A2+4</f>
        <v>1986</v>
      </c>
      <c r="B6" s="34">
        <f t="shared" si="2"/>
        <v>1995</v>
      </c>
      <c r="C6" s="34">
        <f>C5+1</f>
        <v>2004</v>
      </c>
      <c r="D6" s="34">
        <f t="shared" si="1"/>
        <v>2012</v>
      </c>
    </row>
    <row r="7" spans="1:6" ht="98.5" customHeight="1" x14ac:dyDescent="0.15">
      <c r="A7" s="34">
        <f t="shared" si="2"/>
        <v>1987</v>
      </c>
      <c r="B7" s="34">
        <f t="shared" si="2"/>
        <v>1996</v>
      </c>
      <c r="C7" s="34">
        <f>C6+1</f>
        <v>2005</v>
      </c>
      <c r="D7" s="34">
        <f t="shared" si="1"/>
        <v>2013</v>
      </c>
      <c r="F7" s="267"/>
    </row>
    <row r="8" spans="1:6" ht="98.5" customHeight="1" x14ac:dyDescent="0.15">
      <c r="A8" s="34">
        <f t="shared" si="2"/>
        <v>1988</v>
      </c>
      <c r="B8" s="34">
        <f t="shared" si="2"/>
        <v>1997</v>
      </c>
      <c r="C8" s="34">
        <f>C7+1</f>
        <v>2006</v>
      </c>
      <c r="D8" s="34">
        <f t="shared" si="1"/>
        <v>2014</v>
      </c>
    </row>
    <row r="9" spans="1:6" ht="98.5" customHeight="1" x14ac:dyDescent="0.15">
      <c r="A9" s="34">
        <f t="shared" si="2"/>
        <v>1989</v>
      </c>
      <c r="B9" s="34">
        <f t="shared" si="2"/>
        <v>1998</v>
      </c>
      <c r="C9" s="34">
        <f>C8+1</f>
        <v>2007</v>
      </c>
      <c r="D9" s="34">
        <f t="shared" si="1"/>
        <v>2015</v>
      </c>
    </row>
    <row r="10" spans="1:6" ht="98.5" customHeight="1" x14ac:dyDescent="0.15">
      <c r="A10" s="34">
        <f t="shared" si="2"/>
        <v>1990</v>
      </c>
      <c r="B10" s="34">
        <f t="shared" si="2"/>
        <v>1999</v>
      </c>
      <c r="C10" s="34">
        <f>C9+1</f>
        <v>2008</v>
      </c>
      <c r="D10" s="34">
        <f t="shared" si="1"/>
        <v>2016</v>
      </c>
    </row>
  </sheetData>
  <mergeCells count="1">
    <mergeCell ref="A1:D1"/>
  </mergeCells>
  <phoneticPr fontId="7" type="noConversion"/>
  <printOptions horizontalCentered="1" verticalCentered="1"/>
  <pageMargins left="0.37" right="0.16" top="1" bottom="1" header="0.5" footer="0.5"/>
  <pageSetup scale="56" orientation="portrait"/>
  <headerFooter alignWithMargins="0">
    <oddHeader>&amp;A</oddHeader>
    <oddFooter>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H14"/>
  <sheetViews>
    <sheetView showGridLines="0" zoomScale="75" zoomScaleNormal="75" zoomScalePageLayoutView="75" workbookViewId="0">
      <selection activeCell="F4" sqref="F4"/>
    </sheetView>
  </sheetViews>
  <sheetFormatPr baseColWidth="10" defaultColWidth="33" defaultRowHeight="107.5" customHeight="1" x14ac:dyDescent="0.15"/>
  <cols>
    <col min="1" max="4" width="38.33203125" customWidth="1"/>
  </cols>
  <sheetData>
    <row r="1" spans="1:8" ht="35.5" customHeight="1" x14ac:dyDescent="0.3">
      <c r="A1" s="259" t="s">
        <v>126</v>
      </c>
      <c r="B1" s="259"/>
      <c r="C1" s="259"/>
      <c r="D1" s="259"/>
    </row>
    <row r="2" spans="1:8" ht="107.5" customHeight="1" x14ac:dyDescent="0.15">
      <c r="A2" s="40">
        <v>1979</v>
      </c>
      <c r="B2" s="40">
        <v>1988</v>
      </c>
      <c r="C2" s="40">
        <v>1997</v>
      </c>
      <c r="D2" s="40">
        <v>2006</v>
      </c>
      <c r="F2" s="230" t="s">
        <v>975</v>
      </c>
      <c r="G2" s="230" t="s">
        <v>973</v>
      </c>
      <c r="H2" s="231"/>
    </row>
    <row r="3" spans="1:8" ht="107.5" customHeight="1" x14ac:dyDescent="0.15">
      <c r="A3" s="40">
        <v>1980</v>
      </c>
      <c r="B3" s="40">
        <v>1989</v>
      </c>
      <c r="C3" s="40">
        <v>1998</v>
      </c>
      <c r="D3" s="40">
        <v>2007</v>
      </c>
      <c r="E3" s="2"/>
      <c r="F3" s="231"/>
      <c r="G3" s="230" t="s">
        <v>972</v>
      </c>
      <c r="H3" s="230" t="s">
        <v>974</v>
      </c>
    </row>
    <row r="4" spans="1:8" ht="107.5" customHeight="1" x14ac:dyDescent="0.15">
      <c r="A4" s="40">
        <v>1981</v>
      </c>
      <c r="B4" s="40">
        <v>1990</v>
      </c>
      <c r="C4" s="40">
        <v>1999</v>
      </c>
      <c r="D4" s="40">
        <v>2008</v>
      </c>
      <c r="E4" s="2"/>
      <c r="G4" s="71"/>
    </row>
    <row r="5" spans="1:8" ht="107.5" customHeight="1" x14ac:dyDescent="0.15">
      <c r="A5" s="40">
        <v>1982</v>
      </c>
      <c r="B5" s="40">
        <v>1991</v>
      </c>
      <c r="C5" s="40">
        <v>2000</v>
      </c>
      <c r="D5" s="40">
        <v>2009</v>
      </c>
      <c r="F5" s="257" t="s">
        <v>1127</v>
      </c>
      <c r="G5" s="257" t="s">
        <v>1128</v>
      </c>
    </row>
    <row r="6" spans="1:8" ht="107.5" customHeight="1" x14ac:dyDescent="0.15">
      <c r="A6" s="40">
        <v>1983</v>
      </c>
      <c r="B6" s="40">
        <v>1992</v>
      </c>
      <c r="C6" s="40">
        <v>2001</v>
      </c>
      <c r="D6" s="40">
        <v>2010</v>
      </c>
      <c r="G6" s="257" t="s">
        <v>1129</v>
      </c>
      <c r="H6" s="257" t="s">
        <v>1130</v>
      </c>
    </row>
    <row r="7" spans="1:8" ht="107.5" customHeight="1" x14ac:dyDescent="0.15">
      <c r="A7" s="40">
        <v>1984</v>
      </c>
      <c r="B7" s="40">
        <v>1993</v>
      </c>
      <c r="C7" s="40">
        <v>2002</v>
      </c>
      <c r="D7" s="40">
        <v>2011</v>
      </c>
      <c r="G7" s="71"/>
    </row>
    <row r="8" spans="1:8" ht="107.5" customHeight="1" x14ac:dyDescent="0.15">
      <c r="A8" s="40">
        <v>1985</v>
      </c>
      <c r="B8" s="40">
        <v>1994</v>
      </c>
      <c r="C8" s="40">
        <v>2003</v>
      </c>
      <c r="D8" s="40">
        <v>2012</v>
      </c>
    </row>
    <row r="9" spans="1:8" ht="107.5" customHeight="1" x14ac:dyDescent="0.15">
      <c r="A9" s="40">
        <v>1986</v>
      </c>
      <c r="B9" s="40">
        <v>1995</v>
      </c>
      <c r="C9" s="40">
        <v>2004</v>
      </c>
      <c r="D9" s="40">
        <v>2013</v>
      </c>
    </row>
    <row r="10" spans="1:8" ht="107.5" customHeight="1" x14ac:dyDescent="0.15">
      <c r="A10" s="40">
        <v>1987</v>
      </c>
      <c r="B10" s="40">
        <v>1996</v>
      </c>
      <c r="C10" s="40">
        <v>2005</v>
      </c>
      <c r="D10" s="40">
        <v>2014</v>
      </c>
    </row>
    <row r="11" spans="1:8" ht="107.5" customHeight="1" x14ac:dyDescent="0.15">
      <c r="A11" s="40"/>
      <c r="B11" s="40"/>
      <c r="C11" s="40"/>
      <c r="D11" s="40">
        <v>2015</v>
      </c>
    </row>
    <row r="12" spans="1:8" ht="79.5" customHeight="1" x14ac:dyDescent="0.15">
      <c r="A12" s="260"/>
      <c r="B12" s="260"/>
      <c r="C12" s="260"/>
      <c r="D12" s="260"/>
    </row>
    <row r="13" spans="1:8" ht="107.5" customHeight="1" x14ac:dyDescent="0.15">
      <c r="A13" s="40"/>
      <c r="B13" s="106" t="s">
        <v>591</v>
      </c>
      <c r="C13" s="40"/>
      <c r="D13" s="40"/>
    </row>
    <row r="14" spans="1:8" ht="120" customHeight="1" x14ac:dyDescent="0.15"/>
  </sheetData>
  <mergeCells count="2">
    <mergeCell ref="A1:D1"/>
    <mergeCell ref="A12:D12"/>
  </mergeCells>
  <phoneticPr fontId="7" type="noConversion"/>
  <printOptions horizontalCentered="1" verticalCentered="1"/>
  <pageMargins left="0.5" right="0.5" top="0.57999999999999996" bottom="0.31" header="0.5" footer="0.5"/>
  <pageSetup scale="45" orientation="landscape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pageSetUpPr fitToPage="1"/>
  </sheetPr>
  <dimension ref="A1:Q17"/>
  <sheetViews>
    <sheetView showGridLines="0" topLeftCell="A7" zoomScale="55" zoomScaleNormal="55" zoomScalePageLayoutView="55" workbookViewId="0">
      <selection activeCell="C8" sqref="C8"/>
    </sheetView>
  </sheetViews>
  <sheetFormatPr baseColWidth="10" defaultColWidth="66.83203125" defaultRowHeight="179" customHeight="1" x14ac:dyDescent="0.15"/>
  <sheetData>
    <row r="1" spans="1:17" ht="32" customHeight="1" x14ac:dyDescent="0.3">
      <c r="A1" s="259" t="s">
        <v>785</v>
      </c>
      <c r="B1" s="259"/>
      <c r="C1" s="259"/>
    </row>
    <row r="2" spans="1:17" ht="179" customHeight="1" x14ac:dyDescent="0.15">
      <c r="A2" s="22">
        <v>1979</v>
      </c>
      <c r="B2" s="22">
        <f>A8+1</f>
        <v>1997</v>
      </c>
    </row>
    <row r="3" spans="1:17" ht="179" customHeight="1" x14ac:dyDescent="0.15">
      <c r="A3" s="22">
        <f>A2+3</f>
        <v>1982</v>
      </c>
      <c r="B3" s="22">
        <v>1999</v>
      </c>
      <c r="C3" s="22">
        <v>2008</v>
      </c>
    </row>
    <row r="4" spans="1:17" ht="179" customHeight="1" x14ac:dyDescent="0.15">
      <c r="A4" s="22">
        <f>A3+3</f>
        <v>1985</v>
      </c>
      <c r="B4" s="22">
        <v>2000</v>
      </c>
      <c r="C4" s="22">
        <v>2009</v>
      </c>
    </row>
    <row r="5" spans="1:17" ht="179" customHeight="1" x14ac:dyDescent="0.15">
      <c r="A5" s="22">
        <f>A4+3</f>
        <v>1988</v>
      </c>
      <c r="B5" s="22">
        <v>2002</v>
      </c>
      <c r="C5" s="22">
        <v>2010</v>
      </c>
    </row>
    <row r="6" spans="1:17" ht="179" customHeight="1" x14ac:dyDescent="0.15">
      <c r="A6" s="22">
        <f>A5+3</f>
        <v>1991</v>
      </c>
      <c r="B6" s="22">
        <v>2004</v>
      </c>
      <c r="C6" s="22">
        <v>2012</v>
      </c>
    </row>
    <row r="7" spans="1:17" ht="179" customHeight="1" x14ac:dyDescent="0.15">
      <c r="A7" s="22">
        <f>A6+3</f>
        <v>1994</v>
      </c>
      <c r="B7" s="22">
        <v>2006</v>
      </c>
      <c r="C7" s="22">
        <v>2014</v>
      </c>
      <c r="D7" s="22"/>
    </row>
    <row r="8" spans="1:17" ht="179" customHeight="1" x14ac:dyDescent="0.15">
      <c r="A8" s="22">
        <f>A7+2</f>
        <v>1996</v>
      </c>
      <c r="B8" s="22">
        <v>2007</v>
      </c>
      <c r="C8" s="22">
        <v>2016</v>
      </c>
      <c r="D8" s="22"/>
    </row>
    <row r="9" spans="1:17" ht="36" customHeight="1" x14ac:dyDescent="0.15">
      <c r="A9" s="261" t="s">
        <v>177</v>
      </c>
      <c r="B9" s="261"/>
      <c r="C9" s="261"/>
    </row>
    <row r="10" spans="1:17" ht="364.5" customHeight="1" x14ac:dyDescent="0.15"/>
    <row r="11" spans="1:17" ht="407.25" customHeight="1" x14ac:dyDescent="0.15">
      <c r="A11" s="262"/>
      <c r="B11" s="262"/>
      <c r="C11" s="262"/>
    </row>
    <row r="13" spans="1:17" ht="19.5" customHeight="1" x14ac:dyDescent="0.15">
      <c r="B13">
        <f>pm.rep!B870</f>
        <v>1979</v>
      </c>
      <c r="C13">
        <f>pm.rep!C870</f>
        <v>1982</v>
      </c>
      <c r="D13">
        <f>pm.rep!D870</f>
        <v>1985</v>
      </c>
      <c r="E13">
        <f>pm.rep!E870</f>
        <v>1988</v>
      </c>
      <c r="F13">
        <f>pm.rep!F870</f>
        <v>1991</v>
      </c>
      <c r="G13">
        <f>pm.rep!G870</f>
        <v>1994</v>
      </c>
      <c r="H13">
        <f>pm.rep!H870</f>
        <v>1996</v>
      </c>
      <c r="I13">
        <f>pm.rep!I870</f>
        <v>1997</v>
      </c>
      <c r="J13">
        <f>pm.rep!J870</f>
        <v>1999</v>
      </c>
      <c r="K13">
        <f>pm.rep!K870</f>
        <v>2000</v>
      </c>
      <c r="L13">
        <f>pm.rep!L870</f>
        <v>2002</v>
      </c>
      <c r="M13">
        <f>pm.rep!M870</f>
        <v>2004</v>
      </c>
      <c r="N13">
        <f>pm.rep!N870</f>
        <v>2006</v>
      </c>
      <c r="O13">
        <f>pm.rep!O870</f>
        <v>2007</v>
      </c>
      <c r="P13">
        <f>pm.rep!P870</f>
        <v>2008</v>
      </c>
      <c r="Q13">
        <f>pm.rep!Q870</f>
        <v>2009</v>
      </c>
    </row>
    <row r="14" spans="1:17" ht="19.5" customHeight="1" x14ac:dyDescent="0.15">
      <c r="B14" s="27">
        <f>pm.rep!B871</f>
        <v>69110</v>
      </c>
      <c r="C14" s="27">
        <f>pm.rep!C871</f>
        <v>108</v>
      </c>
      <c r="D14" s="27">
        <f>pm.rep!D871</f>
        <v>2076</v>
      </c>
      <c r="E14" s="27">
        <f>pm.rep!E871</f>
        <v>10.854699999999999</v>
      </c>
      <c r="F14" s="27">
        <f>pm.rep!F871</f>
        <v>639.26800000000003</v>
      </c>
      <c r="G14" s="27">
        <f>pm.rep!G871</f>
        <v>452.85500000000002</v>
      </c>
      <c r="H14" s="27">
        <f>pm.rep!H871</f>
        <v>972.33600000000001</v>
      </c>
      <c r="I14" s="27">
        <f>pm.rep!I871</f>
        <v>12383.8</v>
      </c>
      <c r="J14" s="27">
        <f>pm.rep!J871</f>
        <v>111.866</v>
      </c>
      <c r="K14" s="27">
        <f>pm.rep!K871</f>
        <v>257.92200000000003</v>
      </c>
      <c r="L14" s="27">
        <f>pm.rep!L871</f>
        <v>561.31399999999996</v>
      </c>
      <c r="M14" s="27">
        <f>pm.rep!M871</f>
        <v>15.7537</v>
      </c>
      <c r="N14" s="27">
        <f>pm.rep!N871</f>
        <v>455.565</v>
      </c>
      <c r="O14" s="27">
        <f>pm.rep!O871</f>
        <v>5588.54</v>
      </c>
      <c r="P14" s="27">
        <f>pm.rep!P871</f>
        <v>36.481499999999997</v>
      </c>
      <c r="Q14" s="27">
        <f>pm.rep!Q871</f>
        <v>5127.67</v>
      </c>
    </row>
    <row r="15" spans="1:17" ht="18" customHeight="1" x14ac:dyDescent="0.15">
      <c r="B15" s="27">
        <f>pm.rep!B872</f>
        <v>1636.08</v>
      </c>
      <c r="C15" s="27">
        <f>pm.rep!C872</f>
        <v>431.01600000000002</v>
      </c>
      <c r="D15" s="27">
        <f>pm.rep!D872</f>
        <v>915.56600000000003</v>
      </c>
      <c r="E15" s="27">
        <f>pm.rep!E872</f>
        <v>147.03700000000001</v>
      </c>
      <c r="F15" s="27">
        <f>pm.rep!F872</f>
        <v>676.33199999999999</v>
      </c>
      <c r="G15" s="27">
        <f>pm.rep!G872</f>
        <v>421.51900000000001</v>
      </c>
      <c r="H15" s="27">
        <f>pm.rep!H872</f>
        <v>604.88699999999994</v>
      </c>
      <c r="I15" s="27">
        <f>pm.rep!I872</f>
        <v>824.34400000000005</v>
      </c>
      <c r="J15" s="27">
        <f>pm.rep!J872</f>
        <v>444.91</v>
      </c>
      <c r="K15" s="27">
        <f>pm.rep!K872</f>
        <v>683.48299999999995</v>
      </c>
      <c r="L15" s="27">
        <f>pm.rep!L872</f>
        <v>633.28499999999997</v>
      </c>
      <c r="M15" s="27">
        <f>pm.rep!M872</f>
        <v>175.57400000000001</v>
      </c>
      <c r="N15" s="27">
        <f>pm.rep!N872</f>
        <v>322.767</v>
      </c>
      <c r="O15" s="27">
        <f>pm.rep!O872</f>
        <v>697.76499999999999</v>
      </c>
      <c r="P15" s="27">
        <f>pm.rep!P872</f>
        <v>386.61700000000002</v>
      </c>
      <c r="Q15" s="27">
        <f>pm.rep!Q872</f>
        <v>1505.25</v>
      </c>
    </row>
    <row r="16" spans="1:17" ht="18" customHeight="1" x14ac:dyDescent="0.15">
      <c r="A16" s="116" t="s">
        <v>689</v>
      </c>
      <c r="B16" s="27">
        <f>B14/EXP(2*SQRT(LN(1+B14^2/B14^2)))</f>
        <v>13073.538373019946</v>
      </c>
      <c r="C16" s="27">
        <f t="shared" ref="C16:Q16" si="0">C14/EXP(2*SQRT(LN(1+C14^2/C14^2)))</f>
        <v>20.43035948901974</v>
      </c>
      <c r="D16" s="27">
        <f t="shared" si="0"/>
        <v>392.71691017782388</v>
      </c>
      <c r="E16" s="27">
        <f t="shared" si="0"/>
        <v>2.0533835476431719</v>
      </c>
      <c r="F16" s="27">
        <f t="shared" si="0"/>
        <v>120.93032453543215</v>
      </c>
      <c r="G16" s="27">
        <f t="shared" si="0"/>
        <v>85.666578207407724</v>
      </c>
      <c r="H16" s="27">
        <f t="shared" si="0"/>
        <v>183.93679651958794</v>
      </c>
      <c r="I16" s="27">
        <f t="shared" si="0"/>
        <v>2342.6433874085428</v>
      </c>
      <c r="J16" s="27">
        <f t="shared" si="0"/>
        <v>21.161690690728541</v>
      </c>
      <c r="K16" s="27">
        <f t="shared" si="0"/>
        <v>48.791103519693984</v>
      </c>
      <c r="L16" s="27">
        <f t="shared" si="0"/>
        <v>106.18376672425579</v>
      </c>
      <c r="M16" s="27">
        <f t="shared" si="0"/>
        <v>2.9801273544645399</v>
      </c>
      <c r="N16" s="27">
        <f t="shared" si="0"/>
        <v>86.179228894585904</v>
      </c>
      <c r="O16" s="27">
        <f t="shared" si="0"/>
        <v>1057.1840853589479</v>
      </c>
      <c r="P16" s="27">
        <f t="shared" si="0"/>
        <v>6.9012051823951257</v>
      </c>
      <c r="Q16" s="27">
        <f t="shared" si="0"/>
        <v>970.00130963946162</v>
      </c>
    </row>
    <row r="17" spans="1:17" ht="18" customHeight="1" x14ac:dyDescent="0.15">
      <c r="A17" s="116" t="s">
        <v>690</v>
      </c>
      <c r="B17" s="27">
        <f>B14*EXP(2*SQRT(LN(1+B14^2/B14^2)))</f>
        <v>365332.77860389336</v>
      </c>
      <c r="C17" s="27">
        <f t="shared" ref="C17:Q17" si="1">C14*EXP(2*SQRT(LN(1+C14^2/C14^2)))</f>
        <v>570.91506423412648</v>
      </c>
      <c r="D17" s="27">
        <f t="shared" si="1"/>
        <v>10974.256234722652</v>
      </c>
      <c r="E17" s="27">
        <f t="shared" si="1"/>
        <v>57.38066433094604</v>
      </c>
      <c r="F17" s="27">
        <f t="shared" si="1"/>
        <v>3379.3308452113106</v>
      </c>
      <c r="G17" s="27">
        <f t="shared" si="1"/>
        <v>2393.9050130902347</v>
      </c>
      <c r="H17" s="27">
        <f t="shared" si="1"/>
        <v>5140.0117583069778</v>
      </c>
      <c r="I17" s="27">
        <f t="shared" si="1"/>
        <v>65463.870115394209</v>
      </c>
      <c r="J17" s="27">
        <f t="shared" si="1"/>
        <v>591.35170903347023</v>
      </c>
      <c r="K17" s="27">
        <f t="shared" si="1"/>
        <v>1363.4403259017997</v>
      </c>
      <c r="L17" s="27">
        <f t="shared" si="1"/>
        <v>2967.2464663473561</v>
      </c>
      <c r="M17" s="27">
        <f t="shared" si="1"/>
        <v>83.278005994677386</v>
      </c>
      <c r="N17" s="27">
        <f t="shared" si="1"/>
        <v>2408.2307522020355</v>
      </c>
      <c r="O17" s="27">
        <f t="shared" si="1"/>
        <v>29542.422898842455</v>
      </c>
      <c r="P17" s="27">
        <f t="shared" si="1"/>
        <v>192.8503510727526</v>
      </c>
      <c r="Q17" s="27">
        <f t="shared" si="1"/>
        <v>27106.148587235217</v>
      </c>
    </row>
  </sheetData>
  <mergeCells count="3">
    <mergeCell ref="A1:C1"/>
    <mergeCell ref="A9:C9"/>
    <mergeCell ref="A11:C11"/>
  </mergeCells>
  <phoneticPr fontId="7" type="noConversion"/>
  <printOptions horizontalCentered="1"/>
  <pageMargins left="0.75" right="0.75" top="1" bottom="1" header="0.5" footer="0.5"/>
  <pageSetup scale="10" orientation="portrait"/>
  <headerFooter alignWithMargins="0">
    <oddHeader>&amp;A</oddHeader>
    <oddFooter>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521"/>
  <sheetViews>
    <sheetView showGridLines="0" workbookViewId="0">
      <selection activeCell="C2" sqref="C2"/>
    </sheetView>
  </sheetViews>
  <sheetFormatPr baseColWidth="10" defaultColWidth="86.33203125" defaultRowHeight="209.5" customHeight="1" x14ac:dyDescent="0.15"/>
  <cols>
    <col min="1" max="2" width="86.33203125" customWidth="1"/>
    <col min="3" max="3" width="56.5" customWidth="1"/>
  </cols>
  <sheetData>
    <row r="1" spans="1:1" ht="348" customHeight="1" x14ac:dyDescent="0.15">
      <c r="A1" s="109"/>
    </row>
    <row r="2" spans="1:1" ht="270" customHeight="1" x14ac:dyDescent="0.15">
      <c r="A2" s="2"/>
    </row>
    <row r="258" spans="3:3" ht="209.5" customHeight="1" x14ac:dyDescent="0.15">
      <c r="C258" s="1"/>
    </row>
    <row r="315" spans="3:3" ht="209.5" customHeight="1" x14ac:dyDescent="0.15">
      <c r="C315" s="1"/>
    </row>
    <row r="316" spans="3:3" ht="209.5" customHeight="1" x14ac:dyDescent="0.15">
      <c r="C316" s="1"/>
    </row>
    <row r="519" spans="2:2" ht="209.5" customHeight="1" x14ac:dyDescent="0.15">
      <c r="B519" s="1"/>
    </row>
    <row r="521" spans="2:2" ht="209.5" customHeight="1" x14ac:dyDescent="0.15">
      <c r="B521" s="1"/>
    </row>
  </sheetData>
  <phoneticPr fontId="7" type="noConversion"/>
  <pageMargins left="0.75" right="0.75" top="1" bottom="1" header="0.5" footer="0.5"/>
  <pageSetup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B4"/>
  <sheetViews>
    <sheetView zoomScale="55" zoomScaleNormal="55" zoomScalePageLayoutView="55" workbookViewId="0">
      <selection activeCell="A3" sqref="A3"/>
    </sheetView>
  </sheetViews>
  <sheetFormatPr baseColWidth="10" defaultColWidth="73.6640625" defaultRowHeight="315" customHeight="1" x14ac:dyDescent="0.15"/>
  <cols>
    <col min="1" max="1" width="99" customWidth="1"/>
    <col min="2" max="2" width="93" customWidth="1"/>
    <col min="3" max="3" width="95.83203125" customWidth="1"/>
  </cols>
  <sheetData>
    <row r="1" spans="1:2" ht="336.75" customHeight="1" x14ac:dyDescent="0.15">
      <c r="A1" s="99" t="str">
        <f>pm.rep!A4</f>
        <v>Model_16.1</v>
      </c>
      <c r="B1" s="116" t="s">
        <v>805</v>
      </c>
    </row>
    <row r="2" spans="1:2" ht="315" customHeight="1" x14ac:dyDescent="0.15">
      <c r="A2" s="99"/>
    </row>
    <row r="3" spans="1:2" ht="315" customHeight="1" x14ac:dyDescent="0.15">
      <c r="A3" s="99"/>
    </row>
    <row r="4" spans="1:2" ht="315" customHeight="1" x14ac:dyDescent="0.15">
      <c r="A4" s="99"/>
    </row>
  </sheetData>
  <phoneticPr fontId="7" type="noConversion"/>
  <printOptions horizontalCentered="1" verticalCentered="1"/>
  <pageMargins left="0.75" right="0.75" top="1" bottom="1" header="0.5" footer="0.5"/>
  <pageSetup scale="48" fitToWidth="2" orientation="portrait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"/>
  <sheetViews>
    <sheetView topLeftCell="C1" zoomScale="55" zoomScaleNormal="55" zoomScalePageLayoutView="55" workbookViewId="0">
      <selection activeCell="E1" sqref="E1"/>
    </sheetView>
  </sheetViews>
  <sheetFormatPr baseColWidth="10" defaultColWidth="87.6640625" defaultRowHeight="273.5" customHeight="1" x14ac:dyDescent="0.15"/>
  <sheetData/>
  <phoneticPr fontId="7" type="noConversion"/>
  <printOptions horizontalCentered="1"/>
  <pageMargins left="0.75" right="0.75" top="1" bottom="1" header="0.5" footer="0.5"/>
  <pageSetup scale="56" orientation="portrait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opLeftCell="A9" zoomScale="190" zoomScaleNormal="190" zoomScalePageLayoutView="190" workbookViewId="0">
      <selection activeCell="E14" sqref="E14"/>
    </sheetView>
  </sheetViews>
  <sheetFormatPr baseColWidth="10" defaultColWidth="8.83203125" defaultRowHeight="13" x14ac:dyDescent="0.15"/>
  <sheetData>
    <row r="1" spans="1:6" x14ac:dyDescent="0.15">
      <c r="A1">
        <v>500</v>
      </c>
      <c r="B1">
        <v>1</v>
      </c>
      <c r="C1">
        <v>1</v>
      </c>
      <c r="D1" t="s">
        <v>833</v>
      </c>
      <c r="E1">
        <v>0.11312</v>
      </c>
      <c r="F1">
        <v>4.5411E-2</v>
      </c>
    </row>
    <row r="2" spans="1:6" x14ac:dyDescent="0.15">
      <c r="A2">
        <v>600</v>
      </c>
      <c r="B2">
        <v>2</v>
      </c>
      <c r="C2">
        <v>1</v>
      </c>
      <c r="D2" t="s">
        <v>833</v>
      </c>
      <c r="E2">
        <v>0.13703000000000001</v>
      </c>
      <c r="F2">
        <v>5.5093000000000003E-2</v>
      </c>
    </row>
    <row r="3" spans="1:6" x14ac:dyDescent="0.15">
      <c r="A3">
        <v>700</v>
      </c>
      <c r="B3">
        <v>3</v>
      </c>
      <c r="C3">
        <v>1</v>
      </c>
      <c r="D3" t="s">
        <v>833</v>
      </c>
      <c r="E3">
        <v>0.16139000000000001</v>
      </c>
      <c r="F3">
        <v>6.4993999999999996E-2</v>
      </c>
    </row>
    <row r="4" spans="1:6" x14ac:dyDescent="0.15">
      <c r="A4">
        <v>800</v>
      </c>
      <c r="B4">
        <v>4</v>
      </c>
      <c r="C4">
        <v>1</v>
      </c>
      <c r="D4" t="s">
        <v>833</v>
      </c>
      <c r="E4">
        <v>0.18623000000000001</v>
      </c>
      <c r="F4">
        <v>7.5123999999999996E-2</v>
      </c>
    </row>
    <row r="5" spans="1:6" x14ac:dyDescent="0.15">
      <c r="A5">
        <v>900</v>
      </c>
      <c r="B5">
        <v>5</v>
      </c>
      <c r="C5">
        <v>1</v>
      </c>
      <c r="D5" t="s">
        <v>833</v>
      </c>
      <c r="E5">
        <v>0.21157000000000001</v>
      </c>
      <c r="F5">
        <v>8.5493E-2</v>
      </c>
    </row>
    <row r="6" spans="1:6" x14ac:dyDescent="0.15">
      <c r="A6">
        <v>1000</v>
      </c>
      <c r="B6">
        <v>6</v>
      </c>
      <c r="C6">
        <v>1</v>
      </c>
      <c r="D6" t="s">
        <v>833</v>
      </c>
      <c r="E6">
        <v>0.23743</v>
      </c>
      <c r="F6">
        <v>9.6114000000000005E-2</v>
      </c>
    </row>
    <row r="7" spans="1:6" x14ac:dyDescent="0.15">
      <c r="A7">
        <v>1100</v>
      </c>
      <c r="B7">
        <v>7</v>
      </c>
      <c r="C7">
        <v>1</v>
      </c>
      <c r="D7" t="s">
        <v>833</v>
      </c>
      <c r="E7">
        <v>0.26382</v>
      </c>
      <c r="F7">
        <v>0.107</v>
      </c>
    </row>
    <row r="8" spans="1:6" x14ac:dyDescent="0.15">
      <c r="A8">
        <v>1200</v>
      </c>
      <c r="B8">
        <v>8</v>
      </c>
      <c r="C8">
        <v>1</v>
      </c>
      <c r="D8" t="s">
        <v>833</v>
      </c>
      <c r="E8">
        <v>0.29077999999999998</v>
      </c>
      <c r="F8">
        <v>0.11815000000000001</v>
      </c>
    </row>
    <row r="9" spans="1:6" x14ac:dyDescent="0.15">
      <c r="A9">
        <v>1300</v>
      </c>
      <c r="B9">
        <v>9</v>
      </c>
      <c r="C9">
        <v>1</v>
      </c>
      <c r="D9" t="s">
        <v>833</v>
      </c>
      <c r="E9">
        <v>0.31830999999999998</v>
      </c>
      <c r="F9">
        <v>0.12959999999999999</v>
      </c>
    </row>
    <row r="10" spans="1:6" x14ac:dyDescent="0.15">
      <c r="A10">
        <v>1400</v>
      </c>
      <c r="B10">
        <v>10</v>
      </c>
      <c r="C10">
        <v>1</v>
      </c>
      <c r="D10" t="s">
        <v>833</v>
      </c>
      <c r="E10">
        <v>0.34644000000000003</v>
      </c>
      <c r="F10">
        <v>0.14133999999999999</v>
      </c>
    </row>
    <row r="11" spans="1:6" x14ac:dyDescent="0.15">
      <c r="A11">
        <v>1500</v>
      </c>
      <c r="B11">
        <v>11</v>
      </c>
      <c r="C11">
        <v>1</v>
      </c>
      <c r="D11" t="s">
        <v>833</v>
      </c>
      <c r="E11">
        <v>0.37520999999999999</v>
      </c>
      <c r="F11">
        <v>0.15340999999999999</v>
      </c>
    </row>
    <row r="12" spans="1:6" x14ac:dyDescent="0.15">
      <c r="A12">
        <v>1600</v>
      </c>
      <c r="B12">
        <v>12</v>
      </c>
      <c r="C12">
        <v>1</v>
      </c>
      <c r="D12" t="s">
        <v>833</v>
      </c>
      <c r="E12">
        <v>0.40462999999999999</v>
      </c>
      <c r="F12">
        <v>0.16581000000000001</v>
      </c>
    </row>
    <row r="13" spans="1:6" x14ac:dyDescent="0.15">
      <c r="A13">
        <v>1700</v>
      </c>
      <c r="B13">
        <v>13</v>
      </c>
      <c r="C13">
        <v>1</v>
      </c>
      <c r="D13" t="s">
        <v>833</v>
      </c>
      <c r="E13">
        <v>0.43474000000000002</v>
      </c>
      <c r="F13">
        <v>0.17854999999999999</v>
      </c>
    </row>
    <row r="14" spans="1:6" x14ac:dyDescent="0.15">
      <c r="A14">
        <v>1800</v>
      </c>
      <c r="B14">
        <v>14</v>
      </c>
      <c r="C14">
        <v>1</v>
      </c>
      <c r="D14" t="s">
        <v>833</v>
      </c>
      <c r="E14">
        <v>0.46555999999999997</v>
      </c>
      <c r="F14">
        <v>0.19167000000000001</v>
      </c>
    </row>
    <row r="15" spans="1:6" x14ac:dyDescent="0.15">
      <c r="A15">
        <v>1900</v>
      </c>
      <c r="B15">
        <v>15</v>
      </c>
      <c r="C15">
        <v>1</v>
      </c>
      <c r="D15" t="s">
        <v>833</v>
      </c>
      <c r="E15">
        <v>0.49713000000000002</v>
      </c>
      <c r="F15">
        <v>0.20518</v>
      </c>
    </row>
    <row r="16" spans="1:6" x14ac:dyDescent="0.15">
      <c r="A16">
        <v>2000</v>
      </c>
      <c r="B16">
        <v>16</v>
      </c>
      <c r="C16">
        <v>1</v>
      </c>
      <c r="D16" t="s">
        <v>833</v>
      </c>
      <c r="E16">
        <v>0.52947999999999995</v>
      </c>
      <c r="F16">
        <v>0.21911</v>
      </c>
    </row>
    <row r="17" spans="1:8" x14ac:dyDescent="0.15">
      <c r="A17">
        <v>2100</v>
      </c>
      <c r="B17">
        <v>17</v>
      </c>
      <c r="C17">
        <v>1</v>
      </c>
      <c r="D17" t="s">
        <v>833</v>
      </c>
      <c r="E17">
        <v>0.56266000000000005</v>
      </c>
      <c r="F17">
        <v>0.23347000000000001</v>
      </c>
    </row>
    <row r="18" spans="1:8" x14ac:dyDescent="0.15">
      <c r="A18">
        <v>2200</v>
      </c>
      <c r="B18">
        <v>18</v>
      </c>
      <c r="C18">
        <v>1</v>
      </c>
      <c r="D18" t="s">
        <v>833</v>
      </c>
      <c r="E18">
        <v>0.59669000000000005</v>
      </c>
      <c r="F18">
        <v>0.24829000000000001</v>
      </c>
    </row>
    <row r="19" spans="1:8" x14ac:dyDescent="0.15">
      <c r="A19">
        <v>2300</v>
      </c>
      <c r="B19">
        <v>19</v>
      </c>
      <c r="C19">
        <v>1</v>
      </c>
      <c r="D19" t="s">
        <v>833</v>
      </c>
      <c r="E19">
        <v>0.63163000000000002</v>
      </c>
      <c r="F19">
        <v>0.26361000000000001</v>
      </c>
    </row>
    <row r="20" spans="1:8" x14ac:dyDescent="0.15">
      <c r="A20">
        <v>2400</v>
      </c>
      <c r="B20">
        <v>20</v>
      </c>
      <c r="C20">
        <v>1</v>
      </c>
      <c r="D20" t="s">
        <v>833</v>
      </c>
      <c r="E20">
        <v>0.66751000000000005</v>
      </c>
      <c r="F20">
        <v>0.27944000000000002</v>
      </c>
    </row>
    <row r="25" spans="1:8" x14ac:dyDescent="0.15">
      <c r="E25" t="s">
        <v>978</v>
      </c>
      <c r="F25" t="s">
        <v>979</v>
      </c>
      <c r="G25" t="s">
        <v>980</v>
      </c>
    </row>
    <row r="26" spans="1:8" x14ac:dyDescent="0.15">
      <c r="A26" s="31" t="s">
        <v>977</v>
      </c>
      <c r="B26" s="31">
        <v>2013</v>
      </c>
      <c r="C26" s="31">
        <v>-0.17289360000000001</v>
      </c>
      <c r="D26" s="31">
        <v>-0.17289360000000001</v>
      </c>
      <c r="E26" s="27">
        <v>3042.97</v>
      </c>
      <c r="F26" s="27">
        <v>2516.86</v>
      </c>
      <c r="G26" s="27">
        <v>3042.97</v>
      </c>
      <c r="H26">
        <f>F26/G26</f>
        <v>0.82710641248517081</v>
      </c>
    </row>
    <row r="27" spans="1:8" x14ac:dyDescent="0.15">
      <c r="A27" s="31" t="s">
        <v>977</v>
      </c>
      <c r="B27" s="31">
        <v>2012</v>
      </c>
      <c r="C27" s="31">
        <v>3.5850720000000003E-2</v>
      </c>
      <c r="D27" s="31">
        <v>-0.11515852</v>
      </c>
      <c r="E27" s="27">
        <v>2240.6799999999998</v>
      </c>
      <c r="F27" s="27">
        <v>2321.0100000000002</v>
      </c>
      <c r="G27" s="27">
        <v>2623.08</v>
      </c>
      <c r="H27">
        <f t="shared" ref="H27:H35" si="0">F27/G27</f>
        <v>0.88484148405691032</v>
      </c>
    </row>
    <row r="28" spans="1:8" x14ac:dyDescent="0.15">
      <c r="A28" s="31" t="s">
        <v>977</v>
      </c>
      <c r="B28" s="31">
        <v>2011</v>
      </c>
      <c r="C28" s="31">
        <v>-2.080831E-2</v>
      </c>
      <c r="D28" s="31">
        <v>-8.9679969999999998E-2</v>
      </c>
      <c r="E28" s="27">
        <v>2081.38</v>
      </c>
      <c r="F28" s="27">
        <v>2038.07</v>
      </c>
      <c r="G28" s="27">
        <v>2238.85</v>
      </c>
      <c r="H28">
        <f t="shared" si="0"/>
        <v>0.91032003037273601</v>
      </c>
    </row>
    <row r="29" spans="1:8" x14ac:dyDescent="0.15">
      <c r="A29" s="31" t="s">
        <v>977</v>
      </c>
      <c r="B29" s="31">
        <v>2010</v>
      </c>
      <c r="C29" s="31">
        <v>-1.408389E-2</v>
      </c>
      <c r="D29" s="31">
        <v>-3.8035449999999998E-2</v>
      </c>
      <c r="E29" s="27">
        <v>1816.97</v>
      </c>
      <c r="F29" s="27">
        <v>1791.38</v>
      </c>
      <c r="G29" s="27">
        <v>1862.21</v>
      </c>
      <c r="H29">
        <f t="shared" si="0"/>
        <v>0.96196454750001348</v>
      </c>
    </row>
    <row r="30" spans="1:8" x14ac:dyDescent="0.15">
      <c r="A30" s="31" t="s">
        <v>977</v>
      </c>
      <c r="B30" s="31">
        <v>2009</v>
      </c>
      <c r="C30" s="31">
        <v>-8.5891910000000002E-2</v>
      </c>
      <c r="D30" s="31">
        <v>-0.18549921999999999</v>
      </c>
      <c r="E30" s="27">
        <v>1521.68</v>
      </c>
      <c r="F30" s="27">
        <v>1390.98</v>
      </c>
      <c r="G30" s="27">
        <v>1707.77</v>
      </c>
      <c r="H30">
        <f t="shared" si="0"/>
        <v>0.814500781721192</v>
      </c>
    </row>
    <row r="31" spans="1:8" x14ac:dyDescent="0.15">
      <c r="A31" s="31" t="s">
        <v>977</v>
      </c>
      <c r="B31" s="31">
        <v>2008</v>
      </c>
      <c r="C31" s="31">
        <v>3.7334600000000001E-3</v>
      </c>
      <c r="D31" s="31">
        <v>-0.17587854</v>
      </c>
      <c r="E31" s="27">
        <v>1304.42</v>
      </c>
      <c r="F31" s="27">
        <v>1309.29</v>
      </c>
      <c r="G31" s="27">
        <v>1588.71</v>
      </c>
      <c r="H31">
        <f t="shared" si="0"/>
        <v>0.82412145703117623</v>
      </c>
    </row>
    <row r="32" spans="1:8" x14ac:dyDescent="0.15">
      <c r="A32" s="31" t="s">
        <v>977</v>
      </c>
      <c r="B32" s="31">
        <v>2007</v>
      </c>
      <c r="C32" s="31">
        <v>-7.9446429999999998E-2</v>
      </c>
      <c r="D32" s="31">
        <v>-0.2280529</v>
      </c>
      <c r="E32" s="27">
        <v>1822.36</v>
      </c>
      <c r="F32" s="27">
        <v>1677.58</v>
      </c>
      <c r="G32" s="27">
        <v>2173.1799999999998</v>
      </c>
      <c r="H32">
        <f t="shared" si="0"/>
        <v>0.77194710056230964</v>
      </c>
    </row>
    <row r="33" spans="1:8" x14ac:dyDescent="0.15">
      <c r="A33" s="31" t="s">
        <v>977</v>
      </c>
      <c r="B33" s="31">
        <v>2006</v>
      </c>
      <c r="C33" s="31">
        <v>0.10407557000000001</v>
      </c>
      <c r="D33" s="31">
        <v>-9.5084749999999996E-2</v>
      </c>
      <c r="E33" s="27">
        <v>2140.56</v>
      </c>
      <c r="F33" s="27">
        <v>2363.34</v>
      </c>
      <c r="G33" s="27">
        <v>2611.67</v>
      </c>
      <c r="H33">
        <f t="shared" si="0"/>
        <v>0.90491524580057969</v>
      </c>
    </row>
    <row r="34" spans="1:8" x14ac:dyDescent="0.15">
      <c r="A34" s="31" t="s">
        <v>977</v>
      </c>
      <c r="B34" s="31">
        <v>2005</v>
      </c>
      <c r="C34" s="31">
        <v>8.2345329999999994E-2</v>
      </c>
      <c r="D34" s="31">
        <v>8.1625350000000003E-3</v>
      </c>
      <c r="E34" s="27">
        <v>2968.11</v>
      </c>
      <c r="F34" s="27">
        <v>3212.52</v>
      </c>
      <c r="G34" s="27">
        <v>3186.51</v>
      </c>
      <c r="H34">
        <f t="shared" si="0"/>
        <v>1.0081625351873993</v>
      </c>
    </row>
    <row r="35" spans="1:8" x14ac:dyDescent="0.15">
      <c r="A35" s="31" t="s">
        <v>977</v>
      </c>
      <c r="B35" s="31">
        <v>2004</v>
      </c>
      <c r="C35" s="31">
        <v>-3.9513319999999998E-2</v>
      </c>
      <c r="D35" s="31">
        <v>5.8450209999999997E-3</v>
      </c>
      <c r="E35" s="27">
        <v>3654.97</v>
      </c>
      <c r="F35" s="27">
        <v>3510.55</v>
      </c>
      <c r="G35" s="27">
        <v>3490.15</v>
      </c>
      <c r="H35">
        <f t="shared" si="0"/>
        <v>1.0058450209876366</v>
      </c>
    </row>
    <row r="36" spans="1:8" x14ac:dyDescent="0.15">
      <c r="C36">
        <f>AVERAGE(C26:C35)</f>
        <v>-1.8663237999999995E-2</v>
      </c>
      <c r="D36">
        <f>AVERAGE(D26:D35)</f>
        <v>-0.1086275394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 enableFormatConditionsCalculation="0"/>
  <dimension ref="A1:CA172"/>
  <sheetViews>
    <sheetView showGridLines="0" topLeftCell="A13" zoomScale="115" zoomScaleNormal="115" zoomScalePageLayoutView="115" workbookViewId="0">
      <selection activeCell="G95" sqref="G95"/>
    </sheetView>
  </sheetViews>
  <sheetFormatPr baseColWidth="10" defaultColWidth="8.83203125" defaultRowHeight="13" x14ac:dyDescent="0.15"/>
  <sheetData>
    <row r="1" spans="3:79" ht="15" thickTop="1" x14ac:dyDescent="0.15">
      <c r="C1">
        <f>Stdev!C3</f>
        <v>0</v>
      </c>
      <c r="G1" s="63" t="s">
        <v>341</v>
      </c>
      <c r="H1" s="63" t="s">
        <v>342</v>
      </c>
      <c r="M1" s="27" t="str">
        <f>Stdev!C630</f>
        <v>Bmsy2</v>
      </c>
      <c r="AB1" s="199" t="s">
        <v>773</v>
      </c>
      <c r="AE1">
        <v>1964</v>
      </c>
      <c r="AF1">
        <v>1965</v>
      </c>
      <c r="AG1">
        <v>1966</v>
      </c>
      <c r="AH1">
        <v>1967</v>
      </c>
      <c r="AI1">
        <v>1968</v>
      </c>
      <c r="AJ1">
        <v>1969</v>
      </c>
      <c r="AK1">
        <v>1970</v>
      </c>
      <c r="AL1">
        <v>1971</v>
      </c>
      <c r="AM1">
        <v>1972</v>
      </c>
      <c r="AN1">
        <v>1973</v>
      </c>
      <c r="AO1">
        <v>1974</v>
      </c>
      <c r="AP1">
        <v>1975</v>
      </c>
      <c r="AQ1">
        <v>1976</v>
      </c>
      <c r="AR1">
        <v>1977</v>
      </c>
      <c r="AS1">
        <v>1978</v>
      </c>
      <c r="AT1">
        <v>1979</v>
      </c>
      <c r="AU1">
        <v>1980</v>
      </c>
      <c r="AV1">
        <v>1981</v>
      </c>
      <c r="AW1">
        <v>1982</v>
      </c>
      <c r="AX1">
        <v>1983</v>
      </c>
      <c r="AY1">
        <v>1984</v>
      </c>
      <c r="AZ1">
        <v>1985</v>
      </c>
      <c r="BA1">
        <v>1986</v>
      </c>
      <c r="BB1">
        <v>1987</v>
      </c>
      <c r="BC1">
        <v>1988</v>
      </c>
      <c r="BD1">
        <v>1989</v>
      </c>
      <c r="BE1">
        <v>1990</v>
      </c>
      <c r="BF1">
        <v>1991</v>
      </c>
      <c r="BG1">
        <v>1992</v>
      </c>
      <c r="BH1">
        <v>1993</v>
      </c>
      <c r="BI1">
        <v>1994</v>
      </c>
      <c r="BJ1">
        <v>1995</v>
      </c>
      <c r="BK1">
        <v>1996</v>
      </c>
      <c r="BL1">
        <v>1997</v>
      </c>
      <c r="BM1">
        <v>1998</v>
      </c>
      <c r="BN1">
        <v>1999</v>
      </c>
      <c r="BO1">
        <v>2000</v>
      </c>
      <c r="BP1">
        <v>2001</v>
      </c>
      <c r="BQ1">
        <v>2002</v>
      </c>
      <c r="BR1">
        <v>2003</v>
      </c>
      <c r="BS1">
        <v>2004</v>
      </c>
      <c r="BT1">
        <v>2005</v>
      </c>
      <c r="BU1">
        <v>2006</v>
      </c>
      <c r="BV1">
        <v>2007</v>
      </c>
      <c r="BW1">
        <v>2008</v>
      </c>
      <c r="BX1">
        <v>2009</v>
      </c>
      <c r="BY1">
        <v>2010</v>
      </c>
      <c r="BZ1">
        <v>2011</v>
      </c>
      <c r="CA1">
        <v>2012</v>
      </c>
    </row>
    <row r="2" spans="3:79" ht="15" thickBot="1" x14ac:dyDescent="0.2">
      <c r="C2" t="str">
        <f>Stdev!C4</f>
        <v>SSB</v>
      </c>
      <c r="D2">
        <f t="shared" ref="D2:D46" si="0">D3-1</f>
        <v>1964</v>
      </c>
      <c r="E2" s="27">
        <f>Stdev!D4</f>
        <v>545.08000000000004</v>
      </c>
      <c r="F2" s="27">
        <f>Stdev!E4</f>
        <v>158.85</v>
      </c>
      <c r="G2" s="3">
        <f>E2/EXP(2*SQRT(LN(1+F2^2/E2^2)))</f>
        <v>307.9442705425962</v>
      </c>
      <c r="H2" s="3">
        <f>E2*EXP(2*SQRT(LN(1+F2^2/E2^2)))</f>
        <v>964.82459594552563</v>
      </c>
      <c r="L2">
        <v>1960</v>
      </c>
      <c r="M2" s="27">
        <f>Stdev!D629</f>
        <v>1948.1</v>
      </c>
      <c r="AB2" s="200" t="s">
        <v>175</v>
      </c>
      <c r="AD2">
        <v>2011</v>
      </c>
      <c r="AE2">
        <v>441.97899999999998</v>
      </c>
      <c r="AF2">
        <v>563.15</v>
      </c>
      <c r="AG2">
        <v>673.49199999999996</v>
      </c>
      <c r="AH2">
        <v>854.53399999999999</v>
      </c>
      <c r="AI2">
        <v>1059.4100000000001</v>
      </c>
      <c r="AJ2">
        <v>1342.26</v>
      </c>
      <c r="AK2">
        <v>1681.69</v>
      </c>
      <c r="AL2">
        <v>1894.45</v>
      </c>
      <c r="AM2">
        <v>1819.26</v>
      </c>
      <c r="AN2">
        <v>1450.75</v>
      </c>
      <c r="AO2">
        <v>998.48400000000004</v>
      </c>
      <c r="AP2">
        <v>829.74599999999998</v>
      </c>
      <c r="AQ2">
        <v>851.79100000000005</v>
      </c>
      <c r="AR2">
        <v>918.89</v>
      </c>
      <c r="AS2">
        <v>962.14200000000005</v>
      </c>
      <c r="AT2">
        <v>937.596</v>
      </c>
      <c r="AU2">
        <v>1042.51</v>
      </c>
      <c r="AV2">
        <v>1710.35</v>
      </c>
      <c r="AW2">
        <v>2606.29</v>
      </c>
      <c r="AX2">
        <v>3212.9</v>
      </c>
      <c r="AY2">
        <v>3417.6</v>
      </c>
      <c r="AZ2">
        <v>3668.99</v>
      </c>
      <c r="BA2">
        <v>3895.67</v>
      </c>
      <c r="BB2">
        <v>4023.16</v>
      </c>
      <c r="BC2">
        <v>4029.14</v>
      </c>
      <c r="BD2">
        <v>3640.05</v>
      </c>
      <c r="BE2">
        <v>2940.94</v>
      </c>
      <c r="BF2">
        <v>2199.83</v>
      </c>
      <c r="BG2">
        <v>2300.33</v>
      </c>
      <c r="BH2">
        <v>3168.31</v>
      </c>
      <c r="BI2">
        <v>3459.07</v>
      </c>
      <c r="BJ2">
        <v>3656.64</v>
      </c>
      <c r="BK2">
        <v>3652.47</v>
      </c>
      <c r="BL2">
        <v>3447.42</v>
      </c>
      <c r="BM2">
        <v>3206.28</v>
      </c>
      <c r="BN2">
        <v>3220.22</v>
      </c>
      <c r="BO2">
        <v>3259.08</v>
      </c>
      <c r="BP2">
        <v>3290.97</v>
      </c>
      <c r="BQ2">
        <v>3119.66</v>
      </c>
      <c r="BR2">
        <v>3300.66</v>
      </c>
      <c r="BS2">
        <v>3382.12</v>
      </c>
      <c r="BT2">
        <v>3073.44</v>
      </c>
      <c r="BU2">
        <v>2499.11</v>
      </c>
      <c r="BV2">
        <v>2051.27</v>
      </c>
      <c r="BW2">
        <v>1470.42</v>
      </c>
      <c r="BX2">
        <v>1630.35</v>
      </c>
      <c r="BY2">
        <v>1865.61</v>
      </c>
      <c r="BZ2">
        <v>2098.31</v>
      </c>
    </row>
    <row r="3" spans="3:79" ht="14" x14ac:dyDescent="0.15">
      <c r="C3" t="str">
        <f>Stdev!C5</f>
        <v>SSB</v>
      </c>
      <c r="D3">
        <f t="shared" si="0"/>
        <v>1965</v>
      </c>
      <c r="E3" s="27">
        <f>Stdev!D5</f>
        <v>664.08</v>
      </c>
      <c r="F3" s="27">
        <f>Stdev!E5</f>
        <v>164.46</v>
      </c>
      <c r="G3" s="3">
        <f t="shared" ref="G3:G48" si="1">E3/EXP(2*SQRT(LN(1+F3^2/E3^2)))</f>
        <v>407.66789321628329</v>
      </c>
      <c r="H3" s="3">
        <f t="shared" ref="H3:H48" si="2">E3*EXP(2*SQRT(LN(1+F3^2/E3^2)))</f>
        <v>1081.7684044743539</v>
      </c>
      <c r="L3">
        <v>2020</v>
      </c>
      <c r="M3" s="27">
        <f>M2</f>
        <v>1948.1</v>
      </c>
      <c r="AA3">
        <v>1964</v>
      </c>
      <c r="AB3" s="167">
        <v>450</v>
      </c>
      <c r="AD3" t="s">
        <v>762</v>
      </c>
      <c r="AE3">
        <f>pm.rep!B674</f>
        <v>546.53200000000004</v>
      </c>
      <c r="AF3">
        <f>pm.rep!C674</f>
        <v>647.23599999999999</v>
      </c>
      <c r="AG3">
        <f>pm.rep!D674</f>
        <v>753.51700000000005</v>
      </c>
      <c r="AH3">
        <f>pm.rep!E674</f>
        <v>948.58299999999997</v>
      </c>
      <c r="AI3">
        <f>pm.rep!F674</f>
        <v>1175.1500000000001</v>
      </c>
      <c r="AJ3">
        <f>pm.rep!G674</f>
        <v>1434.76</v>
      </c>
      <c r="AK3">
        <f>pm.rep!H674</f>
        <v>1668.2</v>
      </c>
      <c r="AL3">
        <f>pm.rep!I674</f>
        <v>1756.13</v>
      </c>
      <c r="AM3">
        <f>pm.rep!J674</f>
        <v>1660.15</v>
      </c>
      <c r="AN3">
        <f>pm.rep!K674</f>
        <v>1392.45</v>
      </c>
      <c r="AO3">
        <f>pm.rep!L674</f>
        <v>1037.1500000000001</v>
      </c>
      <c r="AP3">
        <f>pm.rep!M674</f>
        <v>880.41300000000001</v>
      </c>
      <c r="AQ3">
        <f>pm.rep!N674</f>
        <v>888.27300000000002</v>
      </c>
      <c r="AR3">
        <f>pm.rep!O674</f>
        <v>919.80399999999997</v>
      </c>
      <c r="AS3">
        <f>pm.rep!P674</f>
        <v>924.94100000000003</v>
      </c>
      <c r="AT3">
        <f>pm.rep!Q674</f>
        <v>886.53399999999999</v>
      </c>
      <c r="AU3">
        <f>pm.rep!R674</f>
        <v>989.17200000000003</v>
      </c>
      <c r="AV3">
        <f>pm.rep!S674</f>
        <v>1631.87</v>
      </c>
      <c r="AW3">
        <f>pm.rep!T674</f>
        <v>2504.2199999999998</v>
      </c>
      <c r="AX3">
        <f>pm.rep!U674</f>
        <v>3133.29</v>
      </c>
      <c r="AY3">
        <f>pm.rep!V674</f>
        <v>3385.19</v>
      </c>
      <c r="AZ3">
        <f>pm.rep!W674</f>
        <v>3674.26</v>
      </c>
      <c r="BA3">
        <f>pm.rep!X674</f>
        <v>3925.45</v>
      </c>
      <c r="BB3">
        <f>pm.rep!Y674</f>
        <v>4065.28</v>
      </c>
      <c r="BC3">
        <f>pm.rep!Z674</f>
        <v>4064.37</v>
      </c>
      <c r="BD3">
        <f>pm.rep!AA674</f>
        <v>3667.76</v>
      </c>
      <c r="BE3">
        <f>pm.rep!AB674</f>
        <v>2965.33</v>
      </c>
      <c r="BF3">
        <f>pm.rep!AC674</f>
        <v>2236.31</v>
      </c>
      <c r="BG3">
        <f>pm.rep!AD674</f>
        <v>2344.2199999999998</v>
      </c>
      <c r="BH3">
        <f>pm.rep!AE674</f>
        <v>3202.11</v>
      </c>
      <c r="BI3">
        <f>pm.rep!AF674</f>
        <v>3497.49</v>
      </c>
      <c r="BJ3">
        <f>pm.rep!AG674</f>
        <v>3703.89</v>
      </c>
      <c r="BK3">
        <f>pm.rep!AH674</f>
        <v>3713.71</v>
      </c>
      <c r="BL3">
        <f>pm.rep!AI674</f>
        <v>3512.62</v>
      </c>
      <c r="BM3">
        <f>pm.rep!AJ674</f>
        <v>3276.86</v>
      </c>
      <c r="BN3">
        <f>pm.rep!AK674</f>
        <v>3277.46</v>
      </c>
      <c r="BO3">
        <f>pm.rep!AL674</f>
        <v>3305.64</v>
      </c>
      <c r="BP3">
        <f>pm.rep!AM674</f>
        <v>3330.25</v>
      </c>
      <c r="BQ3">
        <f>pm.rep!AN674</f>
        <v>3142.97</v>
      </c>
      <c r="BR3">
        <f>pm.rep!AO674</f>
        <v>3322.4</v>
      </c>
      <c r="BS3">
        <f>pm.rep!AP674</f>
        <v>3430.44</v>
      </c>
      <c r="BT3">
        <f>pm.rep!AQ674</f>
        <v>3159.29</v>
      </c>
      <c r="BU3">
        <f>pm.rep!AR674</f>
        <v>2612.0100000000002</v>
      </c>
      <c r="BV3">
        <f>pm.rep!AS674</f>
        <v>2196.73</v>
      </c>
      <c r="BW3">
        <f>pm.rep!AT674</f>
        <v>1640.95</v>
      </c>
      <c r="BX3">
        <f>pm.rep!AU674</f>
        <v>1797.67</v>
      </c>
      <c r="BY3">
        <f>pm.rep!AV674</f>
        <v>2028.11</v>
      </c>
      <c r="BZ3">
        <f>pm.rep!AW674</f>
        <v>2480.02</v>
      </c>
      <c r="CA3">
        <f>pm.rep!AX674</f>
        <v>2903.64</v>
      </c>
    </row>
    <row r="4" spans="3:79" ht="14" x14ac:dyDescent="0.15">
      <c r="C4" t="str">
        <f>Stdev!C6</f>
        <v>SSB</v>
      </c>
      <c r="D4">
        <f t="shared" si="0"/>
        <v>1966</v>
      </c>
      <c r="E4" s="27">
        <f>Stdev!D6</f>
        <v>794.27</v>
      </c>
      <c r="F4" s="27">
        <f>Stdev!E6</f>
        <v>188.03</v>
      </c>
      <c r="G4" s="3">
        <f t="shared" si="1"/>
        <v>497.89874712833023</v>
      </c>
      <c r="H4" s="3">
        <f t="shared" si="2"/>
        <v>1267.0544694851353</v>
      </c>
      <c r="AA4">
        <v>1965</v>
      </c>
      <c r="AB4" s="167">
        <v>558</v>
      </c>
    </row>
    <row r="5" spans="3:79" ht="14" x14ac:dyDescent="0.15">
      <c r="C5" t="str">
        <f>Stdev!C7</f>
        <v>SSB</v>
      </c>
      <c r="D5">
        <f t="shared" si="0"/>
        <v>1967</v>
      </c>
      <c r="E5" s="27">
        <f>Stdev!D7</f>
        <v>1014.8</v>
      </c>
      <c r="F5" s="27">
        <f>Stdev!E7</f>
        <v>216.05</v>
      </c>
      <c r="G5" s="3">
        <f t="shared" si="1"/>
        <v>666.04591636728389</v>
      </c>
      <c r="H5" s="3">
        <f t="shared" si="2"/>
        <v>1546.1682365936422</v>
      </c>
      <c r="AA5">
        <v>1966</v>
      </c>
      <c r="AB5" s="167">
        <v>635</v>
      </c>
    </row>
    <row r="6" spans="3:79" ht="14" x14ac:dyDescent="0.15">
      <c r="C6" t="str">
        <f>Stdev!C8</f>
        <v>SSB</v>
      </c>
      <c r="D6">
        <f t="shared" si="0"/>
        <v>1968</v>
      </c>
      <c r="E6" s="27">
        <f>Stdev!D8</f>
        <v>1267.5</v>
      </c>
      <c r="F6" s="27">
        <f>Stdev!E8</f>
        <v>262.04000000000002</v>
      </c>
      <c r="G6" s="3">
        <f t="shared" si="1"/>
        <v>841.88631879594868</v>
      </c>
      <c r="H6" s="3">
        <f t="shared" si="2"/>
        <v>1908.2816933023321</v>
      </c>
      <c r="AA6">
        <v>1967</v>
      </c>
      <c r="AB6" s="167">
        <v>781</v>
      </c>
    </row>
    <row r="7" spans="3:79" ht="14" x14ac:dyDescent="0.15">
      <c r="C7" t="str">
        <f>Stdev!C9</f>
        <v>SSB</v>
      </c>
      <c r="D7">
        <f t="shared" si="0"/>
        <v>1969</v>
      </c>
      <c r="E7" s="27">
        <f>Stdev!D9</f>
        <v>1559.4</v>
      </c>
      <c r="F7" s="27">
        <f>Stdev!E9</f>
        <v>303.05</v>
      </c>
      <c r="G7" s="3">
        <f t="shared" si="1"/>
        <v>1061.0113587869055</v>
      </c>
      <c r="H7" s="3">
        <f t="shared" si="2"/>
        <v>2291.8966322663005</v>
      </c>
      <c r="AA7">
        <v>1968</v>
      </c>
      <c r="AB7" s="167">
        <v>957</v>
      </c>
    </row>
    <row r="8" spans="3:79" ht="14" x14ac:dyDescent="0.15">
      <c r="C8" t="str">
        <f>Stdev!C10</f>
        <v>SSB</v>
      </c>
      <c r="D8">
        <f t="shared" si="0"/>
        <v>1970</v>
      </c>
      <c r="E8" s="27">
        <f>Stdev!D10</f>
        <v>1831.6</v>
      </c>
      <c r="F8" s="27">
        <f>Stdev!E10</f>
        <v>332.1</v>
      </c>
      <c r="G8" s="3">
        <f t="shared" si="1"/>
        <v>1278.2407004461561</v>
      </c>
      <c r="H8" s="3">
        <f t="shared" si="2"/>
        <v>2624.5123933458367</v>
      </c>
      <c r="AA8">
        <v>1969</v>
      </c>
      <c r="AB8" s="168">
        <v>1224</v>
      </c>
    </row>
    <row r="9" spans="3:79" ht="14" x14ac:dyDescent="0.15">
      <c r="C9" t="str">
        <f>Stdev!C11</f>
        <v>SSB</v>
      </c>
      <c r="D9">
        <f t="shared" si="0"/>
        <v>1971</v>
      </c>
      <c r="E9" s="27">
        <f>Stdev!D11</f>
        <v>1942.5</v>
      </c>
      <c r="F9" s="27">
        <f>Stdev!E11</f>
        <v>340.21</v>
      </c>
      <c r="G9" s="3">
        <f t="shared" si="1"/>
        <v>1372.0934568011562</v>
      </c>
      <c r="H9" s="3">
        <f t="shared" si="2"/>
        <v>2750.0358895354948</v>
      </c>
      <c r="AA9">
        <v>1970</v>
      </c>
      <c r="AB9" s="168">
        <v>1569</v>
      </c>
    </row>
    <row r="10" spans="3:79" ht="14" x14ac:dyDescent="0.15">
      <c r="C10" t="str">
        <f>Stdev!C12</f>
        <v>SSB</v>
      </c>
      <c r="D10">
        <f t="shared" si="0"/>
        <v>1972</v>
      </c>
      <c r="E10" s="27">
        <f>Stdev!D12</f>
        <v>1836.1</v>
      </c>
      <c r="F10" s="27">
        <f>Stdev!E12</f>
        <v>319.27999999999997</v>
      </c>
      <c r="G10" s="3">
        <f t="shared" si="1"/>
        <v>1300.111415811032</v>
      </c>
      <c r="H10" s="3">
        <f t="shared" si="2"/>
        <v>2593.057155718418</v>
      </c>
      <c r="AA10">
        <v>1971</v>
      </c>
      <c r="AB10" s="168">
        <v>1811</v>
      </c>
    </row>
    <row r="11" spans="3:79" ht="14" x14ac:dyDescent="0.15">
      <c r="C11" t="str">
        <f>Stdev!C13</f>
        <v>SSB</v>
      </c>
      <c r="D11">
        <f t="shared" si="0"/>
        <v>1973</v>
      </c>
      <c r="E11" s="27">
        <f>Stdev!D13</f>
        <v>1538.5</v>
      </c>
      <c r="F11" s="27">
        <f>Stdev!E13</f>
        <v>289.22000000000003</v>
      </c>
      <c r="G11" s="3">
        <f t="shared" si="1"/>
        <v>1059.8113487158178</v>
      </c>
      <c r="H11" s="3">
        <f t="shared" si="2"/>
        <v>2233.3996072679279</v>
      </c>
      <c r="AA11">
        <v>1972</v>
      </c>
      <c r="AB11" s="168">
        <v>1772</v>
      </c>
    </row>
    <row r="12" spans="3:79" ht="14" x14ac:dyDescent="0.15">
      <c r="C12" t="str">
        <f>Stdev!C14</f>
        <v>SSB</v>
      </c>
      <c r="D12">
        <f t="shared" si="0"/>
        <v>1974</v>
      </c>
      <c r="E12" s="27">
        <f>Stdev!D14</f>
        <v>1158.5999999999999</v>
      </c>
      <c r="F12" s="27">
        <f>Stdev!E14</f>
        <v>248.53</v>
      </c>
      <c r="G12" s="3">
        <f t="shared" si="1"/>
        <v>758.06244854656416</v>
      </c>
      <c r="H12" s="3">
        <f t="shared" si="2"/>
        <v>1770.7696279821007</v>
      </c>
      <c r="AA12">
        <v>1973</v>
      </c>
      <c r="AB12" s="168">
        <v>1399</v>
      </c>
    </row>
    <row r="13" spans="3:79" ht="14" x14ac:dyDescent="0.15">
      <c r="C13" t="str">
        <f>Stdev!C15</f>
        <v>SSB</v>
      </c>
      <c r="D13">
        <f t="shared" si="0"/>
        <v>1975</v>
      </c>
      <c r="E13" s="27">
        <f>Stdev!D15</f>
        <v>980.86</v>
      </c>
      <c r="F13" s="27">
        <f>Stdev!E15</f>
        <v>194.38</v>
      </c>
      <c r="G13" s="3">
        <f t="shared" si="1"/>
        <v>662.4164259880605</v>
      </c>
      <c r="H13" s="3">
        <f t="shared" si="2"/>
        <v>1452.3890137007877</v>
      </c>
      <c r="AA13">
        <v>1974</v>
      </c>
      <c r="AB13" s="167">
        <v>915</v>
      </c>
    </row>
    <row r="14" spans="3:79" ht="14" x14ac:dyDescent="0.15">
      <c r="C14" t="str">
        <f>Stdev!C16</f>
        <v>SSB</v>
      </c>
      <c r="D14">
        <f t="shared" si="0"/>
        <v>1976</v>
      </c>
      <c r="E14" s="27">
        <f>Stdev!D16</f>
        <v>976.89</v>
      </c>
      <c r="F14" s="27">
        <f>Stdev!E16</f>
        <v>156.63</v>
      </c>
      <c r="G14" s="3">
        <f t="shared" si="1"/>
        <v>710.33454566841999</v>
      </c>
      <c r="H14" s="3">
        <f t="shared" si="2"/>
        <v>1343.4712952078053</v>
      </c>
      <c r="AA14">
        <v>1975</v>
      </c>
      <c r="AB14" s="167">
        <v>746</v>
      </c>
    </row>
    <row r="15" spans="3:79" ht="14" x14ac:dyDescent="0.15">
      <c r="C15" t="str">
        <f>Stdev!C17</f>
        <v>SSB</v>
      </c>
      <c r="D15">
        <f t="shared" si="0"/>
        <v>1977</v>
      </c>
      <c r="E15" s="27">
        <f>Stdev!D17</f>
        <v>1039.2</v>
      </c>
      <c r="F15" s="27">
        <f>Stdev!E17</f>
        <v>139.43</v>
      </c>
      <c r="G15" s="3">
        <f t="shared" si="1"/>
        <v>795.57207683999502</v>
      </c>
      <c r="H15" s="3">
        <f t="shared" si="2"/>
        <v>1357.4340671803095</v>
      </c>
      <c r="AA15">
        <v>1976</v>
      </c>
      <c r="AB15" s="167">
        <v>796</v>
      </c>
    </row>
    <row r="16" spans="3:79" ht="14" x14ac:dyDescent="0.15">
      <c r="C16" t="str">
        <f>Stdev!C18</f>
        <v>SSB</v>
      </c>
      <c r="D16">
        <f t="shared" si="0"/>
        <v>1978</v>
      </c>
      <c r="E16" s="27">
        <f>Stdev!D18</f>
        <v>1095.3</v>
      </c>
      <c r="F16" s="27">
        <f>Stdev!E18</f>
        <v>134.6</v>
      </c>
      <c r="G16" s="3">
        <f t="shared" si="1"/>
        <v>857.41886872272039</v>
      </c>
      <c r="H16" s="3">
        <f t="shared" si="2"/>
        <v>1399.1785506040264</v>
      </c>
      <c r="AA16">
        <v>1977</v>
      </c>
      <c r="AB16" s="167">
        <v>875</v>
      </c>
    </row>
    <row r="17" spans="3:28" ht="14" x14ac:dyDescent="0.15">
      <c r="C17" t="str">
        <f>Stdev!C19</f>
        <v>SSB</v>
      </c>
      <c r="D17">
        <f t="shared" si="0"/>
        <v>1979</v>
      </c>
      <c r="E17" s="27">
        <f>Stdev!D19</f>
        <v>1100.7</v>
      </c>
      <c r="F17" s="27">
        <f>Stdev!E19</f>
        <v>131.86000000000001</v>
      </c>
      <c r="G17" s="3">
        <f t="shared" si="1"/>
        <v>866.93294038984402</v>
      </c>
      <c r="H17" s="3">
        <f t="shared" si="2"/>
        <v>1397.5019676322281</v>
      </c>
      <c r="AA17">
        <v>1978</v>
      </c>
      <c r="AB17" s="167">
        <v>916</v>
      </c>
    </row>
    <row r="18" spans="3:28" ht="14" x14ac:dyDescent="0.15">
      <c r="C18" t="str">
        <f>Stdev!C20</f>
        <v>SSB</v>
      </c>
      <c r="D18">
        <f t="shared" si="0"/>
        <v>1980</v>
      </c>
      <c r="E18" s="27">
        <f>Stdev!D20</f>
        <v>1251.5</v>
      </c>
      <c r="F18" s="27">
        <f>Stdev!E20</f>
        <v>130.57</v>
      </c>
      <c r="G18" s="3">
        <f t="shared" si="1"/>
        <v>1016.3783975414922</v>
      </c>
      <c r="H18" s="3">
        <f t="shared" si="2"/>
        <v>1541.0129276542991</v>
      </c>
      <c r="AA18">
        <v>1979</v>
      </c>
      <c r="AB18" s="167">
        <v>897</v>
      </c>
    </row>
    <row r="19" spans="3:28" ht="14" x14ac:dyDescent="0.15">
      <c r="C19" t="str">
        <f>Stdev!C21</f>
        <v>SSB</v>
      </c>
      <c r="D19">
        <f t="shared" si="0"/>
        <v>1981</v>
      </c>
      <c r="E19" s="27">
        <f>Stdev!D21</f>
        <v>1985.8</v>
      </c>
      <c r="F19" s="27">
        <f>Stdev!E21</f>
        <v>144.44999999999999</v>
      </c>
      <c r="G19" s="3">
        <f t="shared" si="1"/>
        <v>1717.2614236813235</v>
      </c>
      <c r="H19" s="3">
        <f t="shared" si="2"/>
        <v>2296.3315809811065</v>
      </c>
      <c r="AA19">
        <v>1980</v>
      </c>
      <c r="AB19" s="168">
        <v>1019</v>
      </c>
    </row>
    <row r="20" spans="3:28" ht="14" x14ac:dyDescent="0.15">
      <c r="C20" t="str">
        <f>Stdev!C22</f>
        <v>SSB</v>
      </c>
      <c r="D20">
        <f t="shared" si="0"/>
        <v>1982</v>
      </c>
      <c r="E20" s="27">
        <f>Stdev!D22</f>
        <v>2946</v>
      </c>
      <c r="F20" s="27">
        <f>Stdev!E22</f>
        <v>177.29</v>
      </c>
      <c r="G20" s="3">
        <f t="shared" si="1"/>
        <v>2612.211731712729</v>
      </c>
      <c r="H20" s="3">
        <f t="shared" si="2"/>
        <v>3322.4397144520753</v>
      </c>
      <c r="AA20">
        <v>1981</v>
      </c>
      <c r="AB20" s="168">
        <v>1709</v>
      </c>
    </row>
    <row r="21" spans="3:28" ht="14" x14ac:dyDescent="0.15">
      <c r="C21" t="str">
        <f>Stdev!C23</f>
        <v>SSB</v>
      </c>
      <c r="D21">
        <f t="shared" si="0"/>
        <v>1983</v>
      </c>
      <c r="E21" s="27">
        <f>Stdev!D23</f>
        <v>3594.3</v>
      </c>
      <c r="F21" s="27">
        <f>Stdev!E23</f>
        <v>199.29</v>
      </c>
      <c r="G21" s="3">
        <f t="shared" si="1"/>
        <v>3217.2987111406933</v>
      </c>
      <c r="H21" s="3">
        <f t="shared" si="2"/>
        <v>4015.4780919983564</v>
      </c>
      <c r="AA21">
        <v>1982</v>
      </c>
      <c r="AB21" s="168">
        <v>2618</v>
      </c>
    </row>
    <row r="22" spans="3:28" ht="14" x14ac:dyDescent="0.15">
      <c r="C22" t="str">
        <f>Stdev!C24</f>
        <v>SSB</v>
      </c>
      <c r="D22">
        <f t="shared" si="0"/>
        <v>1984</v>
      </c>
      <c r="E22" s="27">
        <f>Stdev!D24</f>
        <v>3812.4</v>
      </c>
      <c r="F22" s="27">
        <f>Stdev!E24</f>
        <v>203</v>
      </c>
      <c r="G22" s="3">
        <f t="shared" si="1"/>
        <v>3427.5293145066103</v>
      </c>
      <c r="H22" s="3">
        <f t="shared" si="2"/>
        <v>4240.4870757734752</v>
      </c>
      <c r="AA22">
        <v>1983</v>
      </c>
      <c r="AB22" s="168">
        <v>3228</v>
      </c>
    </row>
    <row r="23" spans="3:28" ht="14" x14ac:dyDescent="0.15">
      <c r="C23" t="str">
        <f>Stdev!C25</f>
        <v>SSB</v>
      </c>
      <c r="D23">
        <f t="shared" si="0"/>
        <v>1985</v>
      </c>
      <c r="E23" s="27">
        <f>Stdev!D25</f>
        <v>4029.6</v>
      </c>
      <c r="F23" s="27">
        <f>Stdev!E25</f>
        <v>196.62</v>
      </c>
      <c r="G23" s="3">
        <f t="shared" si="1"/>
        <v>3655.1505269131494</v>
      </c>
      <c r="H23" s="3">
        <f t="shared" si="2"/>
        <v>4442.4097011712001</v>
      </c>
      <c r="AA23">
        <v>1984</v>
      </c>
      <c r="AB23" s="168">
        <v>3431</v>
      </c>
    </row>
    <row r="24" spans="3:28" ht="14" x14ac:dyDescent="0.15">
      <c r="C24" t="str">
        <f>Stdev!C26</f>
        <v>SSB</v>
      </c>
      <c r="D24">
        <f t="shared" si="0"/>
        <v>1986</v>
      </c>
      <c r="E24" s="27">
        <f>Stdev!D26</f>
        <v>4183.3</v>
      </c>
      <c r="F24" s="27">
        <f>Stdev!E26</f>
        <v>189.2</v>
      </c>
      <c r="G24" s="3">
        <f t="shared" si="1"/>
        <v>3821.6860914345457</v>
      </c>
      <c r="H24" s="3">
        <f t="shared" si="2"/>
        <v>4579.1303815408419</v>
      </c>
      <c r="AA24">
        <v>1985</v>
      </c>
      <c r="AB24" s="168">
        <v>3685</v>
      </c>
    </row>
    <row r="25" spans="3:28" ht="14" x14ac:dyDescent="0.15">
      <c r="C25" t="str">
        <f>Stdev!C27</f>
        <v>SSB</v>
      </c>
      <c r="D25">
        <f t="shared" si="0"/>
        <v>1987</v>
      </c>
      <c r="E25" s="27">
        <f>Stdev!D27</f>
        <v>4216.2</v>
      </c>
      <c r="F25" s="27">
        <f>Stdev!E27</f>
        <v>178.8</v>
      </c>
      <c r="G25" s="3">
        <f t="shared" si="1"/>
        <v>3873.4928073851015</v>
      </c>
      <c r="H25" s="3">
        <f t="shared" si="2"/>
        <v>4589.2282040922037</v>
      </c>
      <c r="AA25">
        <v>1986</v>
      </c>
      <c r="AB25" s="168">
        <v>3913</v>
      </c>
    </row>
    <row r="26" spans="3:28" ht="15" thickBot="1" x14ac:dyDescent="0.2">
      <c r="C26" t="str">
        <f>Stdev!C28</f>
        <v>SSB</v>
      </c>
      <c r="D26">
        <f t="shared" si="0"/>
        <v>1988</v>
      </c>
      <c r="E26" s="27">
        <f>Stdev!D28</f>
        <v>4129.6000000000004</v>
      </c>
      <c r="F26" s="27">
        <f>Stdev!E28</f>
        <v>164.51</v>
      </c>
      <c r="G26" s="3">
        <f t="shared" si="1"/>
        <v>3813.4662658180232</v>
      </c>
      <c r="H26" s="3">
        <f t="shared" si="2"/>
        <v>4471.9410036112777</v>
      </c>
      <c r="AA26">
        <v>1987</v>
      </c>
      <c r="AB26" s="201">
        <v>4041</v>
      </c>
    </row>
    <row r="27" spans="3:28" ht="14" x14ac:dyDescent="0.15">
      <c r="C27" t="str">
        <f>Stdev!C29</f>
        <v>SSB</v>
      </c>
      <c r="D27">
        <f t="shared" si="0"/>
        <v>1989</v>
      </c>
      <c r="E27" s="27">
        <f>Stdev!D29</f>
        <v>3668.5</v>
      </c>
      <c r="F27" s="27">
        <f>Stdev!E29</f>
        <v>150.16999999999999</v>
      </c>
      <c r="G27" s="3">
        <f t="shared" si="1"/>
        <v>3380.2414802471503</v>
      </c>
      <c r="H27" s="3">
        <f t="shared" si="2"/>
        <v>3981.3404837029602</v>
      </c>
      <c r="AA27">
        <v>1988</v>
      </c>
      <c r="AB27" s="202">
        <v>4034</v>
      </c>
    </row>
    <row r="28" spans="3:28" ht="14" x14ac:dyDescent="0.15">
      <c r="C28" t="str">
        <f>Stdev!C30</f>
        <v>SSB</v>
      </c>
      <c r="D28">
        <f t="shared" si="0"/>
        <v>1990</v>
      </c>
      <c r="E28" s="27">
        <f>Stdev!D30</f>
        <v>2927.9</v>
      </c>
      <c r="F28" s="27">
        <f>Stdev!E30</f>
        <v>132.56</v>
      </c>
      <c r="G28" s="3">
        <f t="shared" si="1"/>
        <v>2674.5529707789738</v>
      </c>
      <c r="H28" s="3">
        <f t="shared" si="2"/>
        <v>3205.2453264753244</v>
      </c>
      <c r="AA28">
        <v>1989</v>
      </c>
      <c r="AB28" s="168">
        <v>3629</v>
      </c>
    </row>
    <row r="29" spans="3:28" ht="14" x14ac:dyDescent="0.15">
      <c r="C29" t="str">
        <f>Stdev!C31</f>
        <v>SSB</v>
      </c>
      <c r="D29">
        <f t="shared" si="0"/>
        <v>1991</v>
      </c>
      <c r="E29" s="27">
        <f>Stdev!D31</f>
        <v>2179.4</v>
      </c>
      <c r="F29" s="27">
        <f>Stdev!E31</f>
        <v>114.64</v>
      </c>
      <c r="G29" s="3">
        <f t="shared" si="1"/>
        <v>1961.9110158318963</v>
      </c>
      <c r="H29" s="3">
        <f t="shared" si="2"/>
        <v>2420.998873889283</v>
      </c>
      <c r="I29" s="27">
        <f>AVERAGE(E29:E43)</f>
        <v>3268.4200000000005</v>
      </c>
      <c r="AA29">
        <v>1990</v>
      </c>
      <c r="AB29" s="168">
        <v>2917</v>
      </c>
    </row>
    <row r="30" spans="3:28" ht="14" x14ac:dyDescent="0.15">
      <c r="C30" t="str">
        <f>Stdev!C32</f>
        <v>SSB</v>
      </c>
      <c r="D30">
        <f t="shared" si="0"/>
        <v>1992</v>
      </c>
      <c r="E30" s="27">
        <f>Stdev!D32</f>
        <v>2303.1</v>
      </c>
      <c r="F30" s="27">
        <f>Stdev!E32</f>
        <v>106.28</v>
      </c>
      <c r="G30" s="3">
        <f t="shared" si="1"/>
        <v>2100.1570402333505</v>
      </c>
      <c r="H30" s="3">
        <f t="shared" si="2"/>
        <v>2525.6538003513474</v>
      </c>
      <c r="I30" s="23">
        <f>1-E51/I29</f>
        <v>-6.7886012201614054E-2</v>
      </c>
      <c r="AA30">
        <v>1991</v>
      </c>
      <c r="AB30" s="168">
        <v>2163</v>
      </c>
    </row>
    <row r="31" spans="3:28" ht="14" x14ac:dyDescent="0.15">
      <c r="C31" t="str">
        <f>Stdev!C33</f>
        <v>SSB</v>
      </c>
      <c r="D31">
        <f t="shared" si="0"/>
        <v>1993</v>
      </c>
      <c r="E31" s="27">
        <f>Stdev!D33</f>
        <v>3202.4</v>
      </c>
      <c r="F31" s="27">
        <f>Stdev!E33</f>
        <v>119.23</v>
      </c>
      <c r="G31" s="3">
        <f t="shared" si="1"/>
        <v>2972.678538758737</v>
      </c>
      <c r="H31" s="3">
        <f t="shared" si="2"/>
        <v>3449.8737842949549</v>
      </c>
      <c r="AA31">
        <v>1992</v>
      </c>
      <c r="AB31" s="168">
        <v>2257</v>
      </c>
    </row>
    <row r="32" spans="3:28" ht="14" x14ac:dyDescent="0.15">
      <c r="C32" t="str">
        <f>Stdev!C34</f>
        <v>SSB</v>
      </c>
      <c r="D32">
        <f t="shared" si="0"/>
        <v>1994</v>
      </c>
      <c r="E32" s="27">
        <f>Stdev!D34</f>
        <v>3522.5</v>
      </c>
      <c r="F32" s="27">
        <f>Stdev!E34</f>
        <v>124.43</v>
      </c>
      <c r="G32" s="3">
        <f t="shared" si="1"/>
        <v>3282.2996906350345</v>
      </c>
      <c r="H32" s="3">
        <f t="shared" si="2"/>
        <v>3780.2782864106457</v>
      </c>
      <c r="AA32">
        <v>1993</v>
      </c>
      <c r="AB32" s="168">
        <v>3131</v>
      </c>
    </row>
    <row r="33" spans="3:28" ht="14" x14ac:dyDescent="0.15">
      <c r="C33" t="str">
        <f>Stdev!C35</f>
        <v>SSB</v>
      </c>
      <c r="D33">
        <f t="shared" si="0"/>
        <v>1995</v>
      </c>
      <c r="E33" s="27">
        <f>Stdev!D35</f>
        <v>3749.1</v>
      </c>
      <c r="F33" s="27">
        <f>Stdev!E35</f>
        <v>129.1</v>
      </c>
      <c r="G33" s="3">
        <f t="shared" si="1"/>
        <v>3499.6618580206937</v>
      </c>
      <c r="H33" s="3">
        <f t="shared" si="2"/>
        <v>4016.3168272347093</v>
      </c>
      <c r="AA33">
        <v>1994</v>
      </c>
      <c r="AB33" s="168">
        <v>3435</v>
      </c>
    </row>
    <row r="34" spans="3:28" ht="14" x14ac:dyDescent="0.15">
      <c r="C34" t="str">
        <f>Stdev!C36</f>
        <v>SSB</v>
      </c>
      <c r="D34">
        <f t="shared" si="0"/>
        <v>1996</v>
      </c>
      <c r="E34" s="27">
        <f>Stdev!D36</f>
        <v>3764.9</v>
      </c>
      <c r="F34" s="27">
        <f>Stdev!E36</f>
        <v>133.97</v>
      </c>
      <c r="G34" s="3">
        <f t="shared" si="1"/>
        <v>3506.3510878532015</v>
      </c>
      <c r="H34" s="3">
        <f t="shared" si="2"/>
        <v>4042.5136145389433</v>
      </c>
      <c r="AA34">
        <v>1995</v>
      </c>
      <c r="AB34" s="168">
        <v>3627</v>
      </c>
    </row>
    <row r="35" spans="3:28" ht="14" x14ac:dyDescent="0.15">
      <c r="C35" t="str">
        <f>Stdev!C37</f>
        <v>SSB</v>
      </c>
      <c r="D35">
        <f t="shared" si="0"/>
        <v>1997</v>
      </c>
      <c r="E35" s="27">
        <f>Stdev!D37</f>
        <v>3564.7</v>
      </c>
      <c r="F35" s="27">
        <f>Stdev!E37</f>
        <v>132.72999999999999</v>
      </c>
      <c r="G35" s="3">
        <f t="shared" si="1"/>
        <v>3308.9687697116169</v>
      </c>
      <c r="H35" s="3">
        <f t="shared" si="2"/>
        <v>3840.1952313099182</v>
      </c>
      <c r="AA35">
        <v>1996</v>
      </c>
      <c r="AB35" s="168">
        <v>3615</v>
      </c>
    </row>
    <row r="36" spans="3:28" ht="14" x14ac:dyDescent="0.15">
      <c r="C36" t="str">
        <f>Stdev!C38</f>
        <v>SSB</v>
      </c>
      <c r="D36">
        <f t="shared" si="0"/>
        <v>1998</v>
      </c>
      <c r="E36" s="27">
        <f>Stdev!D38</f>
        <v>3317.4</v>
      </c>
      <c r="F36" s="27">
        <f>Stdev!E38</f>
        <v>125.34</v>
      </c>
      <c r="G36" s="3">
        <f t="shared" si="1"/>
        <v>3076.0401028486663</v>
      </c>
      <c r="H36" s="3">
        <f t="shared" si="2"/>
        <v>3577.698076760551</v>
      </c>
      <c r="AA36">
        <v>1997</v>
      </c>
      <c r="AB36" s="168">
        <v>3399</v>
      </c>
    </row>
    <row r="37" spans="3:28" ht="14" x14ac:dyDescent="0.15">
      <c r="C37" t="str">
        <f>Stdev!C39</f>
        <v>SSB</v>
      </c>
      <c r="D37">
        <f t="shared" si="0"/>
        <v>1999</v>
      </c>
      <c r="E37" s="27">
        <f>Stdev!D39</f>
        <v>3317.8</v>
      </c>
      <c r="F37" s="27">
        <f>Stdev!E39</f>
        <v>118.63</v>
      </c>
      <c r="G37" s="3">
        <f t="shared" si="1"/>
        <v>3088.8952744228613</v>
      </c>
      <c r="H37" s="3">
        <f t="shared" si="2"/>
        <v>3563.6678689460364</v>
      </c>
      <c r="AA37">
        <v>1998</v>
      </c>
      <c r="AB37" s="168">
        <v>3153</v>
      </c>
    </row>
    <row r="38" spans="3:28" ht="14" x14ac:dyDescent="0.15">
      <c r="C38" t="str">
        <f>Stdev!C40</f>
        <v>SSB</v>
      </c>
      <c r="D38">
        <f t="shared" si="0"/>
        <v>2000</v>
      </c>
      <c r="E38" s="27">
        <f>Stdev!D40</f>
        <v>3345.5</v>
      </c>
      <c r="F38" s="27">
        <f>Stdev!E40</f>
        <v>115.34</v>
      </c>
      <c r="G38" s="3">
        <f t="shared" si="1"/>
        <v>3122.6572165461048</v>
      </c>
      <c r="H38" s="3">
        <f t="shared" si="2"/>
        <v>3584.2455555783381</v>
      </c>
      <c r="AA38">
        <v>1999</v>
      </c>
      <c r="AB38" s="168">
        <v>3173</v>
      </c>
    </row>
    <row r="39" spans="3:28" ht="14" x14ac:dyDescent="0.15">
      <c r="C39" t="str">
        <f>Stdev!C41</f>
        <v>SSB</v>
      </c>
      <c r="D39">
        <f t="shared" si="0"/>
        <v>2001</v>
      </c>
      <c r="E39" s="27">
        <f>Stdev!D41</f>
        <v>3382.3</v>
      </c>
      <c r="F39" s="27">
        <f>Stdev!E41</f>
        <v>120.58</v>
      </c>
      <c r="G39" s="3">
        <f t="shared" si="1"/>
        <v>3149.6079864832923</v>
      </c>
      <c r="H39" s="3">
        <f t="shared" si="2"/>
        <v>3632.1832237837725</v>
      </c>
      <c r="AA39">
        <v>2000</v>
      </c>
      <c r="AB39" s="168">
        <v>3220</v>
      </c>
    </row>
    <row r="40" spans="3:28" ht="14" x14ac:dyDescent="0.15">
      <c r="C40" t="str">
        <f>Stdev!C42</f>
        <v>SSB</v>
      </c>
      <c r="D40">
        <f t="shared" si="0"/>
        <v>2002</v>
      </c>
      <c r="E40" s="27">
        <f>Stdev!D42</f>
        <v>3215.9</v>
      </c>
      <c r="F40" s="27">
        <f>Stdev!E42</f>
        <v>114.17</v>
      </c>
      <c r="G40" s="3">
        <f t="shared" si="1"/>
        <v>2995.5449316487734</v>
      </c>
      <c r="H40" s="3">
        <f t="shared" si="2"/>
        <v>3452.4645919123868</v>
      </c>
      <c r="AA40">
        <v>2001</v>
      </c>
      <c r="AB40" s="168">
        <v>3251</v>
      </c>
    </row>
    <row r="41" spans="3:28" ht="14" x14ac:dyDescent="0.15">
      <c r="C41" t="str">
        <f>Stdev!C43</f>
        <v>SSB</v>
      </c>
      <c r="D41">
        <f t="shared" si="0"/>
        <v>2003</v>
      </c>
      <c r="E41" s="27">
        <f>Stdev!D43</f>
        <v>3417.9</v>
      </c>
      <c r="F41" s="27">
        <f>Stdev!E43</f>
        <v>110.7</v>
      </c>
      <c r="G41" s="3">
        <f t="shared" si="1"/>
        <v>3203.5728040011995</v>
      </c>
      <c r="H41" s="3">
        <f t="shared" si="2"/>
        <v>3646.5662323669876</v>
      </c>
      <c r="AA41">
        <v>2002</v>
      </c>
      <c r="AB41" s="168">
        <v>3073</v>
      </c>
    </row>
    <row r="42" spans="3:28" ht="14" x14ac:dyDescent="0.15">
      <c r="C42" t="str">
        <f>Stdev!C44</f>
        <v>SSB</v>
      </c>
      <c r="D42">
        <f t="shared" si="0"/>
        <v>2004</v>
      </c>
      <c r="E42" s="27">
        <f>Stdev!D44</f>
        <v>3520.4</v>
      </c>
      <c r="F42" s="27">
        <f>Stdev!E44</f>
        <v>109.57</v>
      </c>
      <c r="G42" s="3">
        <f t="shared" si="1"/>
        <v>3307.9910741740182</v>
      </c>
      <c r="H42" s="3">
        <f t="shared" si="2"/>
        <v>3746.44788396066</v>
      </c>
      <c r="AA42">
        <v>2003</v>
      </c>
      <c r="AB42" s="168">
        <v>3242</v>
      </c>
    </row>
    <row r="43" spans="3:28" ht="14" x14ac:dyDescent="0.15">
      <c r="C43" t="str">
        <f>Stdev!C45</f>
        <v>SSB</v>
      </c>
      <c r="D43">
        <f t="shared" si="0"/>
        <v>2005</v>
      </c>
      <c r="E43" s="27">
        <f>Stdev!D45</f>
        <v>3223</v>
      </c>
      <c r="F43" s="27">
        <f>Stdev!E45</f>
        <v>104.64</v>
      </c>
      <c r="G43" s="3">
        <f t="shared" si="1"/>
        <v>3020.4215640133025</v>
      </c>
      <c r="H43" s="3">
        <f t="shared" si="2"/>
        <v>3439.1652886352686</v>
      </c>
      <c r="AA43">
        <v>2004</v>
      </c>
      <c r="AB43" s="168">
        <v>3315</v>
      </c>
    </row>
    <row r="44" spans="3:28" ht="14" x14ac:dyDescent="0.15">
      <c r="C44" t="str">
        <f>Stdev!C46</f>
        <v>SSB</v>
      </c>
      <c r="D44">
        <f t="shared" si="0"/>
        <v>2006</v>
      </c>
      <c r="E44" s="27">
        <f>Stdev!D46</f>
        <v>2651</v>
      </c>
      <c r="F44" s="27">
        <f>Stdev!E46</f>
        <v>95.847999999999999</v>
      </c>
      <c r="G44" s="3">
        <f t="shared" si="1"/>
        <v>2466.1290027252599</v>
      </c>
      <c r="H44" s="3">
        <f t="shared" si="2"/>
        <v>2849.7296744143337</v>
      </c>
      <c r="Q44" t="s">
        <v>702</v>
      </c>
      <c r="AA44">
        <v>2005</v>
      </c>
      <c r="AB44" s="168">
        <v>2999</v>
      </c>
    </row>
    <row r="45" spans="3:28" ht="14" x14ac:dyDescent="0.15">
      <c r="C45" t="str">
        <f>Stdev!C47</f>
        <v>SSB</v>
      </c>
      <c r="D45">
        <f t="shared" si="0"/>
        <v>2007</v>
      </c>
      <c r="E45" s="27">
        <f>Stdev!D47</f>
        <v>2215.1999999999998</v>
      </c>
      <c r="F45" s="27">
        <f>Stdev!E47</f>
        <v>94.554000000000002</v>
      </c>
      <c r="G45" s="3">
        <f t="shared" si="1"/>
        <v>2034.0180556688695</v>
      </c>
      <c r="H45" s="3">
        <f t="shared" si="2"/>
        <v>2412.5208851139414</v>
      </c>
      <c r="Q45" s="100">
        <v>1316</v>
      </c>
      <c r="AA45">
        <v>2006</v>
      </c>
      <c r="AB45" s="168">
        <v>2417</v>
      </c>
    </row>
    <row r="46" spans="3:28" ht="14" x14ac:dyDescent="0.15">
      <c r="C46" t="str">
        <f>Stdev!C48</f>
        <v>SSB</v>
      </c>
      <c r="D46">
        <f t="shared" si="0"/>
        <v>2008</v>
      </c>
      <c r="E46" s="27">
        <f>Stdev!D48</f>
        <v>1629.7</v>
      </c>
      <c r="F46" s="27">
        <f>Stdev!E48</f>
        <v>81.932000000000002</v>
      </c>
      <c r="G46" s="3">
        <f t="shared" si="1"/>
        <v>1473.8983493799462</v>
      </c>
      <c r="H46" s="3">
        <f t="shared" si="2"/>
        <v>1801.9710050678318</v>
      </c>
      <c r="J46">
        <v>1</v>
      </c>
      <c r="Q46">
        <f>P48/Q45</f>
        <v>2.6469604863221887</v>
      </c>
      <c r="AA46">
        <v>2007</v>
      </c>
      <c r="AB46" s="168">
        <v>1956</v>
      </c>
    </row>
    <row r="47" spans="3:28" ht="14" x14ac:dyDescent="0.15">
      <c r="C47" t="str">
        <f>Stdev!C49</f>
        <v>SSB</v>
      </c>
      <c r="D47">
        <f>D48-1</f>
        <v>2009</v>
      </c>
      <c r="E47" s="27">
        <f>Stdev!D49</f>
        <v>1775.3</v>
      </c>
      <c r="F47" s="27">
        <f>Stdev!E49</f>
        <v>95.245000000000005</v>
      </c>
      <c r="G47" s="3">
        <f t="shared" si="1"/>
        <v>1594.7968148972138</v>
      </c>
      <c r="H47" s="3">
        <f t="shared" si="2"/>
        <v>1976.2329975578295</v>
      </c>
      <c r="K47" s="26">
        <v>0.6</v>
      </c>
      <c r="L47" s="26">
        <v>1.2</v>
      </c>
      <c r="M47" s="26">
        <v>1.6</v>
      </c>
      <c r="N47" s="26">
        <v>2</v>
      </c>
      <c r="O47" s="26">
        <v>1.3</v>
      </c>
      <c r="P47" s="26">
        <v>1.5</v>
      </c>
      <c r="R47" s="27">
        <f>$M$2</f>
        <v>1948.1</v>
      </c>
      <c r="AA47">
        <v>2008</v>
      </c>
      <c r="AB47" s="168">
        <v>1377</v>
      </c>
    </row>
    <row r="48" spans="3:28" ht="14" x14ac:dyDescent="0.15">
      <c r="C48" t="str">
        <f>Stdev!C50</f>
        <v>SSB</v>
      </c>
      <c r="D48">
        <v>2010</v>
      </c>
      <c r="E48" s="27">
        <f>Stdev!D50</f>
        <v>2017.6</v>
      </c>
      <c r="F48" s="27">
        <f>Stdev!E50</f>
        <v>113.53</v>
      </c>
      <c r="G48" s="3">
        <f t="shared" si="1"/>
        <v>1803.0108574493304</v>
      </c>
      <c r="H48" s="3">
        <f t="shared" si="2"/>
        <v>2257.7289222532581</v>
      </c>
      <c r="J48">
        <f>(((D50)+1)+1)+1</f>
        <v>2015</v>
      </c>
      <c r="K48" s="27">
        <f t="shared" ref="K48:K53" si="3">E53</f>
        <v>3483.4</v>
      </c>
      <c r="L48" s="27">
        <f t="shared" ref="L48:L53" si="4">E71</f>
        <v>3483.4</v>
      </c>
      <c r="M48" s="27">
        <f t="shared" ref="M48:M53" si="5">E89</f>
        <v>3483.4</v>
      </c>
      <c r="N48" s="27">
        <f t="shared" ref="N48:N53" si="6">E137</f>
        <v>3483.4</v>
      </c>
      <c r="O48" s="27">
        <f t="shared" ref="O48:O53" si="7">E77</f>
        <v>3483.4</v>
      </c>
      <c r="P48" s="27">
        <f t="shared" ref="P48:P54" si="8">E83</f>
        <v>3483.4</v>
      </c>
      <c r="R48">
        <f t="shared" ref="R48:R53" si="9">J48</f>
        <v>2015</v>
      </c>
      <c r="S48" s="23">
        <f t="shared" ref="S48:X52" si="10">K48/$R$47</f>
        <v>1.7881012268364049</v>
      </c>
      <c r="T48" s="23">
        <f t="shared" si="10"/>
        <v>1.7881012268364049</v>
      </c>
      <c r="U48" s="23">
        <f t="shared" si="10"/>
        <v>1.7881012268364049</v>
      </c>
      <c r="V48" s="23">
        <f t="shared" si="10"/>
        <v>1.7881012268364049</v>
      </c>
      <c r="W48" s="23">
        <f t="shared" si="10"/>
        <v>1.7881012268364049</v>
      </c>
      <c r="X48" s="23">
        <f t="shared" si="10"/>
        <v>1.7881012268364049</v>
      </c>
      <c r="AA48">
        <v>2009</v>
      </c>
      <c r="AB48" s="168">
        <v>1564</v>
      </c>
    </row>
    <row r="49" spans="2:28" ht="14" x14ac:dyDescent="0.15">
      <c r="C49" t="str">
        <f>Stdev!C51</f>
        <v>SSB</v>
      </c>
      <c r="D49">
        <v>2011</v>
      </c>
      <c r="E49" s="27">
        <f>Stdev!D51</f>
        <v>2538.1</v>
      </c>
      <c r="F49" s="27">
        <f>Stdev!E51</f>
        <v>162.08000000000001</v>
      </c>
      <c r="G49" s="3">
        <f>E49/EXP(2*SQRT(LN(1+F49^2/E49^2)))</f>
        <v>2234.0768608847739</v>
      </c>
      <c r="H49" s="3">
        <f>E49*EXP(2*SQRT(LN(1+F49^2/E49^2)))</f>
        <v>2883.4959632717196</v>
      </c>
      <c r="J49">
        <f>(((D51)+1)+1)+1</f>
        <v>2016</v>
      </c>
      <c r="K49" s="27">
        <f t="shared" si="3"/>
        <v>3679.3</v>
      </c>
      <c r="L49" s="27">
        <f t="shared" si="4"/>
        <v>3628.5</v>
      </c>
      <c r="M49" s="27">
        <f t="shared" si="5"/>
        <v>3575.6</v>
      </c>
      <c r="N49" s="27">
        <f t="shared" si="6"/>
        <v>3422.9</v>
      </c>
      <c r="O49" s="27">
        <f t="shared" si="7"/>
        <v>3611.1</v>
      </c>
      <c r="P49" s="27">
        <f t="shared" si="8"/>
        <v>3593.5</v>
      </c>
      <c r="R49">
        <f t="shared" si="9"/>
        <v>2016</v>
      </c>
      <c r="S49" s="23">
        <f t="shared" si="10"/>
        <v>1.8886607463682565</v>
      </c>
      <c r="T49" s="23">
        <f t="shared" si="10"/>
        <v>1.8625840562599456</v>
      </c>
      <c r="U49" s="23">
        <f t="shared" si="10"/>
        <v>1.8354293927416458</v>
      </c>
      <c r="V49" s="23">
        <f t="shared" si="10"/>
        <v>1.7570453262152868</v>
      </c>
      <c r="W49" s="23">
        <f t="shared" si="10"/>
        <v>1.8536522765771779</v>
      </c>
      <c r="X49" s="23">
        <f t="shared" si="10"/>
        <v>1.8446178327601253</v>
      </c>
      <c r="AA49">
        <v>2010</v>
      </c>
      <c r="AB49" s="168">
        <v>1863</v>
      </c>
    </row>
    <row r="50" spans="2:28" ht="15" thickBot="1" x14ac:dyDescent="0.2">
      <c r="C50" t="str">
        <f>Stdev!C52</f>
        <v>SSB</v>
      </c>
      <c r="D50">
        <v>2012</v>
      </c>
      <c r="E50" s="27">
        <f>Stdev!D52</f>
        <v>3053</v>
      </c>
      <c r="F50" s="27">
        <f>Stdev!E52</f>
        <v>235.34</v>
      </c>
      <c r="G50" s="3">
        <f>E50/EXP(2*SQRT(LN(1+F50^2/E50^2)))</f>
        <v>2617.4049038188305</v>
      </c>
      <c r="H50" s="3">
        <f>E50*EXP(2*SQRT(LN(1+F50^2/E50^2)))</f>
        <v>3561.0879258309665</v>
      </c>
      <c r="J50">
        <f>(((D52)+1)+1)+1</f>
        <v>2017</v>
      </c>
      <c r="K50" s="27">
        <f t="shared" si="3"/>
        <v>3982.5</v>
      </c>
      <c r="L50" s="27">
        <f t="shared" si="4"/>
        <v>3758</v>
      </c>
      <c r="M50" s="27">
        <f t="shared" si="5"/>
        <v>3538.3</v>
      </c>
      <c r="N50" s="27">
        <f t="shared" si="6"/>
        <v>2977.8</v>
      </c>
      <c r="O50" s="27">
        <f t="shared" si="7"/>
        <v>3684.2</v>
      </c>
      <c r="P50" s="27">
        <f t="shared" si="8"/>
        <v>3610.9</v>
      </c>
      <c r="R50">
        <f t="shared" si="9"/>
        <v>2017</v>
      </c>
      <c r="S50" s="23">
        <f t="shared" si="10"/>
        <v>2.0442995739438428</v>
      </c>
      <c r="T50" s="23">
        <f t="shared" si="10"/>
        <v>1.9290590832092809</v>
      </c>
      <c r="U50" s="23">
        <f t="shared" si="10"/>
        <v>1.8162825316975517</v>
      </c>
      <c r="V50" s="23">
        <f t="shared" si="10"/>
        <v>1.5285662953647146</v>
      </c>
      <c r="W50" s="23">
        <f t="shared" si="10"/>
        <v>1.8911760176582311</v>
      </c>
      <c r="X50" s="23">
        <f t="shared" si="10"/>
        <v>1.8535496124428932</v>
      </c>
      <c r="AA50">
        <v>2011</v>
      </c>
      <c r="AB50" s="201">
        <v>2426</v>
      </c>
    </row>
    <row r="51" spans="2:28" x14ac:dyDescent="0.15">
      <c r="C51" t="str">
        <f>Stdev!C53</f>
        <v>SSB</v>
      </c>
      <c r="D51">
        <v>2013</v>
      </c>
      <c r="E51" s="27">
        <f>Stdev!D53</f>
        <v>3490.3</v>
      </c>
      <c r="F51" s="27">
        <f>Stdev!E53</f>
        <v>314.02</v>
      </c>
      <c r="G51" s="3">
        <f>E51/EXP(2*SQRT(LN(1+F51^2/E51^2)))</f>
        <v>2916.5795566451447</v>
      </c>
      <c r="H51" s="3">
        <f>E51*EXP(2*SQRT(LN(1+F51^2/E51^2)))</f>
        <v>4176.8770072614852</v>
      </c>
      <c r="J51">
        <f>(((D54)+1)+1)+1</f>
        <v>2019</v>
      </c>
      <c r="K51" s="27">
        <f t="shared" si="3"/>
        <v>4169.8999999999996</v>
      </c>
      <c r="L51" s="27">
        <f t="shared" si="4"/>
        <v>3792</v>
      </c>
      <c r="M51" s="27">
        <f t="shared" si="5"/>
        <v>3443.1</v>
      </c>
      <c r="N51" s="27">
        <f t="shared" si="6"/>
        <v>2646.3</v>
      </c>
      <c r="O51" s="27">
        <f t="shared" si="7"/>
        <v>3672.6</v>
      </c>
      <c r="P51" s="27">
        <f t="shared" si="8"/>
        <v>3556.3</v>
      </c>
      <c r="R51">
        <f t="shared" si="9"/>
        <v>2019</v>
      </c>
      <c r="S51" s="23">
        <f t="shared" si="10"/>
        <v>2.1404958677685948</v>
      </c>
      <c r="T51" s="23">
        <f t="shared" si="10"/>
        <v>1.9465119860376778</v>
      </c>
      <c r="U51" s="23">
        <f t="shared" si="10"/>
        <v>1.7674144037780402</v>
      </c>
      <c r="V51" s="23">
        <f t="shared" si="10"/>
        <v>1.3584004927878448</v>
      </c>
      <c r="W51" s="23">
        <f t="shared" si="10"/>
        <v>1.8852214978697193</v>
      </c>
      <c r="X51" s="23">
        <f t="shared" si="10"/>
        <v>1.8255223037831736</v>
      </c>
    </row>
    <row r="52" spans="2:28" x14ac:dyDescent="0.15">
      <c r="C52" t="str">
        <f>Stdev!C54</f>
        <v>SSB</v>
      </c>
      <c r="D52">
        <v>2014</v>
      </c>
      <c r="E52" s="27">
        <f>Stdev!D54</f>
        <v>3467.5</v>
      </c>
      <c r="F52" s="27">
        <f>Stdev!E54</f>
        <v>361.57</v>
      </c>
      <c r="G52" s="3">
        <f>E52/EXP(2*SQRT(LN(1+F52^2/E52^2)))</f>
        <v>2816.3719163911451</v>
      </c>
      <c r="H52" s="3">
        <f>E52*EXP(2*SQRT(LN(1+F52^2/E52^2)))</f>
        <v>4269.1649423229574</v>
      </c>
      <c r="J52">
        <f>(((D55)+1)+1)+1</f>
        <v>2020</v>
      </c>
      <c r="K52" s="27">
        <f t="shared" si="3"/>
        <v>4347.6000000000004</v>
      </c>
      <c r="L52" s="27">
        <f t="shared" si="4"/>
        <v>3853.8</v>
      </c>
      <c r="M52" s="27">
        <f t="shared" si="5"/>
        <v>3421</v>
      </c>
      <c r="N52" s="27">
        <f t="shared" si="6"/>
        <v>2521.4</v>
      </c>
      <c r="O52" s="27">
        <f t="shared" si="7"/>
        <v>3703</v>
      </c>
      <c r="P52" s="27">
        <f t="shared" si="8"/>
        <v>3558.9</v>
      </c>
      <c r="R52">
        <f t="shared" si="9"/>
        <v>2020</v>
      </c>
      <c r="S52" s="23">
        <f t="shared" si="10"/>
        <v>2.2317129510805405</v>
      </c>
      <c r="T52" s="23">
        <f t="shared" si="10"/>
        <v>1.9782352035316464</v>
      </c>
      <c r="U52" s="23">
        <f t="shared" si="10"/>
        <v>1.7560700169395822</v>
      </c>
      <c r="V52" s="23">
        <f t="shared" si="10"/>
        <v>1.2942867409270573</v>
      </c>
      <c r="W52" s="23">
        <f t="shared" si="10"/>
        <v>1.9008264462809918</v>
      </c>
      <c r="X52" s="23">
        <f t="shared" si="10"/>
        <v>1.8268569375288743</v>
      </c>
    </row>
    <row r="53" spans="2:28" x14ac:dyDescent="0.15">
      <c r="B53" s="31">
        <v>700</v>
      </c>
      <c r="C53" t="str">
        <f>Stdev!C55</f>
        <v>SSB</v>
      </c>
      <c r="D53">
        <v>2015</v>
      </c>
      <c r="E53" s="27">
        <f>Stdev!D55</f>
        <v>3483.4</v>
      </c>
      <c r="F53" s="27">
        <f>Stdev!E55</f>
        <v>397.65</v>
      </c>
      <c r="G53" s="3">
        <f>E53/EXP(2*SQRT(LN(1+F53^2/E53^2)))</f>
        <v>2774.4041827597503</v>
      </c>
      <c r="H53" s="3">
        <f>E53*EXP(2*SQRT(LN(1+F53^2/E53^2)))</f>
        <v>4373.578887820885</v>
      </c>
      <c r="J53">
        <f>(((D56)+1)+1)+1</f>
        <v>2021</v>
      </c>
      <c r="K53" s="27">
        <f t="shared" si="3"/>
        <v>4492.8999999999996</v>
      </c>
      <c r="L53" s="27">
        <f t="shared" si="4"/>
        <v>3923.5</v>
      </c>
      <c r="M53" s="27">
        <f t="shared" si="5"/>
        <v>3444.8</v>
      </c>
      <c r="N53" s="27">
        <f t="shared" si="6"/>
        <v>2513.6</v>
      </c>
      <c r="O53" s="27">
        <f t="shared" si="7"/>
        <v>3754.6</v>
      </c>
      <c r="P53" s="27">
        <f t="shared" si="8"/>
        <v>3595.2</v>
      </c>
      <c r="R53">
        <f t="shared" si="9"/>
        <v>2021</v>
      </c>
      <c r="S53" s="23">
        <f t="shared" ref="S53:X53" si="11">K53/$R$47</f>
        <v>2.3062984446383656</v>
      </c>
      <c r="T53" s="23">
        <f t="shared" si="11"/>
        <v>2.0140136543298599</v>
      </c>
      <c r="U53" s="23">
        <f t="shared" si="11"/>
        <v>1.7682870489194602</v>
      </c>
      <c r="V53" s="23">
        <f t="shared" si="11"/>
        <v>1.2902828396899544</v>
      </c>
      <c r="W53" s="23">
        <f t="shared" si="11"/>
        <v>1.9273137929264412</v>
      </c>
      <c r="X53" s="23">
        <f t="shared" si="11"/>
        <v>1.8454904779015451</v>
      </c>
    </row>
    <row r="54" spans="2:28" x14ac:dyDescent="0.15">
      <c r="B54" s="31">
        <v>2</v>
      </c>
      <c r="C54" t="str">
        <f>Stdev!C63</f>
        <v>future_SSB</v>
      </c>
      <c r="D54">
        <v>2016</v>
      </c>
      <c r="E54" s="27">
        <f>Stdev!D63</f>
        <v>3679.3</v>
      </c>
      <c r="P54" s="27">
        <f t="shared" si="8"/>
        <v>3483.4</v>
      </c>
    </row>
    <row r="55" spans="2:28" x14ac:dyDescent="0.15">
      <c r="B55" s="31">
        <v>3</v>
      </c>
      <c r="C55" t="str">
        <f>Stdev!C64</f>
        <v>future_SSB</v>
      </c>
      <c r="D55">
        <v>2017</v>
      </c>
      <c r="E55" s="27">
        <f>Stdev!D64</f>
        <v>3982.5</v>
      </c>
    </row>
    <row r="56" spans="2:28" x14ac:dyDescent="0.15">
      <c r="B56" s="31">
        <v>4</v>
      </c>
      <c r="C56" t="str">
        <f>Stdev!C65</f>
        <v>future_SSB</v>
      </c>
      <c r="D56">
        <v>2018</v>
      </c>
      <c r="E56" s="27">
        <f>Stdev!D65</f>
        <v>4169.8999999999996</v>
      </c>
    </row>
    <row r="57" spans="2:28" x14ac:dyDescent="0.15">
      <c r="B57" s="31">
        <v>5</v>
      </c>
      <c r="C57" t="str">
        <f>Stdev!C66</f>
        <v>future_SSB</v>
      </c>
      <c r="D57">
        <v>2019</v>
      </c>
      <c r="E57" s="27">
        <f>Stdev!D66</f>
        <v>4347.6000000000004</v>
      </c>
    </row>
    <row r="58" spans="2:28" x14ac:dyDescent="0.15">
      <c r="B58" s="31">
        <v>6</v>
      </c>
      <c r="C58" t="str">
        <f>Stdev!C67</f>
        <v>future_SSB</v>
      </c>
      <c r="D58">
        <v>2020</v>
      </c>
      <c r="E58" s="27">
        <f>Stdev!D67</f>
        <v>4492.8999999999996</v>
      </c>
    </row>
    <row r="59" spans="2:28" x14ac:dyDescent="0.15">
      <c r="B59" s="31">
        <f>B53+100</f>
        <v>800</v>
      </c>
      <c r="C59" t="str">
        <f>Stdev!C68</f>
        <v>future_SSB</v>
      </c>
      <c r="D59">
        <f t="shared" ref="D59:D64" si="12">(D52)+1</f>
        <v>2015</v>
      </c>
      <c r="E59" s="27">
        <f>Stdev!D68</f>
        <v>3483.4</v>
      </c>
    </row>
    <row r="60" spans="2:28" x14ac:dyDescent="0.15">
      <c r="B60" s="31">
        <v>2</v>
      </c>
      <c r="C60" t="str">
        <f>Stdev!C69</f>
        <v>future_SSB</v>
      </c>
      <c r="D60">
        <f t="shared" si="12"/>
        <v>2016</v>
      </c>
      <c r="E60" s="27">
        <f>Stdev!D69</f>
        <v>3662.6</v>
      </c>
    </row>
    <row r="61" spans="2:28" x14ac:dyDescent="0.15">
      <c r="B61" s="31">
        <v>3</v>
      </c>
      <c r="C61" t="str">
        <f>Stdev!C70</f>
        <v>future_SSB</v>
      </c>
      <c r="D61">
        <f t="shared" si="12"/>
        <v>2017</v>
      </c>
      <c r="E61" s="27">
        <f>Stdev!D70</f>
        <v>3907.1</v>
      </c>
    </row>
    <row r="62" spans="2:28" x14ac:dyDescent="0.15">
      <c r="B62" s="31">
        <v>4</v>
      </c>
      <c r="C62" t="str">
        <f>Stdev!C71</f>
        <v>future_SSB</v>
      </c>
      <c r="D62">
        <f t="shared" si="12"/>
        <v>2018</v>
      </c>
      <c r="E62" s="27">
        <f>Stdev!D71</f>
        <v>4040.7</v>
      </c>
    </row>
    <row r="63" spans="2:28" x14ac:dyDescent="0.15">
      <c r="B63" s="31">
        <v>5</v>
      </c>
      <c r="C63" t="str">
        <f>Stdev!C72</f>
        <v>future_SSB</v>
      </c>
      <c r="D63">
        <f t="shared" si="12"/>
        <v>2019</v>
      </c>
      <c r="E63" s="27">
        <f>Stdev!D72</f>
        <v>4175.8</v>
      </c>
      <c r="G63" s="3"/>
      <c r="H63" s="3"/>
    </row>
    <row r="64" spans="2:28" x14ac:dyDescent="0.15">
      <c r="B64" s="31">
        <v>6</v>
      </c>
      <c r="C64" t="str">
        <f>Stdev!C73</f>
        <v>future_SSB</v>
      </c>
      <c r="D64">
        <f t="shared" si="12"/>
        <v>2020</v>
      </c>
      <c r="E64" s="27">
        <f>Stdev!D73</f>
        <v>4292.2</v>
      </c>
      <c r="F64" s="27"/>
      <c r="G64" s="3"/>
      <c r="H64" s="3"/>
    </row>
    <row r="65" spans="2:8" x14ac:dyDescent="0.15">
      <c r="B65" s="31">
        <f>B59+100</f>
        <v>900</v>
      </c>
      <c r="C65" t="str">
        <f>Stdev!C74</f>
        <v>future_SSB</v>
      </c>
      <c r="D65">
        <f>D53</f>
        <v>2015</v>
      </c>
      <c r="E65" s="27">
        <f>Stdev!D74</f>
        <v>3483.4</v>
      </c>
      <c r="F65" s="27">
        <f>Stdev!E92</f>
        <v>397.65</v>
      </c>
      <c r="G65" s="3">
        <f t="shared" ref="G65:G70" si="13">E65/EXP(2*SQRT(LN(1+F65^2/E65^2)))</f>
        <v>2774.4041827597503</v>
      </c>
      <c r="H65" s="3">
        <f t="shared" ref="H65:H70" si="14">E65*EXP(2*SQRT(LN(1+F65^2/E65^2)))</f>
        <v>4373.578887820885</v>
      </c>
    </row>
    <row r="66" spans="2:8" x14ac:dyDescent="0.15">
      <c r="B66" s="31">
        <v>2</v>
      </c>
      <c r="C66" t="str">
        <f>Stdev!C75</f>
        <v>future_SSB</v>
      </c>
      <c r="D66">
        <f t="shared" ref="D66:D129" si="15">D54</f>
        <v>2016</v>
      </c>
      <c r="E66" s="27">
        <f>Stdev!D75</f>
        <v>3645.7</v>
      </c>
      <c r="F66" s="27">
        <f>Stdev!E93</f>
        <v>446.24</v>
      </c>
      <c r="G66" s="3">
        <f t="shared" si="13"/>
        <v>2856.6639117229834</v>
      </c>
      <c r="H66" s="3">
        <f t="shared" si="14"/>
        <v>4652.6749035673283</v>
      </c>
    </row>
    <row r="67" spans="2:8" x14ac:dyDescent="0.15">
      <c r="B67" s="31">
        <v>3</v>
      </c>
      <c r="C67" t="str">
        <f>Stdev!C76</f>
        <v>future_SSB</v>
      </c>
      <c r="D67">
        <f t="shared" si="15"/>
        <v>2017</v>
      </c>
      <c r="E67" s="27">
        <f>Stdev!D76</f>
        <v>3832.3</v>
      </c>
      <c r="F67" s="27">
        <f>Stdev!E94</f>
        <v>508.33</v>
      </c>
      <c r="G67" s="3">
        <f t="shared" si="13"/>
        <v>2942.7186849955851</v>
      </c>
      <c r="H67" s="3">
        <f t="shared" si="14"/>
        <v>4990.8009776415429</v>
      </c>
    </row>
    <row r="68" spans="2:8" x14ac:dyDescent="0.15">
      <c r="B68" s="31">
        <v>4</v>
      </c>
      <c r="C68" t="str">
        <f>Stdev!C77</f>
        <v>future_SSB</v>
      </c>
      <c r="D68">
        <f t="shared" si="15"/>
        <v>2018</v>
      </c>
      <c r="E68" s="27">
        <f>Stdev!D77</f>
        <v>3914.7</v>
      </c>
      <c r="F68" s="27">
        <f>Stdev!E95</f>
        <v>565.98</v>
      </c>
      <c r="G68" s="3">
        <f t="shared" si="13"/>
        <v>2936.0836918872847</v>
      </c>
      <c r="H68" s="3">
        <f t="shared" si="14"/>
        <v>5219.4956609528126</v>
      </c>
    </row>
    <row r="69" spans="2:8" x14ac:dyDescent="0.15">
      <c r="B69" s="31">
        <v>5</v>
      </c>
      <c r="C69" t="str">
        <f>Stdev!C78</f>
        <v>future_SSB</v>
      </c>
      <c r="D69">
        <f t="shared" si="15"/>
        <v>2019</v>
      </c>
      <c r="E69" s="27">
        <f>Stdev!D78</f>
        <v>4011.3</v>
      </c>
      <c r="F69" s="27">
        <f>Stdev!E96</f>
        <v>741.56</v>
      </c>
      <c r="G69" s="3">
        <f t="shared" si="13"/>
        <v>2780.0856615129255</v>
      </c>
      <c r="H69" s="3">
        <f t="shared" si="14"/>
        <v>5787.7812589571504</v>
      </c>
    </row>
    <row r="70" spans="2:8" x14ac:dyDescent="0.15">
      <c r="B70" s="31">
        <v>6</v>
      </c>
      <c r="C70" t="str">
        <f>Stdev!C79</f>
        <v>future_SSB</v>
      </c>
      <c r="D70">
        <f t="shared" si="15"/>
        <v>2020</v>
      </c>
      <c r="E70" s="27">
        <f>Stdev!D79</f>
        <v>4102.5</v>
      </c>
      <c r="F70" s="27">
        <f>Stdev!E97</f>
        <v>923.87</v>
      </c>
      <c r="G70" s="3">
        <f t="shared" si="13"/>
        <v>2629.415170895948</v>
      </c>
      <c r="H70" s="3">
        <f t="shared" si="14"/>
        <v>6400.8553827067053</v>
      </c>
    </row>
    <row r="71" spans="2:8" x14ac:dyDescent="0.15">
      <c r="B71" s="31">
        <f>B65+100</f>
        <v>1000</v>
      </c>
      <c r="C71" t="str">
        <f>Stdev!C80</f>
        <v>future_SSB</v>
      </c>
      <c r="D71">
        <f t="shared" si="15"/>
        <v>2015</v>
      </c>
      <c r="E71" s="27">
        <f>Stdev!D80</f>
        <v>3483.4</v>
      </c>
    </row>
    <row r="72" spans="2:8" x14ac:dyDescent="0.15">
      <c r="B72" s="31">
        <v>2</v>
      </c>
      <c r="C72" t="str">
        <f>Stdev!C81</f>
        <v>future_SSB</v>
      </c>
      <c r="D72">
        <f t="shared" si="15"/>
        <v>2016</v>
      </c>
      <c r="E72" s="27">
        <f>Stdev!D81</f>
        <v>3628.5</v>
      </c>
    </row>
    <row r="73" spans="2:8" x14ac:dyDescent="0.15">
      <c r="B73" s="31">
        <v>3</v>
      </c>
      <c r="C73" t="str">
        <f>Stdev!C82</f>
        <v>future_SSB</v>
      </c>
      <c r="D73">
        <f t="shared" si="15"/>
        <v>2017</v>
      </c>
      <c r="E73" s="27">
        <f>Stdev!D82</f>
        <v>3758</v>
      </c>
    </row>
    <row r="74" spans="2:8" x14ac:dyDescent="0.15">
      <c r="B74" s="31">
        <v>4</v>
      </c>
      <c r="C74" t="str">
        <f>Stdev!C83</f>
        <v>future_SSB</v>
      </c>
      <c r="D74">
        <f t="shared" si="15"/>
        <v>2018</v>
      </c>
      <c r="E74" s="27">
        <f>Stdev!D83</f>
        <v>3792</v>
      </c>
    </row>
    <row r="75" spans="2:8" x14ac:dyDescent="0.15">
      <c r="B75" s="31">
        <v>5</v>
      </c>
      <c r="C75" t="str">
        <f>Stdev!C84</f>
        <v>future_SSB</v>
      </c>
      <c r="D75">
        <f t="shared" si="15"/>
        <v>2019</v>
      </c>
      <c r="E75" s="27">
        <f>Stdev!D84</f>
        <v>3853.8</v>
      </c>
    </row>
    <row r="76" spans="2:8" x14ac:dyDescent="0.15">
      <c r="B76" s="31">
        <v>6</v>
      </c>
      <c r="C76" t="str">
        <f>Stdev!C85</f>
        <v>future_SSB</v>
      </c>
      <c r="D76">
        <f t="shared" si="15"/>
        <v>2020</v>
      </c>
      <c r="E76" s="27">
        <f>Stdev!D85</f>
        <v>3923.5</v>
      </c>
      <c r="F76" s="27"/>
      <c r="G76" s="3"/>
      <c r="H76" s="3"/>
    </row>
    <row r="77" spans="2:8" x14ac:dyDescent="0.15">
      <c r="B77" s="31">
        <f>B71+100</f>
        <v>1100</v>
      </c>
      <c r="C77" t="str">
        <f>Stdev!C86</f>
        <v>future_SSB</v>
      </c>
      <c r="D77">
        <f t="shared" si="15"/>
        <v>2015</v>
      </c>
      <c r="E77" s="27">
        <f>Stdev!D86</f>
        <v>3483.4</v>
      </c>
      <c r="F77" s="27">
        <f>Stdev!E104</f>
        <v>397.65</v>
      </c>
      <c r="G77" s="69">
        <f>E77/EXP(2*SQRT(LN(1+F77^2/E77^2)))</f>
        <v>2774.4041827597503</v>
      </c>
      <c r="H77" s="69">
        <f>E77*EXP(2*SQRT(LN(1+F77^2/E77^2)))</f>
        <v>4373.578887820885</v>
      </c>
    </row>
    <row r="78" spans="2:8" x14ac:dyDescent="0.15">
      <c r="B78" s="31">
        <v>2</v>
      </c>
      <c r="C78" t="str">
        <f>Stdev!C87</f>
        <v>future_SSB</v>
      </c>
      <c r="D78">
        <f t="shared" si="15"/>
        <v>2016</v>
      </c>
      <c r="E78" s="27">
        <f>Stdev!D87</f>
        <v>3611.1</v>
      </c>
      <c r="F78" s="27">
        <f>Stdev!E105</f>
        <v>447.16</v>
      </c>
      <c r="G78" s="69">
        <f t="shared" ref="G78:G101" si="16">E78/EXP(2*SQRT(LN(1+F78^2/E78^2)))</f>
        <v>2821.5754594694281</v>
      </c>
      <c r="H78" s="69">
        <f t="shared" ref="H78:H101" si="17">E78*EXP(2*SQRT(LN(1+F78^2/E78^2)))</f>
        <v>4621.546861784821</v>
      </c>
    </row>
    <row r="79" spans="2:8" x14ac:dyDescent="0.15">
      <c r="B79" s="31">
        <v>3</v>
      </c>
      <c r="C79" t="str">
        <f>Stdev!C88</f>
        <v>future_SSB</v>
      </c>
      <c r="D79">
        <f t="shared" si="15"/>
        <v>2017</v>
      </c>
      <c r="E79" s="27">
        <f>Stdev!D88</f>
        <v>3684.2</v>
      </c>
      <c r="F79" s="27">
        <f>Stdev!E106</f>
        <v>509.88</v>
      </c>
      <c r="G79" s="69">
        <f t="shared" si="16"/>
        <v>2797.0699725994536</v>
      </c>
      <c r="H79" s="69">
        <f t="shared" si="17"/>
        <v>4852.6957755674739</v>
      </c>
    </row>
    <row r="80" spans="2:8" x14ac:dyDescent="0.15">
      <c r="B80" s="31">
        <v>4</v>
      </c>
      <c r="C80" t="str">
        <f>Stdev!C89</f>
        <v>future_SSB</v>
      </c>
      <c r="D80">
        <f t="shared" si="15"/>
        <v>2018</v>
      </c>
      <c r="E80" s="27">
        <f>Stdev!D89</f>
        <v>3672.6</v>
      </c>
      <c r="F80" s="27">
        <f>Stdev!E107</f>
        <v>563.03</v>
      </c>
      <c r="G80" s="69">
        <f t="shared" si="16"/>
        <v>2707.6137151640919</v>
      </c>
      <c r="H80" s="69">
        <f t="shared" si="17"/>
        <v>4981.5048152770096</v>
      </c>
    </row>
    <row r="81" spans="2:8" x14ac:dyDescent="0.15">
      <c r="B81" s="31">
        <v>5</v>
      </c>
      <c r="C81" t="str">
        <f>Stdev!C90</f>
        <v>future_SSB</v>
      </c>
      <c r="D81">
        <f t="shared" si="15"/>
        <v>2019</v>
      </c>
      <c r="E81" s="27">
        <f>Stdev!D90</f>
        <v>3703</v>
      </c>
      <c r="F81" s="27">
        <f>Stdev!E108</f>
        <v>732.59</v>
      </c>
      <c r="G81" s="69">
        <f t="shared" si="16"/>
        <v>2502.4272396535757</v>
      </c>
      <c r="H81" s="69">
        <f t="shared" si="17"/>
        <v>5479.5635144613652</v>
      </c>
    </row>
    <row r="82" spans="2:8" x14ac:dyDescent="0.15">
      <c r="B82" s="31">
        <v>6</v>
      </c>
      <c r="C82" t="str">
        <f>Stdev!C91</f>
        <v>future_SSB</v>
      </c>
      <c r="D82">
        <f t="shared" si="15"/>
        <v>2020</v>
      </c>
      <c r="E82" s="27">
        <f>Stdev!D91</f>
        <v>3754.6</v>
      </c>
      <c r="F82" s="27">
        <f>Stdev!E109</f>
        <v>903.04</v>
      </c>
      <c r="G82" s="69">
        <f t="shared" si="16"/>
        <v>2336.6009525960353</v>
      </c>
      <c r="H82" s="69">
        <f t="shared" si="17"/>
        <v>6033.1316497743346</v>
      </c>
    </row>
    <row r="83" spans="2:8" x14ac:dyDescent="0.15">
      <c r="B83" s="31">
        <f>B77+100</f>
        <v>1200</v>
      </c>
      <c r="C83" t="str">
        <f>Stdev!C92</f>
        <v>future_SSB</v>
      </c>
      <c r="D83">
        <f t="shared" si="15"/>
        <v>2015</v>
      </c>
      <c r="E83" s="27">
        <f>Stdev!D92</f>
        <v>3483.4</v>
      </c>
      <c r="F83" s="27">
        <f>Stdev!E110</f>
        <v>397.65</v>
      </c>
      <c r="G83" s="69">
        <f t="shared" si="16"/>
        <v>2774.4041827597503</v>
      </c>
      <c r="H83" s="69">
        <f t="shared" si="17"/>
        <v>4373.578887820885</v>
      </c>
    </row>
    <row r="84" spans="2:8" x14ac:dyDescent="0.15">
      <c r="B84" s="31">
        <v>2</v>
      </c>
      <c r="C84" t="str">
        <f>Stdev!C93</f>
        <v>future_SSB</v>
      </c>
      <c r="D84">
        <f t="shared" si="15"/>
        <v>2016</v>
      </c>
      <c r="E84" s="27">
        <f>Stdev!D93</f>
        <v>3593.5</v>
      </c>
      <c r="F84" s="27">
        <f>Stdev!E111</f>
        <v>447.71</v>
      </c>
      <c r="G84" s="69">
        <f t="shared" si="16"/>
        <v>2803.6100419857103</v>
      </c>
      <c r="H84" s="69">
        <f t="shared" si="17"/>
        <v>4605.9337984300946</v>
      </c>
    </row>
    <row r="85" spans="2:8" x14ac:dyDescent="0.15">
      <c r="B85" s="31">
        <v>3</v>
      </c>
      <c r="C85" t="str">
        <f>Stdev!C94</f>
        <v>future_SSB</v>
      </c>
      <c r="D85">
        <f t="shared" si="15"/>
        <v>2017</v>
      </c>
      <c r="E85" s="27">
        <f>Stdev!D94</f>
        <v>3610.9</v>
      </c>
      <c r="F85" s="27">
        <f>Stdev!E112</f>
        <v>510.68</v>
      </c>
      <c r="G85" s="69">
        <f t="shared" si="16"/>
        <v>2725.09048043959</v>
      </c>
      <c r="H85" s="69">
        <f t="shared" si="17"/>
        <v>4784.648034107373</v>
      </c>
    </row>
    <row r="86" spans="2:8" x14ac:dyDescent="0.15">
      <c r="B86" s="31">
        <v>4</v>
      </c>
      <c r="C86" t="str">
        <f>Stdev!C95</f>
        <v>future_SSB</v>
      </c>
      <c r="D86">
        <f t="shared" si="15"/>
        <v>2018</v>
      </c>
      <c r="E86" s="27">
        <f>Stdev!D95</f>
        <v>3556.3</v>
      </c>
      <c r="F86" s="27">
        <f>Stdev!E113</f>
        <v>561.16</v>
      </c>
      <c r="G86" s="69">
        <f t="shared" si="16"/>
        <v>2598.8593035299923</v>
      </c>
      <c r="H86" s="69">
        <f t="shared" si="17"/>
        <v>4866.4695594799614</v>
      </c>
    </row>
    <row r="87" spans="2:8" x14ac:dyDescent="0.15">
      <c r="B87" s="31">
        <v>5</v>
      </c>
      <c r="C87" t="str">
        <f>Stdev!C96</f>
        <v>future_SSB</v>
      </c>
      <c r="D87">
        <f t="shared" si="15"/>
        <v>2019</v>
      </c>
      <c r="E87" s="27">
        <f>Stdev!D96</f>
        <v>3558.9</v>
      </c>
      <c r="F87" s="27">
        <f>Stdev!E114</f>
        <v>727.55</v>
      </c>
      <c r="G87" s="69">
        <f t="shared" si="16"/>
        <v>2374.4526736123717</v>
      </c>
      <c r="H87" s="69">
        <f t="shared" si="17"/>
        <v>5334.1847368686203</v>
      </c>
    </row>
    <row r="88" spans="2:8" x14ac:dyDescent="0.15">
      <c r="B88" s="31">
        <v>6</v>
      </c>
      <c r="C88" t="str">
        <f>Stdev!C97</f>
        <v>future_SSB</v>
      </c>
      <c r="D88">
        <f t="shared" si="15"/>
        <v>2020</v>
      </c>
      <c r="E88" s="27">
        <f>Stdev!D97</f>
        <v>3595.2</v>
      </c>
      <c r="F88" s="27">
        <f>Stdev!E115</f>
        <v>892.22</v>
      </c>
      <c r="G88" s="69">
        <f t="shared" si="16"/>
        <v>2204.8453904241596</v>
      </c>
      <c r="H88" s="69">
        <f t="shared" si="17"/>
        <v>5862.2990510520322</v>
      </c>
    </row>
    <row r="89" spans="2:8" x14ac:dyDescent="0.15">
      <c r="B89" s="31">
        <f>B83+100</f>
        <v>1300</v>
      </c>
      <c r="C89" t="str">
        <f>Stdev!C98</f>
        <v>future_SSB</v>
      </c>
      <c r="D89">
        <f t="shared" si="15"/>
        <v>2015</v>
      </c>
      <c r="E89" s="27">
        <f>Stdev!D98</f>
        <v>3483.4</v>
      </c>
      <c r="F89" s="27">
        <f>Stdev!E116</f>
        <v>397.65</v>
      </c>
      <c r="G89" s="69">
        <f t="shared" si="16"/>
        <v>2774.4041827597503</v>
      </c>
      <c r="H89" s="69">
        <f t="shared" si="17"/>
        <v>4373.578887820885</v>
      </c>
    </row>
    <row r="90" spans="2:8" x14ac:dyDescent="0.15">
      <c r="B90" s="31">
        <v>2</v>
      </c>
      <c r="C90" t="str">
        <f>Stdev!C99</f>
        <v>future_SSB</v>
      </c>
      <c r="D90">
        <f t="shared" si="15"/>
        <v>2016</v>
      </c>
      <c r="E90" s="27">
        <f>Stdev!D99</f>
        <v>3575.6</v>
      </c>
      <c r="F90" s="27">
        <f>Stdev!E117</f>
        <v>448.32</v>
      </c>
      <c r="G90" s="69">
        <f t="shared" si="16"/>
        <v>2785.2675990920011</v>
      </c>
      <c r="H90" s="69">
        <f t="shared" si="17"/>
        <v>4590.1928289288571</v>
      </c>
    </row>
    <row r="91" spans="2:8" x14ac:dyDescent="0.15">
      <c r="B91" s="31">
        <v>3</v>
      </c>
      <c r="C91" t="str">
        <f>Stdev!C100</f>
        <v>future_SSB</v>
      </c>
      <c r="D91">
        <f t="shared" si="15"/>
        <v>2017</v>
      </c>
      <c r="E91" s="27">
        <f>Stdev!D100</f>
        <v>3538.3</v>
      </c>
      <c r="F91" s="27">
        <f>Stdev!E118</f>
        <v>511.48</v>
      </c>
      <c r="G91" s="69">
        <f t="shared" si="16"/>
        <v>2653.8973778632144</v>
      </c>
      <c r="H91" s="69">
        <f t="shared" si="17"/>
        <v>4717.4269037034619</v>
      </c>
    </row>
    <row r="92" spans="2:8" x14ac:dyDescent="0.15">
      <c r="B92" s="31">
        <v>4</v>
      </c>
      <c r="C92" t="str">
        <f>Stdev!C101</f>
        <v>future_SSB</v>
      </c>
      <c r="D92">
        <f t="shared" si="15"/>
        <v>2018</v>
      </c>
      <c r="E92" s="27">
        <f>Stdev!D101</f>
        <v>3443.1</v>
      </c>
      <c r="F92" s="27">
        <f>Stdev!E119</f>
        <v>559.02</v>
      </c>
      <c r="G92" s="69">
        <f t="shared" si="16"/>
        <v>2493.6890214792875</v>
      </c>
      <c r="H92" s="69">
        <f t="shared" si="17"/>
        <v>4753.9759400181756</v>
      </c>
    </row>
    <row r="93" spans="2:8" x14ac:dyDescent="0.15">
      <c r="B93" s="31">
        <v>5</v>
      </c>
      <c r="C93" t="str">
        <f>Stdev!C102</f>
        <v>future_SSB</v>
      </c>
      <c r="D93">
        <f t="shared" si="15"/>
        <v>2019</v>
      </c>
      <c r="E93" s="27">
        <f>Stdev!D102</f>
        <v>3421</v>
      </c>
      <c r="F93" s="27">
        <f>Stdev!E120</f>
        <v>722.16</v>
      </c>
      <c r="G93" s="69">
        <f t="shared" si="16"/>
        <v>2253.1601070676015</v>
      </c>
      <c r="H93" s="69">
        <f t="shared" si="17"/>
        <v>5194.1453087554009</v>
      </c>
    </row>
    <row r="94" spans="2:8" x14ac:dyDescent="0.15">
      <c r="B94" s="31">
        <v>6</v>
      </c>
      <c r="C94" t="str">
        <f>Stdev!C103</f>
        <v>future_SSB</v>
      </c>
      <c r="D94">
        <f t="shared" si="15"/>
        <v>2020</v>
      </c>
      <c r="E94" s="27">
        <f>Stdev!D103</f>
        <v>3444.8</v>
      </c>
      <c r="F94" s="27">
        <f>Stdev!E121</f>
        <v>881.16</v>
      </c>
      <c r="G94" s="69">
        <f t="shared" si="16"/>
        <v>2082.0679973330784</v>
      </c>
      <c r="H94" s="69">
        <f t="shared" si="17"/>
        <v>5699.4522057877039</v>
      </c>
    </row>
    <row r="95" spans="2:8" x14ac:dyDescent="0.15">
      <c r="B95" s="31">
        <f>B89+100</f>
        <v>1400</v>
      </c>
      <c r="C95" t="str">
        <f>Stdev!C104</f>
        <v>future_SSB</v>
      </c>
      <c r="D95">
        <f t="shared" si="15"/>
        <v>2015</v>
      </c>
      <c r="E95" s="27">
        <f>Stdev!D104</f>
        <v>3483.4</v>
      </c>
      <c r="F95" s="27">
        <f>Stdev!E122</f>
        <v>397.65</v>
      </c>
      <c r="G95" s="69">
        <f t="shared" si="16"/>
        <v>2774.4041827597503</v>
      </c>
      <c r="H95" s="69">
        <f t="shared" si="17"/>
        <v>4373.578887820885</v>
      </c>
    </row>
    <row r="96" spans="2:8" x14ac:dyDescent="0.15">
      <c r="B96" s="31">
        <v>2</v>
      </c>
      <c r="C96" t="str">
        <f>Stdev!C105</f>
        <v>future_SSB</v>
      </c>
      <c r="D96">
        <f t="shared" si="15"/>
        <v>2016</v>
      </c>
      <c r="E96" s="27">
        <f>Stdev!D105</f>
        <v>3557.5</v>
      </c>
      <c r="F96" s="27">
        <f>Stdev!E123</f>
        <v>449</v>
      </c>
      <c r="G96" s="69">
        <f t="shared" si="16"/>
        <v>2766.6308056096555</v>
      </c>
      <c r="H96" s="69">
        <f t="shared" si="17"/>
        <v>4574.4470944004988</v>
      </c>
    </row>
    <row r="97" spans="2:8" x14ac:dyDescent="0.15">
      <c r="B97" s="31">
        <v>3</v>
      </c>
      <c r="C97" t="str">
        <f>Stdev!C106</f>
        <v>future_SSB</v>
      </c>
      <c r="D97">
        <f t="shared" si="15"/>
        <v>2017</v>
      </c>
      <c r="E97" s="27">
        <f>Stdev!D106</f>
        <v>3466.2</v>
      </c>
      <c r="F97" s="27">
        <f>Stdev!E124</f>
        <v>512.27</v>
      </c>
      <c r="G97" s="69">
        <f t="shared" si="16"/>
        <v>2583.3161640257622</v>
      </c>
      <c r="H97" s="69">
        <f t="shared" si="17"/>
        <v>4650.8215321491653</v>
      </c>
    </row>
    <row r="98" spans="2:8" x14ac:dyDescent="0.15">
      <c r="B98" s="31">
        <v>4</v>
      </c>
      <c r="C98" t="str">
        <f>Stdev!C107</f>
        <v>future_SSB</v>
      </c>
      <c r="D98">
        <f t="shared" si="15"/>
        <v>2018</v>
      </c>
      <c r="E98" s="27">
        <f>Stdev!D107</f>
        <v>3333.1</v>
      </c>
      <c r="F98" s="27">
        <f>Stdev!E125</f>
        <v>556.59</v>
      </c>
      <c r="G98" s="69">
        <f t="shared" si="16"/>
        <v>2392.2136753514842</v>
      </c>
      <c r="H98" s="69">
        <f t="shared" si="17"/>
        <v>4644.0481987327867</v>
      </c>
    </row>
    <row r="99" spans="2:8" x14ac:dyDescent="0.15">
      <c r="B99" s="31">
        <v>5</v>
      </c>
      <c r="C99" t="str">
        <f>Stdev!C108</f>
        <v>future_SSB</v>
      </c>
      <c r="D99">
        <f t="shared" si="15"/>
        <v>2019</v>
      </c>
      <c r="E99" s="27">
        <f>Stdev!D108</f>
        <v>3289.3</v>
      </c>
      <c r="F99" s="27">
        <f>Stdev!E126</f>
        <v>716.44</v>
      </c>
      <c r="G99" s="69">
        <f t="shared" si="16"/>
        <v>2138.4774758537383</v>
      </c>
      <c r="H99" s="69">
        <f t="shared" si="17"/>
        <v>5059.4381339838819</v>
      </c>
    </row>
    <row r="100" spans="2:8" x14ac:dyDescent="0.15">
      <c r="B100" s="31">
        <v>6</v>
      </c>
      <c r="C100" t="str">
        <f>Stdev!C109</f>
        <v>future_SSB</v>
      </c>
      <c r="D100">
        <f t="shared" si="15"/>
        <v>2020</v>
      </c>
      <c r="E100" s="27">
        <f>Stdev!D109</f>
        <v>3303</v>
      </c>
      <c r="F100" s="27">
        <f>Stdev!E127</f>
        <v>869.9</v>
      </c>
      <c r="G100" s="69">
        <f t="shared" si="16"/>
        <v>1967.7755795660128</v>
      </c>
      <c r="H100" s="69">
        <f t="shared" si="17"/>
        <v>5544.2343696561811</v>
      </c>
    </row>
    <row r="101" spans="2:8" x14ac:dyDescent="0.15">
      <c r="B101" s="31">
        <f>B95+100</f>
        <v>1500</v>
      </c>
      <c r="C101" t="str">
        <f>Stdev!C110</f>
        <v>future_SSB</v>
      </c>
      <c r="D101">
        <f t="shared" si="15"/>
        <v>2015</v>
      </c>
      <c r="E101" s="27">
        <f>Stdev!D110</f>
        <v>3483.4</v>
      </c>
      <c r="F101" s="27">
        <f>Stdev!E128</f>
        <v>397.65</v>
      </c>
      <c r="G101" s="69">
        <f t="shared" si="16"/>
        <v>2774.4041827597503</v>
      </c>
      <c r="H101" s="69">
        <f t="shared" si="17"/>
        <v>4373.578887820885</v>
      </c>
    </row>
    <row r="102" spans="2:8" x14ac:dyDescent="0.15">
      <c r="B102" s="31">
        <v>2</v>
      </c>
      <c r="C102" t="str">
        <f>Stdev!C111</f>
        <v>future_SSB</v>
      </c>
      <c r="D102">
        <f t="shared" si="15"/>
        <v>2016</v>
      </c>
      <c r="E102" s="27">
        <f>Stdev!D111</f>
        <v>3539.1</v>
      </c>
    </row>
    <row r="103" spans="2:8" x14ac:dyDescent="0.15">
      <c r="B103" s="31">
        <v>3</v>
      </c>
      <c r="C103" t="str">
        <f>Stdev!C112</f>
        <v>future_SSB</v>
      </c>
      <c r="D103">
        <f t="shared" si="15"/>
        <v>2017</v>
      </c>
      <c r="E103" s="27">
        <f>Stdev!D112</f>
        <v>3394.6</v>
      </c>
    </row>
    <row r="104" spans="2:8" x14ac:dyDescent="0.15">
      <c r="B104" s="31">
        <v>4</v>
      </c>
      <c r="C104" t="str">
        <f>Stdev!C113</f>
        <v>future_SSB</v>
      </c>
      <c r="D104">
        <f t="shared" si="15"/>
        <v>2018</v>
      </c>
      <c r="E104" s="27">
        <f>Stdev!D113</f>
        <v>3226.1</v>
      </c>
    </row>
    <row r="105" spans="2:8" x14ac:dyDescent="0.15">
      <c r="B105" s="31">
        <v>5</v>
      </c>
      <c r="C105" t="str">
        <f>Stdev!C114</f>
        <v>future_SSB</v>
      </c>
      <c r="D105">
        <f t="shared" si="15"/>
        <v>2019</v>
      </c>
      <c r="E105" s="27">
        <f>Stdev!D114</f>
        <v>3163.5</v>
      </c>
    </row>
    <row r="106" spans="2:8" x14ac:dyDescent="0.15">
      <c r="B106" s="31">
        <v>6</v>
      </c>
      <c r="C106" t="str">
        <f>Stdev!C115</f>
        <v>future_SSB</v>
      </c>
      <c r="D106">
        <f t="shared" si="15"/>
        <v>2020</v>
      </c>
      <c r="E106" s="27">
        <f>Stdev!D115</f>
        <v>3169.4</v>
      </c>
    </row>
    <row r="107" spans="2:8" x14ac:dyDescent="0.15">
      <c r="B107" s="31">
        <f>B101+100</f>
        <v>1600</v>
      </c>
      <c r="C107" t="str">
        <f>Stdev!C116</f>
        <v>future_SSB</v>
      </c>
      <c r="D107">
        <f t="shared" si="15"/>
        <v>2015</v>
      </c>
      <c r="E107" s="27">
        <f>Stdev!D116</f>
        <v>3483.4</v>
      </c>
    </row>
    <row r="108" spans="2:8" x14ac:dyDescent="0.15">
      <c r="B108" s="31">
        <v>2</v>
      </c>
      <c r="C108" t="str">
        <f>Stdev!C117</f>
        <v>future_SSB</v>
      </c>
      <c r="D108">
        <f t="shared" si="15"/>
        <v>2016</v>
      </c>
      <c r="E108" s="27">
        <f>Stdev!D117</f>
        <v>3520.5</v>
      </c>
    </row>
    <row r="109" spans="2:8" x14ac:dyDescent="0.15">
      <c r="B109" s="31">
        <v>3</v>
      </c>
      <c r="C109" t="str">
        <f>Stdev!C118</f>
        <v>future_SSB</v>
      </c>
      <c r="D109">
        <f t="shared" si="15"/>
        <v>2017</v>
      </c>
      <c r="E109" s="27">
        <f>Stdev!D118</f>
        <v>3323.7</v>
      </c>
    </row>
    <row r="110" spans="2:8" x14ac:dyDescent="0.15">
      <c r="B110" s="31">
        <v>4</v>
      </c>
      <c r="C110" t="str">
        <f>Stdev!C119</f>
        <v>future_SSB</v>
      </c>
      <c r="D110">
        <f t="shared" si="15"/>
        <v>2018</v>
      </c>
      <c r="E110" s="27">
        <f>Stdev!D119</f>
        <v>3122.2</v>
      </c>
    </row>
    <row r="111" spans="2:8" x14ac:dyDescent="0.15">
      <c r="B111" s="31">
        <v>5</v>
      </c>
      <c r="C111" t="str">
        <f>Stdev!C120</f>
        <v>future_SSB</v>
      </c>
      <c r="D111">
        <f t="shared" si="15"/>
        <v>2019</v>
      </c>
      <c r="E111" s="27">
        <f>Stdev!D120</f>
        <v>3043.4</v>
      </c>
    </row>
    <row r="112" spans="2:8" x14ac:dyDescent="0.15">
      <c r="B112" s="31">
        <v>6</v>
      </c>
      <c r="C112" t="str">
        <f>Stdev!C121</f>
        <v>future_SSB</v>
      </c>
      <c r="D112">
        <f t="shared" si="15"/>
        <v>2020</v>
      </c>
      <c r="E112" s="27">
        <f>Stdev!D121</f>
        <v>3043.4</v>
      </c>
    </row>
    <row r="113" spans="2:5" x14ac:dyDescent="0.15">
      <c r="B113" s="31">
        <f>B107+100</f>
        <v>1700</v>
      </c>
      <c r="C113" t="str">
        <f>Stdev!C122</f>
        <v>future_SSB</v>
      </c>
      <c r="D113">
        <f t="shared" si="15"/>
        <v>2015</v>
      </c>
      <c r="E113" s="27">
        <f>Stdev!D122</f>
        <v>3483.4</v>
      </c>
    </row>
    <row r="114" spans="2:5" x14ac:dyDescent="0.15">
      <c r="B114" s="31">
        <v>2</v>
      </c>
      <c r="C114" t="str">
        <f>Stdev!C123</f>
        <v>future_SSB</v>
      </c>
      <c r="D114">
        <f t="shared" si="15"/>
        <v>2016</v>
      </c>
      <c r="E114" s="27">
        <f>Stdev!D123</f>
        <v>3501.6</v>
      </c>
    </row>
    <row r="115" spans="2:5" x14ac:dyDescent="0.15">
      <c r="B115" s="31">
        <v>3</v>
      </c>
      <c r="C115" t="str">
        <f>Stdev!C124</f>
        <v>future_SSB</v>
      </c>
      <c r="D115">
        <f t="shared" si="15"/>
        <v>2017</v>
      </c>
      <c r="E115" s="27">
        <f>Stdev!D124</f>
        <v>3253.3</v>
      </c>
    </row>
    <row r="116" spans="2:5" x14ac:dyDescent="0.15">
      <c r="B116" s="31">
        <v>4</v>
      </c>
      <c r="C116" t="str">
        <f>Stdev!C125</f>
        <v>future_SSB</v>
      </c>
      <c r="D116">
        <f t="shared" si="15"/>
        <v>2018</v>
      </c>
      <c r="E116" s="27">
        <f>Stdev!D125</f>
        <v>3021.2</v>
      </c>
    </row>
    <row r="117" spans="2:5" x14ac:dyDescent="0.15">
      <c r="B117" s="31">
        <v>5</v>
      </c>
      <c r="C117" t="str">
        <f>Stdev!C126</f>
        <v>future_SSB</v>
      </c>
      <c r="D117">
        <f t="shared" si="15"/>
        <v>2019</v>
      </c>
      <c r="E117" s="27">
        <f>Stdev!D126</f>
        <v>2928.8</v>
      </c>
    </row>
    <row r="118" spans="2:5" x14ac:dyDescent="0.15">
      <c r="B118" s="31">
        <v>6</v>
      </c>
      <c r="C118" t="str">
        <f>Stdev!C127</f>
        <v>future_SSB</v>
      </c>
      <c r="D118">
        <f t="shared" si="15"/>
        <v>2020</v>
      </c>
      <c r="E118" s="27">
        <f>Stdev!D127</f>
        <v>2924.6</v>
      </c>
    </row>
    <row r="119" spans="2:5" x14ac:dyDescent="0.15">
      <c r="B119" s="31">
        <f>B113+100</f>
        <v>1800</v>
      </c>
      <c r="C119" t="str">
        <f>Stdev!C128</f>
        <v>future_SSB</v>
      </c>
      <c r="D119">
        <f t="shared" si="15"/>
        <v>2015</v>
      </c>
      <c r="E119" s="27">
        <f>Stdev!D128</f>
        <v>3483.4</v>
      </c>
    </row>
    <row r="120" spans="2:5" x14ac:dyDescent="0.15">
      <c r="B120" s="31">
        <v>2</v>
      </c>
      <c r="C120" t="str">
        <f>Stdev!C129</f>
        <v>future_SSB</v>
      </c>
      <c r="D120">
        <f t="shared" si="15"/>
        <v>2016</v>
      </c>
      <c r="E120" s="27">
        <f>Stdev!D129</f>
        <v>3482.3</v>
      </c>
    </row>
    <row r="121" spans="2:5" x14ac:dyDescent="0.15">
      <c r="B121" s="31">
        <v>3</v>
      </c>
      <c r="C121" t="str">
        <f>Stdev!C130</f>
        <v>future_SSB</v>
      </c>
      <c r="D121">
        <f t="shared" si="15"/>
        <v>2017</v>
      </c>
      <c r="E121" s="27">
        <f>Stdev!D130</f>
        <v>3183.5</v>
      </c>
    </row>
    <row r="122" spans="2:5" x14ac:dyDescent="0.15">
      <c r="B122" s="31">
        <v>4</v>
      </c>
      <c r="C122" t="str">
        <f>Stdev!C131</f>
        <v>future_SSB</v>
      </c>
      <c r="D122">
        <f t="shared" si="15"/>
        <v>2018</v>
      </c>
      <c r="E122" s="27">
        <f>Stdev!D131</f>
        <v>2923.2</v>
      </c>
    </row>
    <row r="123" spans="2:5" x14ac:dyDescent="0.15">
      <c r="B123" s="31">
        <v>5</v>
      </c>
      <c r="C123" t="str">
        <f>Stdev!C132</f>
        <v>future_SSB</v>
      </c>
      <c r="D123">
        <f t="shared" si="15"/>
        <v>2019</v>
      </c>
      <c r="E123" s="27">
        <f>Stdev!D132</f>
        <v>2819.5</v>
      </c>
    </row>
    <row r="124" spans="2:5" x14ac:dyDescent="0.15">
      <c r="B124" s="31">
        <v>6</v>
      </c>
      <c r="C124" t="str">
        <f>Stdev!C133</f>
        <v>future_SSB</v>
      </c>
      <c r="D124">
        <f t="shared" si="15"/>
        <v>2020</v>
      </c>
      <c r="E124" s="27">
        <f>Stdev!D133</f>
        <v>2812.6</v>
      </c>
    </row>
    <row r="125" spans="2:5" x14ac:dyDescent="0.15">
      <c r="B125" s="31">
        <f>B119+100</f>
        <v>1900</v>
      </c>
      <c r="C125" t="str">
        <f>Stdev!C134</f>
        <v>future_SSB</v>
      </c>
      <c r="D125">
        <f t="shared" si="15"/>
        <v>2015</v>
      </c>
      <c r="E125" s="27">
        <f>Stdev!D134</f>
        <v>3483.4</v>
      </c>
    </row>
    <row r="126" spans="2:5" x14ac:dyDescent="0.15">
      <c r="B126" s="31">
        <v>2</v>
      </c>
      <c r="C126" t="str">
        <f>Stdev!C135</f>
        <v>future_SSB</v>
      </c>
      <c r="D126">
        <f t="shared" si="15"/>
        <v>2016</v>
      </c>
      <c r="E126" s="27">
        <f>Stdev!D135</f>
        <v>3462.8</v>
      </c>
    </row>
    <row r="127" spans="2:5" x14ac:dyDescent="0.15">
      <c r="B127" s="31">
        <v>3</v>
      </c>
      <c r="C127" t="str">
        <f>Stdev!C136</f>
        <v>future_SSB</v>
      </c>
      <c r="D127">
        <f t="shared" si="15"/>
        <v>2017</v>
      </c>
      <c r="E127" s="27">
        <f>Stdev!D136</f>
        <v>3114.3</v>
      </c>
    </row>
    <row r="128" spans="2:5" x14ac:dyDescent="0.15">
      <c r="B128" s="31">
        <v>4</v>
      </c>
      <c r="C128" t="str">
        <f>Stdev!C137</f>
        <v>future_SSB</v>
      </c>
      <c r="D128">
        <f t="shared" si="15"/>
        <v>2018</v>
      </c>
      <c r="E128" s="27">
        <f>Stdev!D137</f>
        <v>2828.1</v>
      </c>
    </row>
    <row r="129" spans="2:5" x14ac:dyDescent="0.15">
      <c r="B129" s="31">
        <v>5</v>
      </c>
      <c r="C129" t="str">
        <f>Stdev!C138</f>
        <v>future_SSB</v>
      </c>
      <c r="D129">
        <f t="shared" si="15"/>
        <v>2019</v>
      </c>
      <c r="E129" s="27">
        <f>Stdev!D138</f>
        <v>2715.3</v>
      </c>
    </row>
    <row r="130" spans="2:5" x14ac:dyDescent="0.15">
      <c r="B130" s="31">
        <v>6</v>
      </c>
      <c r="C130" t="str">
        <f>Stdev!C139</f>
        <v>future_SSB</v>
      </c>
      <c r="D130">
        <f t="shared" ref="D130:D166" si="18">D118</f>
        <v>2020</v>
      </c>
      <c r="E130" s="27">
        <f>Stdev!D139</f>
        <v>2707</v>
      </c>
    </row>
    <row r="131" spans="2:5" x14ac:dyDescent="0.15">
      <c r="B131" s="31">
        <f>B125+100</f>
        <v>2000</v>
      </c>
      <c r="C131" t="str">
        <f>Stdev!C140</f>
        <v>future_SSB</v>
      </c>
      <c r="D131">
        <f t="shared" si="18"/>
        <v>2015</v>
      </c>
      <c r="E131" s="27">
        <f>Stdev!D140</f>
        <v>3483.4</v>
      </c>
    </row>
    <row r="132" spans="2:5" x14ac:dyDescent="0.15">
      <c r="B132" s="31">
        <v>2</v>
      </c>
      <c r="C132" t="str">
        <f>Stdev!C141</f>
        <v>future_SSB</v>
      </c>
      <c r="D132">
        <f t="shared" si="18"/>
        <v>2016</v>
      </c>
      <c r="E132" s="27">
        <f>Stdev!D141</f>
        <v>3443</v>
      </c>
    </row>
    <row r="133" spans="2:5" x14ac:dyDescent="0.15">
      <c r="B133" s="31">
        <v>3</v>
      </c>
      <c r="C133" t="str">
        <f>Stdev!C142</f>
        <v>future_SSB</v>
      </c>
      <c r="D133">
        <f t="shared" si="18"/>
        <v>2017</v>
      </c>
      <c r="E133" s="27">
        <f>Stdev!D142</f>
        <v>3045.8</v>
      </c>
    </row>
    <row r="134" spans="2:5" x14ac:dyDescent="0.15">
      <c r="B134" s="31">
        <v>4</v>
      </c>
      <c r="C134" t="str">
        <f>Stdev!C143</f>
        <v>future_SSB</v>
      </c>
      <c r="D134">
        <f t="shared" si="18"/>
        <v>2018</v>
      </c>
      <c r="E134" s="27">
        <f>Stdev!D143</f>
        <v>2735.8</v>
      </c>
    </row>
    <row r="135" spans="2:5" x14ac:dyDescent="0.15">
      <c r="B135" s="31">
        <v>5</v>
      </c>
      <c r="C135" t="str">
        <f>Stdev!C144</f>
        <v>future_SSB</v>
      </c>
      <c r="D135">
        <f t="shared" si="18"/>
        <v>2019</v>
      </c>
      <c r="E135" s="27">
        <f>Stdev!D144</f>
        <v>2616</v>
      </c>
    </row>
    <row r="136" spans="2:5" x14ac:dyDescent="0.15">
      <c r="B136" s="31">
        <v>6</v>
      </c>
      <c r="C136" t="str">
        <f>Stdev!C145</f>
        <v>future_SSB</v>
      </c>
      <c r="D136">
        <f t="shared" si="18"/>
        <v>2020</v>
      </c>
      <c r="E136" s="27">
        <f>Stdev!D145</f>
        <v>2607.5</v>
      </c>
    </row>
    <row r="137" spans="2:5" x14ac:dyDescent="0.15">
      <c r="B137" s="31">
        <f>B131+100</f>
        <v>2100</v>
      </c>
      <c r="C137" t="str">
        <f>Stdev!C146</f>
        <v>future_SSB</v>
      </c>
      <c r="D137">
        <f t="shared" si="18"/>
        <v>2015</v>
      </c>
      <c r="E137" s="27">
        <f>Stdev!D146</f>
        <v>3483.4</v>
      </c>
    </row>
    <row r="138" spans="2:5" x14ac:dyDescent="0.15">
      <c r="B138" s="31">
        <v>2</v>
      </c>
      <c r="C138" t="str">
        <f>Stdev!C147</f>
        <v>future_SSB</v>
      </c>
      <c r="D138">
        <f t="shared" si="18"/>
        <v>2016</v>
      </c>
      <c r="E138" s="27">
        <f>Stdev!D147</f>
        <v>3422.9</v>
      </c>
    </row>
    <row r="139" spans="2:5" x14ac:dyDescent="0.15">
      <c r="B139" s="31">
        <v>3</v>
      </c>
      <c r="C139" t="str">
        <f>Stdev!C148</f>
        <v>future_SSB</v>
      </c>
      <c r="D139">
        <f t="shared" si="18"/>
        <v>2017</v>
      </c>
      <c r="E139" s="27">
        <f>Stdev!D148</f>
        <v>2977.8</v>
      </c>
    </row>
    <row r="140" spans="2:5" x14ac:dyDescent="0.15">
      <c r="B140" s="31">
        <v>4</v>
      </c>
      <c r="C140" t="str">
        <f>Stdev!C149</f>
        <v>future_SSB</v>
      </c>
      <c r="D140">
        <f t="shared" si="18"/>
        <v>2018</v>
      </c>
      <c r="E140" s="27">
        <f>Stdev!D149</f>
        <v>2646.3</v>
      </c>
    </row>
    <row r="141" spans="2:5" x14ac:dyDescent="0.15">
      <c r="B141" s="31">
        <v>5</v>
      </c>
      <c r="C141" t="str">
        <f>Stdev!C150</f>
        <v>future_SSB</v>
      </c>
      <c r="D141">
        <f t="shared" si="18"/>
        <v>2019</v>
      </c>
      <c r="E141" s="27">
        <f>Stdev!D150</f>
        <v>2521.4</v>
      </c>
    </row>
    <row r="142" spans="2:5" x14ac:dyDescent="0.15">
      <c r="B142" s="31">
        <v>6</v>
      </c>
      <c r="C142" t="str">
        <f>Stdev!C151</f>
        <v>future_SSB</v>
      </c>
      <c r="D142">
        <f t="shared" si="18"/>
        <v>2020</v>
      </c>
      <c r="E142" s="27">
        <f>Stdev!D151</f>
        <v>2513.6</v>
      </c>
    </row>
    <row r="143" spans="2:5" x14ac:dyDescent="0.15">
      <c r="B143" s="31">
        <f>B137+100</f>
        <v>2200</v>
      </c>
      <c r="C143" t="str">
        <f>Stdev!C152</f>
        <v>future_SSB</v>
      </c>
      <c r="D143">
        <f t="shared" si="18"/>
        <v>2015</v>
      </c>
      <c r="E143" s="27">
        <f>Stdev!D152</f>
        <v>3483.4</v>
      </c>
    </row>
    <row r="144" spans="2:5" x14ac:dyDescent="0.15">
      <c r="B144" s="31">
        <v>2</v>
      </c>
      <c r="C144" t="str">
        <f>Stdev!C153</f>
        <v>future_SSB</v>
      </c>
      <c r="D144">
        <f t="shared" si="18"/>
        <v>2016</v>
      </c>
      <c r="E144" s="27">
        <f>Stdev!D153</f>
        <v>3402.5</v>
      </c>
    </row>
    <row r="145" spans="2:5" x14ac:dyDescent="0.15">
      <c r="B145" s="31">
        <v>3</v>
      </c>
      <c r="C145" t="str">
        <f>Stdev!C154</f>
        <v>future_SSB</v>
      </c>
      <c r="D145">
        <f t="shared" si="18"/>
        <v>2017</v>
      </c>
      <c r="E145" s="27">
        <f>Stdev!D154</f>
        <v>2910.5</v>
      </c>
    </row>
    <row r="146" spans="2:5" x14ac:dyDescent="0.15">
      <c r="B146" s="31">
        <v>4</v>
      </c>
      <c r="C146" t="str">
        <f>Stdev!C155</f>
        <v>future_SSB</v>
      </c>
      <c r="D146">
        <f t="shared" si="18"/>
        <v>2018</v>
      </c>
      <c r="E146" s="27">
        <f>Stdev!D155</f>
        <v>2559.6</v>
      </c>
    </row>
    <row r="147" spans="2:5" x14ac:dyDescent="0.15">
      <c r="B147" s="31">
        <v>5</v>
      </c>
      <c r="C147" t="str">
        <f>Stdev!C156</f>
        <v>future_SSB</v>
      </c>
      <c r="D147">
        <f t="shared" si="18"/>
        <v>2019</v>
      </c>
      <c r="E147" s="27">
        <f>Stdev!D156</f>
        <v>2431.3000000000002</v>
      </c>
    </row>
    <row r="148" spans="2:5" x14ac:dyDescent="0.15">
      <c r="B148" s="31">
        <v>6</v>
      </c>
      <c r="C148" t="str">
        <f>Stdev!C157</f>
        <v>future_SSB</v>
      </c>
      <c r="D148">
        <f t="shared" si="18"/>
        <v>2020</v>
      </c>
      <c r="E148" s="27">
        <f>Stdev!D157</f>
        <v>2425</v>
      </c>
    </row>
    <row r="149" spans="2:5" x14ac:dyDescent="0.15">
      <c r="B149" s="31">
        <f>B143+100</f>
        <v>2300</v>
      </c>
      <c r="C149" t="str">
        <f>Stdev!C158</f>
        <v>future_SSB</v>
      </c>
      <c r="D149">
        <f t="shared" si="18"/>
        <v>2015</v>
      </c>
      <c r="E149" s="27">
        <f>Stdev!D158</f>
        <v>3483.4</v>
      </c>
    </row>
    <row r="150" spans="2:5" x14ac:dyDescent="0.15">
      <c r="B150" s="31">
        <v>2</v>
      </c>
      <c r="C150" t="str">
        <f>Stdev!C159</f>
        <v>future_SSB</v>
      </c>
      <c r="D150">
        <f t="shared" si="18"/>
        <v>2016</v>
      </c>
      <c r="E150" s="27">
        <f>Stdev!D159</f>
        <v>3381.7</v>
      </c>
    </row>
    <row r="151" spans="2:5" x14ac:dyDescent="0.15">
      <c r="B151" s="31">
        <v>3</v>
      </c>
      <c r="C151" t="str">
        <f>Stdev!C160</f>
        <v>future_SSB</v>
      </c>
      <c r="D151">
        <f t="shared" si="18"/>
        <v>2017</v>
      </c>
      <c r="E151" s="27">
        <f>Stdev!D160</f>
        <v>2843.8</v>
      </c>
    </row>
    <row r="152" spans="2:5" x14ac:dyDescent="0.15">
      <c r="B152" s="31">
        <v>4</v>
      </c>
      <c r="C152" t="str">
        <f>Stdev!C161</f>
        <v>future_SSB</v>
      </c>
      <c r="D152">
        <f t="shared" si="18"/>
        <v>2018</v>
      </c>
      <c r="E152" s="27">
        <f>Stdev!D161</f>
        <v>2475.5</v>
      </c>
    </row>
    <row r="153" spans="2:5" x14ac:dyDescent="0.15">
      <c r="B153" s="31">
        <v>5</v>
      </c>
      <c r="C153" t="str">
        <f>Stdev!C162</f>
        <v>future_SSB</v>
      </c>
      <c r="D153">
        <f t="shared" si="18"/>
        <v>2019</v>
      </c>
      <c r="E153" s="27">
        <f>Stdev!D162</f>
        <v>2345.5</v>
      </c>
    </row>
    <row r="154" spans="2:5" x14ac:dyDescent="0.15">
      <c r="B154" s="31">
        <v>6</v>
      </c>
      <c r="C154" t="str">
        <f>Stdev!C163</f>
        <v>future_SSB</v>
      </c>
      <c r="D154">
        <f t="shared" si="18"/>
        <v>2020</v>
      </c>
      <c r="E154" s="27">
        <f>Stdev!D163</f>
        <v>2341.4</v>
      </c>
    </row>
    <row r="155" spans="2:5" x14ac:dyDescent="0.15">
      <c r="B155" s="31">
        <f>B149+100</f>
        <v>2400</v>
      </c>
      <c r="C155" t="str">
        <f>Stdev!C164</f>
        <v>future_SSB</v>
      </c>
      <c r="D155">
        <f t="shared" si="18"/>
        <v>2015</v>
      </c>
      <c r="E155" s="27">
        <f>Stdev!D164</f>
        <v>3483.4</v>
      </c>
    </row>
    <row r="156" spans="2:5" x14ac:dyDescent="0.15">
      <c r="B156" s="31">
        <v>2</v>
      </c>
      <c r="C156" t="str">
        <f>Stdev!C165</f>
        <v>future_SSB</v>
      </c>
      <c r="D156">
        <f t="shared" si="18"/>
        <v>2016</v>
      </c>
      <c r="E156" s="27">
        <f>Stdev!D165</f>
        <v>3360.6</v>
      </c>
    </row>
    <row r="157" spans="2:5" x14ac:dyDescent="0.15">
      <c r="B157" s="31">
        <v>3</v>
      </c>
      <c r="C157" t="str">
        <f>Stdev!C166</f>
        <v>future_SSB</v>
      </c>
      <c r="D157">
        <f t="shared" si="18"/>
        <v>2017</v>
      </c>
      <c r="E157" s="27">
        <f>Stdev!D166</f>
        <v>2777.7</v>
      </c>
    </row>
    <row r="158" spans="2:5" x14ac:dyDescent="0.15">
      <c r="B158" s="31">
        <v>4</v>
      </c>
      <c r="C158" t="str">
        <f>Stdev!C167</f>
        <v>future_SSB</v>
      </c>
      <c r="D158">
        <f t="shared" si="18"/>
        <v>2018</v>
      </c>
      <c r="E158" s="27">
        <f>Stdev!D167</f>
        <v>2394.1999999999998</v>
      </c>
    </row>
    <row r="159" spans="2:5" x14ac:dyDescent="0.15">
      <c r="B159" s="31">
        <v>5</v>
      </c>
      <c r="C159" t="str">
        <f>Stdev!C168</f>
        <v>future_SSB</v>
      </c>
      <c r="D159">
        <f t="shared" si="18"/>
        <v>2019</v>
      </c>
      <c r="E159" s="27">
        <f>Stdev!D168</f>
        <v>2263.9</v>
      </c>
    </row>
    <row r="160" spans="2:5" x14ac:dyDescent="0.15">
      <c r="B160" s="31">
        <v>6</v>
      </c>
      <c r="C160" t="str">
        <f>Stdev!C169</f>
        <v>future_SSB</v>
      </c>
      <c r="D160">
        <f t="shared" si="18"/>
        <v>2020</v>
      </c>
      <c r="E160" s="27">
        <f>Stdev!D169</f>
        <v>2262.4</v>
      </c>
    </row>
    <row r="161" spans="1:5" x14ac:dyDescent="0.15">
      <c r="B161" s="31">
        <f>B155+100</f>
        <v>2500</v>
      </c>
      <c r="C161" t="str">
        <f>Stdev!C170</f>
        <v>future_SSB</v>
      </c>
      <c r="D161">
        <f t="shared" si="18"/>
        <v>2015</v>
      </c>
      <c r="E161" s="27">
        <f>Stdev!D170</f>
        <v>3483.4</v>
      </c>
    </row>
    <row r="162" spans="1:5" x14ac:dyDescent="0.15">
      <c r="B162" s="31">
        <v>2</v>
      </c>
      <c r="C162" t="str">
        <f>Stdev!C171</f>
        <v>future_SSB</v>
      </c>
      <c r="D162">
        <f t="shared" si="18"/>
        <v>2016</v>
      </c>
      <c r="E162" s="27">
        <f>Stdev!D171</f>
        <v>3339.2</v>
      </c>
    </row>
    <row r="163" spans="1:5" x14ac:dyDescent="0.15">
      <c r="B163" s="31">
        <v>3</v>
      </c>
      <c r="C163" t="str">
        <f>Stdev!C172</f>
        <v>future_SSB</v>
      </c>
      <c r="D163">
        <f t="shared" si="18"/>
        <v>2017</v>
      </c>
      <c r="E163" s="27">
        <f>Stdev!D172</f>
        <v>2712.3</v>
      </c>
    </row>
    <row r="164" spans="1:5" x14ac:dyDescent="0.15">
      <c r="B164" s="31">
        <v>4</v>
      </c>
      <c r="C164" t="str">
        <f>Stdev!C173</f>
        <v>future_SSB</v>
      </c>
      <c r="D164">
        <f t="shared" si="18"/>
        <v>2018</v>
      </c>
      <c r="E164" s="27">
        <f>Stdev!D173</f>
        <v>2315.4</v>
      </c>
    </row>
    <row r="165" spans="1:5" x14ac:dyDescent="0.15">
      <c r="B165" s="31">
        <v>5</v>
      </c>
      <c r="C165" t="str">
        <f>Stdev!C174</f>
        <v>future_SSB</v>
      </c>
      <c r="D165">
        <f t="shared" si="18"/>
        <v>2019</v>
      </c>
      <c r="E165" s="27">
        <f>Stdev!D174</f>
        <v>2186.3000000000002</v>
      </c>
    </row>
    <row r="166" spans="1:5" x14ac:dyDescent="0.15">
      <c r="B166" s="31">
        <v>6</v>
      </c>
      <c r="C166" t="str">
        <f>Stdev!C175</f>
        <v>future_SSB</v>
      </c>
      <c r="D166">
        <f t="shared" si="18"/>
        <v>2020</v>
      </c>
      <c r="E166" s="27">
        <f>Stdev!D175</f>
        <v>2187.6999999999998</v>
      </c>
    </row>
    <row r="167" spans="1:5" x14ac:dyDescent="0.15">
      <c r="A167" s="31"/>
    </row>
    <row r="168" spans="1:5" x14ac:dyDescent="0.15">
      <c r="A168" s="31"/>
    </row>
    <row r="169" spans="1:5" x14ac:dyDescent="0.15">
      <c r="A169" s="31"/>
    </row>
    <row r="170" spans="1:5" x14ac:dyDescent="0.15">
      <c r="A170" s="31"/>
    </row>
    <row r="171" spans="1:5" x14ac:dyDescent="0.15">
      <c r="A171" s="31"/>
    </row>
    <row r="172" spans="1:5" x14ac:dyDescent="0.15">
      <c r="A172" s="31"/>
    </row>
  </sheetData>
  <conditionalFormatting sqref="E54:E16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R676"/>
  <sheetViews>
    <sheetView topLeftCell="A386" workbookViewId="0">
      <selection activeCell="C418" sqref="C418"/>
    </sheetView>
  </sheetViews>
  <sheetFormatPr baseColWidth="10" defaultColWidth="8.83203125" defaultRowHeight="13" x14ac:dyDescent="0.15"/>
  <cols>
    <col min="4" max="4" width="19.1640625" customWidth="1"/>
    <col min="5" max="6" width="12.5" customWidth="1"/>
    <col min="7" max="7" width="12.33203125" bestFit="1" customWidth="1"/>
    <col min="8" max="8" width="8.6640625" bestFit="1" customWidth="1"/>
    <col min="9" max="9" width="13" customWidth="1"/>
    <col min="10" max="13" width="8.6640625" bestFit="1" customWidth="1"/>
    <col min="14" max="14" width="11.33203125" bestFit="1" customWidth="1"/>
    <col min="15" max="15" width="9" bestFit="1" customWidth="1"/>
    <col min="16" max="16" width="8.6640625" bestFit="1" customWidth="1"/>
    <col min="17" max="21" width="9.5" customWidth="1"/>
    <col min="22" max="24" width="11.6640625" customWidth="1"/>
    <col min="25" max="26" width="8.6640625" bestFit="1" customWidth="1"/>
    <col min="27" max="27" width="9" bestFit="1" customWidth="1"/>
    <col min="28" max="28" width="9.5" bestFit="1" customWidth="1"/>
    <col min="29" max="29" width="9" bestFit="1" customWidth="1"/>
    <col min="30" max="30" width="8.5" customWidth="1"/>
    <col min="31" max="31" width="9" bestFit="1" customWidth="1"/>
    <col min="32" max="32" width="10.5" bestFit="1" customWidth="1"/>
    <col min="33" max="33" width="18" customWidth="1"/>
    <col min="34" max="35" width="12.83203125" customWidth="1"/>
    <col min="36" max="36" width="21.1640625" customWidth="1"/>
    <col min="37" max="44" width="10.83203125" bestFit="1" customWidth="1"/>
    <col min="45" max="45" width="12.1640625" bestFit="1" customWidth="1"/>
    <col min="46" max="84" width="10.6640625" bestFit="1" customWidth="1"/>
    <col min="85" max="87" width="9.5" bestFit="1" customWidth="1"/>
    <col min="88" max="93" width="9.33203125" bestFit="1" customWidth="1"/>
  </cols>
  <sheetData>
    <row r="1" spans="3:96" x14ac:dyDescent="0.15">
      <c r="C1" t="s">
        <v>180</v>
      </c>
      <c r="D1" t="s">
        <v>181</v>
      </c>
      <c r="E1" t="s">
        <v>182</v>
      </c>
      <c r="F1" t="s">
        <v>183</v>
      </c>
      <c r="I1" s="4"/>
      <c r="J1" s="4"/>
      <c r="K1" s="4"/>
      <c r="L1" s="4"/>
      <c r="M1" s="4"/>
      <c r="N1" s="4"/>
      <c r="R1" s="263" t="s">
        <v>343</v>
      </c>
      <c r="S1" s="263"/>
      <c r="T1" s="263"/>
      <c r="U1" s="263"/>
      <c r="AD1">
        <v>1</v>
      </c>
    </row>
    <row r="2" spans="3:96" ht="26" x14ac:dyDescent="0.15">
      <c r="C2" s="31">
        <f>Stdev!B177</f>
        <v>3</v>
      </c>
      <c r="D2" s="31" t="str">
        <f>Stdev!C177</f>
        <v>log_avg_F</v>
      </c>
      <c r="E2" s="31">
        <f>Stdev!D177</f>
        <v>-1.4613</v>
      </c>
      <c r="F2" s="31">
        <f>Stdev!E177</f>
        <v>8.4219000000000002E-2</v>
      </c>
      <c r="H2">
        <v>1963</v>
      </c>
      <c r="I2" s="3"/>
      <c r="J2" s="3"/>
      <c r="K2" s="3"/>
      <c r="L2" s="3"/>
      <c r="M2" s="3"/>
      <c r="O2" s="3" t="s">
        <v>230</v>
      </c>
      <c r="P2" s="3" t="s">
        <v>231</v>
      </c>
      <c r="R2" s="64" t="s">
        <v>344</v>
      </c>
      <c r="S2" s="63" t="s">
        <v>340</v>
      </c>
      <c r="T2" s="63" t="s">
        <v>341</v>
      </c>
      <c r="U2" s="63" t="s">
        <v>342</v>
      </c>
      <c r="X2" s="3"/>
      <c r="Y2" s="63" t="s">
        <v>197</v>
      </c>
      <c r="Z2" s="63" t="s">
        <v>198</v>
      </c>
      <c r="AA2" s="21" t="s">
        <v>199</v>
      </c>
      <c r="AD2">
        <v>1</v>
      </c>
      <c r="AE2" s="122" t="s">
        <v>147</v>
      </c>
      <c r="AF2" s="122" t="s">
        <v>647</v>
      </c>
      <c r="AG2" s="122" t="s">
        <v>646</v>
      </c>
      <c r="AH2" s="122" t="s">
        <v>199</v>
      </c>
      <c r="AI2" s="122" t="s">
        <v>155</v>
      </c>
      <c r="AJ2" s="3"/>
    </row>
    <row r="3" spans="3:96" x14ac:dyDescent="0.15">
      <c r="C3" s="31">
        <f>Stdev!B178</f>
        <v>25</v>
      </c>
      <c r="D3" s="31" t="str">
        <f>Stdev!C178</f>
        <v>log_rec_devs</v>
      </c>
      <c r="E3" s="31">
        <f>Stdev!D178</f>
        <v>-1.2686999999999999</v>
      </c>
      <c r="F3" s="31">
        <f>Stdev!E178</f>
        <v>0.34642000000000001</v>
      </c>
      <c r="H3">
        <v>1964</v>
      </c>
      <c r="I3" s="3"/>
      <c r="J3" s="3"/>
      <c r="K3" s="3"/>
      <c r="L3" s="3"/>
      <c r="M3" s="3"/>
      <c r="N3" s="3"/>
      <c r="O3" s="3">
        <f>Stdev!D4</f>
        <v>545.08000000000004</v>
      </c>
      <c r="P3" s="3">
        <f>pm.rep!B63</f>
        <v>6669.66</v>
      </c>
      <c r="Q3" s="38">
        <v>1964</v>
      </c>
      <c r="R3" s="3">
        <f>Stdev!D286</f>
        <v>1868.9</v>
      </c>
      <c r="S3" s="3">
        <f>Stdev!E286</f>
        <v>443.49</v>
      </c>
      <c r="T3" s="3">
        <f>R3/EXP(2*SQRT(LN(1+S3^2/R3^2)))</f>
        <v>1170.2705317681857</v>
      </c>
      <c r="U3" s="3">
        <f t="shared" ref="U3:U40" si="0">R3*EXP(2*SQRT(LN(1+S3^2/R3^2)))</f>
        <v>2984.5981037586898</v>
      </c>
      <c r="V3">
        <f>R3/Y3</f>
        <v>1</v>
      </c>
      <c r="X3" s="38">
        <v>1964</v>
      </c>
      <c r="Y3" s="3">
        <f>E101</f>
        <v>1868.9</v>
      </c>
      <c r="Z3" s="3">
        <f>F101</f>
        <v>443.49</v>
      </c>
      <c r="AA3" s="19">
        <f>Z3/Y3</f>
        <v>0.23730001605222323</v>
      </c>
      <c r="AB3" s="73">
        <f>Y3/EXP(2*SQRT(LN(1+Z3^2/Y3^2)))</f>
        <v>1170.2705317681857</v>
      </c>
      <c r="AC3" s="73">
        <f>Y3*EXP(2*SQRT(LN(1+Z3^2/Y3^2)))</f>
        <v>2984.5981037586898</v>
      </c>
      <c r="AD3" s="19"/>
      <c r="AE3" s="35">
        <f>Stdev!A909</f>
        <v>2015</v>
      </c>
      <c r="AF3" s="35">
        <f>Stdev!B909</f>
        <v>0.61371399999999998</v>
      </c>
      <c r="AG3" s="35">
        <f>Stdev!C909</f>
        <v>0.125469</v>
      </c>
      <c r="AH3">
        <f>AG3/AF3</f>
        <v>0.20444213428404762</v>
      </c>
      <c r="AI3">
        <v>1000</v>
      </c>
      <c r="AJ3" s="3"/>
    </row>
    <row r="4" spans="3:96" x14ac:dyDescent="0.15">
      <c r="C4" s="31">
        <f>Stdev!B179</f>
        <v>26</v>
      </c>
      <c r="D4" s="31" t="str">
        <f>Stdev!C179</f>
        <v>log_rec_devs</v>
      </c>
      <c r="E4" s="31">
        <f>Stdev!D179</f>
        <v>9.3048000000000006E-2</v>
      </c>
      <c r="F4" s="31">
        <f>Stdev!E179</f>
        <v>0.22881000000000001</v>
      </c>
      <c r="H4">
        <v>1965</v>
      </c>
      <c r="I4" s="3"/>
      <c r="J4" s="3"/>
      <c r="K4" s="3"/>
      <c r="L4" s="3"/>
      <c r="M4" s="3"/>
      <c r="N4" s="3"/>
      <c r="O4" s="3">
        <f>Stdev!D5</f>
        <v>664.08</v>
      </c>
      <c r="P4" s="3">
        <f>pm.rep!B64</f>
        <v>21534.799999999999</v>
      </c>
      <c r="Q4" s="38">
        <v>1965</v>
      </c>
      <c r="R4" s="3">
        <f>Stdev!D287</f>
        <v>2323.6999999999998</v>
      </c>
      <c r="S4" s="3">
        <f>Stdev!E287</f>
        <v>511.99</v>
      </c>
      <c r="T4" s="3">
        <f t="shared" ref="T4:T40" si="1">R4/EXP(2*SQRT(LN(1+S4^2/R4^2)))</f>
        <v>1503.3634819949179</v>
      </c>
      <c r="U4" s="3">
        <f t="shared" si="0"/>
        <v>3591.6674541242132</v>
      </c>
      <c r="V4">
        <f t="shared" ref="V4:V44" si="2">R4/Y4</f>
        <v>1</v>
      </c>
      <c r="X4" s="38">
        <v>1965</v>
      </c>
      <c r="Y4" s="3">
        <f t="shared" ref="Y4:Y50" si="3">E102</f>
        <v>2323.6999999999998</v>
      </c>
      <c r="Z4" s="3">
        <f t="shared" ref="Z4:Z48" si="4">F102</f>
        <v>511.99</v>
      </c>
      <c r="AA4" s="19">
        <f t="shared" ref="AA4:AA19" si="5">Z4/Y4</f>
        <v>0.22033395016568405</v>
      </c>
      <c r="AB4" s="73">
        <f t="shared" ref="AB4:AB38" si="6">Y4/EXP(2*SQRT(LN(1+Z4^2/Y4^2)))</f>
        <v>1503.3634819949179</v>
      </c>
      <c r="AC4" s="73">
        <f t="shared" ref="AC4:AC38" si="7">Y4*EXP(2*SQRT(LN(1+Z4^2/Y4^2)))</f>
        <v>3591.6674541242132</v>
      </c>
      <c r="AD4" s="19"/>
      <c r="AE4" s="35">
        <f>Stdev!A910</f>
        <v>2016</v>
      </c>
      <c r="AF4" s="35">
        <f>Stdev!B910</f>
        <v>0.64229800000000004</v>
      </c>
      <c r="AG4" s="35">
        <f>Stdev!C910</f>
        <v>0.13385</v>
      </c>
      <c r="AH4">
        <f>AG4/AF4</f>
        <v>0.2083923661602558</v>
      </c>
      <c r="AI4" s="27">
        <v>1000</v>
      </c>
    </row>
    <row r="5" spans="3:96" x14ac:dyDescent="0.15">
      <c r="C5" s="31">
        <f>Stdev!B180</f>
        <v>27</v>
      </c>
      <c r="D5" s="31" t="str">
        <f>Stdev!C180</f>
        <v>log_rec_devs</v>
      </c>
      <c r="E5" s="31">
        <f>Stdev!D180</f>
        <v>-0.26077</v>
      </c>
      <c r="F5" s="31">
        <f>Stdev!E180</f>
        <v>0.32755000000000001</v>
      </c>
      <c r="H5">
        <v>1966</v>
      </c>
      <c r="I5" s="3"/>
      <c r="J5" s="3"/>
      <c r="K5" s="3"/>
      <c r="L5" s="3"/>
      <c r="M5" s="3"/>
      <c r="N5" s="3"/>
      <c r="O5" s="3">
        <f>Stdev!D6</f>
        <v>794.27</v>
      </c>
      <c r="P5" s="3">
        <f>pm.rep!B65</f>
        <v>15436.5</v>
      </c>
      <c r="Q5" s="38">
        <v>1966</v>
      </c>
      <c r="R5" s="3">
        <f>Stdev!D288</f>
        <v>2562.9</v>
      </c>
      <c r="S5" s="3">
        <f>Stdev!E288</f>
        <v>555.11</v>
      </c>
      <c r="T5" s="3">
        <f t="shared" si="1"/>
        <v>1670.1373461445578</v>
      </c>
      <c r="U5" s="3">
        <f t="shared" si="0"/>
        <v>3932.8839781728175</v>
      </c>
      <c r="V5">
        <f t="shared" si="2"/>
        <v>1</v>
      </c>
      <c r="X5" s="38">
        <v>1966</v>
      </c>
      <c r="Y5" s="3">
        <f t="shared" si="3"/>
        <v>2562.9</v>
      </c>
      <c r="Z5" s="3">
        <f t="shared" si="4"/>
        <v>555.11</v>
      </c>
      <c r="AA5" s="19">
        <f t="shared" si="5"/>
        <v>0.21659448281243904</v>
      </c>
      <c r="AB5" s="73">
        <f t="shared" si="6"/>
        <v>1670.1373461445578</v>
      </c>
      <c r="AC5" s="73">
        <f t="shared" si="7"/>
        <v>3932.8839781728175</v>
      </c>
      <c r="AD5" s="19"/>
      <c r="AE5" s="35">
        <f>Stdev!A911</f>
        <v>2016</v>
      </c>
      <c r="AF5" s="35">
        <f>Stdev!B911</f>
        <v>0.63927500000000004</v>
      </c>
      <c r="AG5" s="35">
        <f>Stdev!C911</f>
        <v>0.13344700000000001</v>
      </c>
      <c r="AH5">
        <f>AG5/AF5</f>
        <v>0.20874740917445544</v>
      </c>
      <c r="AI5" s="27">
        <v>1300</v>
      </c>
    </row>
    <row r="6" spans="3:96" x14ac:dyDescent="0.15">
      <c r="C6" s="31">
        <f>Stdev!B181</f>
        <v>28</v>
      </c>
      <c r="D6" s="31" t="str">
        <f>Stdev!C181</f>
        <v>log_rec_devs</v>
      </c>
      <c r="E6" s="31">
        <f>Stdev!D181</f>
        <v>0.43490000000000001</v>
      </c>
      <c r="F6" s="31">
        <f>Stdev!E181</f>
        <v>0.25685999999999998</v>
      </c>
      <c r="H6">
        <v>1967</v>
      </c>
      <c r="I6" s="3"/>
      <c r="J6" s="3"/>
      <c r="K6" s="3"/>
      <c r="L6" s="3"/>
      <c r="M6" s="3"/>
      <c r="N6" s="3"/>
      <c r="O6" s="3">
        <f>Stdev!D7</f>
        <v>1014.8</v>
      </c>
      <c r="P6" s="3">
        <f>pm.rep!B66</f>
        <v>25796</v>
      </c>
      <c r="Q6" s="38">
        <v>1967</v>
      </c>
      <c r="R6" s="3">
        <f>Stdev!D289</f>
        <v>3888.1</v>
      </c>
      <c r="S6" s="3">
        <f>Stdev!E289</f>
        <v>723.67</v>
      </c>
      <c r="T6" s="3">
        <f t="shared" si="1"/>
        <v>2688.1056192022143</v>
      </c>
      <c r="U6" s="3">
        <f t="shared" si="0"/>
        <v>5623.7826006578462</v>
      </c>
      <c r="V6">
        <f t="shared" si="2"/>
        <v>1</v>
      </c>
      <c r="X6" s="38">
        <v>1967</v>
      </c>
      <c r="Y6" s="3">
        <f t="shared" si="3"/>
        <v>3888.1</v>
      </c>
      <c r="Z6" s="3">
        <f t="shared" si="4"/>
        <v>723.67</v>
      </c>
      <c r="AA6" s="19">
        <f t="shared" si="5"/>
        <v>0.18612432807798152</v>
      </c>
      <c r="AB6" s="73">
        <f t="shared" si="6"/>
        <v>2688.1056192022143</v>
      </c>
      <c r="AC6" s="73">
        <f t="shared" si="7"/>
        <v>5623.7826006578462</v>
      </c>
      <c r="AD6" s="19"/>
      <c r="AE6" s="19"/>
      <c r="AF6" s="19"/>
    </row>
    <row r="7" spans="3:96" x14ac:dyDescent="0.15">
      <c r="C7" s="31">
        <f>Stdev!B182</f>
        <v>29</v>
      </c>
      <c r="D7" s="31" t="str">
        <f>Stdev!C182</f>
        <v>log_rec_devs</v>
      </c>
      <c r="E7" s="31">
        <f>Stdev!D182</f>
        <v>0.36173</v>
      </c>
      <c r="F7" s="31">
        <f>Stdev!E182</f>
        <v>0.26694000000000001</v>
      </c>
      <c r="H7">
        <v>1968</v>
      </c>
      <c r="I7" s="3"/>
      <c r="J7" s="3"/>
      <c r="K7" s="3"/>
      <c r="L7" s="3"/>
      <c r="M7" s="3"/>
      <c r="N7" s="3"/>
      <c r="O7" s="3">
        <f>Stdev!D8</f>
        <v>1267.5</v>
      </c>
      <c r="P7" s="3">
        <f>pm.rep!B67</f>
        <v>22271.4</v>
      </c>
      <c r="Q7" s="38">
        <v>1968</v>
      </c>
      <c r="R7" s="3">
        <f>Stdev!D290</f>
        <v>4495</v>
      </c>
      <c r="S7" s="3">
        <f>Stdev!E290</f>
        <v>830.51</v>
      </c>
      <c r="T7" s="3">
        <f t="shared" si="1"/>
        <v>3115.9565520610026</v>
      </c>
      <c r="U7" s="3">
        <f t="shared" si="0"/>
        <v>6484.3731491171429</v>
      </c>
      <c r="V7">
        <f t="shared" si="2"/>
        <v>1</v>
      </c>
      <c r="X7" s="38">
        <v>1968</v>
      </c>
      <c r="Y7" s="3">
        <f t="shared" si="3"/>
        <v>4495</v>
      </c>
      <c r="Z7" s="3">
        <f t="shared" si="4"/>
        <v>830.51</v>
      </c>
      <c r="AA7" s="19">
        <f t="shared" si="5"/>
        <v>0.1847630700778643</v>
      </c>
      <c r="AB7" s="73">
        <f t="shared" si="6"/>
        <v>3115.9565520610026</v>
      </c>
      <c r="AC7" s="73">
        <f t="shared" si="7"/>
        <v>6484.3731491171429</v>
      </c>
      <c r="AD7" s="19"/>
      <c r="AE7" s="19"/>
      <c r="AF7" s="19"/>
      <c r="AM7" s="3"/>
      <c r="AN7" s="3"/>
      <c r="AO7" s="3"/>
      <c r="AP7" s="3"/>
    </row>
    <row r="8" spans="3:96" x14ac:dyDescent="0.15">
      <c r="C8" s="31">
        <f>Stdev!B183</f>
        <v>30</v>
      </c>
      <c r="D8" s="31" t="str">
        <f>Stdev!C183</f>
        <v>log_rec_devs</v>
      </c>
      <c r="E8" s="31">
        <f>Stdev!D183</f>
        <v>0.45480999999999999</v>
      </c>
      <c r="F8" s="31">
        <f>Stdev!E183</f>
        <v>0.25385999999999997</v>
      </c>
      <c r="H8">
        <v>1969</v>
      </c>
      <c r="I8" s="3"/>
      <c r="J8" s="3"/>
      <c r="K8" s="3"/>
      <c r="L8" s="3"/>
      <c r="M8" s="3"/>
      <c r="N8" s="3"/>
      <c r="O8" s="3">
        <f>Stdev!D9</f>
        <v>1559.4</v>
      </c>
      <c r="P8" s="3">
        <f>pm.rep!B68</f>
        <v>26141.1</v>
      </c>
      <c r="Q8" s="38">
        <v>1969</v>
      </c>
      <c r="R8" s="3">
        <f>Stdev!D291</f>
        <v>5690</v>
      </c>
      <c r="S8" s="3">
        <f>Stdev!E291</f>
        <v>936.78</v>
      </c>
      <c r="T8" s="3">
        <f t="shared" si="1"/>
        <v>4102.6655887491524</v>
      </c>
      <c r="U8" s="3">
        <f t="shared" si="0"/>
        <v>7891.4791614470914</v>
      </c>
      <c r="V8">
        <f t="shared" si="2"/>
        <v>1</v>
      </c>
      <c r="X8" s="38">
        <v>1969</v>
      </c>
      <c r="Y8" s="3">
        <f t="shared" si="3"/>
        <v>5690</v>
      </c>
      <c r="Z8" s="3">
        <f t="shared" si="4"/>
        <v>936.78</v>
      </c>
      <c r="AA8" s="19">
        <f t="shared" si="5"/>
        <v>0.16463620386643232</v>
      </c>
      <c r="AB8" s="73">
        <f t="shared" si="6"/>
        <v>4102.6655887491524</v>
      </c>
      <c r="AC8" s="73">
        <f t="shared" si="7"/>
        <v>7891.4791614470914</v>
      </c>
      <c r="AD8" s="19"/>
      <c r="AE8" s="19"/>
      <c r="AF8" s="19"/>
      <c r="AM8" s="3"/>
      <c r="AQ8" s="3"/>
    </row>
    <row r="9" spans="3:96" x14ac:dyDescent="0.15">
      <c r="C9" s="31">
        <f>Stdev!B184</f>
        <v>31</v>
      </c>
      <c r="D9" s="31" t="str">
        <f>Stdev!C184</f>
        <v>log_rec_devs</v>
      </c>
      <c r="E9" s="31">
        <f>Stdev!D184</f>
        <v>7.9922000000000007E-2</v>
      </c>
      <c r="F9" s="31">
        <f>Stdev!E184</f>
        <v>0.28910999999999998</v>
      </c>
      <c r="H9">
        <v>1970</v>
      </c>
      <c r="I9" s="3"/>
      <c r="J9" s="3"/>
      <c r="K9" s="3"/>
      <c r="L9" s="3"/>
      <c r="M9" s="3"/>
      <c r="N9" s="3"/>
      <c r="O9" s="3">
        <f>Stdev!D10</f>
        <v>1831.6</v>
      </c>
      <c r="P9" s="3">
        <f>pm.rep!B69</f>
        <v>23500.1</v>
      </c>
      <c r="Q9" s="38">
        <v>1970</v>
      </c>
      <c r="R9" s="3">
        <f>Stdev!D292</f>
        <v>6423.9</v>
      </c>
      <c r="S9" s="3">
        <f>Stdev!E292</f>
        <v>975.33</v>
      </c>
      <c r="T9" s="3">
        <f t="shared" si="1"/>
        <v>4749.7747532679368</v>
      </c>
      <c r="U9" s="3">
        <f t="shared" si="0"/>
        <v>8688.0943526022675</v>
      </c>
      <c r="V9">
        <f t="shared" si="2"/>
        <v>1</v>
      </c>
      <c r="X9" s="38">
        <v>1970</v>
      </c>
      <c r="Y9" s="3">
        <f t="shared" si="3"/>
        <v>6423.9</v>
      </c>
      <c r="Z9" s="3">
        <f t="shared" si="4"/>
        <v>975.33</v>
      </c>
      <c r="AA9" s="19">
        <f t="shared" si="5"/>
        <v>0.15182832858543877</v>
      </c>
      <c r="AB9" s="73">
        <f t="shared" si="6"/>
        <v>4749.7747532679368</v>
      </c>
      <c r="AC9" s="73">
        <f t="shared" si="7"/>
        <v>8688.0943526022675</v>
      </c>
      <c r="AD9" s="19"/>
      <c r="AE9" s="19"/>
      <c r="AF9" s="19"/>
      <c r="AK9" t="s">
        <v>226</v>
      </c>
      <c r="AN9" s="3"/>
    </row>
    <row r="10" spans="3:96" x14ac:dyDescent="0.15">
      <c r="C10" s="31">
        <f>Stdev!B185</f>
        <v>32</v>
      </c>
      <c r="D10" s="31" t="str">
        <f>Stdev!C185</f>
        <v>log_rec_devs</v>
      </c>
      <c r="E10" s="31">
        <f>Stdev!D185</f>
        <v>-0.65190999999999999</v>
      </c>
      <c r="F10" s="31">
        <f>Stdev!E185</f>
        <v>0.34806999999999999</v>
      </c>
      <c r="H10">
        <v>1971</v>
      </c>
      <c r="I10" s="3"/>
      <c r="J10" s="3"/>
      <c r="K10" s="3"/>
      <c r="L10" s="3"/>
      <c r="M10" s="3"/>
      <c r="N10" s="3"/>
      <c r="O10" s="3">
        <f>Stdev!D11</f>
        <v>1942.5</v>
      </c>
      <c r="P10" s="3">
        <f>pm.rep!B70</f>
        <v>14578.3</v>
      </c>
      <c r="Q10" s="38">
        <v>1971</v>
      </c>
      <c r="R10" s="3">
        <f>Stdev!D293</f>
        <v>6858.4</v>
      </c>
      <c r="S10" s="3">
        <f>Stdev!E293</f>
        <v>932.93</v>
      </c>
      <c r="T10" s="3">
        <f t="shared" si="1"/>
        <v>5231.3297512777199</v>
      </c>
      <c r="U10" s="3">
        <f t="shared" si="0"/>
        <v>8991.5285016226208</v>
      </c>
      <c r="V10">
        <f t="shared" si="2"/>
        <v>1</v>
      </c>
      <c r="X10" s="38">
        <v>1971</v>
      </c>
      <c r="Y10" s="3">
        <f t="shared" si="3"/>
        <v>6858.4</v>
      </c>
      <c r="Z10" s="3">
        <f t="shared" si="4"/>
        <v>932.93</v>
      </c>
      <c r="AA10" s="19">
        <f t="shared" si="5"/>
        <v>0.13602735331855825</v>
      </c>
      <c r="AB10" s="73">
        <f t="shared" si="6"/>
        <v>5231.3297512777199</v>
      </c>
      <c r="AC10" s="73">
        <f t="shared" si="7"/>
        <v>8991.5285016226208</v>
      </c>
      <c r="AD10" s="19"/>
      <c r="AE10" s="19"/>
      <c r="AF10" s="19"/>
      <c r="AG10">
        <v>0.2</v>
      </c>
      <c r="AH10">
        <v>0.5</v>
      </c>
      <c r="AJ10" t="s">
        <v>227</v>
      </c>
      <c r="AK10" s="38">
        <f>1/SUMPRODUCT($AK$14:$CR$14,1/AK16:CR16)</f>
        <v>-0.2032250362719718</v>
      </c>
      <c r="AN10" s="3"/>
      <c r="AO10" s="8">
        <f>AO41/AN41</f>
        <v>-0.53680644167730007</v>
      </c>
      <c r="AQ10" s="8">
        <f>AQ41/AP41</f>
        <v>-3.4663136995367303</v>
      </c>
      <c r="AS10" s="8"/>
      <c r="AU10" s="8">
        <f>AU41/AT41</f>
        <v>0.15835631438072836</v>
      </c>
    </row>
    <row r="11" spans="3:96" x14ac:dyDescent="0.15">
      <c r="C11" s="31">
        <f>Stdev!B186</f>
        <v>33</v>
      </c>
      <c r="D11" s="31" t="str">
        <f>Stdev!C186</f>
        <v>log_rec_devs</v>
      </c>
      <c r="E11" s="31">
        <f>Stdev!D186</f>
        <v>-0.55279</v>
      </c>
      <c r="F11" s="31">
        <f>Stdev!E186</f>
        <v>0.31841999999999998</v>
      </c>
      <c r="H11">
        <v>1972</v>
      </c>
      <c r="I11" s="3"/>
      <c r="J11" s="3"/>
      <c r="K11" s="3"/>
      <c r="L11" s="3"/>
      <c r="M11" s="3"/>
      <c r="N11" s="3"/>
      <c r="O11" s="3">
        <f>Stdev!D12</f>
        <v>1836.1</v>
      </c>
      <c r="P11" s="3">
        <f>pm.rep!B71</f>
        <v>11964.4</v>
      </c>
      <c r="Q11" s="38">
        <v>1972</v>
      </c>
      <c r="R11" s="3">
        <f>Stdev!D294</f>
        <v>6430.6</v>
      </c>
      <c r="S11" s="3">
        <f>Stdev!E294</f>
        <v>831.53</v>
      </c>
      <c r="T11" s="3">
        <f t="shared" si="1"/>
        <v>4970.5107854985008</v>
      </c>
      <c r="U11" s="3">
        <f t="shared" si="0"/>
        <v>8319.5909121948898</v>
      </c>
      <c r="V11">
        <f t="shared" si="2"/>
        <v>1</v>
      </c>
      <c r="X11" s="38">
        <v>1972</v>
      </c>
      <c r="Y11" s="3">
        <f t="shared" si="3"/>
        <v>6430.6</v>
      </c>
      <c r="Z11" s="3">
        <f t="shared" si="4"/>
        <v>831.53</v>
      </c>
      <c r="AA11" s="19">
        <f t="shared" si="5"/>
        <v>0.1293083071564084</v>
      </c>
      <c r="AB11" s="73">
        <f t="shared" si="6"/>
        <v>4970.5107854985008</v>
      </c>
      <c r="AC11" s="73">
        <f t="shared" si="7"/>
        <v>8319.5909121948898</v>
      </c>
      <c r="AD11" s="19"/>
      <c r="AE11" s="19"/>
      <c r="AF11" s="19"/>
      <c r="AG11">
        <v>0.2</v>
      </c>
      <c r="AH11">
        <v>0</v>
      </c>
      <c r="AJ11" t="s">
        <v>221</v>
      </c>
      <c r="AK11" s="38">
        <f>1/SUMPRODUCT($AK$14:$CI$14,1/AK17:CI17)</f>
        <v>-3.1289978888343574E-4</v>
      </c>
      <c r="AO11" s="8">
        <f>AO42/AN42</f>
        <v>-20.758905344941208</v>
      </c>
      <c r="AQ11" s="8">
        <f>AQ42/AP42</f>
        <v>0.43396447967121676</v>
      </c>
      <c r="AS11" s="8"/>
      <c r="AU11" s="8">
        <f>AU42/AT42</f>
        <v>-1.2159939022453712</v>
      </c>
    </row>
    <row r="12" spans="3:96" x14ac:dyDescent="0.15">
      <c r="C12" s="31">
        <f>Stdev!B187</f>
        <v>34</v>
      </c>
      <c r="D12" s="31" t="str">
        <f>Stdev!C187</f>
        <v>log_rec_devs</v>
      </c>
      <c r="E12" s="31">
        <f>Stdev!D187</f>
        <v>0.44336999999999999</v>
      </c>
      <c r="F12" s="31">
        <f>Stdev!E187</f>
        <v>0.18859000000000001</v>
      </c>
      <c r="H12">
        <v>1973</v>
      </c>
      <c r="I12" s="3"/>
      <c r="J12" s="3"/>
      <c r="K12" s="3"/>
      <c r="L12" s="3"/>
      <c r="M12" s="3"/>
      <c r="N12" s="3"/>
      <c r="O12" s="3">
        <f>Stdev!D13</f>
        <v>1538.5</v>
      </c>
      <c r="P12" s="3">
        <f>pm.rep!B72</f>
        <v>26909</v>
      </c>
      <c r="Q12" s="38">
        <v>1973</v>
      </c>
      <c r="R12" s="3">
        <f>Stdev!D295</f>
        <v>5161.2</v>
      </c>
      <c r="S12" s="3">
        <f>Stdev!E295</f>
        <v>733.88</v>
      </c>
      <c r="T12" s="3">
        <f t="shared" si="1"/>
        <v>3889.2158392903693</v>
      </c>
      <c r="U12" s="3">
        <f t="shared" si="0"/>
        <v>6849.191852736154</v>
      </c>
      <c r="V12">
        <f t="shared" si="2"/>
        <v>1</v>
      </c>
      <c r="X12" s="38">
        <v>1973</v>
      </c>
      <c r="Y12" s="3">
        <f t="shared" si="3"/>
        <v>5161.2</v>
      </c>
      <c r="Z12" s="3">
        <f t="shared" si="4"/>
        <v>733.88</v>
      </c>
      <c r="AA12" s="19">
        <f t="shared" si="5"/>
        <v>0.14219173835542123</v>
      </c>
      <c r="AB12" s="73">
        <f t="shared" si="6"/>
        <v>3889.2158392903693</v>
      </c>
      <c r="AC12" s="73">
        <f t="shared" si="7"/>
        <v>6849.191852736154</v>
      </c>
      <c r="AD12" s="19"/>
      <c r="AE12" s="35">
        <v>0.3</v>
      </c>
      <c r="AF12" s="19"/>
      <c r="AJ12" t="s">
        <v>228</v>
      </c>
      <c r="AK12" s="3"/>
      <c r="AO12" s="8">
        <f>AO43/AN43</f>
        <v>2.0428530548004007</v>
      </c>
      <c r="AQ12" s="8">
        <f>AQ43/AP43</f>
        <v>9.3101428607807693E-2</v>
      </c>
      <c r="AS12" s="8"/>
      <c r="AU12" s="8">
        <f>AU43/AT43</f>
        <v>-0.44800758208026259</v>
      </c>
    </row>
    <row r="13" spans="3:96" x14ac:dyDescent="0.15">
      <c r="C13" s="31">
        <f>Stdev!B188</f>
        <v>35</v>
      </c>
      <c r="D13" s="31" t="str">
        <f>Stdev!C188</f>
        <v>log_rec_devs</v>
      </c>
      <c r="E13" s="31">
        <f>Stdev!D188</f>
        <v>0.1431</v>
      </c>
      <c r="F13" s="31">
        <f>Stdev!E188</f>
        <v>0.19564999999999999</v>
      </c>
      <c r="H13">
        <v>1974</v>
      </c>
      <c r="I13" s="3"/>
      <c r="J13" s="3"/>
      <c r="K13" s="3"/>
      <c r="L13" s="3"/>
      <c r="M13" s="3"/>
      <c r="N13" s="3"/>
      <c r="O13" s="3">
        <f>Stdev!D14</f>
        <v>1158.5999999999999</v>
      </c>
      <c r="P13" s="3">
        <f>pm.rep!B73</f>
        <v>19909.099999999999</v>
      </c>
      <c r="Q13" s="38">
        <v>1974</v>
      </c>
      <c r="R13" s="3">
        <f>Stdev!D296</f>
        <v>3845.8</v>
      </c>
      <c r="S13" s="3">
        <f>Stdev!E296</f>
        <v>636.17999999999995</v>
      </c>
      <c r="T13" s="3">
        <f t="shared" si="1"/>
        <v>2768.6726130537122</v>
      </c>
      <c r="U13" s="3">
        <f t="shared" si="0"/>
        <v>5341.9741901831976</v>
      </c>
      <c r="V13">
        <f t="shared" si="2"/>
        <v>1</v>
      </c>
      <c r="X13" s="38">
        <v>1974</v>
      </c>
      <c r="Y13" s="3">
        <f t="shared" si="3"/>
        <v>3845.8</v>
      </c>
      <c r="Z13" s="3">
        <f t="shared" si="4"/>
        <v>636.17999999999995</v>
      </c>
      <c r="AA13" s="19">
        <f t="shared" si="5"/>
        <v>0.16542201882573196</v>
      </c>
      <c r="AB13" s="73">
        <f t="shared" si="6"/>
        <v>2768.6726130537122</v>
      </c>
      <c r="AC13" s="73">
        <f t="shared" si="7"/>
        <v>5341.9741901831976</v>
      </c>
      <c r="AD13" s="19"/>
      <c r="AE13" s="35"/>
      <c r="AF13" s="19"/>
      <c r="AJ13" t="s">
        <v>239</v>
      </c>
      <c r="AK13" s="38">
        <f>1/SUMPRODUCT($AK$14:$CR$14,1/AK19:CR19)</f>
        <v>0.48348801383629553</v>
      </c>
      <c r="AL13" s="1"/>
    </row>
    <row r="14" spans="3:96" x14ac:dyDescent="0.15">
      <c r="C14" s="31">
        <f>Stdev!B189</f>
        <v>36</v>
      </c>
      <c r="D14" s="31" t="str">
        <f>Stdev!C189</f>
        <v>log_rec_devs</v>
      </c>
      <c r="E14" s="31">
        <f>Stdev!D189</f>
        <v>-2.3636999999999998E-2</v>
      </c>
      <c r="F14" s="31">
        <f>Stdev!E189</f>
        <v>0.18107999999999999</v>
      </c>
      <c r="H14">
        <v>1975</v>
      </c>
      <c r="I14" s="3"/>
      <c r="J14" s="3"/>
      <c r="K14" s="3"/>
      <c r="L14" s="3"/>
      <c r="M14" s="3"/>
      <c r="N14" s="3"/>
      <c r="O14" s="3">
        <f>Stdev!D15</f>
        <v>980.86</v>
      </c>
      <c r="P14" s="3">
        <f>pm.rep!B74</f>
        <v>17094.099999999999</v>
      </c>
      <c r="Q14" s="38">
        <v>1975</v>
      </c>
      <c r="R14" s="3">
        <f>Stdev!D297</f>
        <v>3868.4</v>
      </c>
      <c r="S14" s="3">
        <f>Stdev!E297</f>
        <v>498.71</v>
      </c>
      <c r="T14" s="3">
        <f t="shared" si="1"/>
        <v>2992.367569182536</v>
      </c>
      <c r="U14" s="3">
        <f t="shared" si="0"/>
        <v>5000.8958505348501</v>
      </c>
      <c r="V14">
        <f t="shared" si="2"/>
        <v>1</v>
      </c>
      <c r="X14" s="38">
        <v>1975</v>
      </c>
      <c r="Y14" s="3">
        <f t="shared" si="3"/>
        <v>3868.4</v>
      </c>
      <c r="Z14" s="3">
        <f t="shared" si="4"/>
        <v>498.71</v>
      </c>
      <c r="AA14" s="19">
        <f t="shared" si="5"/>
        <v>0.12891893289215178</v>
      </c>
      <c r="AB14" s="73">
        <f t="shared" si="6"/>
        <v>2992.367569182536</v>
      </c>
      <c r="AC14" s="73">
        <f t="shared" si="7"/>
        <v>5000.8958505348501</v>
      </c>
      <c r="AD14" s="19"/>
      <c r="AE14" s="19"/>
      <c r="AF14" s="35"/>
      <c r="AG14">
        <f>AE17+(AF17-AE17)*(AE12-AE16)/(AF16-AE16)</f>
        <v>0.82499999999999996</v>
      </c>
      <c r="AK14" s="15">
        <f t="shared" ref="AK14:BP14" si="8">AL23-AK23</f>
        <v>6.3847782326423188E-4</v>
      </c>
      <c r="AL14" s="15">
        <f t="shared" si="8"/>
        <v>9.0169222133182087E-4</v>
      </c>
      <c r="AM14" s="15">
        <f t="shared" si="8"/>
        <v>1.2552332848098906E-3</v>
      </c>
      <c r="AN14" s="15">
        <f t="shared" si="8"/>
        <v>1.7224403542965248E-3</v>
      </c>
      <c r="AO14" s="15">
        <f t="shared" si="8"/>
        <v>2.3297942092635696E-3</v>
      </c>
      <c r="AP14" s="15">
        <f t="shared" si="8"/>
        <v>3.1063083139566596E-3</v>
      </c>
      <c r="AQ14" s="15">
        <f t="shared" si="8"/>
        <v>4.0824905453726596E-3</v>
      </c>
      <c r="AR14" s="15">
        <f t="shared" si="8"/>
        <v>5.2888280821445886E-3</v>
      </c>
      <c r="AS14" s="15">
        <f t="shared" si="8"/>
        <v>6.7537868377667704E-3</v>
      </c>
      <c r="AT14" s="15">
        <f t="shared" si="8"/>
        <v>8.5013694090889796E-3</v>
      </c>
      <c r="AU14" s="15">
        <f t="shared" si="8"/>
        <v>1.0548338750794264E-2</v>
      </c>
      <c r="AV14" s="15">
        <f t="shared" si="8"/>
        <v>1.2901282731072959E-2</v>
      </c>
      <c r="AW14" s="15">
        <f t="shared" si="8"/>
        <v>1.5553758939534049E-2</v>
      </c>
      <c r="AX14" s="15">
        <f t="shared" si="8"/>
        <v>1.8483809459144712E-2</v>
      </c>
      <c r="AY14" s="15">
        <f t="shared" si="8"/>
        <v>2.1652161228236502E-2</v>
      </c>
      <c r="AZ14" s="15">
        <f t="shared" si="8"/>
        <v>2.5001419867060781E-2</v>
      </c>
      <c r="BA14" s="15">
        <f t="shared" si="8"/>
        <v>2.845651737806873E-2</v>
      </c>
      <c r="BB14" s="15">
        <f t="shared" si="8"/>
        <v>3.192658579361185E-2</v>
      </c>
      <c r="BC14" s="15">
        <f t="shared" si="8"/>
        <v>3.5308304518801542E-2</v>
      </c>
      <c r="BD14" s="15">
        <f t="shared" si="8"/>
        <v>3.8490619970822371E-2</v>
      </c>
      <c r="BE14" s="15">
        <f t="shared" si="8"/>
        <v>4.1360578766149014E-2</v>
      </c>
      <c r="BF14" s="15">
        <f t="shared" si="8"/>
        <v>4.3809870265786199E-2</v>
      </c>
      <c r="BG14" s="15">
        <f t="shared" si="8"/>
        <v>4.5741561520195373E-2</v>
      </c>
      <c r="BH14" s="15">
        <f t="shared" si="8"/>
        <v>4.7076445677211975E-2</v>
      </c>
      <c r="BI14" s="15">
        <f t="shared" si="8"/>
        <v>4.7758426020583888E-2</v>
      </c>
      <c r="BJ14" s="15">
        <f t="shared" si="8"/>
        <v>4.7758426020583888E-2</v>
      </c>
      <c r="BK14" s="15">
        <f t="shared" si="8"/>
        <v>4.707644567721192E-2</v>
      </c>
      <c r="BL14" s="15">
        <f t="shared" si="8"/>
        <v>4.5741561520195484E-2</v>
      </c>
      <c r="BM14" s="15">
        <f t="shared" si="8"/>
        <v>4.3809870265786088E-2</v>
      </c>
      <c r="BN14" s="15">
        <f t="shared" si="8"/>
        <v>4.136057876614907E-2</v>
      </c>
      <c r="BO14" s="15">
        <f t="shared" si="8"/>
        <v>3.8490619970822371E-2</v>
      </c>
      <c r="BP14" s="15">
        <f t="shared" si="8"/>
        <v>3.5308304518801514E-2</v>
      </c>
      <c r="BQ14" s="15">
        <f t="shared" ref="BQ14:CQ14" si="9">BR23-BQ23</f>
        <v>3.192658579361185E-2</v>
      </c>
      <c r="BR14" s="15">
        <f t="shared" si="9"/>
        <v>2.8456517378068757E-2</v>
      </c>
      <c r="BS14" s="15">
        <f t="shared" si="9"/>
        <v>2.5001419867060837E-2</v>
      </c>
      <c r="BT14" s="15">
        <f t="shared" si="9"/>
        <v>2.1652161228236433E-2</v>
      </c>
      <c r="BU14" s="15">
        <f t="shared" si="9"/>
        <v>1.848380945914474E-2</v>
      </c>
      <c r="BV14" s="15">
        <f t="shared" si="9"/>
        <v>1.5553758939534035E-2</v>
      </c>
      <c r="BW14" s="15">
        <f t="shared" si="9"/>
        <v>1.2901282731072938E-2</v>
      </c>
      <c r="BX14" s="15">
        <f t="shared" si="9"/>
        <v>1.0548338750794306E-2</v>
      </c>
      <c r="BY14" s="15">
        <f t="shared" si="9"/>
        <v>8.5013694090889658E-3</v>
      </c>
      <c r="BZ14" s="15">
        <f t="shared" si="9"/>
        <v>6.7537868377667287E-3</v>
      </c>
      <c r="CA14" s="15">
        <f t="shared" si="9"/>
        <v>5.2888280821445921E-3</v>
      </c>
      <c r="CB14" s="15">
        <f t="shared" si="9"/>
        <v>4.0824905453726856E-3</v>
      </c>
      <c r="CC14" s="15">
        <f t="shared" si="9"/>
        <v>3.1063083139566405E-3</v>
      </c>
      <c r="CD14" s="15">
        <f t="shared" si="9"/>
        <v>2.3297942092636026E-3</v>
      </c>
      <c r="CE14" s="15">
        <f t="shared" si="9"/>
        <v>1.7224403542964728E-3</v>
      </c>
      <c r="CF14" s="15">
        <f t="shared" si="9"/>
        <v>1.2552332848099201E-3</v>
      </c>
      <c r="CG14" s="15">
        <f t="shared" si="9"/>
        <v>9.0169222133185123E-4</v>
      </c>
      <c r="CH14" s="15">
        <f t="shared" si="9"/>
        <v>6.3847782326420521E-4</v>
      </c>
      <c r="CI14" s="15">
        <f t="shared" si="9"/>
        <v>4.4564283180781317E-4</v>
      </c>
      <c r="CJ14" s="15">
        <f t="shared" si="9"/>
        <v>3.066067018878682E-4</v>
      </c>
      <c r="CK14" s="15">
        <f t="shared" si="9"/>
        <v>2.0793613535241562E-4</v>
      </c>
      <c r="CL14" s="15">
        <f t="shared" si="9"/>
        <v>1.3900547130152319E-4</v>
      </c>
      <c r="CM14" s="15">
        <f t="shared" si="9"/>
        <v>9.1598301122930437E-5</v>
      </c>
      <c r="CN14" s="15">
        <f t="shared" si="9"/>
        <v>5.9497201181590853E-5</v>
      </c>
      <c r="CO14" s="15">
        <f t="shared" si="9"/>
        <v>3.8094233792751453E-5</v>
      </c>
      <c r="CP14" s="15">
        <f t="shared" si="9"/>
        <v>2.4042273492175248E-5</v>
      </c>
      <c r="CQ14" s="15">
        <f t="shared" si="9"/>
        <v>1.4957031302498258E-5</v>
      </c>
      <c r="CR14" s="15">
        <f>1-CR23</f>
        <v>2.2517850388537042E-5</v>
      </c>
    </row>
    <row r="15" spans="3:96" x14ac:dyDescent="0.15">
      <c r="C15" s="31">
        <f>Stdev!B190</f>
        <v>37</v>
      </c>
      <c r="D15" s="31" t="str">
        <f>Stdev!C190</f>
        <v>log_rec_devs</v>
      </c>
      <c r="E15" s="31">
        <f>Stdev!D190</f>
        <v>-0.28878999999999999</v>
      </c>
      <c r="F15" s="31">
        <f>Stdev!E190</f>
        <v>0.18059</v>
      </c>
      <c r="H15">
        <v>1976</v>
      </c>
      <c r="I15" s="3"/>
      <c r="J15" s="3"/>
      <c r="K15" s="3"/>
      <c r="L15" s="3"/>
      <c r="M15" s="3"/>
      <c r="N15" s="3"/>
      <c r="O15" s="3">
        <f>Stdev!D16</f>
        <v>976.89</v>
      </c>
      <c r="P15" s="3">
        <f>pm.rep!B75</f>
        <v>13137.6</v>
      </c>
      <c r="Q15" s="38">
        <v>1976</v>
      </c>
      <c r="R15" s="3">
        <f>Stdev!D298</f>
        <v>3871.5</v>
      </c>
      <c r="S15" s="3">
        <f>Stdev!E298</f>
        <v>420.58</v>
      </c>
      <c r="T15" s="3">
        <f t="shared" si="1"/>
        <v>3117.4307993013731</v>
      </c>
      <c r="U15" s="3">
        <f t="shared" si="0"/>
        <v>4807.9695155892396</v>
      </c>
      <c r="V15">
        <f t="shared" si="2"/>
        <v>1</v>
      </c>
      <c r="X15" s="38">
        <v>1976</v>
      </c>
      <c r="Y15" s="3">
        <f t="shared" si="3"/>
        <v>3871.5</v>
      </c>
      <c r="Z15" s="3">
        <f t="shared" si="4"/>
        <v>420.58</v>
      </c>
      <c r="AA15" s="19">
        <f t="shared" si="5"/>
        <v>0.10863489603512851</v>
      </c>
      <c r="AB15" s="73">
        <f t="shared" si="6"/>
        <v>3117.4307993013731</v>
      </c>
      <c r="AC15" s="73">
        <f t="shared" si="7"/>
        <v>4807.9695155892396</v>
      </c>
      <c r="AD15" s="19"/>
      <c r="AE15" s="19"/>
      <c r="AG15" s="4"/>
      <c r="AH15" s="4"/>
      <c r="AI15" s="4"/>
      <c r="AJ15" s="4" t="s">
        <v>225</v>
      </c>
      <c r="AK15" s="31">
        <v>-3</v>
      </c>
      <c r="AL15" s="31">
        <v>-2.88</v>
      </c>
      <c r="AM15" s="31">
        <v>-2.76</v>
      </c>
      <c r="AN15" s="31">
        <v>-2.64</v>
      </c>
      <c r="AO15" s="31">
        <v>-2.52</v>
      </c>
      <c r="AP15" s="31">
        <v>-2.4</v>
      </c>
      <c r="AQ15" s="31">
        <v>-2.2799999999999998</v>
      </c>
      <c r="AR15" s="31">
        <v>-2.16</v>
      </c>
      <c r="AS15" s="31">
        <v>-2.04</v>
      </c>
      <c r="AT15" s="31">
        <v>-1.92</v>
      </c>
      <c r="AU15" s="31">
        <v>-1.8</v>
      </c>
      <c r="AV15" s="31">
        <v>-1.68</v>
      </c>
      <c r="AW15" s="31">
        <v>-1.56</v>
      </c>
      <c r="AX15" s="31">
        <v>-1.44</v>
      </c>
      <c r="AY15" s="31">
        <v>-1.32</v>
      </c>
      <c r="AZ15" s="31">
        <v>-1.2</v>
      </c>
      <c r="BA15" s="31">
        <v>-1.08</v>
      </c>
      <c r="BB15" s="31">
        <v>-0.96</v>
      </c>
      <c r="BC15" s="31">
        <v>-0.84</v>
      </c>
      <c r="BD15" s="31">
        <v>-0.72</v>
      </c>
      <c r="BE15" s="31">
        <v>-0.6</v>
      </c>
      <c r="BF15" s="31">
        <v>-0.48</v>
      </c>
      <c r="BG15" s="31">
        <v>-0.36</v>
      </c>
      <c r="BH15" s="31">
        <v>-0.24</v>
      </c>
      <c r="BI15" s="31">
        <v>-0.12</v>
      </c>
      <c r="BJ15" s="31">
        <v>0</v>
      </c>
      <c r="BK15" s="31">
        <v>0.12</v>
      </c>
      <c r="BL15" s="31">
        <v>0.24</v>
      </c>
      <c r="BM15" s="31">
        <v>0.36</v>
      </c>
      <c r="BN15" s="31">
        <v>0.48</v>
      </c>
      <c r="BO15" s="31">
        <v>0.6</v>
      </c>
      <c r="BP15" s="31">
        <v>0.72</v>
      </c>
      <c r="BQ15" s="31">
        <v>0.84</v>
      </c>
      <c r="BR15" s="31">
        <v>0.96</v>
      </c>
      <c r="BS15" s="31">
        <v>1.08</v>
      </c>
      <c r="BT15" s="31">
        <v>1.2</v>
      </c>
      <c r="BU15" s="31">
        <v>1.32</v>
      </c>
      <c r="BV15" s="31">
        <v>1.44</v>
      </c>
      <c r="BW15" s="31">
        <v>1.56</v>
      </c>
      <c r="BX15" s="31">
        <v>1.68</v>
      </c>
      <c r="BY15" s="31">
        <v>1.8</v>
      </c>
      <c r="BZ15" s="31">
        <v>1.92</v>
      </c>
      <c r="CA15" s="31">
        <v>2.04</v>
      </c>
      <c r="CB15" s="31">
        <v>2.16</v>
      </c>
      <c r="CC15" s="31">
        <v>2.2799999999999998</v>
      </c>
      <c r="CD15" s="31">
        <v>2.4</v>
      </c>
      <c r="CE15" s="31">
        <v>2.52</v>
      </c>
      <c r="CF15" s="31">
        <v>2.64</v>
      </c>
      <c r="CG15" s="31">
        <v>2.76</v>
      </c>
      <c r="CH15" s="31">
        <v>2.88</v>
      </c>
      <c r="CI15" s="31">
        <v>3</v>
      </c>
      <c r="CJ15" s="31">
        <v>3.12</v>
      </c>
      <c r="CK15" s="31">
        <v>3.24</v>
      </c>
      <c r="CL15" s="31">
        <v>3.36</v>
      </c>
      <c r="CM15" s="31">
        <v>3.48</v>
      </c>
      <c r="CN15" s="31">
        <v>3.6</v>
      </c>
      <c r="CO15" s="31">
        <v>3.72</v>
      </c>
      <c r="CP15" s="31">
        <v>3.84</v>
      </c>
      <c r="CQ15" s="31">
        <v>3.96</v>
      </c>
      <c r="CR15" s="31">
        <v>4.08</v>
      </c>
    </row>
    <row r="16" spans="3:96" x14ac:dyDescent="0.15">
      <c r="C16" s="31">
        <f>Stdev!B191</f>
        <v>38</v>
      </c>
      <c r="D16" s="31" t="str">
        <f>Stdev!C191</f>
        <v>log_rec_devs</v>
      </c>
      <c r="E16" s="31">
        <f>Stdev!D191</f>
        <v>-0.29282999999999998</v>
      </c>
      <c r="F16" s="31">
        <f>Stdev!E191</f>
        <v>0.16158</v>
      </c>
      <c r="H16">
        <v>1977</v>
      </c>
      <c r="I16" s="3"/>
      <c r="J16" s="3"/>
      <c r="K16" s="3"/>
      <c r="L16" s="3"/>
      <c r="M16" s="3"/>
      <c r="N16" s="3"/>
      <c r="O16" s="3">
        <f>Stdev!D17</f>
        <v>1039.2</v>
      </c>
      <c r="P16" s="3">
        <f>pm.rep!B76</f>
        <v>13755.3</v>
      </c>
      <c r="Q16" s="38">
        <v>1977</v>
      </c>
      <c r="R16" s="3">
        <f>Stdev!D299</f>
        <v>3939.3</v>
      </c>
      <c r="S16" s="3">
        <f>Stdev!E299</f>
        <v>383.92</v>
      </c>
      <c r="T16" s="3">
        <f t="shared" si="1"/>
        <v>3243.1518235824606</v>
      </c>
      <c r="U16" s="3">
        <f t="shared" si="0"/>
        <v>4784.8775925816408</v>
      </c>
      <c r="V16">
        <f t="shared" si="2"/>
        <v>1</v>
      </c>
      <c r="X16" s="38">
        <v>1977</v>
      </c>
      <c r="Y16" s="3">
        <f t="shared" si="3"/>
        <v>3939.3</v>
      </c>
      <c r="Z16" s="3">
        <f t="shared" si="4"/>
        <v>383.92</v>
      </c>
      <c r="AA16" s="19">
        <f t="shared" si="5"/>
        <v>9.7458939405478132E-2</v>
      </c>
      <c r="AB16" s="73">
        <f t="shared" si="6"/>
        <v>3243.1518235824606</v>
      </c>
      <c r="AC16" s="73">
        <f t="shared" si="7"/>
        <v>4784.8775925816408</v>
      </c>
      <c r="AD16" s="19"/>
      <c r="AE16" s="35">
        <v>0.01</v>
      </c>
      <c r="AF16" s="35">
        <v>0.05</v>
      </c>
      <c r="AK16" s="31">
        <f t="shared" ref="AK16:BP16" si="10">$AN$41*EXP(AK15*$AO$10)</f>
        <v>-1.1374657756340849</v>
      </c>
      <c r="AL16" s="31">
        <f t="shared" si="10"/>
        <v>-1.066504001627639</v>
      </c>
      <c r="AM16" s="31">
        <f t="shared" si="10"/>
        <v>-0.9999692385062765</v>
      </c>
      <c r="AN16" s="31">
        <f t="shared" si="10"/>
        <v>-0.93758530341449464</v>
      </c>
      <c r="AO16" s="31">
        <f t="shared" si="10"/>
        <v>-0.87909324340013939</v>
      </c>
      <c r="AP16" s="31">
        <f t="shared" si="10"/>
        <v>-0.8242502605121671</v>
      </c>
      <c r="AQ16" s="31">
        <f t="shared" si="10"/>
        <v>-0.77282870395710235</v>
      </c>
      <c r="AR16" s="31">
        <f t="shared" si="10"/>
        <v>-0.72461512513067439</v>
      </c>
      <c r="AS16" s="31">
        <f t="shared" si="10"/>
        <v>-0.67940939160211067</v>
      </c>
      <c r="AT16" s="31">
        <f t="shared" si="10"/>
        <v>-0.63702385637328163</v>
      </c>
      <c r="AU16" s="31">
        <f t="shared" si="10"/>
        <v>-0.59728257896431869</v>
      </c>
      <c r="AV16" s="31">
        <f t="shared" si="10"/>
        <v>-0.56002059509247359</v>
      </c>
      <c r="AW16" s="31">
        <f t="shared" si="10"/>
        <v>-0.52508323191268547</v>
      </c>
      <c r="AX16" s="31">
        <f t="shared" si="10"/>
        <v>-0.49232546597745025</v>
      </c>
      <c r="AY16" s="31">
        <f t="shared" si="10"/>
        <v>-0.46161132125091148</v>
      </c>
      <c r="AZ16" s="31">
        <f t="shared" si="10"/>
        <v>-0.43281330467835688</v>
      </c>
      <c r="BA16" s="31">
        <f t="shared" si="10"/>
        <v>-0.40581187696819365</v>
      </c>
      <c r="BB16" s="31">
        <f t="shared" si="10"/>
        <v>-0.3804949563896422</v>
      </c>
      <c r="BC16" s="31">
        <f t="shared" si="10"/>
        <v>-0.35675745352643506</v>
      </c>
      <c r="BD16" s="31">
        <f t="shared" si="10"/>
        <v>-0.33450083505530315</v>
      </c>
      <c r="BE16" s="31">
        <f t="shared" si="10"/>
        <v>-0.31363271473851412</v>
      </c>
      <c r="BF16" s="31">
        <f t="shared" si="10"/>
        <v>-0.29406646993269053</v>
      </c>
      <c r="BG16" s="31">
        <f t="shared" si="10"/>
        <v>-0.2757208820220528</v>
      </c>
      <c r="BH16" s="31">
        <f t="shared" si="10"/>
        <v>-0.25851979928354152</v>
      </c>
      <c r="BI16" s="31">
        <f t="shared" si="10"/>
        <v>-0.2423918207843872</v>
      </c>
      <c r="BJ16" s="31">
        <f t="shared" si="10"/>
        <v>-0.22727</v>
      </c>
      <c r="BK16" s="31">
        <f t="shared" si="10"/>
        <v>-0.21309156692191059</v>
      </c>
      <c r="BL16" s="31">
        <f t="shared" si="10"/>
        <v>-0.19979766750224445</v>
      </c>
      <c r="BM16" s="31">
        <f t="shared" si="10"/>
        <v>-0.18733311935317537</v>
      </c>
      <c r="BN16" s="31">
        <f t="shared" si="10"/>
        <v>-0.17564618268727697</v>
      </c>
      <c r="BO16" s="31">
        <f t="shared" si="10"/>
        <v>-0.16468834554795625</v>
      </c>
      <c r="BP16" s="31">
        <f t="shared" si="10"/>
        <v>-0.15441412243846989</v>
      </c>
      <c r="BQ16" s="31">
        <f t="shared" ref="BQ16:CI16" si="11">$AN$41*EXP(BQ15*$AO$10)</f>
        <v>-0.14478086551364147</v>
      </c>
      <c r="BR16" s="31">
        <f t="shared" si="11"/>
        <v>-0.13574858755054461</v>
      </c>
      <c r="BS16" s="31">
        <f t="shared" si="11"/>
        <v>-0.1272797959633111</v>
      </c>
      <c r="BT16" s="31">
        <f t="shared" si="11"/>
        <v>-0.11933933717306744</v>
      </c>
      <c r="BU16" s="31">
        <f t="shared" si="11"/>
        <v>-0.11189425068698532</v>
      </c>
      <c r="BV16" s="31">
        <f t="shared" si="11"/>
        <v>-0.10491363228073555</v>
      </c>
      <c r="BW16" s="31">
        <f t="shared" si="11"/>
        <v>-9.8368505716421348E-2</v>
      </c>
      <c r="BX16" s="31">
        <f t="shared" si="11"/>
        <v>-9.2231702463497808E-2</v>
      </c>
      <c r="BY16" s="31">
        <f t="shared" si="11"/>
        <v>-8.6477748923404707E-2</v>
      </c>
      <c r="BZ16" s="31">
        <f t="shared" si="11"/>
        <v>-8.108276068978694E-2</v>
      </c>
      <c r="CA16" s="31">
        <f t="shared" si="11"/>
        <v>-7.6024343405381237E-2</v>
      </c>
      <c r="CB16" s="31">
        <f t="shared" si="11"/>
        <v>-7.1281499804030909E-2</v>
      </c>
      <c r="CC16" s="31">
        <f t="shared" si="11"/>
        <v>-6.6834542551963805E-2</v>
      </c>
      <c r="CD16" s="31">
        <f t="shared" si="11"/>
        <v>-6.2665012526541455E-2</v>
      </c>
      <c r="CE16" s="31">
        <f t="shared" si="11"/>
        <v>-5.8755602193258552E-2</v>
      </c>
      <c r="CF16" s="31">
        <f t="shared" si="11"/>
        <v>-5.5090083762933569E-2</v>
      </c>
      <c r="CG16" s="31">
        <f t="shared" si="11"/>
        <v>-5.1653241830874379E-2</v>
      </c>
      <c r="CH16" s="31">
        <f t="shared" si="11"/>
        <v>-4.8430810218407172E-2</v>
      </c>
      <c r="CI16" s="31">
        <f t="shared" si="11"/>
        <v>-4.5409412754600531E-2</v>
      </c>
      <c r="CJ16" s="31">
        <f t="shared" ref="CJ16:CR16" si="12">$AN$41*EXP(CJ15*$AO$10)</f>
        <v>-4.2576507752372157E-2</v>
      </c>
      <c r="CK16" s="31">
        <f t="shared" si="12"/>
        <v>-3.9920335948501147E-2</v>
      </c>
      <c r="CL16" s="31">
        <f t="shared" si="12"/>
        <v>-3.7429871691447118E-2</v>
      </c>
      <c r="CM16" s="31">
        <f t="shared" si="12"/>
        <v>-3.5094777174358827E-2</v>
      </c>
      <c r="CN16" s="31">
        <f t="shared" si="12"/>
        <v>-3.2905359523295742E-2</v>
      </c>
      <c r="CO16" s="31">
        <f t="shared" si="12"/>
        <v>-3.085253056253752E-2</v>
      </c>
      <c r="CP16" s="31">
        <f t="shared" si="12"/>
        <v>-2.892776908996901E-2</v>
      </c>
      <c r="CQ16" s="31">
        <f t="shared" si="12"/>
        <v>-2.7123085505947581E-2</v>
      </c>
      <c r="CR16" s="31">
        <f t="shared" si="12"/>
        <v>-2.543098864882885E-2</v>
      </c>
    </row>
    <row r="17" spans="3:96" x14ac:dyDescent="0.15">
      <c r="C17" s="31">
        <f>Stdev!B192</f>
        <v>39</v>
      </c>
      <c r="D17" s="31" t="str">
        <f>Stdev!C192</f>
        <v>log_rec_devs</v>
      </c>
      <c r="E17" s="31">
        <f>Stdev!D192</f>
        <v>0.36614000000000002</v>
      </c>
      <c r="F17" s="31">
        <f>Stdev!E192</f>
        <v>0.13142999999999999</v>
      </c>
      <c r="H17" s="21">
        <v>1978</v>
      </c>
      <c r="I17" s="3"/>
      <c r="J17" s="3"/>
      <c r="K17" s="3"/>
      <c r="L17" s="3"/>
      <c r="M17" s="3"/>
      <c r="N17" s="3"/>
      <c r="O17" s="3">
        <f>Stdev!D18</f>
        <v>1095.3</v>
      </c>
      <c r="P17" s="3">
        <f>pm.rep!B77</f>
        <v>25352.3</v>
      </c>
      <c r="Q17" s="38">
        <v>1978</v>
      </c>
      <c r="R17" s="3">
        <f>Stdev!D300</f>
        <v>3888.3</v>
      </c>
      <c r="S17" s="3">
        <f>Stdev!E300</f>
        <v>366.95</v>
      </c>
      <c r="T17" s="3">
        <f t="shared" si="1"/>
        <v>3220.8476104890087</v>
      </c>
      <c r="U17" s="3">
        <f t="shared" si="0"/>
        <v>4694.067748118192</v>
      </c>
      <c r="V17">
        <f t="shared" si="2"/>
        <v>1</v>
      </c>
      <c r="X17" s="38">
        <v>1978</v>
      </c>
      <c r="Y17" s="3">
        <f t="shared" si="3"/>
        <v>3888.3</v>
      </c>
      <c r="Z17" s="3">
        <f t="shared" si="4"/>
        <v>366.95</v>
      </c>
      <c r="AA17" s="19">
        <f t="shared" si="5"/>
        <v>9.4372862176272401E-2</v>
      </c>
      <c r="AB17" s="73">
        <f t="shared" si="6"/>
        <v>3220.8476104890087</v>
      </c>
      <c r="AC17" s="73">
        <f t="shared" si="7"/>
        <v>4694.067748118192</v>
      </c>
      <c r="AD17" s="19"/>
      <c r="AE17" s="35">
        <v>0.1</v>
      </c>
      <c r="AF17" s="31">
        <v>0.2</v>
      </c>
      <c r="AK17" s="31">
        <f t="shared" ref="AK17:BP17" si="13">$AP$41*EXP(AK15*$AQ$10)</f>
        <v>-1239.9586704816177</v>
      </c>
      <c r="AL17" s="31">
        <f t="shared" si="13"/>
        <v>-818.01091811493984</v>
      </c>
      <c r="AM17" s="31">
        <f t="shared" si="13"/>
        <v>-539.64852061991905</v>
      </c>
      <c r="AN17" s="31">
        <f t="shared" si="13"/>
        <v>-356.01056093281568</v>
      </c>
      <c r="AO17" s="31">
        <f t="shared" si="13"/>
        <v>-234.86309079491582</v>
      </c>
      <c r="AP17" s="31">
        <f t="shared" si="13"/>
        <v>-154.94110981766772</v>
      </c>
      <c r="AQ17" s="31">
        <f t="shared" si="13"/>
        <v>-102.21592260528254</v>
      </c>
      <c r="AR17" s="31">
        <f t="shared" si="13"/>
        <v>-67.432683594071818</v>
      </c>
      <c r="AS17" s="31">
        <f t="shared" si="13"/>
        <v>-44.485895159969914</v>
      </c>
      <c r="AT17" s="31">
        <f t="shared" si="13"/>
        <v>-29.347710378796368</v>
      </c>
      <c r="AU17" s="31">
        <f t="shared" si="13"/>
        <v>-19.360925555854234</v>
      </c>
      <c r="AV17" s="31">
        <f t="shared" si="13"/>
        <v>-12.772561591385809</v>
      </c>
      <c r="AW17" s="31">
        <f t="shared" si="13"/>
        <v>-8.4261637768869608</v>
      </c>
      <c r="AX17" s="31">
        <f t="shared" si="13"/>
        <v>-5.558809443738097</v>
      </c>
      <c r="AY17" s="31">
        <f t="shared" si="13"/>
        <v>-3.6671922419253007</v>
      </c>
      <c r="AZ17" s="31">
        <f t="shared" si="13"/>
        <v>-2.4192768389257147</v>
      </c>
      <c r="BA17" s="31">
        <f t="shared" si="13"/>
        <v>-1.5960167990237646</v>
      </c>
      <c r="BB17" s="31">
        <f t="shared" si="13"/>
        <v>-1.0529053896523812</v>
      </c>
      <c r="BC17" s="31">
        <f t="shared" si="13"/>
        <v>-0.69461033257114657</v>
      </c>
      <c r="BD17" s="31">
        <f t="shared" si="13"/>
        <v>-0.45824014090562459</v>
      </c>
      <c r="BE17" s="31">
        <f t="shared" si="13"/>
        <v>-0.30230478426650625</v>
      </c>
      <c r="BF17" s="31">
        <f t="shared" si="13"/>
        <v>-0.19943294886783053</v>
      </c>
      <c r="BG17" s="31">
        <f t="shared" si="13"/>
        <v>-0.13156755421725361</v>
      </c>
      <c r="BH17" s="31">
        <f t="shared" si="13"/>
        <v>-8.6796196019654562E-2</v>
      </c>
      <c r="BI17" s="31">
        <f t="shared" si="13"/>
        <v>-5.726016333056038E-2</v>
      </c>
      <c r="BJ17" s="31">
        <f t="shared" si="13"/>
        <v>-3.7775000000000003E-2</v>
      </c>
      <c r="BK17" s="31">
        <f t="shared" si="13"/>
        <v>-2.4920477728334056E-2</v>
      </c>
      <c r="BL17" s="31">
        <f t="shared" si="13"/>
        <v>-1.644024381756171E-2</v>
      </c>
      <c r="BM17" s="31">
        <f t="shared" si="13"/>
        <v>-1.0845763862446808E-2</v>
      </c>
      <c r="BN17" s="31">
        <f t="shared" si="13"/>
        <v>-7.1550394912210718E-3</v>
      </c>
      <c r="BO17" s="31">
        <f t="shared" si="13"/>
        <v>-4.7202383133375329E-3</v>
      </c>
      <c r="BP17" s="31">
        <f t="shared" si="13"/>
        <v>-3.1139799804091881E-3</v>
      </c>
      <c r="BQ17" s="31">
        <f t="shared" ref="BQ17:CI17" si="14">$AP$41*EXP(BQ15*$AQ$10)</f>
        <v>-2.0543181667310464E-3</v>
      </c>
      <c r="BR17" s="31">
        <f t="shared" si="14"/>
        <v>-1.3552505657427687E-3</v>
      </c>
      <c r="BS17" s="31">
        <f t="shared" si="14"/>
        <v>-8.9406992825691008E-4</v>
      </c>
      <c r="BT17" s="31">
        <f t="shared" si="14"/>
        <v>-5.8982527424750652E-4</v>
      </c>
      <c r="BU17" s="31">
        <f t="shared" si="14"/>
        <v>-3.8911257737904724E-4</v>
      </c>
      <c r="BV17" s="31">
        <f t="shared" si="14"/>
        <v>-2.5670076289580957E-4</v>
      </c>
      <c r="BW17" s="31">
        <f t="shared" si="14"/>
        <v>-1.6934760144517223E-4</v>
      </c>
      <c r="BX17" s="31">
        <f t="shared" si="14"/>
        <v>-1.1172000344569705E-4</v>
      </c>
      <c r="BY17" s="31">
        <f t="shared" si="14"/>
        <v>-7.3702603777045579E-5</v>
      </c>
      <c r="BZ17" s="31">
        <f t="shared" si="14"/>
        <v>-4.8622212996587554E-5</v>
      </c>
      <c r="CA17" s="31">
        <f t="shared" si="14"/>
        <v>-3.2076473225248798E-5</v>
      </c>
      <c r="CB17" s="31">
        <f t="shared" si="14"/>
        <v>-2.1161112815706585E-5</v>
      </c>
      <c r="CC17" s="31">
        <f t="shared" si="14"/>
        <v>-1.3960159910802929E-5</v>
      </c>
      <c r="CD17" s="31">
        <f t="shared" si="14"/>
        <v>-9.2096321413936784E-6</v>
      </c>
      <c r="CE17" s="31">
        <f t="shared" si="14"/>
        <v>-6.0756699580609023E-6</v>
      </c>
      <c r="CF17" s="31">
        <f t="shared" si="14"/>
        <v>-4.0081693679567173E-6</v>
      </c>
      <c r="CG17" s="31">
        <f t="shared" si="14"/>
        <v>-2.644222249253637E-6</v>
      </c>
      <c r="CH17" s="31">
        <f t="shared" si="14"/>
        <v>-1.744415133588104E-6</v>
      </c>
      <c r="CI17" s="31">
        <f t="shared" si="14"/>
        <v>-1.1508049896903033E-6</v>
      </c>
      <c r="CJ17" s="31">
        <f t="shared" ref="CJ17:CR17" si="15">$AP$41*EXP(CJ15*$AQ$10)</f>
        <v>-7.5919550271960029E-7</v>
      </c>
      <c r="CK17" s="31">
        <f t="shared" si="15"/>
        <v>-5.0084750806022955E-7</v>
      </c>
      <c r="CL17" s="31">
        <f t="shared" si="15"/>
        <v>-3.3041321429269511E-7</v>
      </c>
      <c r="CM17" s="31">
        <f t="shared" si="15"/>
        <v>-2.179763109974421E-7</v>
      </c>
      <c r="CN17" s="31">
        <f t="shared" si="15"/>
        <v>-1.4380076250208266E-7</v>
      </c>
      <c r="CO17" s="31">
        <f t="shared" si="15"/>
        <v>-9.4866543990750637E-8</v>
      </c>
      <c r="CP17" s="31">
        <f t="shared" si="15"/>
        <v>-6.258423816507022E-8</v>
      </c>
      <c r="CQ17" s="31">
        <f t="shared" si="15"/>
        <v>-4.1287335892452239E-8</v>
      </c>
      <c r="CR17" s="31">
        <f t="shared" si="15"/>
        <v>-2.7237594561749916E-8</v>
      </c>
    </row>
    <row r="18" spans="3:96" x14ac:dyDescent="0.15">
      <c r="C18" s="31">
        <f>Stdev!B193</f>
        <v>40</v>
      </c>
      <c r="D18" s="31" t="str">
        <f>Stdev!C193</f>
        <v>log_rec_devs</v>
      </c>
      <c r="E18" s="31">
        <f>Stdev!D193</f>
        <v>1.2592000000000001</v>
      </c>
      <c r="F18" s="31">
        <f>Stdev!E193</f>
        <v>0.12118</v>
      </c>
      <c r="H18">
        <v>1979</v>
      </c>
      <c r="I18" s="3"/>
      <c r="J18" s="3"/>
      <c r="K18" s="3"/>
      <c r="L18" s="3"/>
      <c r="M18" s="3"/>
      <c r="N18" s="3"/>
      <c r="O18" s="3">
        <f>Stdev!D19</f>
        <v>1100.7</v>
      </c>
      <c r="P18" s="3">
        <f>pm.rep!B78</f>
        <v>61942.6</v>
      </c>
      <c r="Q18" s="38">
        <v>1979</v>
      </c>
      <c r="R18" s="3">
        <f>Stdev!D301</f>
        <v>3859.2</v>
      </c>
      <c r="S18" s="3">
        <f>Stdev!E301</f>
        <v>357.13</v>
      </c>
      <c r="T18" s="3">
        <f t="shared" si="1"/>
        <v>3208.4068652355845</v>
      </c>
      <c r="U18" s="3">
        <f t="shared" si="0"/>
        <v>4641.9999911409041</v>
      </c>
      <c r="V18">
        <f t="shared" si="2"/>
        <v>1</v>
      </c>
      <c r="X18" s="38">
        <v>1979</v>
      </c>
      <c r="Y18" s="3">
        <f t="shared" si="3"/>
        <v>3859.2</v>
      </c>
      <c r="Z18" s="3">
        <f t="shared" si="4"/>
        <v>357.13</v>
      </c>
      <c r="AA18" s="19">
        <f t="shared" si="5"/>
        <v>9.2539904643449425E-2</v>
      </c>
      <c r="AB18" s="73">
        <f t="shared" si="6"/>
        <v>3208.4068652355845</v>
      </c>
      <c r="AC18" s="73">
        <f t="shared" si="7"/>
        <v>4641.9999911409041</v>
      </c>
      <c r="AD18" s="19"/>
      <c r="AE18" s="19"/>
      <c r="AH18" s="122" t="s">
        <v>648</v>
      </c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</row>
    <row r="19" spans="3:96" ht="26" x14ac:dyDescent="0.15">
      <c r="C19" s="31">
        <f>Stdev!B194</f>
        <v>41</v>
      </c>
      <c r="D19" s="31" t="str">
        <f>Stdev!C194</f>
        <v>log_rec_devs</v>
      </c>
      <c r="E19" s="31">
        <f>Stdev!D194</f>
        <v>0.34288000000000002</v>
      </c>
      <c r="F19" s="31">
        <f>Stdev!E194</f>
        <v>0.12504999999999999</v>
      </c>
      <c r="H19">
        <v>1980</v>
      </c>
      <c r="I19" s="3"/>
      <c r="J19" s="3"/>
      <c r="K19" s="3"/>
      <c r="L19" s="3"/>
      <c r="M19" s="3"/>
      <c r="N19" s="3"/>
      <c r="O19" s="3">
        <f>Stdev!D20</f>
        <v>1251.5</v>
      </c>
      <c r="P19" s="3">
        <f>pm.rep!B79</f>
        <v>27184.1</v>
      </c>
      <c r="Q19" s="38">
        <v>1980</v>
      </c>
      <c r="R19" s="3">
        <f>Stdev!D302</f>
        <v>4887.3</v>
      </c>
      <c r="S19" s="3">
        <f>Stdev!E302</f>
        <v>382.46</v>
      </c>
      <c r="T19" s="3">
        <f t="shared" si="1"/>
        <v>4180.2332885969563</v>
      </c>
      <c r="U19" s="3">
        <f t="shared" si="0"/>
        <v>5713.9637051254003</v>
      </c>
      <c r="V19">
        <f t="shared" si="2"/>
        <v>1</v>
      </c>
      <c r="X19" s="38">
        <v>1980</v>
      </c>
      <c r="Y19" s="3">
        <f t="shared" si="3"/>
        <v>4887.3</v>
      </c>
      <c r="Z19" s="3">
        <f t="shared" si="4"/>
        <v>382.46</v>
      </c>
      <c r="AA19" s="19">
        <f t="shared" si="5"/>
        <v>7.8255887708959956E-2</v>
      </c>
      <c r="AB19" s="73">
        <f t="shared" si="6"/>
        <v>4180.2332885969563</v>
      </c>
      <c r="AC19" s="73">
        <f t="shared" si="7"/>
        <v>5713.9637051254003</v>
      </c>
      <c r="AD19" s="19"/>
      <c r="AE19" s="19"/>
      <c r="AF19" s="19"/>
      <c r="AG19" s="9" t="s">
        <v>649</v>
      </c>
      <c r="AH19" s="136">
        <v>0.4</v>
      </c>
      <c r="AK19" s="31">
        <f t="shared" ref="AK19:BP19" si="16">$AT$41*EXP(AK15*$AU$10)</f>
        <v>0.30666769108322278</v>
      </c>
      <c r="AL19" s="31">
        <f t="shared" si="16"/>
        <v>0.31255094490447394</v>
      </c>
      <c r="AM19" s="31">
        <f t="shared" si="16"/>
        <v>0.31854706576888503</v>
      </c>
      <c r="AN19" s="31">
        <f t="shared" si="16"/>
        <v>0.32465821896964564</v>
      </c>
      <c r="AO19" s="31">
        <f t="shared" si="16"/>
        <v>0.33088661133992442</v>
      </c>
      <c r="AP19" s="31">
        <f t="shared" si="16"/>
        <v>0.33723449204979078</v>
      </c>
      <c r="AQ19" s="31">
        <f t="shared" si="16"/>
        <v>0.34370415341842575</v>
      </c>
      <c r="AR19" s="31">
        <f t="shared" si="16"/>
        <v>0.35029793174191431</v>
      </c>
      <c r="AS19" s="31">
        <f t="shared" si="16"/>
        <v>0.35701820813691837</v>
      </c>
      <c r="AT19" s="31">
        <f t="shared" si="16"/>
        <v>0.36386740940053541</v>
      </c>
      <c r="AU19" s="31">
        <f t="shared" si="16"/>
        <v>0.37084800888665315</v>
      </c>
      <c r="AV19" s="31">
        <f t="shared" si="16"/>
        <v>0.37796252739911579</v>
      </c>
      <c r="AW19" s="31">
        <f t="shared" si="16"/>
        <v>0.38521353410202641</v>
      </c>
      <c r="AX19" s="31">
        <f t="shared" si="16"/>
        <v>0.39260364744751208</v>
      </c>
      <c r="AY19" s="31">
        <f t="shared" si="16"/>
        <v>0.40013553612128788</v>
      </c>
      <c r="AZ19" s="31">
        <f t="shared" si="16"/>
        <v>0.40781192000636129</v>
      </c>
      <c r="BA19" s="31">
        <f t="shared" si="16"/>
        <v>0.41563557116522454</v>
      </c>
      <c r="BB19" s="31">
        <f t="shared" si="16"/>
        <v>0.42360931484088971</v>
      </c>
      <c r="BC19" s="31">
        <f t="shared" si="16"/>
        <v>0.43173603047712839</v>
      </c>
      <c r="BD19" s="31">
        <f t="shared" si="16"/>
        <v>0.44001865275828372</v>
      </c>
      <c r="BE19" s="31">
        <f t="shared" si="16"/>
        <v>0.44846017266903104</v>
      </c>
      <c r="BF19" s="31">
        <f t="shared" si="16"/>
        <v>0.45706363857446936</v>
      </c>
      <c r="BG19" s="31">
        <f t="shared" si="16"/>
        <v>0.4658321573209338</v>
      </c>
      <c r="BH19" s="31">
        <f t="shared" si="16"/>
        <v>0.47476889535792599</v>
      </c>
      <c r="BI19" s="31">
        <f t="shared" si="16"/>
        <v>0.48387707988156953</v>
      </c>
      <c r="BJ19" s="31">
        <f t="shared" si="16"/>
        <v>0.49315999999999999</v>
      </c>
      <c r="BK19" s="31">
        <f t="shared" si="16"/>
        <v>0.50262100792111419</v>
      </c>
      <c r="BL19" s="31">
        <f t="shared" si="16"/>
        <v>0.51226352016310495</v>
      </c>
      <c r="BM19" s="31">
        <f t="shared" si="16"/>
        <v>0.52209101878821851</v>
      </c>
      <c r="BN19" s="31">
        <f t="shared" si="16"/>
        <v>0.53210705266018288</v>
      </c>
      <c r="BO19" s="31">
        <f t="shared" si="16"/>
        <v>0.54231523872575749</v>
      </c>
      <c r="BP19" s="31">
        <f t="shared" si="16"/>
        <v>0.55271926332086929</v>
      </c>
      <c r="BQ19" s="31">
        <f t="shared" ref="BQ19:CI19" si="17">$AT$41*EXP(BQ15*$AU$10)</f>
        <v>0.56332288350180693</v>
      </c>
      <c r="BR19" s="31">
        <f t="shared" si="17"/>
        <v>0.57412992840195209</v>
      </c>
      <c r="BS19" s="31">
        <f t="shared" si="17"/>
        <v>0.58514430061453948</v>
      </c>
      <c r="BT19" s="31">
        <f t="shared" si="17"/>
        <v>0.59636997760194532</v>
      </c>
      <c r="BU19" s="31">
        <f t="shared" si="17"/>
        <v>0.60781101313201014</v>
      </c>
      <c r="BV19" s="31">
        <f t="shared" si="17"/>
        <v>0.61947153874191851</v>
      </c>
      <c r="BW19" s="31">
        <f t="shared" si="17"/>
        <v>0.63135576523016201</v>
      </c>
      <c r="BX19" s="31">
        <f t="shared" si="17"/>
        <v>0.64346798417712392</v>
      </c>
      <c r="BY19" s="31">
        <f t="shared" si="17"/>
        <v>0.65581256949483657</v>
      </c>
      <c r="BZ19" s="31">
        <f t="shared" si="17"/>
        <v>0.66839397900646957</v>
      </c>
      <c r="CA19" s="31">
        <f t="shared" si="17"/>
        <v>0.68121675605611942</v>
      </c>
      <c r="CB19" s="31">
        <f t="shared" si="17"/>
        <v>0.6942855311494821</v>
      </c>
      <c r="CC19" s="31">
        <f t="shared" si="17"/>
        <v>0.70760502362600142</v>
      </c>
      <c r="CD19" s="31">
        <f t="shared" si="17"/>
        <v>0.7211800433630966</v>
      </c>
      <c r="CE19" s="31">
        <f t="shared" si="17"/>
        <v>0.73501549251308407</v>
      </c>
      <c r="CF19" s="31">
        <f t="shared" si="17"/>
        <v>0.74911636727342146</v>
      </c>
      <c r="CG19" s="31">
        <f t="shared" si="17"/>
        <v>0.7634877596909132</v>
      </c>
      <c r="CH19" s="31">
        <f t="shared" si="17"/>
        <v>0.77813485950052763</v>
      </c>
      <c r="CI19" s="31">
        <f t="shared" si="17"/>
        <v>0.79306295599949284</v>
      </c>
      <c r="CJ19" s="31">
        <f t="shared" ref="CJ19:CR19" si="18">$AT$41*EXP(CJ15*$AU$10)</f>
        <v>0.80827743995734325</v>
      </c>
      <c r="CK19" s="31">
        <f t="shared" si="18"/>
        <v>0.8237838055626121</v>
      </c>
      <c r="CL19" s="31">
        <f t="shared" si="18"/>
        <v>0.83958765240686872</v>
      </c>
      <c r="CM19" s="31">
        <f t="shared" si="18"/>
        <v>0.85569468750681821</v>
      </c>
      <c r="CN19" s="31">
        <f t="shared" si="18"/>
        <v>0.87211072736519557</v>
      </c>
      <c r="CO19" s="31">
        <f t="shared" si="18"/>
        <v>0.88884170007119545</v>
      </c>
      <c r="CP19" s="31">
        <f t="shared" si="18"/>
        <v>0.9058936474411976</v>
      </c>
      <c r="CQ19" s="31">
        <f t="shared" si="18"/>
        <v>0.92327272720056219</v>
      </c>
      <c r="CR19" s="31">
        <f t="shared" si="18"/>
        <v>0.94098521520728073</v>
      </c>
    </row>
    <row r="20" spans="3:96" s="4" customFormat="1" x14ac:dyDescent="0.15">
      <c r="C20" s="31">
        <f>Stdev!B195</f>
        <v>42</v>
      </c>
      <c r="D20" s="31" t="str">
        <f>Stdev!C195</f>
        <v>log_rec_devs</v>
      </c>
      <c r="E20" s="31">
        <f>Stdev!D195</f>
        <v>0.46717999999999998</v>
      </c>
      <c r="F20" s="31">
        <f>Stdev!E195</f>
        <v>0.12528</v>
      </c>
      <c r="G20"/>
      <c r="H20" s="42">
        <v>1981</v>
      </c>
      <c r="I20" s="3"/>
      <c r="J20" s="3"/>
      <c r="K20" s="3"/>
      <c r="L20" s="3"/>
      <c r="M20" s="3"/>
      <c r="N20" s="3"/>
      <c r="O20" s="3">
        <f>Stdev!D21</f>
        <v>1985.8</v>
      </c>
      <c r="P20" s="3">
        <f>pm.rep!B80</f>
        <v>30738.1</v>
      </c>
      <c r="Q20" s="38">
        <v>1981</v>
      </c>
      <c r="R20" s="3">
        <f>Stdev!D303</f>
        <v>9054.2999999999993</v>
      </c>
      <c r="S20" s="3">
        <f>Stdev!E303</f>
        <v>498.11</v>
      </c>
      <c r="T20" s="3">
        <f t="shared" si="1"/>
        <v>8111.6038966130154</v>
      </c>
      <c r="U20" s="3">
        <f t="shared" si="0"/>
        <v>10106.552234907664</v>
      </c>
      <c r="V20">
        <f t="shared" si="2"/>
        <v>1</v>
      </c>
      <c r="W20"/>
      <c r="X20" s="38">
        <v>1981</v>
      </c>
      <c r="Y20" s="3">
        <f t="shared" si="3"/>
        <v>9054.2999999999993</v>
      </c>
      <c r="Z20" s="3">
        <f t="shared" si="4"/>
        <v>498.11</v>
      </c>
      <c r="AA20" s="19">
        <f t="shared" ref="AA20:AA35" si="19">Z20/Y20</f>
        <v>5.5013639927990021E-2</v>
      </c>
      <c r="AB20" s="73">
        <f t="shared" si="6"/>
        <v>8111.6038966130154</v>
      </c>
      <c r="AC20" s="73">
        <f t="shared" si="7"/>
        <v>10106.552234907664</v>
      </c>
      <c r="AF20">
        <f>INDEX($AK20:$CR20,$AH20)</f>
        <v>0.39462423626412613</v>
      </c>
      <c r="AG20">
        <f>INDEX($AL20:$CS20,$AH20+1)</f>
        <v>0.41446980443633946</v>
      </c>
      <c r="AH20">
        <f>MATCH($AH$19,$AK20:$CR20,1)</f>
        <v>8</v>
      </c>
      <c r="AI20" s="23">
        <f>INDEX($AK$23:$CR$23,$AH20)+(INDEX($AK$23:$CR$23,$AH20+1)-INDEX($AK$23:$CR$23,$AH20))*($AH$19-AF20)/(AG20-AF20)</f>
        <v>1.6818971529950821E-2</v>
      </c>
      <c r="AJ20" t="str">
        <f>AE3&amp;" SSB/B0"</f>
        <v>2015 SSB/B0</v>
      </c>
      <c r="AK20">
        <f>$AF3*EXP(AK$15*$AH3)</f>
        <v>0.33235464902547468</v>
      </c>
      <c r="AL20">
        <f t="shared" ref="AL20:CR20" si="20">$AF3*EXP(AL$15*$AH3)</f>
        <v>0.34060916451714002</v>
      </c>
      <c r="AM20">
        <f t="shared" si="20"/>
        <v>0.34906869301585053</v>
      </c>
      <c r="AN20">
        <f t="shared" si="20"/>
        <v>0.35773832632052521</v>
      </c>
      <c r="AO20">
        <f t="shared" si="20"/>
        <v>0.36662328269238231</v>
      </c>
      <c r="AP20">
        <f t="shared" si="20"/>
        <v>0.37572890999581604</v>
      </c>
      <c r="AQ20">
        <f t="shared" si="20"/>
        <v>0.38506068891728157</v>
      </c>
      <c r="AR20">
        <f t="shared" si="20"/>
        <v>0.39462423626412613</v>
      </c>
      <c r="AS20">
        <f t="shared" si="20"/>
        <v>0.4044253083453509</v>
      </c>
      <c r="AT20">
        <f t="shared" si="20"/>
        <v>0.41446980443633946</v>
      </c>
      <c r="AU20">
        <f t="shared" si="20"/>
        <v>0.42476377032963747</v>
      </c>
      <c r="AV20">
        <f t="shared" si="20"/>
        <v>0.43531340197392193</v>
      </c>
      <c r="AW20">
        <f t="shared" si="20"/>
        <v>0.44612504920334844</v>
      </c>
      <c r="AX20">
        <f t="shared" si="20"/>
        <v>0.45720521955952348</v>
      </c>
      <c r="AY20">
        <f t="shared" si="20"/>
        <v>0.46856058220840008</v>
      </c>
      <c r="AZ20">
        <f t="shared" si="20"/>
        <v>0.48019797195445568</v>
      </c>
      <c r="BA20">
        <f t="shared" si="20"/>
        <v>0.49212439335456831</v>
      </c>
      <c r="BB20">
        <f t="shared" si="20"/>
        <v>0.50434702493406625</v>
      </c>
      <c r="BC20">
        <f t="shared" si="20"/>
        <v>0.51687322350748977</v>
      </c>
      <c r="BD20">
        <f t="shared" si="20"/>
        <v>0.5297105286066659</v>
      </c>
      <c r="BE20">
        <f t="shared" si="20"/>
        <v>0.54286666701875963</v>
      </c>
      <c r="BF20">
        <f t="shared" si="20"/>
        <v>0.55634955743703574</v>
      </c>
      <c r="BG20">
        <f t="shared" si="20"/>
        <v>0.57016731522712816</v>
      </c>
      <c r="BH20">
        <f t="shared" si="20"/>
        <v>0.58432825731168681</v>
      </c>
      <c r="BI20">
        <f t="shared" si="20"/>
        <v>0.59884090717634231</v>
      </c>
      <c r="BJ20">
        <f t="shared" si="20"/>
        <v>0.61371399999999998</v>
      </c>
      <c r="BK20">
        <f t="shared" si="20"/>
        <v>0.62895648791255399</v>
      </c>
      <c r="BL20">
        <f t="shared" si="20"/>
        <v>0.64457754538318279</v>
      </c>
      <c r="BM20">
        <f t="shared" si="20"/>
        <v>0.66058657474247218</v>
      </c>
      <c r="BN20">
        <f t="shared" si="20"/>
        <v>0.67699321184168704</v>
      </c>
      <c r="BO20">
        <f t="shared" si="20"/>
        <v>0.69380733185260102</v>
      </c>
      <c r="BP20">
        <f t="shared" si="20"/>
        <v>0.71103905521137167</v>
      </c>
      <c r="BQ20">
        <f t="shared" si="20"/>
        <v>0.72869875371004234</v>
      </c>
      <c r="BR20">
        <f t="shared" si="20"/>
        <v>0.74679705673933361</v>
      </c>
      <c r="BS20">
        <f t="shared" si="20"/>
        <v>0.76534485768648519</v>
      </c>
      <c r="BT20">
        <f t="shared" si="20"/>
        <v>0.78435332049199658</v>
      </c>
      <c r="BU20">
        <f t="shared" si="20"/>
        <v>0.80383388636921438</v>
      </c>
      <c r="BV20">
        <f t="shared" si="20"/>
        <v>0.82379828069081051</v>
      </c>
      <c r="BW20">
        <f t="shared" si="20"/>
        <v>0.84425852004629609</v>
      </c>
      <c r="BX20">
        <f t="shared" si="20"/>
        <v>0.86522691947481889</v>
      </c>
      <c r="BY20">
        <f t="shared" si="20"/>
        <v>0.88671609987759803</v>
      </c>
      <c r="BZ20">
        <f t="shared" si="20"/>
        <v>0.90873899561445803</v>
      </c>
      <c r="CA20">
        <f t="shared" si="20"/>
        <v>0.93130886228903265</v>
      </c>
      <c r="CB20">
        <f t="shared" si="20"/>
        <v>0.95443928472732631</v>
      </c>
      <c r="CC20">
        <f t="shared" si="20"/>
        <v>0.97814418515443557</v>
      </c>
      <c r="CD20">
        <f t="shared" si="20"/>
        <v>1.0024378315743501</v>
      </c>
      <c r="CE20">
        <f t="shared" si="20"/>
        <v>1.0273348463578793</v>
      </c>
      <c r="CF20">
        <f t="shared" si="20"/>
        <v>1.0528502150438723</v>
      </c>
      <c r="CG20">
        <f t="shared" si="20"/>
        <v>1.0789992953590293</v>
      </c>
      <c r="CH20">
        <f t="shared" si="20"/>
        <v>1.1057978264617321</v>
      </c>
      <c r="CI20">
        <f t="shared" si="20"/>
        <v>1.1332619384154621</v>
      </c>
      <c r="CJ20">
        <f t="shared" si="20"/>
        <v>1.1614081618974996</v>
      </c>
      <c r="CK20">
        <f t="shared" si="20"/>
        <v>1.1902534381487571</v>
      </c>
      <c r="CL20">
        <f t="shared" si="20"/>
        <v>1.2198151291707287</v>
      </c>
      <c r="CM20">
        <f t="shared" si="20"/>
        <v>1.2501110281756975</v>
      </c>
      <c r="CN20">
        <f t="shared" si="20"/>
        <v>1.2811593702964874</v>
      </c>
      <c r="CO20">
        <f t="shared" si="20"/>
        <v>1.3129788435622096</v>
      </c>
      <c r="CP20">
        <f t="shared" si="20"/>
        <v>1.3455886001466058</v>
      </c>
      <c r="CQ20">
        <f t="shared" si="20"/>
        <v>1.3790082678957611</v>
      </c>
      <c r="CR20">
        <f t="shared" si="20"/>
        <v>1.4132579621421253</v>
      </c>
    </row>
    <row r="21" spans="3:96" x14ac:dyDescent="0.15">
      <c r="C21" s="31">
        <f>Stdev!B196</f>
        <v>43</v>
      </c>
      <c r="D21" s="31" t="str">
        <f>Stdev!C196</f>
        <v>log_rec_devs</v>
      </c>
      <c r="E21" s="31">
        <f>Stdev!D196</f>
        <v>-0.17888999999999999</v>
      </c>
      <c r="F21" s="31">
        <f>Stdev!E196</f>
        <v>0.14557</v>
      </c>
      <c r="H21" s="21">
        <v>1982</v>
      </c>
      <c r="I21" s="3"/>
      <c r="J21" s="3"/>
      <c r="K21" s="3"/>
      <c r="L21" s="3"/>
      <c r="M21" s="3"/>
      <c r="N21" s="3"/>
      <c r="O21" s="3">
        <f>Stdev!D22</f>
        <v>2946</v>
      </c>
      <c r="P21" s="3">
        <f>pm.rep!B81</f>
        <v>16305.4</v>
      </c>
      <c r="Q21" s="38">
        <v>1982</v>
      </c>
      <c r="R21" s="3">
        <f>Stdev!D304</f>
        <v>10289</v>
      </c>
      <c r="S21" s="3">
        <f>Stdev!E304</f>
        <v>533.91</v>
      </c>
      <c r="T21" s="3">
        <f t="shared" si="1"/>
        <v>9275.3694941225222</v>
      </c>
      <c r="U21" s="3">
        <f t="shared" si="0"/>
        <v>11413.402028574928</v>
      </c>
      <c r="V21">
        <f t="shared" si="2"/>
        <v>1</v>
      </c>
      <c r="X21" s="38">
        <v>1982</v>
      </c>
      <c r="Y21" s="3">
        <f t="shared" si="3"/>
        <v>10289</v>
      </c>
      <c r="Z21" s="3">
        <f t="shared" si="4"/>
        <v>533.91</v>
      </c>
      <c r="AA21" s="19">
        <f t="shared" si="19"/>
        <v>5.1891340266303813E-2</v>
      </c>
      <c r="AB21" s="73">
        <f t="shared" si="6"/>
        <v>9275.3694941225222</v>
      </c>
      <c r="AC21" s="73">
        <f t="shared" si="7"/>
        <v>11413.402028574928</v>
      </c>
      <c r="AF21">
        <f>INDEX($AK21:$CR21,$AH21)</f>
        <v>0.39938176965211736</v>
      </c>
      <c r="AG21">
        <f>INDEX($AL21:$CS21,$AH21+1)</f>
        <v>0.41986445940126993</v>
      </c>
      <c r="AH21">
        <f>MATCH($AH$19,$AK21:$CR21,1)</f>
        <v>7</v>
      </c>
      <c r="AI21" s="23">
        <f>INDEX($AK$23:$CR$23,$AH21)+(INDEX($AK$23:$CR$23,$AH21+1)-INDEX($AK$23:$CR$23,$AH21))*($AH$19-AF21)/(AG21-AF21)</f>
        <v>1.1427066314413108E-2</v>
      </c>
      <c r="AJ21" t="str">
        <f>AE4&amp;" SSB/B0, C = "&amp;TEXT(AI4,"#,##0")</f>
        <v>2016 SSB/B0, C = 1,000</v>
      </c>
      <c r="AK21">
        <f t="shared" ref="AK21:CR21" si="21">$AF4*EXP(AK$15*$AH4)</f>
        <v>0.3437364644184861</v>
      </c>
      <c r="AL21">
        <f t="shared" si="21"/>
        <v>0.35244069110347626</v>
      </c>
      <c r="AM21">
        <f t="shared" si="21"/>
        <v>0.36136532955744133</v>
      </c>
      <c r="AN21">
        <f t="shared" si="21"/>
        <v>0.37051596113179391</v>
      </c>
      <c r="AO21">
        <f t="shared" si="21"/>
        <v>0.3798983085110692</v>
      </c>
      <c r="AP21">
        <f t="shared" si="21"/>
        <v>0.38951823929181656</v>
      </c>
      <c r="AQ21">
        <f t="shared" si="21"/>
        <v>0.39938176965211736</v>
      </c>
      <c r="AR21">
        <f t="shared" si="21"/>
        <v>0.40949506811402353</v>
      </c>
      <c r="AS21">
        <f t="shared" si="21"/>
        <v>0.41986445940126993</v>
      </c>
      <c r="AT21">
        <f t="shared" si="21"/>
        <v>0.43049642839467339</v>
      </c>
      <c r="AU21">
        <f t="shared" si="21"/>
        <v>0.44139762418769191</v>
      </c>
      <c r="AV21">
        <f t="shared" si="21"/>
        <v>0.45257486424467991</v>
      </c>
      <c r="AW21">
        <f t="shared" si="21"/>
        <v>0.46403513866444107</v>
      </c>
      <c r="AX21">
        <f t="shared" si="21"/>
        <v>0.47578561455174384</v>
      </c>
      <c r="AY21">
        <f t="shared" si="21"/>
        <v>0.48783364049953437</v>
      </c>
      <c r="AZ21">
        <f t="shared" si="21"/>
        <v>0.50018675118465028</v>
      </c>
      <c r="BA21">
        <f t="shared" si="21"/>
        <v>0.51285267207990748</v>
      </c>
      <c r="BB21">
        <f t="shared" si="21"/>
        <v>0.52583932428551017</v>
      </c>
      <c r="BC21">
        <f t="shared" si="21"/>
        <v>0.53915482948280213</v>
      </c>
      <c r="BD21">
        <f t="shared" si="21"/>
        <v>0.55280751501345926</v>
      </c>
      <c r="BE21">
        <f t="shared" si="21"/>
        <v>0.56680591908729971</v>
      </c>
      <c r="BF21">
        <f t="shared" si="21"/>
        <v>0.58115879612196764</v>
      </c>
      <c r="BG21">
        <f t="shared" si="21"/>
        <v>0.5958751222178309</v>
      </c>
      <c r="BH21">
        <f t="shared" si="21"/>
        <v>0.61096410077151631</v>
      </c>
      <c r="BI21">
        <f t="shared" si="21"/>
        <v>0.62643516823159229</v>
      </c>
      <c r="BJ21">
        <f t="shared" si="21"/>
        <v>0.64229800000000004</v>
      </c>
      <c r="BK21">
        <f t="shared" si="21"/>
        <v>0.65856251648292197</v>
      </c>
      <c r="BL21">
        <f t="shared" si="21"/>
        <v>0.67523888929487386</v>
      </c>
      <c r="BM21">
        <f t="shared" si="21"/>
        <v>0.69233754761989807</v>
      </c>
      <c r="BN21">
        <f t="shared" si="21"/>
        <v>0.7098691847338382</v>
      </c>
      <c r="BO21">
        <f t="shared" si="21"/>
        <v>0.72784476469177362</v>
      </c>
      <c r="BP21">
        <f t="shared" si="21"/>
        <v>0.74627552918479356</v>
      </c>
      <c r="BQ21">
        <f t="shared" si="21"/>
        <v>0.76517300457040494</v>
      </c>
      <c r="BR21">
        <f t="shared" si="21"/>
        <v>0.7845490090809627</v>
      </c>
      <c r="BS21">
        <f t="shared" si="21"/>
        <v>0.80441566021463817</v>
      </c>
      <c r="BT21">
        <f t="shared" si="21"/>
        <v>0.82478538231354159</v>
      </c>
      <c r="BU21">
        <f t="shared" si="21"/>
        <v>0.84567091433374364</v>
      </c>
      <c r="BV21">
        <f t="shared" si="21"/>
        <v>0.86708531781204945</v>
      </c>
      <c r="BW21">
        <f t="shared" si="21"/>
        <v>0.88904198503451259</v>
      </c>
      <c r="BX21">
        <f t="shared" si="21"/>
        <v>0.91155464741179471</v>
      </c>
      <c r="BY21">
        <f t="shared" si="21"/>
        <v>0.9346373840666079</v>
      </c>
      <c r="BZ21">
        <f t="shared" si="21"/>
        <v>0.95830463063861404</v>
      </c>
      <c r="CA21">
        <f t="shared" si="21"/>
        <v>0.98257118831228307</v>
      </c>
      <c r="CB21">
        <f t="shared" si="21"/>
        <v>1.0074522330733584</v>
      </c>
      <c r="CC21">
        <f t="shared" si="21"/>
        <v>1.0329633251997208</v>
      </c>
      <c r="CD21">
        <f t="shared" si="21"/>
        <v>1.059120418992578</v>
      </c>
      <c r="CE21">
        <f t="shared" si="21"/>
        <v>1.0859398727540781</v>
      </c>
      <c r="CF21">
        <f t="shared" si="21"/>
        <v>1.1134384590175743</v>
      </c>
      <c r="CG21">
        <f t="shared" si="21"/>
        <v>1.1416333750369458</v>
      </c>
      <c r="CH21">
        <f t="shared" si="21"/>
        <v>1.1705422535415377</v>
      </c>
      <c r="CI21">
        <f t="shared" si="21"/>
        <v>1.2001831737634332</v>
      </c>
      <c r="CJ21">
        <f t="shared" si="21"/>
        <v>1.2305746727439701</v>
      </c>
      <c r="CK21">
        <f t="shared" si="21"/>
        <v>1.2617357569265624</v>
      </c>
      <c r="CL21">
        <f t="shared" si="21"/>
        <v>1.2936859140430785</v>
      </c>
      <c r="CM21">
        <f t="shared" si="21"/>
        <v>1.3264451253012135</v>
      </c>
      <c r="CN21">
        <f t="shared" si="21"/>
        <v>1.3600338778804726</v>
      </c>
      <c r="CO21">
        <f t="shared" si="21"/>
        <v>1.3944731777445845</v>
      </c>
      <c r="CP21">
        <f t="shared" si="21"/>
        <v>1.4297845627783528</v>
      </c>
      <c r="CQ21">
        <f t="shared" si="21"/>
        <v>1.4659901162571678</v>
      </c>
      <c r="CR21">
        <f t="shared" si="21"/>
        <v>1.5031124806575948</v>
      </c>
    </row>
    <row r="22" spans="3:96" x14ac:dyDescent="0.15">
      <c r="C22" s="31">
        <f>Stdev!B197</f>
        <v>44</v>
      </c>
      <c r="D22" s="31" t="str">
        <f>Stdev!C197</f>
        <v>log_rec_devs</v>
      </c>
      <c r="E22" s="31">
        <f>Stdev!D197</f>
        <v>1.0367999999999999</v>
      </c>
      <c r="F22" s="31">
        <f>Stdev!E197</f>
        <v>0.11239</v>
      </c>
      <c r="H22">
        <v>1983</v>
      </c>
      <c r="I22" s="3"/>
      <c r="J22" s="3"/>
      <c r="K22" s="3"/>
      <c r="L22" s="3"/>
      <c r="M22" s="3"/>
      <c r="N22" s="3"/>
      <c r="O22" s="3">
        <f>Stdev!D23</f>
        <v>3594.3</v>
      </c>
      <c r="P22" s="3">
        <f>pm.rep!B82</f>
        <v>52162.3</v>
      </c>
      <c r="Q22" s="38">
        <v>1983</v>
      </c>
      <c r="R22" s="3">
        <f>Stdev!D305</f>
        <v>11383</v>
      </c>
      <c r="S22" s="3">
        <f>Stdev!E305</f>
        <v>548.78</v>
      </c>
      <c r="T22" s="3">
        <f t="shared" si="1"/>
        <v>10337.271870029082</v>
      </c>
      <c r="U22" s="3">
        <f t="shared" si="0"/>
        <v>12534.514969628583</v>
      </c>
      <c r="V22">
        <f t="shared" si="2"/>
        <v>1</v>
      </c>
      <c r="X22" s="38">
        <v>1983</v>
      </c>
      <c r="Y22" s="3">
        <f t="shared" si="3"/>
        <v>11383</v>
      </c>
      <c r="Z22" s="3">
        <f t="shared" si="4"/>
        <v>548.78</v>
      </c>
      <c r="AA22" s="19">
        <f t="shared" si="19"/>
        <v>4.8210489326188176E-2</v>
      </c>
      <c r="AB22" s="73">
        <f t="shared" si="6"/>
        <v>10337.271870029082</v>
      </c>
      <c r="AC22" s="73">
        <f t="shared" si="7"/>
        <v>12534.514969628583</v>
      </c>
      <c r="AF22">
        <f>INDEX($AK22:$CR22,$AH22)</f>
        <v>0.39718041719129243</v>
      </c>
      <c r="AG22">
        <f>INDEX($AL22:$CS22,$AH22+1)</f>
        <v>0.4175857895026876</v>
      </c>
      <c r="AH22">
        <f>MATCH($AH$19,$AK22:$CR22,1)</f>
        <v>7</v>
      </c>
      <c r="AI22" s="23">
        <f>INDEX($AK$23:$CR$23,$AH22)+(INDEX($AK$23:$CR$23,$AH22+1)-INDEX($AK$23:$CR$23,$AH22))*($AH$19-AF22)/(AG22-AF22)</f>
        <v>1.1867956472467574E-2</v>
      </c>
      <c r="AJ22" t="str">
        <f>AE5&amp;" SSB/B0, C = "&amp;TEXT(ROUND(AI5,-2),"#,#00")</f>
        <v>2016 SSB/B0, C = 1,300</v>
      </c>
      <c r="AK22">
        <f t="shared" ref="AK22:CR22" si="22">$AF5*EXP(AK$15*$AH5)</f>
        <v>0.34175444913866654</v>
      </c>
      <c r="AL22">
        <f t="shared" si="22"/>
        <v>0.35042341600026744</v>
      </c>
      <c r="AM22">
        <f t="shared" si="22"/>
        <v>0.35931228047150282</v>
      </c>
      <c r="AN22">
        <f t="shared" si="22"/>
        <v>0.36842662049026248</v>
      </c>
      <c r="AO22">
        <f t="shared" si="22"/>
        <v>0.37777215548479237</v>
      </c>
      <c r="AP22">
        <f t="shared" si="22"/>
        <v>0.38735474996274882</v>
      </c>
      <c r="AQ22">
        <f t="shared" si="22"/>
        <v>0.39718041719129243</v>
      </c>
      <c r="AR22">
        <f t="shared" si="22"/>
        <v>0.40725532297053241</v>
      </c>
      <c r="AS22">
        <f t="shared" si="22"/>
        <v>0.4175857895026876</v>
      </c>
      <c r="AT22">
        <f t="shared" si="22"/>
        <v>0.428178299359393</v>
      </c>
      <c r="AU22">
        <f t="shared" si="22"/>
        <v>0.43903949954964167</v>
      </c>
      <c r="AV22">
        <f t="shared" si="22"/>
        <v>0.45017620569091382</v>
      </c>
      <c r="AW22">
        <f t="shared" si="22"/>
        <v>0.46159540628611168</v>
      </c>
      <c r="AX22">
        <f t="shared" si="22"/>
        <v>0.47330426710898243</v>
      </c>
      <c r="AY22">
        <f t="shared" si="22"/>
        <v>0.48531013570078319</v>
      </c>
      <c r="AZ22">
        <f t="shared" si="22"/>
        <v>0.49762054598100774</v>
      </c>
      <c r="BA22">
        <f t="shared" si="22"/>
        <v>0.51024322297507008</v>
      </c>
      <c r="BB22">
        <f t="shared" si="22"/>
        <v>0.52318608766191022</v>
      </c>
      <c r="BC22">
        <f t="shared" si="22"/>
        <v>0.53645726194456445</v>
      </c>
      <c r="BD22">
        <f t="shared" si="22"/>
        <v>0.55006507374682023</v>
      </c>
      <c r="BE22">
        <f t="shared" si="22"/>
        <v>0.56401806223915274</v>
      </c>
      <c r="BF22">
        <f t="shared" si="22"/>
        <v>0.57832498319722248</v>
      </c>
      <c r="BG22">
        <f t="shared" si="22"/>
        <v>0.59299481449629776</v>
      </c>
      <c r="BH22">
        <f t="shared" si="22"/>
        <v>0.60803676174504817</v>
      </c>
      <c r="BI22">
        <f t="shared" si="22"/>
        <v>0.62346026406224608</v>
      </c>
      <c r="BJ22">
        <f t="shared" si="22"/>
        <v>0.63927500000000004</v>
      </c>
      <c r="BK22">
        <f t="shared" si="22"/>
        <v>0.65549089361723667</v>
      </c>
      <c r="BL22">
        <f t="shared" si="22"/>
        <v>0.67211812070724408</v>
      </c>
      <c r="BM22">
        <f t="shared" si="22"/>
        <v>0.68916711518318263</v>
      </c>
      <c r="BN22">
        <f t="shared" si="22"/>
        <v>0.70664857562557182</v>
      </c>
      <c r="BO22">
        <f t="shared" si="22"/>
        <v>0.7245734719958602</v>
      </c>
      <c r="BP22">
        <f t="shared" si="22"/>
        <v>0.74295305252029287</v>
      </c>
      <c r="BQ22">
        <f t="shared" si="22"/>
        <v>0.76179885074839537</v>
      </c>
      <c r="BR22">
        <f t="shared" si="22"/>
        <v>0.78112269279050428</v>
      </c>
      <c r="BS22">
        <f t="shared" si="22"/>
        <v>0.80093670473888356</v>
      </c>
      <c r="BT22">
        <f t="shared" si="22"/>
        <v>0.82125332027708819</v>
      </c>
      <c r="BU22">
        <f t="shared" si="22"/>
        <v>0.84208528848234521</v>
      </c>
      <c r="BV22">
        <f t="shared" si="22"/>
        <v>0.86344568182585102</v>
      </c>
      <c r="BW22">
        <f t="shared" si="22"/>
        <v>0.88534790437600597</v>
      </c>
      <c r="BX22">
        <f t="shared" si="22"/>
        <v>0.90780570020973117</v>
      </c>
      <c r="BY22">
        <f t="shared" si="22"/>
        <v>0.93083316203714828</v>
      </c>
      <c r="BZ22">
        <f t="shared" si="22"/>
        <v>0.95444474004503277</v>
      </c>
      <c r="CA22">
        <f t="shared" si="22"/>
        <v>0.97865525096459205</v>
      </c>
      <c r="CB22">
        <f t="shared" si="22"/>
        <v>1.0034798873692565</v>
      </c>
      <c r="CC22">
        <f t="shared" si="22"/>
        <v>1.0289342272083186</v>
      </c>
      <c r="CD22">
        <f t="shared" si="22"/>
        <v>1.0550342435824045</v>
      </c>
      <c r="CE22">
        <f t="shared" si="22"/>
        <v>1.0817963147669087</v>
      </c>
      <c r="CF22">
        <f t="shared" si="22"/>
        <v>1.1092372344896866</v>
      </c>
      <c r="CG22">
        <f t="shared" si="22"/>
        <v>1.1373742224694487</v>
      </c>
      <c r="CH22">
        <f t="shared" si="22"/>
        <v>1.1662249352214753</v>
      </c>
      <c r="CI22">
        <f t="shared" si="22"/>
        <v>1.1958074771374272</v>
      </c>
      <c r="CJ22">
        <f t="shared" si="22"/>
        <v>1.2261404118462094</v>
      </c>
      <c r="CK22">
        <f t="shared" si="22"/>
        <v>1.2572427738630141</v>
      </c>
      <c r="CL22">
        <f t="shared" si="22"/>
        <v>1.2891340805338551</v>
      </c>
      <c r="CM22">
        <f t="shared" si="22"/>
        <v>1.3218343442830887</v>
      </c>
      <c r="CN22">
        <f t="shared" si="22"/>
        <v>1.355364085171602</v>
      </c>
      <c r="CO22">
        <f t="shared" si="22"/>
        <v>1.3897443437735588</v>
      </c>
      <c r="CP22">
        <f t="shared" si="22"/>
        <v>1.4249966943797741</v>
      </c>
      <c r="CQ22">
        <f t="shared" si="22"/>
        <v>1.4611432585360078</v>
      </c>
      <c r="CR22">
        <f t="shared" si="22"/>
        <v>1.4982067189246706</v>
      </c>
    </row>
    <row r="23" spans="3:96" x14ac:dyDescent="0.15">
      <c r="C23" s="31">
        <f>Stdev!B198</f>
        <v>45</v>
      </c>
      <c r="D23" s="31" t="str">
        <f>Stdev!C198</f>
        <v>log_rec_devs</v>
      </c>
      <c r="E23" s="31">
        <f>Stdev!D198</f>
        <v>-0.35632999999999998</v>
      </c>
      <c r="F23" s="31">
        <f>Stdev!E198</f>
        <v>0.14691000000000001</v>
      </c>
      <c r="H23" s="21">
        <v>1984</v>
      </c>
      <c r="I23" s="3"/>
      <c r="J23" s="3"/>
      <c r="K23" s="3"/>
      <c r="L23" s="3"/>
      <c r="M23" s="3"/>
      <c r="N23" s="3"/>
      <c r="O23" s="3">
        <f>Stdev!D24</f>
        <v>3812.4</v>
      </c>
      <c r="P23" s="3">
        <f>pm.rep!B83</f>
        <v>13572.8</v>
      </c>
      <c r="Q23" s="38">
        <v>1984</v>
      </c>
      <c r="R23" s="3">
        <f>Stdev!D306</f>
        <v>11040</v>
      </c>
      <c r="S23" s="3">
        <f>Stdev!E306</f>
        <v>527.41</v>
      </c>
      <c r="T23" s="3">
        <f t="shared" si="1"/>
        <v>10034.550596954808</v>
      </c>
      <c r="U23" s="3">
        <f t="shared" si="0"/>
        <v>12146.194174055738</v>
      </c>
      <c r="V23">
        <f t="shared" si="2"/>
        <v>1</v>
      </c>
      <c r="X23" s="38">
        <v>1984</v>
      </c>
      <c r="Y23" s="3">
        <f t="shared" si="3"/>
        <v>11040</v>
      </c>
      <c r="Z23" s="3">
        <f t="shared" si="4"/>
        <v>527.41</v>
      </c>
      <c r="AA23" s="19">
        <f t="shared" si="19"/>
        <v>4.7772644927536231E-2</v>
      </c>
      <c r="AB23" s="73">
        <f t="shared" si="6"/>
        <v>10034.550596954808</v>
      </c>
      <c r="AC23" s="73">
        <f t="shared" si="7"/>
        <v>12146.194174055738</v>
      </c>
      <c r="AD23" s="19"/>
      <c r="AF23" s="19"/>
      <c r="AJ23" t="s">
        <v>283</v>
      </c>
      <c r="AK23">
        <f t="shared" ref="AK23:BP23" si="23">NORMDIST(AK15,0,1,1)</f>
        <v>1.3498980316300933E-3</v>
      </c>
      <c r="AL23">
        <f t="shared" si="23"/>
        <v>1.9883758548943252E-3</v>
      </c>
      <c r="AM23">
        <f t="shared" si="23"/>
        <v>2.890068076226146E-3</v>
      </c>
      <c r="AN23">
        <f t="shared" si="23"/>
        <v>4.1453013610360367E-3</v>
      </c>
      <c r="AO23">
        <f t="shared" si="23"/>
        <v>5.8677417153325615E-3</v>
      </c>
      <c r="AP23">
        <f t="shared" si="23"/>
        <v>8.1975359245961311E-3</v>
      </c>
      <c r="AQ23">
        <f t="shared" si="23"/>
        <v>1.1303844238552791E-2</v>
      </c>
      <c r="AR23">
        <f t="shared" si="23"/>
        <v>1.538633478392545E-2</v>
      </c>
      <c r="AS23">
        <f t="shared" si="23"/>
        <v>2.0675162866070039E-2</v>
      </c>
      <c r="AT23">
        <f t="shared" si="23"/>
        <v>2.7428949703836809E-2</v>
      </c>
      <c r="AU23">
        <f t="shared" si="23"/>
        <v>3.5930319112925789E-2</v>
      </c>
      <c r="AV23">
        <f t="shared" si="23"/>
        <v>4.6478657863720053E-2</v>
      </c>
      <c r="AW23">
        <f t="shared" si="23"/>
        <v>5.9379940594793013E-2</v>
      </c>
      <c r="AX23">
        <f t="shared" si="23"/>
        <v>7.4933699534327061E-2</v>
      </c>
      <c r="AY23">
        <f t="shared" si="23"/>
        <v>9.3417508993471773E-2</v>
      </c>
      <c r="AZ23">
        <f t="shared" si="23"/>
        <v>0.11506967022170828</v>
      </c>
      <c r="BA23">
        <f t="shared" si="23"/>
        <v>0.14007109008876906</v>
      </c>
      <c r="BB23">
        <f t="shared" si="23"/>
        <v>0.16852760746683779</v>
      </c>
      <c r="BC23">
        <f t="shared" si="23"/>
        <v>0.20045419326044964</v>
      </c>
      <c r="BD23">
        <f t="shared" si="23"/>
        <v>0.23576249777925118</v>
      </c>
      <c r="BE23">
        <f t="shared" si="23"/>
        <v>0.27425311775007355</v>
      </c>
      <c r="BF23">
        <f t="shared" si="23"/>
        <v>0.31561369651622256</v>
      </c>
      <c r="BG23">
        <f t="shared" si="23"/>
        <v>0.35942356678200876</v>
      </c>
      <c r="BH23">
        <f t="shared" si="23"/>
        <v>0.40516512830220414</v>
      </c>
      <c r="BI23">
        <f t="shared" si="23"/>
        <v>0.45224157397941611</v>
      </c>
      <c r="BJ23">
        <f t="shared" si="23"/>
        <v>0.5</v>
      </c>
      <c r="BK23">
        <f t="shared" si="23"/>
        <v>0.54775842602058389</v>
      </c>
      <c r="BL23">
        <f t="shared" si="23"/>
        <v>0.59483487169779581</v>
      </c>
      <c r="BM23">
        <f t="shared" si="23"/>
        <v>0.64057643321799129</v>
      </c>
      <c r="BN23">
        <f t="shared" si="23"/>
        <v>0.68438630348377738</v>
      </c>
      <c r="BO23">
        <f t="shared" si="23"/>
        <v>0.72574688224992645</v>
      </c>
      <c r="BP23">
        <f t="shared" si="23"/>
        <v>0.76423750222074882</v>
      </c>
      <c r="BQ23">
        <f t="shared" ref="BQ23:CR23" si="24">NORMDIST(BQ15,0,1,1)</f>
        <v>0.79954580673955034</v>
      </c>
      <c r="BR23">
        <f t="shared" si="24"/>
        <v>0.83147239253316219</v>
      </c>
      <c r="BS23">
        <f t="shared" si="24"/>
        <v>0.85992890991123094</v>
      </c>
      <c r="BT23">
        <f t="shared" si="24"/>
        <v>0.88493032977829178</v>
      </c>
      <c r="BU23">
        <f t="shared" si="24"/>
        <v>0.90658249100652821</v>
      </c>
      <c r="BV23">
        <f t="shared" si="24"/>
        <v>0.92506630046567295</v>
      </c>
      <c r="BW23">
        <f t="shared" si="24"/>
        <v>0.94062005940520699</v>
      </c>
      <c r="BX23">
        <f t="shared" si="24"/>
        <v>0.95352134213627993</v>
      </c>
      <c r="BY23">
        <f t="shared" si="24"/>
        <v>0.96406968088707423</v>
      </c>
      <c r="BZ23">
        <f t="shared" si="24"/>
        <v>0.9725710502961632</v>
      </c>
      <c r="CA23">
        <f t="shared" si="24"/>
        <v>0.97932483713392993</v>
      </c>
      <c r="CB23">
        <f t="shared" si="24"/>
        <v>0.98461366521607452</v>
      </c>
      <c r="CC23">
        <f t="shared" si="24"/>
        <v>0.9886961557614472</v>
      </c>
      <c r="CD23">
        <f t="shared" si="24"/>
        <v>0.99180246407540384</v>
      </c>
      <c r="CE23">
        <f t="shared" si="24"/>
        <v>0.99413225828466745</v>
      </c>
      <c r="CF23">
        <f t="shared" si="24"/>
        <v>0.99585469863896392</v>
      </c>
      <c r="CG23">
        <f t="shared" si="24"/>
        <v>0.99710993192377384</v>
      </c>
      <c r="CH23">
        <f t="shared" si="24"/>
        <v>0.99801162414510569</v>
      </c>
      <c r="CI23">
        <f t="shared" si="24"/>
        <v>0.9986501019683699</v>
      </c>
      <c r="CJ23">
        <f t="shared" si="24"/>
        <v>0.99909574480017771</v>
      </c>
      <c r="CK23">
        <f t="shared" si="24"/>
        <v>0.99940235150206558</v>
      </c>
      <c r="CL23">
        <f t="shared" si="24"/>
        <v>0.99961028763741799</v>
      </c>
      <c r="CM23">
        <f t="shared" si="24"/>
        <v>0.99974929310871952</v>
      </c>
      <c r="CN23">
        <f t="shared" si="24"/>
        <v>0.99984089140984245</v>
      </c>
      <c r="CO23">
        <f t="shared" si="24"/>
        <v>0.99990038861102404</v>
      </c>
      <c r="CP23">
        <f t="shared" si="24"/>
        <v>0.99993848284481679</v>
      </c>
      <c r="CQ23">
        <f t="shared" si="24"/>
        <v>0.99996252511830896</v>
      </c>
      <c r="CR23">
        <f t="shared" si="24"/>
        <v>0.99997748214961146</v>
      </c>
    </row>
    <row r="24" spans="3:96" x14ac:dyDescent="0.15">
      <c r="C24" s="31">
        <f>Stdev!B199</f>
        <v>46</v>
      </c>
      <c r="D24" s="31" t="str">
        <f>Stdev!C199</f>
        <v>log_rec_devs</v>
      </c>
      <c r="E24" s="31">
        <f>Stdev!D199</f>
        <v>0.64142999999999994</v>
      </c>
      <c r="F24" s="31">
        <f>Stdev!E199</f>
        <v>0.11465</v>
      </c>
      <c r="H24">
        <v>1985</v>
      </c>
      <c r="I24" s="3"/>
      <c r="J24" s="3"/>
      <c r="K24" s="3"/>
      <c r="L24" s="3"/>
      <c r="M24" s="3"/>
      <c r="N24" s="3"/>
      <c r="O24" s="3">
        <f>Stdev!D25</f>
        <v>4029.6</v>
      </c>
      <c r="P24" s="3">
        <f>pm.rep!B84</f>
        <v>34631.9</v>
      </c>
      <c r="Q24" s="38">
        <v>1985</v>
      </c>
      <c r="R24" s="3">
        <f>Stdev!D307</f>
        <v>12951</v>
      </c>
      <c r="S24" s="3">
        <f>Stdev!E307</f>
        <v>522.98</v>
      </c>
      <c r="T24" s="3">
        <f t="shared" si="1"/>
        <v>11946.555867915326</v>
      </c>
      <c r="U24" s="3">
        <f t="shared" si="0"/>
        <v>14039.895921004772</v>
      </c>
      <c r="V24">
        <f t="shared" si="2"/>
        <v>1</v>
      </c>
      <c r="X24" s="38">
        <v>1985</v>
      </c>
      <c r="Y24" s="3">
        <f t="shared" si="3"/>
        <v>12951</v>
      </c>
      <c r="Z24" s="3">
        <f t="shared" si="4"/>
        <v>522.98</v>
      </c>
      <c r="AA24" s="19">
        <f t="shared" si="19"/>
        <v>4.038143772681646E-2</v>
      </c>
      <c r="AB24" s="73">
        <f t="shared" si="6"/>
        <v>11946.555867915326</v>
      </c>
      <c r="AC24" s="73">
        <f t="shared" si="7"/>
        <v>14039.895921004772</v>
      </c>
      <c r="AD24" s="19"/>
      <c r="AF24" s="19"/>
      <c r="AU24" t="s">
        <v>220</v>
      </c>
      <c r="AV24" s="12"/>
      <c r="AW24" s="12">
        <f>BJ16</f>
        <v>-0.22727</v>
      </c>
      <c r="AX24" s="12" t="e">
        <f>#REF!</f>
        <v>#REF!</v>
      </c>
      <c r="BE24" s="24" t="e">
        <f>(BE17-BD17)*#REF!+BD17</f>
        <v>#REF!</v>
      </c>
      <c r="BP24" s="24" t="e">
        <f>(BP17-BO17)*#REF!+BO17</f>
        <v>#REF!</v>
      </c>
    </row>
    <row r="25" spans="3:96" x14ac:dyDescent="0.15">
      <c r="C25" s="31">
        <f>Stdev!B200</f>
        <v>47</v>
      </c>
      <c r="D25" s="31" t="str">
        <f>Stdev!C200</f>
        <v>log_rec_devs</v>
      </c>
      <c r="E25" s="31">
        <f>Stdev!D200</f>
        <v>-0.24907000000000001</v>
      </c>
      <c r="F25" s="31">
        <f>Stdev!E200</f>
        <v>0.13025999999999999</v>
      </c>
      <c r="H25">
        <v>1986</v>
      </c>
      <c r="I25" s="3"/>
      <c r="J25" s="3"/>
      <c r="K25" s="3"/>
      <c r="L25" s="3"/>
      <c r="M25" s="3"/>
      <c r="N25" s="3"/>
      <c r="O25" s="3">
        <f>Stdev!D26</f>
        <v>4183.3</v>
      </c>
      <c r="P25" s="3">
        <f>pm.rep!B85</f>
        <v>14545.4</v>
      </c>
      <c r="Q25" s="38">
        <v>1986</v>
      </c>
      <c r="R25" s="3">
        <f>Stdev!D308</f>
        <v>12019</v>
      </c>
      <c r="S25" s="3">
        <f>Stdev!E308</f>
        <v>486.69</v>
      </c>
      <c r="T25" s="3">
        <f t="shared" si="1"/>
        <v>11084.360262022963</v>
      </c>
      <c r="U25" s="3">
        <f t="shared" si="0"/>
        <v>13032.449107138262</v>
      </c>
      <c r="V25">
        <f t="shared" si="2"/>
        <v>1</v>
      </c>
      <c r="X25" s="38">
        <v>1986</v>
      </c>
      <c r="Y25" s="3">
        <f t="shared" si="3"/>
        <v>12019</v>
      </c>
      <c r="Z25" s="3">
        <f t="shared" si="4"/>
        <v>486.69</v>
      </c>
      <c r="AA25" s="19">
        <f t="shared" si="19"/>
        <v>4.0493385473001083E-2</v>
      </c>
      <c r="AB25" s="73">
        <f t="shared" si="6"/>
        <v>11084.360262022963</v>
      </c>
      <c r="AC25" s="73">
        <f t="shared" si="7"/>
        <v>13032.449107138262</v>
      </c>
      <c r="AD25" s="19"/>
      <c r="AF25" s="36"/>
      <c r="AG25" t="s">
        <v>69</v>
      </c>
      <c r="AH25" t="s">
        <v>70</v>
      </c>
      <c r="AI25" t="s">
        <v>199</v>
      </c>
      <c r="AK25" s="12"/>
      <c r="AU25" t="s">
        <v>221</v>
      </c>
      <c r="AV25" s="12"/>
      <c r="AW25" s="12">
        <f>BJ17</f>
        <v>-3.7775000000000003E-2</v>
      </c>
      <c r="AX25" s="12" t="e">
        <f>BP24</f>
        <v>#REF!</v>
      </c>
      <c r="BE25" s="24" t="e">
        <f>(BE18-BD18)*#REF!+BD18</f>
        <v>#REF!</v>
      </c>
      <c r="BP25" s="24" t="e">
        <f>(BP18-BO18)*#REF!+BO18</f>
        <v>#REF!</v>
      </c>
    </row>
    <row r="26" spans="3:96" x14ac:dyDescent="0.15">
      <c r="C26" s="31">
        <f>Stdev!B201</f>
        <v>48</v>
      </c>
      <c r="D26" s="31" t="str">
        <f>Stdev!C201</f>
        <v>log_rec_devs</v>
      </c>
      <c r="E26" s="31">
        <f>Stdev!D201</f>
        <v>-0.78512000000000004</v>
      </c>
      <c r="F26" s="31">
        <f>Stdev!E201</f>
        <v>0.14721000000000001</v>
      </c>
      <c r="H26">
        <v>1987</v>
      </c>
      <c r="I26" s="3"/>
      <c r="J26" s="3"/>
      <c r="K26" s="3"/>
      <c r="L26" s="3"/>
      <c r="M26" s="3"/>
      <c r="N26" s="3"/>
      <c r="O26" s="3">
        <f>Stdev!D27</f>
        <v>4216.2</v>
      </c>
      <c r="P26" s="3">
        <f>pm.rep!B86</f>
        <v>7835.33</v>
      </c>
      <c r="Q26" s="38">
        <v>1987</v>
      </c>
      <c r="R26" s="3">
        <f>Stdev!D309</f>
        <v>12334</v>
      </c>
      <c r="S26" s="3">
        <f>Stdev!E309</f>
        <v>451.88</v>
      </c>
      <c r="T26" s="3">
        <f t="shared" si="1"/>
        <v>11462.838518792669</v>
      </c>
      <c r="U26" s="3">
        <f t="shared" si="0"/>
        <v>13271.368671084005</v>
      </c>
      <c r="V26">
        <f t="shared" si="2"/>
        <v>1</v>
      </c>
      <c r="X26" s="38">
        <v>1987</v>
      </c>
      <c r="Y26" s="3">
        <f t="shared" si="3"/>
        <v>12334</v>
      </c>
      <c r="Z26" s="3">
        <f t="shared" si="4"/>
        <v>451.88</v>
      </c>
      <c r="AA26" s="19">
        <f t="shared" si="19"/>
        <v>3.6636938543862491E-2</v>
      </c>
      <c r="AB26" s="73">
        <f t="shared" si="6"/>
        <v>11462.838518792669</v>
      </c>
      <c r="AC26" s="73">
        <f t="shared" si="7"/>
        <v>13271.368671084005</v>
      </c>
      <c r="AF26" s="19" t="s">
        <v>286</v>
      </c>
      <c r="AG26" s="19"/>
      <c r="AH26" s="19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t="s">
        <v>222</v>
      </c>
      <c r="AV26" s="12"/>
      <c r="AW26" s="12">
        <f>BJ18</f>
        <v>0</v>
      </c>
      <c r="AX26" s="12" t="e">
        <f>BP25</f>
        <v>#REF!</v>
      </c>
      <c r="BE26" s="24" t="e">
        <f>(BE23-BD23)*#REF!+BD23</f>
        <v>#REF!</v>
      </c>
      <c r="BP26" s="24" t="e">
        <f>(BP23-BO23)*#REF!+BO23</f>
        <v>#REF!</v>
      </c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</row>
    <row r="27" spans="3:96" x14ac:dyDescent="0.15">
      <c r="C27" s="31">
        <f>Stdev!B202</f>
        <v>49</v>
      </c>
      <c r="D27" s="31" t="str">
        <f>Stdev!C202</f>
        <v>log_rec_devs</v>
      </c>
      <c r="E27" s="31">
        <f>Stdev!D202</f>
        <v>-1.2214</v>
      </c>
      <c r="F27" s="31">
        <f>Stdev!E202</f>
        <v>0.1618</v>
      </c>
      <c r="H27">
        <v>1988</v>
      </c>
      <c r="I27" s="3"/>
      <c r="J27" s="3"/>
      <c r="K27" s="3"/>
      <c r="L27" s="3"/>
      <c r="M27" s="3"/>
      <c r="N27" s="3"/>
      <c r="O27" s="3">
        <f>Stdev!D28</f>
        <v>4129.6000000000004</v>
      </c>
      <c r="P27" s="3">
        <f>pm.rep!B87</f>
        <v>5561.46</v>
      </c>
      <c r="Q27" s="38">
        <v>1988</v>
      </c>
      <c r="R27" s="3">
        <f>Stdev!D310</f>
        <v>11536</v>
      </c>
      <c r="S27" s="3">
        <f>Stdev!E310</f>
        <v>411.79</v>
      </c>
      <c r="T27" s="3">
        <f t="shared" si="1"/>
        <v>10741.375390963118</v>
      </c>
      <c r="U27" s="3">
        <f t="shared" si="0"/>
        <v>12389.409284770147</v>
      </c>
      <c r="V27">
        <f t="shared" si="2"/>
        <v>1</v>
      </c>
      <c r="X27" s="38">
        <v>1988</v>
      </c>
      <c r="Y27" s="3">
        <f t="shared" si="3"/>
        <v>11536</v>
      </c>
      <c r="Z27" s="3">
        <f t="shared" si="4"/>
        <v>411.79</v>
      </c>
      <c r="AA27" s="19">
        <f t="shared" si="19"/>
        <v>3.5696081830790573E-2</v>
      </c>
      <c r="AB27" s="73">
        <f t="shared" si="6"/>
        <v>10741.375390963118</v>
      </c>
      <c r="AC27" s="73">
        <f t="shared" si="7"/>
        <v>12389.409284770147</v>
      </c>
      <c r="AD27" s="19"/>
      <c r="AE27">
        <v>2004</v>
      </c>
      <c r="AF27" s="36"/>
      <c r="AG27">
        <f t="shared" ref="AG27:AH31" si="25">E266</f>
        <v>3679.3</v>
      </c>
      <c r="AH27">
        <f t="shared" si="25"/>
        <v>444.87</v>
      </c>
      <c r="AI27" s="8">
        <f>AH27/AG27</f>
        <v>0.12091158644307341</v>
      </c>
      <c r="AJ27">
        <f>(AE27)+1</f>
        <v>2005</v>
      </c>
      <c r="AK27" s="12">
        <f t="shared" ref="AK27:AT31" si="26">$AG27*EXP(AK$15*$AI27)</f>
        <v>2559.9500776073396</v>
      </c>
      <c r="AL27" s="12">
        <f t="shared" si="26"/>
        <v>2597.3641640389164</v>
      </c>
      <c r="AM27" s="12">
        <f t="shared" si="26"/>
        <v>2635.3250634242909</v>
      </c>
      <c r="AN27" s="12">
        <f t="shared" si="26"/>
        <v>2673.8407675236499</v>
      </c>
      <c r="AO27" s="12">
        <f t="shared" si="26"/>
        <v>2712.9193848980581</v>
      </c>
      <c r="AP27" s="12">
        <f t="shared" si="26"/>
        <v>2752.5691426165154</v>
      </c>
      <c r="AQ27" s="12">
        <f t="shared" si="26"/>
        <v>2792.7983879879721</v>
      </c>
      <c r="AR27" s="12">
        <f t="shared" si="26"/>
        <v>2833.6155903186564</v>
      </c>
      <c r="AS27" s="12">
        <f t="shared" si="26"/>
        <v>2875.0293426950834</v>
      </c>
      <c r="AT27" s="12">
        <f t="shared" si="26"/>
        <v>2917.0483637931243</v>
      </c>
      <c r="AU27" s="12">
        <f t="shared" ref="AU27:BD31" si="27">$AG27*EXP(AU$15*$AI27)</f>
        <v>2959.6814997135139</v>
      </c>
      <c r="AV27" s="12">
        <f t="shared" si="27"/>
        <v>3002.9377258441882</v>
      </c>
      <c r="AW27" s="12">
        <f t="shared" si="27"/>
        <v>3046.8261487498357</v>
      </c>
      <c r="AX27" s="12">
        <f t="shared" si="27"/>
        <v>3091.3560080890693</v>
      </c>
      <c r="AY27" s="12">
        <f t="shared" si="27"/>
        <v>3136.5366785596125</v>
      </c>
      <c r="AZ27" s="12">
        <f t="shared" si="27"/>
        <v>3182.3776718719205</v>
      </c>
      <c r="BA27" s="12">
        <f t="shared" si="27"/>
        <v>3228.8886387516422</v>
      </c>
      <c r="BB27" s="12">
        <f t="shared" si="27"/>
        <v>3276.0793709713507</v>
      </c>
      <c r="BC27" s="12">
        <f t="shared" si="27"/>
        <v>3323.9598034119672</v>
      </c>
      <c r="BD27" s="12">
        <f t="shared" si="27"/>
        <v>3372.5400161543098</v>
      </c>
      <c r="BE27" s="12">
        <f t="shared" ref="BE27:BN31" si="28">$AG27*EXP(BE$15*$AI27)</f>
        <v>3421.8302366012194</v>
      </c>
      <c r="BF27" s="12">
        <f t="shared" si="28"/>
        <v>3471.8408416306893</v>
      </c>
      <c r="BG27" s="12">
        <f t="shared" si="28"/>
        <v>3522.5823597804711</v>
      </c>
      <c r="BH27" s="12">
        <f t="shared" si="28"/>
        <v>3574.0654734646082</v>
      </c>
      <c r="BI27" s="12">
        <f t="shared" si="28"/>
        <v>3626.3010212223608</v>
      </c>
      <c r="BJ27" s="12">
        <f t="shared" si="28"/>
        <v>3679.3</v>
      </c>
      <c r="BK27" s="12">
        <f t="shared" si="28"/>
        <v>3733.0735674659577</v>
      </c>
      <c r="BL27" s="12">
        <f t="shared" si="28"/>
        <v>3787.6330443597994</v>
      </c>
      <c r="BM27" s="12">
        <f t="shared" si="28"/>
        <v>3842.9899168755419</v>
      </c>
      <c r="BN27" s="12">
        <f t="shared" si="28"/>
        <v>3899.1558390797918</v>
      </c>
      <c r="BO27" s="12">
        <f t="shared" ref="BO27:BX31" si="29">$AG27*EXP(BO$15*$AI27)</f>
        <v>3956.1426353652369</v>
      </c>
      <c r="BP27" s="12">
        <f t="shared" si="29"/>
        <v>4013.9623029399831</v>
      </c>
      <c r="BQ27" s="12">
        <f t="shared" si="29"/>
        <v>4072.6270143532824</v>
      </c>
      <c r="BR27" s="12">
        <f t="shared" si="29"/>
        <v>4132.1491200581731</v>
      </c>
      <c r="BS27" s="12">
        <f t="shared" si="29"/>
        <v>4192.5411510115728</v>
      </c>
      <c r="BT27" s="12">
        <f t="shared" si="29"/>
        <v>4253.8158213123697</v>
      </c>
      <c r="BU27" s="12">
        <f t="shared" si="29"/>
        <v>4315.9860308780744</v>
      </c>
      <c r="BV27" s="12">
        <f t="shared" si="29"/>
        <v>4379.064868160588</v>
      </c>
      <c r="BW27" s="12">
        <f t="shared" si="29"/>
        <v>4443.0656129016625</v>
      </c>
      <c r="BX27" s="12">
        <f t="shared" si="29"/>
        <v>4508.0017389286359</v>
      </c>
      <c r="BY27" s="12">
        <f t="shared" ref="BY27:CI31" si="30">$AG27*EXP(BY$15*$AI27)</f>
        <v>4573.8869169910204</v>
      </c>
      <c r="BZ27" s="12">
        <f t="shared" si="30"/>
        <v>4640.7350176385544</v>
      </c>
      <c r="CA27" s="12">
        <f t="shared" si="30"/>
        <v>4708.5601141413181</v>
      </c>
      <c r="CB27" s="12">
        <f t="shared" si="30"/>
        <v>4777.3764854525161</v>
      </c>
      <c r="CC27" s="12">
        <f t="shared" si="30"/>
        <v>4847.1986192145796</v>
      </c>
      <c r="CD27" s="12">
        <f t="shared" si="30"/>
        <v>4918.0412148091846</v>
      </c>
      <c r="CE27" s="12">
        <f t="shared" si="30"/>
        <v>4989.9191864518607</v>
      </c>
      <c r="CF27" s="12">
        <f t="shared" si="30"/>
        <v>5062.8476663318224</v>
      </c>
      <c r="CG27" s="12">
        <f t="shared" si="30"/>
        <v>5136.842007797688</v>
      </c>
      <c r="CH27" s="12">
        <f t="shared" si="30"/>
        <v>5211.9177885897598</v>
      </c>
      <c r="CI27" s="12">
        <f t="shared" si="30"/>
        <v>5288.0908141195496</v>
      </c>
    </row>
    <row r="28" spans="3:96" x14ac:dyDescent="0.15">
      <c r="C28" s="31">
        <f>Stdev!B203</f>
        <v>50</v>
      </c>
      <c r="D28" s="31" t="str">
        <f>Stdev!C203</f>
        <v>log_rec_devs</v>
      </c>
      <c r="E28" s="31">
        <f>Stdev!D203</f>
        <v>-0.58633999999999997</v>
      </c>
      <c r="F28" s="31">
        <f>Stdev!E203</f>
        <v>0.14097000000000001</v>
      </c>
      <c r="H28" s="21">
        <v>1989</v>
      </c>
      <c r="I28" s="3"/>
      <c r="J28" s="3"/>
      <c r="K28" s="3"/>
      <c r="L28" s="3"/>
      <c r="M28" s="3"/>
      <c r="N28" s="3"/>
      <c r="O28" s="3">
        <f>Stdev!D29</f>
        <v>3668.5</v>
      </c>
      <c r="P28" s="3">
        <f>pm.rep!B88</f>
        <v>11102.8</v>
      </c>
      <c r="Q28" s="38">
        <v>1989</v>
      </c>
      <c r="R28" s="3">
        <f>Stdev!D311</f>
        <v>9699.9</v>
      </c>
      <c r="S28" s="3">
        <f>Stdev!E311</f>
        <v>366.29</v>
      </c>
      <c r="T28" s="3">
        <f t="shared" si="1"/>
        <v>8994.542366671858</v>
      </c>
      <c r="U28" s="3">
        <f t="shared" si="0"/>
        <v>10460.57221973087</v>
      </c>
      <c r="V28">
        <f t="shared" si="2"/>
        <v>1</v>
      </c>
      <c r="X28" s="38">
        <v>1989</v>
      </c>
      <c r="Y28" s="3">
        <f t="shared" si="3"/>
        <v>9699.9</v>
      </c>
      <c r="Z28" s="3">
        <f t="shared" si="4"/>
        <v>366.29</v>
      </c>
      <c r="AA28" s="19">
        <f t="shared" si="19"/>
        <v>3.776224497159765E-2</v>
      </c>
      <c r="AB28" s="73">
        <f t="shared" si="6"/>
        <v>8994.542366671858</v>
      </c>
      <c r="AC28" s="73">
        <f t="shared" si="7"/>
        <v>10460.57221973087</v>
      </c>
      <c r="AD28" s="19"/>
      <c r="AE28">
        <v>2005</v>
      </c>
      <c r="AF28" s="36"/>
      <c r="AG28">
        <f t="shared" si="25"/>
        <v>3982.5</v>
      </c>
      <c r="AH28">
        <f t="shared" si="25"/>
        <v>505.08</v>
      </c>
      <c r="AI28" s="8">
        <f>AH28/AG28</f>
        <v>0.12682485875706215</v>
      </c>
      <c r="AJ28">
        <f>(AE28)+1</f>
        <v>2006</v>
      </c>
      <c r="AK28" s="12">
        <f t="shared" si="26"/>
        <v>2722.1858707707406</v>
      </c>
      <c r="AL28" s="12">
        <f t="shared" si="26"/>
        <v>2763.9316296469233</v>
      </c>
      <c r="AM28" s="12">
        <f t="shared" si="26"/>
        <v>2806.3175756620012</v>
      </c>
      <c r="AN28" s="12">
        <f t="shared" si="26"/>
        <v>2849.3535263299877</v>
      </c>
      <c r="AO28" s="12">
        <f t="shared" si="26"/>
        <v>2893.0494497202212</v>
      </c>
      <c r="AP28" s="12">
        <f t="shared" si="26"/>
        <v>2937.4154667661842</v>
      </c>
      <c r="AQ28" s="12">
        <f t="shared" si="26"/>
        <v>2982.461853609736</v>
      </c>
      <c r="AR28" s="12">
        <f t="shared" si="26"/>
        <v>3028.1990439812935</v>
      </c>
      <c r="AS28" s="12">
        <f t="shared" si="26"/>
        <v>3074.6376316165083</v>
      </c>
      <c r="AT28" s="12">
        <f t="shared" si="26"/>
        <v>3121.7883727100107</v>
      </c>
      <c r="AU28" s="12">
        <f t="shared" si="27"/>
        <v>3169.6621884067786</v>
      </c>
      <c r="AV28" s="12">
        <f t="shared" si="27"/>
        <v>3218.2701673317147</v>
      </c>
      <c r="AW28" s="12">
        <f t="shared" si="27"/>
        <v>3267.623568158016</v>
      </c>
      <c r="AX28" s="12">
        <f t="shared" si="27"/>
        <v>3317.7338222149274</v>
      </c>
      <c r="AY28" s="12">
        <f t="shared" si="27"/>
        <v>3368.6125361354898</v>
      </c>
      <c r="AZ28" s="12">
        <f t="shared" si="27"/>
        <v>3420.2714945448888</v>
      </c>
      <c r="BA28" s="12">
        <f t="shared" si="27"/>
        <v>3472.7226627900336</v>
      </c>
      <c r="BB28" s="12">
        <f t="shared" si="27"/>
        <v>3525.9781897109942</v>
      </c>
      <c r="BC28" s="12">
        <f t="shared" si="27"/>
        <v>3580.0504104549359</v>
      </c>
      <c r="BD28" s="12">
        <f t="shared" si="27"/>
        <v>3634.9518493332134</v>
      </c>
      <c r="BE28" s="12">
        <f t="shared" si="28"/>
        <v>3690.6952227222746</v>
      </c>
      <c r="BF28" s="12">
        <f t="shared" si="28"/>
        <v>3747.2934420090501</v>
      </c>
      <c r="BG28" s="12">
        <f t="shared" si="28"/>
        <v>3804.7596165815157</v>
      </c>
      <c r="BH28" s="12">
        <f t="shared" si="28"/>
        <v>3863.1070568651139</v>
      </c>
      <c r="BI28" s="12">
        <f t="shared" si="28"/>
        <v>3922.3492774057381</v>
      </c>
      <c r="BJ28" s="12">
        <f t="shared" si="28"/>
        <v>3982.5</v>
      </c>
      <c r="BK28" s="12">
        <f t="shared" si="28"/>
        <v>4043.5731568734973</v>
      </c>
      <c r="BL28" s="12">
        <f t="shared" si="28"/>
        <v>4105.582893907821</v>
      </c>
      <c r="BM28" s="12">
        <f t="shared" si="28"/>
        <v>4168.5435739170562</v>
      </c>
      <c r="BN28" s="12">
        <f t="shared" si="28"/>
        <v>4232.4697799745181</v>
      </c>
      <c r="BO28" s="12">
        <f t="shared" si="29"/>
        <v>4297.3763187905179</v>
      </c>
      <c r="BP28" s="12">
        <f t="shared" si="29"/>
        <v>4363.2782241419163</v>
      </c>
      <c r="BQ28" s="12">
        <f t="shared" si="29"/>
        <v>4430.1907603542786</v>
      </c>
      <c r="BR28" s="12">
        <f t="shared" si="29"/>
        <v>4498.1294258374264</v>
      </c>
      <c r="BS28" s="12">
        <f t="shared" si="29"/>
        <v>4567.1099566752064</v>
      </c>
      <c r="BT28" s="12">
        <f t="shared" si="29"/>
        <v>4637.1483302703191</v>
      </c>
      <c r="BU28" s="12">
        <f t="shared" si="29"/>
        <v>4708.2607690450268</v>
      </c>
      <c r="BV28" s="12">
        <f t="shared" si="29"/>
        <v>4780.4637441986288</v>
      </c>
      <c r="BW28" s="12">
        <f t="shared" si="29"/>
        <v>4853.773979522548</v>
      </c>
      <c r="BX28" s="12">
        <f t="shared" si="29"/>
        <v>4928.2084552739288</v>
      </c>
      <c r="BY28" s="12">
        <f t="shared" si="30"/>
        <v>5003.7844121086409</v>
      </c>
      <c r="BZ28" s="12">
        <f t="shared" si="30"/>
        <v>5080.5193550745844</v>
      </c>
      <c r="CA28" s="12">
        <f t="shared" si="30"/>
        <v>5158.4310576662501</v>
      </c>
      <c r="CB28" s="12">
        <f t="shared" si="30"/>
        <v>5237.5375659414458</v>
      </c>
      <c r="CC28" s="12">
        <f t="shared" si="30"/>
        <v>5317.8572027011642</v>
      </c>
      <c r="CD28" s="12">
        <f t="shared" si="30"/>
        <v>5399.4085717335365</v>
      </c>
      <c r="CE28" s="12">
        <f t="shared" si="30"/>
        <v>5482.2105621228866</v>
      </c>
      <c r="CF28" s="12">
        <f t="shared" si="30"/>
        <v>5566.2823526248512</v>
      </c>
      <c r="CG28" s="12">
        <f t="shared" si="30"/>
        <v>5651.6434161086008</v>
      </c>
      <c r="CH28" s="12">
        <f t="shared" si="30"/>
        <v>5738.3135240671863</v>
      </c>
      <c r="CI28" s="12">
        <f t="shared" si="30"/>
        <v>5826.3127511970451</v>
      </c>
    </row>
    <row r="29" spans="3:96" x14ac:dyDescent="0.15">
      <c r="C29" s="31">
        <f>Stdev!B204</f>
        <v>51</v>
      </c>
      <c r="D29" s="31" t="str">
        <f>Stdev!C204</f>
        <v>log_rec_devs</v>
      </c>
      <c r="E29" s="31">
        <f>Stdev!D204</f>
        <v>0.99251999999999996</v>
      </c>
      <c r="F29" s="31">
        <f>Stdev!E204</f>
        <v>0.10532999999999999</v>
      </c>
      <c r="H29">
        <v>1990</v>
      </c>
      <c r="I29" s="3"/>
      <c r="J29" s="3"/>
      <c r="K29" s="3"/>
      <c r="L29" s="3"/>
      <c r="M29" s="3"/>
      <c r="N29" s="3"/>
      <c r="O29" s="3">
        <f>Stdev!D30</f>
        <v>2927.9</v>
      </c>
      <c r="P29" s="3">
        <f>pm.rep!B89</f>
        <v>48848.1</v>
      </c>
      <c r="Q29" s="38">
        <v>1990</v>
      </c>
      <c r="R29" s="3">
        <f>Stdev!D312</f>
        <v>7700.5</v>
      </c>
      <c r="S29" s="3">
        <f>Stdev!E312</f>
        <v>320.76</v>
      </c>
      <c r="T29" s="3">
        <f t="shared" si="1"/>
        <v>7085.2310870555111</v>
      </c>
      <c r="U29" s="3">
        <f t="shared" si="0"/>
        <v>8369.1977751205595</v>
      </c>
      <c r="V29">
        <f t="shared" si="2"/>
        <v>1</v>
      </c>
      <c r="X29" s="38">
        <v>1990</v>
      </c>
      <c r="Y29" s="3">
        <f t="shared" si="3"/>
        <v>7700.5</v>
      </c>
      <c r="Z29" s="3">
        <f t="shared" si="4"/>
        <v>320.76</v>
      </c>
      <c r="AA29" s="19">
        <f t="shared" si="19"/>
        <v>4.1654438023504964E-2</v>
      </c>
      <c r="AB29" s="73">
        <f t="shared" si="6"/>
        <v>7085.2310870555111</v>
      </c>
      <c r="AC29" s="73">
        <f t="shared" si="7"/>
        <v>8369.1977751205595</v>
      </c>
      <c r="AD29" s="19"/>
      <c r="AE29">
        <v>2006</v>
      </c>
      <c r="AF29" s="36">
        <f>1/SUMPRODUCT($AK$14:$CI$14,1/AK29:CI29)</f>
        <v>4108.289269411739</v>
      </c>
      <c r="AG29">
        <f t="shared" si="25"/>
        <v>4169.8999999999996</v>
      </c>
      <c r="AH29">
        <f t="shared" si="25"/>
        <v>569.87</v>
      </c>
      <c r="AI29" s="8">
        <f>AH29/AG29</f>
        <v>0.13666274970622799</v>
      </c>
      <c r="AJ29">
        <f>(AE29)+1</f>
        <v>2007</v>
      </c>
      <c r="AK29" s="12">
        <f t="shared" si="26"/>
        <v>2767.3876970967576</v>
      </c>
      <c r="AL29" s="12">
        <f t="shared" si="26"/>
        <v>2813.1457341827754</v>
      </c>
      <c r="AM29" s="12">
        <f t="shared" si="26"/>
        <v>2859.6603685320401</v>
      </c>
      <c r="AN29" s="12">
        <f t="shared" si="26"/>
        <v>2906.9441102838664</v>
      </c>
      <c r="AO29" s="12">
        <f t="shared" si="26"/>
        <v>2955.0096764294758</v>
      </c>
      <c r="AP29" s="12">
        <f t="shared" si="26"/>
        <v>3003.8699942322382</v>
      </c>
      <c r="AQ29" s="12">
        <f t="shared" si="26"/>
        <v>3053.5382047044659</v>
      </c>
      <c r="AR29" s="12">
        <f t="shared" si="26"/>
        <v>3104.0276661416983</v>
      </c>
      <c r="AS29" s="12">
        <f t="shared" si="26"/>
        <v>3155.3519577154252</v>
      </c>
      <c r="AT29" s="12">
        <f t="shared" si="26"/>
        <v>3207.5248831252084</v>
      </c>
      <c r="AU29" s="12">
        <f t="shared" si="27"/>
        <v>3260.5604743112008</v>
      </c>
      <c r="AV29" s="12">
        <f t="shared" si="27"/>
        <v>3314.4729952280413</v>
      </c>
      <c r="AW29" s="12">
        <f t="shared" si="27"/>
        <v>3369.2769456811557</v>
      </c>
      <c r="AX29" s="12">
        <f t="shared" si="27"/>
        <v>3424.9870652264885</v>
      </c>
      <c r="AY29" s="12">
        <f t="shared" si="27"/>
        <v>3481.6183371347142</v>
      </c>
      <c r="AZ29" s="12">
        <f t="shared" si="27"/>
        <v>3539.1859924209984</v>
      </c>
      <c r="BA29" s="12">
        <f t="shared" si="27"/>
        <v>3597.7055139413878</v>
      </c>
      <c r="BB29" s="12">
        <f t="shared" si="27"/>
        <v>3657.1926405569347</v>
      </c>
      <c r="BC29" s="12">
        <f t="shared" si="27"/>
        <v>3717.6633713666715</v>
      </c>
      <c r="BD29" s="12">
        <f t="shared" si="27"/>
        <v>3779.1339700105809</v>
      </c>
      <c r="BE29" s="12">
        <f t="shared" si="28"/>
        <v>3841.6209690437086</v>
      </c>
      <c r="BF29" s="12">
        <f t="shared" si="28"/>
        <v>3905.1411743826061</v>
      </c>
      <c r="BG29" s="12">
        <f t="shared" si="28"/>
        <v>3969.7116698252935</v>
      </c>
      <c r="BH29" s="12">
        <f t="shared" si="28"/>
        <v>4035.3498216459539</v>
      </c>
      <c r="BI29" s="12">
        <f t="shared" si="28"/>
        <v>4102.0732832656049</v>
      </c>
      <c r="BJ29" s="12">
        <f t="shared" si="28"/>
        <v>4169.8999999999996</v>
      </c>
      <c r="BK29" s="12">
        <f t="shared" si="28"/>
        <v>4238.8482138860263</v>
      </c>
      <c r="BL29" s="12">
        <f t="shared" si="28"/>
        <v>4308.9364685879173</v>
      </c>
      <c r="BM29" s="12">
        <f t="shared" si="28"/>
        <v>4380.1836143845794</v>
      </c>
      <c r="BN29" s="12">
        <f t="shared" si="28"/>
        <v>4452.6088132393852</v>
      </c>
      <c r="BO29" s="12">
        <f t="shared" si="29"/>
        <v>4526.2315439537997</v>
      </c>
      <c r="BP29" s="12">
        <f t="shared" si="29"/>
        <v>4601.0716074062111</v>
      </c>
      <c r="BQ29" s="12">
        <f t="shared" si="29"/>
        <v>4677.1491318773897</v>
      </c>
      <c r="BR29" s="12">
        <f t="shared" si="29"/>
        <v>4754.4845784640047</v>
      </c>
      <c r="BS29" s="12">
        <f t="shared" si="29"/>
        <v>4833.0987465816452</v>
      </c>
      <c r="BT29" s="12">
        <f t="shared" si="29"/>
        <v>4913.0127795588387</v>
      </c>
      <c r="BU29" s="12">
        <f t="shared" si="29"/>
        <v>4994.248170323558</v>
      </c>
      <c r="BV29" s="12">
        <f t="shared" si="29"/>
        <v>5076.8267671837621</v>
      </c>
      <c r="BW29" s="12">
        <f t="shared" si="29"/>
        <v>5160.7707797035091</v>
      </c>
      <c r="BX29" s="12">
        <f t="shared" si="29"/>
        <v>5246.1027846762317</v>
      </c>
      <c r="BY29" s="12">
        <f t="shared" si="30"/>
        <v>5332.8457321967799</v>
      </c>
      <c r="BZ29" s="12">
        <f t="shared" si="30"/>
        <v>5421.0229518338665</v>
      </c>
      <c r="CA29" s="12">
        <f t="shared" si="30"/>
        <v>5510.6581589045636</v>
      </c>
      <c r="CB29" s="12">
        <f t="shared" si="30"/>
        <v>5601.7754608525565</v>
      </c>
      <c r="CC29" s="12">
        <f t="shared" si="30"/>
        <v>5694.3993637318472</v>
      </c>
      <c r="CD29" s="12">
        <f t="shared" si="30"/>
        <v>5788.5547787976857</v>
      </c>
      <c r="CE29" s="12">
        <f t="shared" si="30"/>
        <v>5884.267029206454</v>
      </c>
      <c r="CF29" s="12">
        <f t="shared" si="30"/>
        <v>5981.5618568263535</v>
      </c>
      <c r="CG29" s="12">
        <f t="shared" si="30"/>
        <v>6080.4654291606939</v>
      </c>
      <c r="CH29" s="12">
        <f t="shared" si="30"/>
        <v>6181.0043463856537</v>
      </c>
      <c r="CI29" s="12">
        <f t="shared" si="30"/>
        <v>6283.2056485044232</v>
      </c>
    </row>
    <row r="30" spans="3:96" x14ac:dyDescent="0.15">
      <c r="C30" s="31">
        <f>Stdev!B205</f>
        <v>52</v>
      </c>
      <c r="D30" s="31" t="str">
        <f>Stdev!C205</f>
        <v>log_rec_devs</v>
      </c>
      <c r="E30" s="31">
        <f>Stdev!D205</f>
        <v>0.31896000000000002</v>
      </c>
      <c r="F30" s="31">
        <f>Stdev!E205</f>
        <v>0.11289</v>
      </c>
      <c r="H30">
        <v>1991</v>
      </c>
      <c r="I30" s="3"/>
      <c r="J30" s="3"/>
      <c r="K30" s="3"/>
      <c r="L30" s="3"/>
      <c r="M30" s="3"/>
      <c r="N30" s="3"/>
      <c r="O30" s="3">
        <f>Stdev!D31</f>
        <v>2179.4</v>
      </c>
      <c r="P30" s="3">
        <f>pm.rep!B90</f>
        <v>25581.3</v>
      </c>
      <c r="Q30" s="38">
        <v>1991</v>
      </c>
      <c r="R30" s="3">
        <f>Stdev!D313</f>
        <v>6063.2</v>
      </c>
      <c r="S30" s="3">
        <f>Stdev!E313</f>
        <v>281.62</v>
      </c>
      <c r="T30" s="3">
        <f t="shared" si="1"/>
        <v>5525.6059523032072</v>
      </c>
      <c r="U30" s="3">
        <f t="shared" si="0"/>
        <v>6653.0973358092124</v>
      </c>
      <c r="V30">
        <f t="shared" si="2"/>
        <v>1</v>
      </c>
      <c r="X30" s="38">
        <v>1991</v>
      </c>
      <c r="Y30" s="3">
        <f t="shared" si="3"/>
        <v>6063.2</v>
      </c>
      <c r="Z30" s="3">
        <f t="shared" si="4"/>
        <v>281.62</v>
      </c>
      <c r="AA30" s="19">
        <f t="shared" si="19"/>
        <v>4.6447420504024277E-2</v>
      </c>
      <c r="AB30" s="73">
        <f t="shared" si="6"/>
        <v>5525.6059523032072</v>
      </c>
      <c r="AC30" s="73">
        <f t="shared" si="7"/>
        <v>6653.0973358092124</v>
      </c>
      <c r="AD30" s="19"/>
      <c r="AE30">
        <v>2007</v>
      </c>
      <c r="AF30" s="35">
        <f>1/SUMPRODUCT($AK$14:$CI$14,1/AK30:CI30)</f>
        <v>4249.525829617929</v>
      </c>
      <c r="AG30">
        <f t="shared" si="25"/>
        <v>4347.6000000000004</v>
      </c>
      <c r="AH30">
        <f t="shared" si="25"/>
        <v>757.93</v>
      </c>
      <c r="AI30" s="8">
        <f>AH30/AG30</f>
        <v>0.17433296531419631</v>
      </c>
      <c r="AJ30">
        <f>(AE30)+1</f>
        <v>2008</v>
      </c>
      <c r="AK30" s="12">
        <f t="shared" si="26"/>
        <v>2576.9977866003892</v>
      </c>
      <c r="AL30" s="12">
        <f t="shared" si="26"/>
        <v>2631.4763239492181</v>
      </c>
      <c r="AM30" s="12">
        <f t="shared" si="26"/>
        <v>2687.1065545773731</v>
      </c>
      <c r="AN30" s="12">
        <f t="shared" si="26"/>
        <v>2743.9128256401605</v>
      </c>
      <c r="AO30" s="12">
        <f t="shared" si="26"/>
        <v>2801.9199989993463</v>
      </c>
      <c r="AP30" s="12">
        <f t="shared" si="26"/>
        <v>2861.1534621042119</v>
      </c>
      <c r="AQ30" s="12">
        <f t="shared" si="26"/>
        <v>2921.6391391026395</v>
      </c>
      <c r="AR30" s="12">
        <f t="shared" si="26"/>
        <v>2983.4035021870859</v>
      </c>
      <c r="AS30" s="12">
        <f t="shared" si="26"/>
        <v>3046.4735831804187</v>
      </c>
      <c r="AT30" s="12">
        <f t="shared" si="26"/>
        <v>3110.8769853666731</v>
      </c>
      <c r="AU30" s="12">
        <f t="shared" si="27"/>
        <v>3176.6418955719259</v>
      </c>
      <c r="AV30" s="12">
        <f t="shared" si="27"/>
        <v>3243.7970965005497</v>
      </c>
      <c r="AW30" s="12">
        <f t="shared" si="27"/>
        <v>3312.3719793322707</v>
      </c>
      <c r="AX30" s="12">
        <f t="shared" si="27"/>
        <v>3382.3965565855256</v>
      </c>
      <c r="AY30" s="12">
        <f t="shared" si="27"/>
        <v>3453.901475252756</v>
      </c>
      <c r="AZ30" s="12">
        <f t="shared" si="27"/>
        <v>3526.9180302133859</v>
      </c>
      <c r="BA30" s="12">
        <f t="shared" si="27"/>
        <v>3601.4781779303585</v>
      </c>
      <c r="BB30" s="12">
        <f t="shared" si="27"/>
        <v>3677.6145504362134</v>
      </c>
      <c r="BC30" s="12">
        <f t="shared" si="27"/>
        <v>3755.36046961484</v>
      </c>
      <c r="BD30" s="12">
        <f t="shared" si="27"/>
        <v>3834.7499617851531</v>
      </c>
      <c r="BE30" s="12">
        <f t="shared" si="28"/>
        <v>3915.8177725930659</v>
      </c>
      <c r="BF30" s="12">
        <f t="shared" si="28"/>
        <v>3998.5993822182886</v>
      </c>
      <c r="BG30" s="12">
        <f t="shared" si="28"/>
        <v>4083.1310209026028</v>
      </c>
      <c r="BH30" s="12">
        <f t="shared" si="28"/>
        <v>4169.4496848064055</v>
      </c>
      <c r="BI30" s="12">
        <f t="shared" si="28"/>
        <v>4257.5931522004694</v>
      </c>
      <c r="BJ30" s="12">
        <f t="shared" si="28"/>
        <v>4347.6000000000004</v>
      </c>
      <c r="BK30" s="12">
        <f t="shared" si="28"/>
        <v>4439.5096206482285</v>
      </c>
      <c r="BL30" s="12">
        <f t="shared" si="28"/>
        <v>4533.3622393569276</v>
      </c>
      <c r="BM30" s="12">
        <f t="shared" si="28"/>
        <v>4629.1989317113985</v>
      </c>
      <c r="BN30" s="12">
        <f t="shared" si="28"/>
        <v>4727.061641647635</v>
      </c>
      <c r="BO30" s="12">
        <f t="shared" si="29"/>
        <v>4826.9931998095235</v>
      </c>
      <c r="BP30" s="12">
        <f t="shared" si="29"/>
        <v>4929.0373422941293</v>
      </c>
      <c r="BQ30" s="12">
        <f t="shared" si="29"/>
        <v>5033.2387297932564</v>
      </c>
      <c r="BR30" s="12">
        <f t="shared" si="29"/>
        <v>5139.64296713967</v>
      </c>
      <c r="BS30" s="12">
        <f t="shared" si="29"/>
        <v>5248.2966232665312</v>
      </c>
      <c r="BT30" s="12">
        <f t="shared" si="29"/>
        <v>5359.2472515887803</v>
      </c>
      <c r="BU30" s="12">
        <f t="shared" si="29"/>
        <v>5472.543410815384</v>
      </c>
      <c r="BV30" s="12">
        <f t="shared" si="29"/>
        <v>5588.2346862015756</v>
      </c>
      <c r="BW30" s="12">
        <f t="shared" si="29"/>
        <v>5706.3717112503509</v>
      </c>
      <c r="BX30" s="12">
        <f t="shared" si="29"/>
        <v>5827.0061898727645</v>
      </c>
      <c r="BY30" s="12">
        <f t="shared" si="30"/>
        <v>5950.1909190166798</v>
      </c>
      <c r="BZ30" s="12">
        <f t="shared" si="30"/>
        <v>6075.9798117739147</v>
      </c>
      <c r="CA30" s="12">
        <f t="shared" si="30"/>
        <v>6204.4279209758733</v>
      </c>
      <c r="CB30" s="12">
        <f t="shared" si="30"/>
        <v>6335.5914632879931</v>
      </c>
      <c r="CC30" s="12">
        <f t="shared" si="30"/>
        <v>6469.5278438135592</v>
      </c>
      <c r="CD30" s="12">
        <f t="shared" si="30"/>
        <v>6606.2956812176571</v>
      </c>
      <c r="CE30" s="12">
        <f t="shared" si="30"/>
        <v>6745.9548333822413</v>
      </c>
      <c r="CF30" s="12">
        <f t="shared" si="30"/>
        <v>6888.5664236035691</v>
      </c>
      <c r="CG30" s="12">
        <f t="shared" si="30"/>
        <v>7034.192867343455</v>
      </c>
      <c r="CH30" s="12">
        <f t="shared" si="30"/>
        <v>7182.8978995460529</v>
      </c>
      <c r="CI30" s="12">
        <f t="shared" si="30"/>
        <v>7334.7466025321219</v>
      </c>
    </row>
    <row r="31" spans="3:96" x14ac:dyDescent="0.15">
      <c r="C31" s="31">
        <f>Stdev!B206</f>
        <v>53</v>
      </c>
      <c r="D31" s="31" t="str">
        <f>Stdev!C206</f>
        <v>log_rec_devs</v>
      </c>
      <c r="E31" s="31">
        <f>Stdev!D206</f>
        <v>0.17088999999999999</v>
      </c>
      <c r="F31" s="31">
        <f>Stdev!E206</f>
        <v>0.11709</v>
      </c>
      <c r="H31" s="21">
        <v>1992</v>
      </c>
      <c r="I31" s="3"/>
      <c r="J31" s="3"/>
      <c r="K31" s="3"/>
      <c r="L31" s="3"/>
      <c r="M31" s="3"/>
      <c r="N31" s="3"/>
      <c r="O31" s="3">
        <f>Stdev!D32</f>
        <v>2303.1</v>
      </c>
      <c r="P31" s="3">
        <f>pm.rep!B91</f>
        <v>22780.799999999999</v>
      </c>
      <c r="Q31" s="38">
        <v>1992</v>
      </c>
      <c r="R31" s="3">
        <f>Stdev!D314</f>
        <v>9472.2000000000007</v>
      </c>
      <c r="S31" s="3">
        <f>Stdev!E314</f>
        <v>318.35000000000002</v>
      </c>
      <c r="T31" s="3">
        <f t="shared" si="1"/>
        <v>8856.5952701347669</v>
      </c>
      <c r="U31" s="3">
        <f t="shared" si="0"/>
        <v>10130.594218587878</v>
      </c>
      <c r="V31">
        <f t="shared" si="2"/>
        <v>1</v>
      </c>
      <c r="X31" s="38">
        <v>1992</v>
      </c>
      <c r="Y31" s="3">
        <f t="shared" si="3"/>
        <v>9472.2000000000007</v>
      </c>
      <c r="Z31" s="3">
        <f t="shared" si="4"/>
        <v>318.35000000000002</v>
      </c>
      <c r="AA31" s="19">
        <f t="shared" si="19"/>
        <v>3.3608876501763051E-2</v>
      </c>
      <c r="AB31" s="73">
        <f t="shared" si="6"/>
        <v>8856.5952701347669</v>
      </c>
      <c r="AC31" s="73">
        <f t="shared" si="7"/>
        <v>10130.594218587878</v>
      </c>
      <c r="AD31" s="19"/>
      <c r="AE31">
        <v>2008</v>
      </c>
      <c r="AF31" s="35">
        <f>1/SUMPRODUCT($AK$14:$CI$14,1/AK31:CI31)</f>
        <v>4346.1534122583325</v>
      </c>
      <c r="AG31">
        <f t="shared" si="25"/>
        <v>4492.8999999999996</v>
      </c>
      <c r="AH31">
        <f t="shared" si="25"/>
        <v>970.59</v>
      </c>
      <c r="AI31" s="8">
        <f>AH31/AG31</f>
        <v>0.21602751007144608</v>
      </c>
      <c r="AJ31">
        <f>(AE31)+1</f>
        <v>2009</v>
      </c>
      <c r="AK31" s="12">
        <f t="shared" si="26"/>
        <v>2350.0012093712944</v>
      </c>
      <c r="AL31" s="12">
        <f t="shared" si="26"/>
        <v>2411.7174872294454</v>
      </c>
      <c r="AM31" s="12">
        <f t="shared" si="26"/>
        <v>2475.0545723184509</v>
      </c>
      <c r="AN31" s="12">
        <f t="shared" si="26"/>
        <v>2540.0550306544524</v>
      </c>
      <c r="AO31" s="12">
        <f t="shared" si="26"/>
        <v>2606.7625461322018</v>
      </c>
      <c r="AP31" s="12">
        <f t="shared" si="26"/>
        <v>2675.2219498830436</v>
      </c>
      <c r="AQ31" s="12">
        <f t="shared" si="26"/>
        <v>2745.4792504039142</v>
      </c>
      <c r="AR31" s="12">
        <f t="shared" si="26"/>
        <v>2817.5816644775846</v>
      </c>
      <c r="AS31" s="12">
        <f t="shared" si="26"/>
        <v>2891.5776489049513</v>
      </c>
      <c r="AT31" s="12">
        <f t="shared" si="26"/>
        <v>2967.5169330706731</v>
      </c>
      <c r="AU31" s="12">
        <f t="shared" si="27"/>
        <v>3045.4505523640673</v>
      </c>
      <c r="AV31" s="12">
        <f t="shared" si="27"/>
        <v>3125.430882477704</v>
      </c>
      <c r="AW31" s="12">
        <f t="shared" si="27"/>
        <v>3207.5116746067624</v>
      </c>
      <c r="AX31" s="12">
        <f t="shared" si="27"/>
        <v>3291.7480915728006</v>
      </c>
      <c r="AY31" s="12">
        <f t="shared" si="27"/>
        <v>3378.1967448962159</v>
      </c>
      <c r="AZ31" s="12">
        <f t="shared" si="27"/>
        <v>3466.9157328423094</v>
      </c>
      <c r="BA31" s="12">
        <f t="shared" si="27"/>
        <v>3557.9646794665259</v>
      </c>
      <c r="BB31" s="12">
        <f t="shared" si="27"/>
        <v>3651.4047746851111</v>
      </c>
      <c r="BC31" s="12">
        <f t="shared" si="27"/>
        <v>3747.2988153981096</v>
      </c>
      <c r="BD31" s="12">
        <f t="shared" si="27"/>
        <v>3845.711247692348</v>
      </c>
      <c r="BE31" s="12">
        <f t="shared" si="28"/>
        <v>3946.7082101527608</v>
      </c>
      <c r="BF31" s="12">
        <f t="shared" si="28"/>
        <v>4050.3575783111714</v>
      </c>
      <c r="BG31" s="12">
        <f t="shared" si="28"/>
        <v>4156.7290102623901</v>
      </c>
      <c r="BH31" s="12">
        <f t="shared" si="28"/>
        <v>4265.893993478302</v>
      </c>
      <c r="BI31" s="12">
        <f t="shared" si="28"/>
        <v>4377.9258928513927</v>
      </c>
      <c r="BJ31" s="12">
        <f t="shared" si="28"/>
        <v>4492.8999999999996</v>
      </c>
      <c r="BK31" s="12">
        <f t="shared" si="28"/>
        <v>4610.8935838684392</v>
      </c>
      <c r="BL31" s="12">
        <f t="shared" si="28"/>
        <v>4731.9859426560006</v>
      </c>
      <c r="BM31" s="12">
        <f t="shared" si="28"/>
        <v>4856.2584571097086</v>
      </c>
      <c r="BN31" s="12">
        <f t="shared" si="28"/>
        <v>4983.7946452166752</v>
      </c>
      <c r="BO31" s="12">
        <f t="shared" si="29"/>
        <v>5114.6802183328045</v>
      </c>
      <c r="BP31" s="12">
        <f t="shared" si="29"/>
        <v>5249.0031387855424</v>
      </c>
      <c r="BQ31" s="12">
        <f t="shared" si="29"/>
        <v>5386.8536789894179</v>
      </c>
      <c r="BR31" s="12">
        <f t="shared" si="29"/>
        <v>5528.3244821140934</v>
      </c>
      <c r="BS31" s="12">
        <f t="shared" si="29"/>
        <v>5673.5106243456776</v>
      </c>
      <c r="BT31" s="12">
        <f t="shared" si="29"/>
        <v>5822.5096787831708</v>
      </c>
      <c r="BU31" s="12">
        <f t="shared" si="29"/>
        <v>5975.4217810129794</v>
      </c>
      <c r="BV31" s="12">
        <f t="shared" si="29"/>
        <v>6132.3496964055457</v>
      </c>
      <c r="BW31" s="12">
        <f t="shared" si="29"/>
        <v>6293.3988891793506</v>
      </c>
      <c r="BX31" s="12">
        <f t="shared" si="29"/>
        <v>6458.6775932786923</v>
      </c>
      <c r="BY31" s="12">
        <f t="shared" si="30"/>
        <v>6628.2968851128626</v>
      </c>
      <c r="BZ31" s="12">
        <f t="shared" si="30"/>
        <v>6802.3707582056286</v>
      </c>
      <c r="CA31" s="12">
        <f t="shared" si="30"/>
        <v>6981.0161998051653</v>
      </c>
      <c r="CB31" s="12">
        <f t="shared" si="30"/>
        <v>7164.3532695059494</v>
      </c>
      <c r="CC31" s="12">
        <f t="shared" si="30"/>
        <v>7352.5051799354223</v>
      </c>
      <c r="CD31" s="12">
        <f t="shared" si="30"/>
        <v>7545.5983795596849</v>
      </c>
      <c r="CE31" s="12">
        <f t="shared" si="30"/>
        <v>7743.7626376638364</v>
      </c>
      <c r="CF31" s="12">
        <f t="shared" si="30"/>
        <v>7947.1311315640978</v>
      </c>
      <c r="CG31" s="12">
        <f t="shared" si="30"/>
        <v>8155.8405361103141</v>
      </c>
      <c r="CH31" s="12">
        <f t="shared" si="30"/>
        <v>8370.0311155390027</v>
      </c>
      <c r="CI31" s="12">
        <f t="shared" si="30"/>
        <v>8589.846817738653</v>
      </c>
    </row>
    <row r="32" spans="3:96" x14ac:dyDescent="0.15">
      <c r="C32" s="31">
        <f>Stdev!B207</f>
        <v>54</v>
      </c>
      <c r="D32" s="31" t="str">
        <f>Stdev!C207</f>
        <v>log_rec_devs</v>
      </c>
      <c r="E32" s="31">
        <f>Stdev!D207</f>
        <v>0.94423000000000001</v>
      </c>
      <c r="F32" s="31">
        <f>Stdev!E207</f>
        <v>0.10667</v>
      </c>
      <c r="H32">
        <v>1993</v>
      </c>
      <c r="I32" s="3"/>
      <c r="J32" s="3"/>
      <c r="K32" s="3"/>
      <c r="L32" s="3"/>
      <c r="M32" s="3"/>
      <c r="N32" s="3"/>
      <c r="O32" s="3">
        <f>Stdev!D33</f>
        <v>3202.4</v>
      </c>
      <c r="P32" s="3">
        <f>pm.rep!B92</f>
        <v>46863.199999999997</v>
      </c>
      <c r="Q32" s="38">
        <v>1993</v>
      </c>
      <c r="R32" s="3">
        <f>Stdev!D315</f>
        <v>11712</v>
      </c>
      <c r="S32" s="3">
        <f>Stdev!E315</f>
        <v>373.44</v>
      </c>
      <c r="T32" s="3">
        <f t="shared" si="1"/>
        <v>10988.614209357371</v>
      </c>
      <c r="U32" s="3">
        <f t="shared" si="0"/>
        <v>12483.006627277156</v>
      </c>
      <c r="V32">
        <f t="shared" si="2"/>
        <v>1</v>
      </c>
      <c r="X32" s="38">
        <v>1993</v>
      </c>
      <c r="Y32" s="3">
        <f t="shared" si="3"/>
        <v>11712</v>
      </c>
      <c r="Z32" s="3">
        <f t="shared" si="4"/>
        <v>373.44</v>
      </c>
      <c r="AA32" s="19">
        <f t="shared" si="19"/>
        <v>3.1885245901639346E-2</v>
      </c>
      <c r="AB32" s="73">
        <f t="shared" si="6"/>
        <v>10988.614209357371</v>
      </c>
      <c r="AC32" s="73">
        <f t="shared" si="7"/>
        <v>12483.006627277156</v>
      </c>
      <c r="AD32" s="19"/>
      <c r="AE32" s="19"/>
      <c r="AF32" s="19" t="s">
        <v>338</v>
      </c>
      <c r="AG32" t="s">
        <v>239</v>
      </c>
      <c r="AH32" t="s">
        <v>312</v>
      </c>
      <c r="AI32" t="s">
        <v>337</v>
      </c>
      <c r="AK32" s="31">
        <f>AK14</f>
        <v>6.3847782326423188E-4</v>
      </c>
      <c r="AL32" s="31">
        <f t="shared" ref="AL32:CI32" si="31">AL14</f>
        <v>9.0169222133182087E-4</v>
      </c>
      <c r="AM32" s="31">
        <f t="shared" si="31"/>
        <v>1.2552332848098906E-3</v>
      </c>
      <c r="AN32" s="31">
        <f t="shared" si="31"/>
        <v>1.7224403542965248E-3</v>
      </c>
      <c r="AO32" s="31">
        <f t="shared" si="31"/>
        <v>2.3297942092635696E-3</v>
      </c>
      <c r="AP32" s="31">
        <f t="shared" si="31"/>
        <v>3.1063083139566596E-3</v>
      </c>
      <c r="AQ32" s="31">
        <f t="shared" si="31"/>
        <v>4.0824905453726596E-3</v>
      </c>
      <c r="AR32" s="31">
        <f t="shared" si="31"/>
        <v>5.2888280821445886E-3</v>
      </c>
      <c r="AS32" s="31">
        <f t="shared" si="31"/>
        <v>6.7537868377667704E-3</v>
      </c>
      <c r="AT32" s="31">
        <f t="shared" si="31"/>
        <v>8.5013694090889796E-3</v>
      </c>
      <c r="AU32" s="31">
        <f t="shared" si="31"/>
        <v>1.0548338750794264E-2</v>
      </c>
      <c r="AV32" s="31">
        <f t="shared" si="31"/>
        <v>1.2901282731072959E-2</v>
      </c>
      <c r="AW32" s="31">
        <f t="shared" si="31"/>
        <v>1.5553758939534049E-2</v>
      </c>
      <c r="AX32" s="31">
        <f t="shared" si="31"/>
        <v>1.8483809459144712E-2</v>
      </c>
      <c r="AY32" s="31">
        <f t="shared" si="31"/>
        <v>2.1652161228236502E-2</v>
      </c>
      <c r="AZ32" s="31">
        <f t="shared" si="31"/>
        <v>2.5001419867060781E-2</v>
      </c>
      <c r="BA32" s="31">
        <f t="shared" si="31"/>
        <v>2.845651737806873E-2</v>
      </c>
      <c r="BB32" s="31">
        <f t="shared" si="31"/>
        <v>3.192658579361185E-2</v>
      </c>
      <c r="BC32" s="31">
        <f t="shared" si="31"/>
        <v>3.5308304518801542E-2</v>
      </c>
      <c r="BD32" s="31">
        <f t="shared" si="31"/>
        <v>3.8490619970822371E-2</v>
      </c>
      <c r="BE32" s="31">
        <f t="shared" si="31"/>
        <v>4.1360578766149014E-2</v>
      </c>
      <c r="BF32" s="31">
        <f t="shared" si="31"/>
        <v>4.3809870265786199E-2</v>
      </c>
      <c r="BG32" s="31">
        <f t="shared" si="31"/>
        <v>4.5741561520195373E-2</v>
      </c>
      <c r="BH32" s="31">
        <f t="shared" si="31"/>
        <v>4.7076445677211975E-2</v>
      </c>
      <c r="BI32" s="31">
        <f t="shared" si="31"/>
        <v>4.7758426020583888E-2</v>
      </c>
      <c r="BJ32" s="31">
        <f t="shared" si="31"/>
        <v>4.7758426020583888E-2</v>
      </c>
      <c r="BK32" s="31">
        <f t="shared" si="31"/>
        <v>4.707644567721192E-2</v>
      </c>
      <c r="BL32" s="31">
        <f t="shared" si="31"/>
        <v>4.5741561520195484E-2</v>
      </c>
      <c r="BM32" s="31">
        <f t="shared" si="31"/>
        <v>4.3809870265786088E-2</v>
      </c>
      <c r="BN32" s="31">
        <f t="shared" si="31"/>
        <v>4.136057876614907E-2</v>
      </c>
      <c r="BO32" s="31">
        <f t="shared" si="31"/>
        <v>3.8490619970822371E-2</v>
      </c>
      <c r="BP32" s="31">
        <f t="shared" si="31"/>
        <v>3.5308304518801514E-2</v>
      </c>
      <c r="BQ32" s="31">
        <f t="shared" si="31"/>
        <v>3.192658579361185E-2</v>
      </c>
      <c r="BR32" s="31">
        <f t="shared" si="31"/>
        <v>2.8456517378068757E-2</v>
      </c>
      <c r="BS32" s="31">
        <f t="shared" si="31"/>
        <v>2.5001419867060837E-2</v>
      </c>
      <c r="BT32" s="31">
        <f t="shared" si="31"/>
        <v>2.1652161228236433E-2</v>
      </c>
      <c r="BU32" s="31">
        <f t="shared" si="31"/>
        <v>1.848380945914474E-2</v>
      </c>
      <c r="BV32" s="31">
        <f t="shared" si="31"/>
        <v>1.5553758939534035E-2</v>
      </c>
      <c r="BW32" s="31">
        <f t="shared" si="31"/>
        <v>1.2901282731072938E-2</v>
      </c>
      <c r="BX32" s="31">
        <f t="shared" si="31"/>
        <v>1.0548338750794306E-2</v>
      </c>
      <c r="BY32" s="31">
        <f t="shared" si="31"/>
        <v>8.5013694090889658E-3</v>
      </c>
      <c r="BZ32" s="31">
        <f t="shared" si="31"/>
        <v>6.7537868377667287E-3</v>
      </c>
      <c r="CA32" s="31">
        <f t="shared" si="31"/>
        <v>5.2888280821445921E-3</v>
      </c>
      <c r="CB32" s="31">
        <f t="shared" si="31"/>
        <v>4.0824905453726856E-3</v>
      </c>
      <c r="CC32" s="31">
        <f t="shared" si="31"/>
        <v>3.1063083139566405E-3</v>
      </c>
      <c r="CD32" s="31">
        <f t="shared" si="31"/>
        <v>2.3297942092636026E-3</v>
      </c>
      <c r="CE32" s="31">
        <f t="shared" si="31"/>
        <v>1.7224403542964728E-3</v>
      </c>
      <c r="CF32" s="31">
        <f t="shared" si="31"/>
        <v>1.2552332848099201E-3</v>
      </c>
      <c r="CG32" s="31">
        <f t="shared" si="31"/>
        <v>9.0169222133185123E-4</v>
      </c>
      <c r="CH32" s="31">
        <f t="shared" si="31"/>
        <v>6.3847782326420521E-4</v>
      </c>
      <c r="CI32" s="31">
        <f t="shared" si="31"/>
        <v>4.4564283180781317E-4</v>
      </c>
    </row>
    <row r="33" spans="3:87" x14ac:dyDescent="0.15">
      <c r="C33" s="31">
        <f>Stdev!B208</f>
        <v>55</v>
      </c>
      <c r="D33" s="31" t="str">
        <f>Stdev!C208</f>
        <v>log_rec_devs</v>
      </c>
      <c r="E33" s="31">
        <f>Stdev!D208</f>
        <v>-0.22974</v>
      </c>
      <c r="F33" s="31">
        <f>Stdev!E208</f>
        <v>0.12243999999999999</v>
      </c>
      <c r="H33">
        <v>1994</v>
      </c>
      <c r="I33" s="3"/>
      <c r="J33" s="3"/>
      <c r="K33" s="3"/>
      <c r="L33" s="3"/>
      <c r="M33" s="3"/>
      <c r="N33" s="3"/>
      <c r="O33" s="3">
        <f>Stdev!D34</f>
        <v>3522.5</v>
      </c>
      <c r="P33" s="3">
        <f>pm.rep!B93</f>
        <v>15942.8</v>
      </c>
      <c r="Q33" s="38">
        <v>1994</v>
      </c>
      <c r="R33" s="3">
        <f>Stdev!D316</f>
        <v>11418</v>
      </c>
      <c r="S33" s="3">
        <f>Stdev!E316</f>
        <v>370.59</v>
      </c>
      <c r="T33" s="3">
        <f t="shared" si="1"/>
        <v>10700.546858830035</v>
      </c>
      <c r="U33" s="3">
        <f t="shared" si="0"/>
        <v>12183.55713216832</v>
      </c>
      <c r="V33">
        <f t="shared" si="2"/>
        <v>1</v>
      </c>
      <c r="X33" s="38">
        <v>1994</v>
      </c>
      <c r="Y33" s="3">
        <f t="shared" si="3"/>
        <v>11418</v>
      </c>
      <c r="Z33" s="3">
        <f t="shared" si="4"/>
        <v>370.59</v>
      </c>
      <c r="AA33" s="19">
        <f t="shared" si="19"/>
        <v>3.2456647398843928E-2</v>
      </c>
      <c r="AB33" s="73">
        <f t="shared" si="6"/>
        <v>10700.546858830035</v>
      </c>
      <c r="AC33" s="73">
        <f t="shared" si="7"/>
        <v>12183.55713216832</v>
      </c>
      <c r="AD33" s="19"/>
      <c r="AE33" s="36">
        <f>SUMPRODUCT($AK$14:$CI$14,AK33:CI33)</f>
        <v>0.57642688746658977</v>
      </c>
      <c r="AF33" s="60">
        <f>1/SUMPRODUCT($AK$14:$CI$14,1/AK33:CI33)</f>
        <v>0.39175437281903008</v>
      </c>
      <c r="AG33" s="36" t="str">
        <f>E342</f>
        <v>0.493</v>
      </c>
      <c r="AH33" s="36">
        <f>F342</f>
        <v>0.31237999999999999</v>
      </c>
      <c r="AI33" s="8">
        <f>AH33/AG33</f>
        <v>0.63363083164300205</v>
      </c>
      <c r="AJ33" t="s">
        <v>239</v>
      </c>
      <c r="AK33" s="31">
        <f t="shared" ref="AK33:BP33" si="32">$AG33*EXP(AK$15*$AI33)</f>
        <v>7.3671548443197774E-2</v>
      </c>
      <c r="AL33" s="31">
        <f t="shared" si="32"/>
        <v>7.9491681336670866E-2</v>
      </c>
      <c r="AM33" s="31">
        <f t="shared" si="32"/>
        <v>8.5771611093566805E-2</v>
      </c>
      <c r="AN33" s="31">
        <f t="shared" si="32"/>
        <v>9.2547662168925182E-2</v>
      </c>
      <c r="AO33" s="31">
        <f t="shared" si="32"/>
        <v>9.9859028689457868E-2</v>
      </c>
      <c r="AP33" s="31">
        <f t="shared" si="32"/>
        <v>0.1077480011607491</v>
      </c>
      <c r="AQ33" s="31">
        <f t="shared" si="32"/>
        <v>0.11626021108457289</v>
      </c>
      <c r="AR33" s="31">
        <f t="shared" si="32"/>
        <v>0.12544489490124541</v>
      </c>
      <c r="AS33" s="31">
        <f t="shared" si="32"/>
        <v>0.13535517878371248</v>
      </c>
      <c r="AT33" s="31">
        <f t="shared" si="32"/>
        <v>0.14604838593068065</v>
      </c>
      <c r="AU33" s="31">
        <f t="shared" si="32"/>
        <v>0.15758636813624252</v>
      </c>
      <c r="AV33" s="31">
        <f t="shared" si="32"/>
        <v>0.17003586355386446</v>
      </c>
      <c r="AW33" s="31">
        <f t="shared" si="32"/>
        <v>0.18346888272412085</v>
      </c>
      <c r="AX33" s="31">
        <f t="shared" si="32"/>
        <v>0.19796312509904146</v>
      </c>
      <c r="AY33" s="31">
        <f t="shared" si="32"/>
        <v>0.21360242847233762</v>
      </c>
      <c r="AZ33" s="31">
        <f t="shared" si="32"/>
        <v>0.23047725391510832</v>
      </c>
      <c r="BA33" s="31">
        <f t="shared" si="32"/>
        <v>0.24868520902199631</v>
      </c>
      <c r="BB33" s="31">
        <f t="shared" si="32"/>
        <v>0.2683316124943641</v>
      </c>
      <c r="BC33" s="31">
        <f t="shared" si="32"/>
        <v>0.28953010332615703</v>
      </c>
      <c r="BD33" s="31">
        <f t="shared" si="32"/>
        <v>0.31240329811611695</v>
      </c>
      <c r="BE33" s="31">
        <f t="shared" si="32"/>
        <v>0.33708350030837819</v>
      </c>
      <c r="BF33" s="31">
        <f t="shared" si="32"/>
        <v>0.36371346546384764</v>
      </c>
      <c r="BG33" s="31">
        <f t="shared" si="32"/>
        <v>0.39244722698885981</v>
      </c>
      <c r="BH33" s="31">
        <f t="shared" si="32"/>
        <v>0.423450987097299</v>
      </c>
      <c r="BI33" s="31">
        <f t="shared" si="32"/>
        <v>0.45690407815970346</v>
      </c>
      <c r="BJ33" s="31">
        <f t="shared" si="32"/>
        <v>0.49299999999999999</v>
      </c>
      <c r="BK33" s="31">
        <f t="shared" si="32"/>
        <v>0.53194753913981507</v>
      </c>
      <c r="BL33" s="31">
        <f t="shared" si="32"/>
        <v>0.57397197646431053</v>
      </c>
      <c r="BM33" s="31">
        <f t="shared" si="32"/>
        <v>0.61931639029494101</v>
      </c>
      <c r="BN33" s="31">
        <f t="shared" si="32"/>
        <v>0.66824306240638365</v>
      </c>
      <c r="BO33" s="31">
        <f t="shared" si="32"/>
        <v>0.72103499512034419</v>
      </c>
      <c r="BP33" s="31">
        <f t="shared" si="32"/>
        <v>0.7779975482514313</v>
      </c>
      <c r="BQ33" s="31">
        <f t="shared" ref="BQ33:CI33" si="33">$AG33*EXP(BQ$15*$AI33)</f>
        <v>0.83946020537354671</v>
      </c>
      <c r="BR33" s="31">
        <f t="shared" si="33"/>
        <v>0.90577847962324931</v>
      </c>
      <c r="BS33" s="31">
        <f t="shared" si="33"/>
        <v>0.97733597006367279</v>
      </c>
      <c r="BT33" s="31">
        <f t="shared" si="33"/>
        <v>1.0545465805034375</v>
      </c>
      <c r="BU33" s="31">
        <f t="shared" si="33"/>
        <v>1.137856913604687</v>
      </c>
      <c r="BV33" s="31">
        <f t="shared" si="33"/>
        <v>1.2277488541282724</v>
      </c>
      <c r="BW33" s="31">
        <f t="shared" si="33"/>
        <v>1.3247423562581389</v>
      </c>
      <c r="BX33" s="31">
        <f t="shared" si="33"/>
        <v>1.4293984511273776</v>
      </c>
      <c r="BY33" s="31">
        <f t="shared" si="33"/>
        <v>1.5423224919421334</v>
      </c>
      <c r="BZ33" s="31">
        <f t="shared" si="33"/>
        <v>1.6641676554738443</v>
      </c>
      <c r="CA33" s="31">
        <f t="shared" si="33"/>
        <v>1.7956387201731991</v>
      </c>
      <c r="CB33" s="31">
        <f t="shared" si="33"/>
        <v>1.9374961427592299</v>
      </c>
      <c r="CC33" s="31">
        <f t="shared" si="33"/>
        <v>2.0905604568633995</v>
      </c>
      <c r="CD33" s="31">
        <f t="shared" si="33"/>
        <v>2.2557170191713856</v>
      </c>
      <c r="CE33" s="31">
        <f t="shared" si="33"/>
        <v>2.4339211305152495</v>
      </c>
      <c r="CF33" s="31">
        <f t="shared" si="33"/>
        <v>2.6262035615374928</v>
      </c>
      <c r="CG33" s="31">
        <f t="shared" si="33"/>
        <v>2.8336765148886141</v>
      </c>
      <c r="CH33" s="31">
        <f t="shared" si="33"/>
        <v>3.0575400584447996</v>
      </c>
      <c r="CI33" s="31">
        <f t="shared" si="33"/>
        <v>3.2990890667568307</v>
      </c>
    </row>
    <row r="34" spans="3:87" x14ac:dyDescent="0.15">
      <c r="C34" s="31">
        <f>Stdev!B209</f>
        <v>56</v>
      </c>
      <c r="D34" s="31" t="str">
        <f>Stdev!C209</f>
        <v>log_rec_devs</v>
      </c>
      <c r="E34" s="31">
        <f>Stdev!D209</f>
        <v>-0.54366000000000003</v>
      </c>
      <c r="F34" s="31">
        <f>Stdev!E209</f>
        <v>0.12573000000000001</v>
      </c>
      <c r="H34">
        <v>1995</v>
      </c>
      <c r="I34" s="3"/>
      <c r="J34" s="3"/>
      <c r="K34" s="3"/>
      <c r="L34" s="3"/>
      <c r="M34" s="3"/>
      <c r="N34" s="3"/>
      <c r="O34" s="3">
        <f>Stdev!D35</f>
        <v>3749.1</v>
      </c>
      <c r="P34" s="3">
        <f>pm.rep!B94</f>
        <v>10904.9</v>
      </c>
      <c r="Q34" s="38">
        <v>1995</v>
      </c>
      <c r="R34" s="3">
        <f>Stdev!D317</f>
        <v>13177</v>
      </c>
      <c r="S34" s="3">
        <f>Stdev!E317</f>
        <v>411.45</v>
      </c>
      <c r="T34" s="3">
        <f t="shared" si="1"/>
        <v>12379.456644629754</v>
      </c>
      <c r="U34" s="3">
        <f t="shared" si="0"/>
        <v>14025.92488381327</v>
      </c>
      <c r="V34">
        <f t="shared" si="2"/>
        <v>1</v>
      </c>
      <c r="X34" s="38">
        <v>1995</v>
      </c>
      <c r="Y34" s="3">
        <f t="shared" si="3"/>
        <v>13177</v>
      </c>
      <c r="Z34" s="3">
        <f t="shared" si="4"/>
        <v>411.45</v>
      </c>
      <c r="AA34" s="19">
        <f t="shared" si="19"/>
        <v>3.12248615011004E-2</v>
      </c>
      <c r="AB34" s="73">
        <f t="shared" si="6"/>
        <v>12379.456644629754</v>
      </c>
      <c r="AC34" s="73">
        <f t="shared" si="7"/>
        <v>14025.92488381327</v>
      </c>
      <c r="AD34" s="19"/>
      <c r="AE34" s="31">
        <v>0.91349298949539459</v>
      </c>
      <c r="AF34" s="36">
        <v>0.84178056169344706</v>
      </c>
      <c r="AK34" s="1">
        <f>AK33/$AK$13</f>
        <v>0.15237512892748209</v>
      </c>
      <c r="AL34" s="1">
        <f t="shared" ref="AL34:CI34" si="34">AL33/$AK$13</f>
        <v>0.16441293074865346</v>
      </c>
      <c r="AM34" s="1">
        <f t="shared" si="34"/>
        <v>0.17740173207811571</v>
      </c>
      <c r="AN34" s="1">
        <f t="shared" si="34"/>
        <v>0.19141666291702725</v>
      </c>
      <c r="AO34" s="1">
        <f t="shared" si="34"/>
        <v>0.20653878861879954</v>
      </c>
      <c r="AP34" s="1">
        <f t="shared" si="34"/>
        <v>0.22285557878841555</v>
      </c>
      <c r="AQ34" s="1">
        <f t="shared" si="34"/>
        <v>0.24046141322530801</v>
      </c>
      <c r="AR34" s="1">
        <f t="shared" si="34"/>
        <v>0.25945812783627736</v>
      </c>
      <c r="AS34" s="1">
        <f t="shared" si="34"/>
        <v>0.27995560367612848</v>
      </c>
      <c r="AT34" s="1">
        <f t="shared" si="34"/>
        <v>0.30207240252316009</v>
      </c>
      <c r="AU34" s="1">
        <f t="shared" si="34"/>
        <v>0.32593645266581472</v>
      </c>
      <c r="AV34" s="1">
        <f t="shared" si="34"/>
        <v>0.35168578886722307</v>
      </c>
      <c r="AW34" s="1">
        <f t="shared" si="34"/>
        <v>0.3794693507877564</v>
      </c>
      <c r="AX34" s="1">
        <f t="shared" si="34"/>
        <v>0.40944784448383431</v>
      </c>
      <c r="AY34" s="1">
        <f t="shared" si="34"/>
        <v>0.4417946719660798</v>
      </c>
      <c r="AZ34" s="1">
        <f t="shared" si="34"/>
        <v>0.47669693419358633</v>
      </c>
      <c r="BA34" s="1">
        <f t="shared" si="34"/>
        <v>0.51435651330582677</v>
      </c>
      <c r="BB34" s="1">
        <f t="shared" si="34"/>
        <v>0.55499124035206926</v>
      </c>
      <c r="BC34" s="1">
        <f t="shared" si="34"/>
        <v>0.59883615527269141</v>
      </c>
      <c r="BD34" s="1">
        <f t="shared" si="34"/>
        <v>0.64614486642039848</v>
      </c>
      <c r="BE34" s="1">
        <f t="shared" si="34"/>
        <v>0.69719101748510248</v>
      </c>
      <c r="BF34" s="1">
        <f t="shared" si="34"/>
        <v>0.75226987030747283</v>
      </c>
      <c r="BG34" s="1">
        <f t="shared" si="34"/>
        <v>0.81170001273648684</v>
      </c>
      <c r="BH34" s="1">
        <f t="shared" si="34"/>
        <v>0.87582520140959585</v>
      </c>
      <c r="BI34" s="1">
        <f t="shared" si="34"/>
        <v>0.94501635011453844</v>
      </c>
      <c r="BJ34" s="1">
        <f t="shared" si="34"/>
        <v>1.0196736752339122</v>
      </c>
      <c r="BK34" s="1">
        <f t="shared" si="34"/>
        <v>1.1002290106822121</v>
      </c>
      <c r="BL34" s="1">
        <f t="shared" si="34"/>
        <v>1.187148305725428</v>
      </c>
      <c r="BM34" s="1">
        <f t="shared" si="34"/>
        <v>1.2809343201311205</v>
      </c>
      <c r="BN34" s="1">
        <f t="shared" si="34"/>
        <v>1.3821295322382996</v>
      </c>
      <c r="BO34" s="1">
        <f t="shared" si="34"/>
        <v>1.4913192767680066</v>
      </c>
      <c r="BP34" s="1">
        <f t="shared" si="34"/>
        <v>1.6091351305243606</v>
      </c>
      <c r="BQ34" s="1">
        <f t="shared" si="34"/>
        <v>1.7362585655696938</v>
      </c>
      <c r="BR34" s="1">
        <f t="shared" si="34"/>
        <v>1.8734248910045106</v>
      </c>
      <c r="BS34" s="1">
        <f t="shared" si="34"/>
        <v>2.0214275061523854</v>
      </c>
      <c r="BT34" s="1">
        <f t="shared" si="34"/>
        <v>2.1811224897511048</v>
      </c>
      <c r="BU34" s="1">
        <f t="shared" si="34"/>
        <v>2.3534335516949434</v>
      </c>
      <c r="BV34" s="1">
        <f t="shared" si="34"/>
        <v>2.539357375969979</v>
      </c>
      <c r="BW34" s="1">
        <f t="shared" si="34"/>
        <v>2.7399693856871581</v>
      </c>
      <c r="BX34" s="1">
        <f t="shared" si="34"/>
        <v>2.956429963559259</v>
      </c>
      <c r="BY34" s="1">
        <f t="shared" si="34"/>
        <v>3.1899911638023548</v>
      </c>
      <c r="BZ34" s="1">
        <f t="shared" si="34"/>
        <v>3.4420039542848229</v>
      </c>
      <c r="CA34" s="1">
        <f t="shared" si="34"/>
        <v>3.7139260308140449</v>
      </c>
      <c r="CB34" s="1">
        <f t="shared" si="34"/>
        <v>4.0073302487603089</v>
      </c>
      <c r="CC34" s="1">
        <f t="shared" si="34"/>
        <v>4.3239137207882132</v>
      </c>
      <c r="CD34" s="1">
        <f t="shared" si="34"/>
        <v>4.665507633318807</v>
      </c>
      <c r="CE34" s="1">
        <f t="shared" si="34"/>
        <v>5.034087838502967</v>
      </c>
      <c r="CF34" s="1">
        <f t="shared" si="34"/>
        <v>5.4317862829722614</v>
      </c>
      <c r="CG34" s="1">
        <f t="shared" si="34"/>
        <v>5.8609033394736239</v>
      </c>
      <c r="CH34" s="1">
        <f t="shared" si="34"/>
        <v>6.3239211127166719</v>
      </c>
      <c r="CI34" s="1">
        <f t="shared" si="34"/>
        <v>6.823517796397474</v>
      </c>
    </row>
    <row r="35" spans="3:87" x14ac:dyDescent="0.15">
      <c r="C35" s="31">
        <f>Stdev!B210</f>
        <v>57</v>
      </c>
      <c r="D35" s="31" t="str">
        <f>Stdev!C210</f>
        <v>log_rec_devs</v>
      </c>
      <c r="E35" s="31">
        <f>Stdev!D210</f>
        <v>0.22156999999999999</v>
      </c>
      <c r="F35" s="31">
        <f>Stdev!E210</f>
        <v>0.10981</v>
      </c>
      <c r="H35">
        <v>1996</v>
      </c>
      <c r="I35" s="3"/>
      <c r="J35" s="3"/>
      <c r="K35" s="3"/>
      <c r="L35" s="3"/>
      <c r="M35" s="3"/>
      <c r="N35" s="3"/>
      <c r="O35" s="3">
        <f>Stdev!D36</f>
        <v>3764.9</v>
      </c>
      <c r="P35" s="3">
        <f>pm.rep!B95</f>
        <v>22878.1</v>
      </c>
      <c r="Q35" s="38">
        <v>1996</v>
      </c>
      <c r="R35" s="3">
        <f>Stdev!D318</f>
        <v>11358</v>
      </c>
      <c r="S35" s="3">
        <f>Stdev!E318</f>
        <v>373.27</v>
      </c>
      <c r="T35" s="3">
        <f t="shared" si="1"/>
        <v>10635.654164464888</v>
      </c>
      <c r="U35" s="3">
        <f t="shared" si="0"/>
        <v>12129.40567689948</v>
      </c>
      <c r="V35">
        <f t="shared" si="2"/>
        <v>1</v>
      </c>
      <c r="X35" s="38">
        <v>1996</v>
      </c>
      <c r="Y35" s="3">
        <f t="shared" si="3"/>
        <v>11358</v>
      </c>
      <c r="Z35" s="3">
        <f t="shared" si="4"/>
        <v>373.27</v>
      </c>
      <c r="AA35" s="19">
        <f t="shared" si="19"/>
        <v>3.2864060574044722E-2</v>
      </c>
      <c r="AB35" s="73">
        <f t="shared" si="6"/>
        <v>10635.654164464888</v>
      </c>
      <c r="AC35" s="73">
        <f t="shared" si="7"/>
        <v>12129.40567689948</v>
      </c>
      <c r="AD35" s="19"/>
      <c r="AE35" s="19"/>
      <c r="AF35" s="19"/>
      <c r="AK35" s="1"/>
      <c r="AL35" s="1"/>
      <c r="AO35" s="3"/>
    </row>
    <row r="36" spans="3:87" x14ac:dyDescent="0.15">
      <c r="C36" s="31">
        <f>Stdev!B211</f>
        <v>58</v>
      </c>
      <c r="D36" s="31" t="str">
        <f>Stdev!C211</f>
        <v>log_rec_devs</v>
      </c>
      <c r="E36" s="31">
        <f>Stdev!D211</f>
        <v>0.52634999999999998</v>
      </c>
      <c r="F36" s="31">
        <f>Stdev!E211</f>
        <v>0.10662000000000001</v>
      </c>
      <c r="H36">
        <v>1997</v>
      </c>
      <c r="I36" s="3"/>
      <c r="J36" s="3"/>
      <c r="K36" s="3"/>
      <c r="L36" s="3"/>
      <c r="M36" s="3"/>
      <c r="N36" s="3"/>
      <c r="O36" s="3">
        <f>Stdev!D37</f>
        <v>3564.7</v>
      </c>
      <c r="P36" s="3">
        <f>pm.rep!B96</f>
        <v>31178.400000000001</v>
      </c>
      <c r="Q36" s="38">
        <v>1997</v>
      </c>
      <c r="R36" s="3">
        <f>Stdev!D319</f>
        <v>9940</v>
      </c>
      <c r="S36" s="3">
        <f>Stdev!E319</f>
        <v>343.76</v>
      </c>
      <c r="T36" s="3">
        <f t="shared" si="1"/>
        <v>9275.9097183364011</v>
      </c>
      <c r="U36" s="3">
        <f t="shared" si="0"/>
        <v>10651.63450272563</v>
      </c>
      <c r="V36">
        <f t="shared" si="2"/>
        <v>1</v>
      </c>
      <c r="X36" s="38">
        <v>1997</v>
      </c>
      <c r="Y36" s="3">
        <f t="shared" si="3"/>
        <v>9940</v>
      </c>
      <c r="Z36" s="3">
        <f t="shared" si="4"/>
        <v>343.76</v>
      </c>
      <c r="AA36" s="19">
        <f t="shared" ref="AA36:AA41" si="35">Z36/Y36</f>
        <v>3.4583501006036216E-2</v>
      </c>
      <c r="AB36" s="73">
        <f t="shared" si="6"/>
        <v>9275.9097183364011</v>
      </c>
      <c r="AC36" s="73">
        <f t="shared" si="7"/>
        <v>10651.63450272563</v>
      </c>
      <c r="AD36" s="19"/>
      <c r="AE36" s="19"/>
      <c r="AF36" s="19"/>
      <c r="AK36" s="1"/>
      <c r="AL36" s="1"/>
      <c r="AO36" s="3"/>
    </row>
    <row r="37" spans="3:87" x14ac:dyDescent="0.15">
      <c r="C37" s="31">
        <f>Stdev!B212</f>
        <v>59</v>
      </c>
      <c r="D37" s="31" t="str">
        <f>Stdev!C212</f>
        <v>log_rec_devs</v>
      </c>
      <c r="E37" s="31">
        <f>Stdev!D212</f>
        <v>-0.16816</v>
      </c>
      <c r="F37" s="31">
        <f>Stdev!E212</f>
        <v>0.11464000000000001</v>
      </c>
      <c r="H37">
        <v>1998</v>
      </c>
      <c r="I37" s="3"/>
      <c r="J37" s="3"/>
      <c r="K37" s="3"/>
      <c r="L37" s="3"/>
      <c r="M37" s="3"/>
      <c r="N37" s="3"/>
      <c r="O37" s="3">
        <f>Stdev!D38</f>
        <v>3317.4</v>
      </c>
      <c r="P37" s="3">
        <f>pm.rep!B97</f>
        <v>15483</v>
      </c>
      <c r="Q37" s="38">
        <v>1998</v>
      </c>
      <c r="R37" s="3">
        <f>Stdev!D320</f>
        <v>9989.7999999999993</v>
      </c>
      <c r="S37" s="3">
        <f>Stdev!E320</f>
        <v>337.21</v>
      </c>
      <c r="T37" s="3">
        <f t="shared" si="1"/>
        <v>9337.8210287917645</v>
      </c>
      <c r="U37" s="3">
        <f t="shared" si="0"/>
        <v>10687.301002267417</v>
      </c>
      <c r="V37">
        <f t="shared" si="2"/>
        <v>1</v>
      </c>
      <c r="X37" s="38">
        <v>1998</v>
      </c>
      <c r="Y37" s="3">
        <f t="shared" si="3"/>
        <v>9989.7999999999993</v>
      </c>
      <c r="Z37" s="3">
        <f t="shared" si="4"/>
        <v>337.21</v>
      </c>
      <c r="AA37" s="19">
        <f t="shared" si="35"/>
        <v>3.3755430539149936E-2</v>
      </c>
      <c r="AB37" s="73">
        <f t="shared" si="6"/>
        <v>9337.8210287917645</v>
      </c>
      <c r="AC37" s="73">
        <f t="shared" si="7"/>
        <v>10687.301002267417</v>
      </c>
      <c r="AD37" s="19"/>
      <c r="AE37" s="19"/>
      <c r="AF37" s="19"/>
      <c r="AK37" s="1"/>
      <c r="AL37" s="1"/>
      <c r="AO37" s="3"/>
    </row>
    <row r="38" spans="3:87" x14ac:dyDescent="0.15">
      <c r="C38" s="31">
        <f>Stdev!B213</f>
        <v>60</v>
      </c>
      <c r="D38" s="31" t="str">
        <f>Stdev!C213</f>
        <v>log_rec_devs</v>
      </c>
      <c r="E38" s="31">
        <f>Stdev!D213</f>
        <v>-7.8769000000000006E-2</v>
      </c>
      <c r="F38" s="31">
        <f>Stdev!E213</f>
        <v>0.11307</v>
      </c>
      <c r="H38">
        <v>1999</v>
      </c>
      <c r="I38" s="3"/>
      <c r="J38" s="3"/>
      <c r="K38" s="3"/>
      <c r="L38" s="3"/>
      <c r="M38" s="3"/>
      <c r="N38" s="3"/>
      <c r="O38" s="3">
        <f>Stdev!D39</f>
        <v>3317.8</v>
      </c>
      <c r="P38" s="3">
        <f>pm.rep!B98</f>
        <v>16827.099999999999</v>
      </c>
      <c r="Q38" s="38">
        <v>1999</v>
      </c>
      <c r="R38" s="3">
        <f>Stdev!D321</f>
        <v>10853</v>
      </c>
      <c r="S38" s="3">
        <f>Stdev!E321</f>
        <v>337.01</v>
      </c>
      <c r="T38" s="3">
        <f t="shared" si="1"/>
        <v>10199.635816083524</v>
      </c>
      <c r="U38" s="3">
        <f t="shared" si="0"/>
        <v>11548.217124994206</v>
      </c>
      <c r="V38">
        <f t="shared" si="2"/>
        <v>1</v>
      </c>
      <c r="X38" s="38">
        <v>1999</v>
      </c>
      <c r="Y38" s="3">
        <f t="shared" si="3"/>
        <v>10853</v>
      </c>
      <c r="Z38" s="3">
        <f t="shared" si="4"/>
        <v>337.01</v>
      </c>
      <c r="AA38" s="19">
        <f t="shared" si="35"/>
        <v>3.1052243619275777E-2</v>
      </c>
      <c r="AB38" s="73">
        <f t="shared" si="6"/>
        <v>10199.635816083524</v>
      </c>
      <c r="AC38" s="73">
        <f t="shared" si="7"/>
        <v>11548.217124994206</v>
      </c>
      <c r="AE38" s="19"/>
      <c r="AF38" s="19"/>
      <c r="AK38" s="1"/>
      <c r="AL38" s="1"/>
      <c r="AO38" s="3"/>
    </row>
    <row r="39" spans="3:87" x14ac:dyDescent="0.15">
      <c r="C39" s="31">
        <f>Stdev!B214</f>
        <v>61</v>
      </c>
      <c r="D39" s="31" t="str">
        <f>Stdev!C214</f>
        <v>log_rec_devs</v>
      </c>
      <c r="E39" s="31">
        <f>Stdev!D214</f>
        <v>0.35025000000000001</v>
      </c>
      <c r="F39" s="31">
        <f>Stdev!E214</f>
        <v>0.10768</v>
      </c>
      <c r="H39">
        <v>2000</v>
      </c>
      <c r="I39" s="3"/>
      <c r="J39" s="3"/>
      <c r="K39" s="3"/>
      <c r="L39" s="3"/>
      <c r="M39" s="3"/>
      <c r="N39" s="3"/>
      <c r="O39" s="3">
        <f>Stdev!D40</f>
        <v>3345.5</v>
      </c>
      <c r="P39" s="3">
        <f>pm.rep!B99</f>
        <v>25850.3</v>
      </c>
      <c r="Q39" s="38">
        <v>2000</v>
      </c>
      <c r="R39" s="3">
        <f>Stdev!D322</f>
        <v>10068</v>
      </c>
      <c r="S39" s="3">
        <f>Stdev!E322</f>
        <v>314.02</v>
      </c>
      <c r="T39" s="3">
        <f t="shared" si="1"/>
        <v>9459.2909041386138</v>
      </c>
      <c r="U39" s="3">
        <f t="shared" si="0"/>
        <v>10715.879765961221</v>
      </c>
      <c r="V39">
        <f t="shared" si="2"/>
        <v>1</v>
      </c>
      <c r="X39" s="38">
        <v>2000</v>
      </c>
      <c r="Y39" s="3">
        <f t="shared" si="3"/>
        <v>10068</v>
      </c>
      <c r="Z39" s="3">
        <f t="shared" si="4"/>
        <v>314.02</v>
      </c>
      <c r="AA39" s="19">
        <f t="shared" si="35"/>
        <v>3.1189908621374652E-2</v>
      </c>
      <c r="AB39" s="73">
        <f t="shared" ref="AB39:AB44" si="36">Y39/EXP(2*SQRT(LN(1+Z39^2/Y39^2)))</f>
        <v>9459.2909041386138</v>
      </c>
      <c r="AC39" s="73">
        <f t="shared" ref="AC39:AC44" si="37">Y39*EXP(2*SQRT(LN(1+Z39^2/Y39^2)))</f>
        <v>10715.879765961221</v>
      </c>
      <c r="AF39">
        <v>23.465</v>
      </c>
      <c r="AK39" s="1"/>
      <c r="AL39" s="1"/>
      <c r="AN39" t="s">
        <v>150</v>
      </c>
      <c r="AP39" t="s">
        <v>223</v>
      </c>
      <c r="AR39" t="s">
        <v>224</v>
      </c>
      <c r="AT39" t="s">
        <v>239</v>
      </c>
      <c r="AV39" t="s">
        <v>282</v>
      </c>
      <c r="AW39" t="s">
        <v>313</v>
      </c>
    </row>
    <row r="40" spans="3:87" x14ac:dyDescent="0.15">
      <c r="C40" s="31">
        <f>Stdev!B215</f>
        <v>62</v>
      </c>
      <c r="D40" s="31" t="str">
        <f>Stdev!C215</f>
        <v>log_rec_devs</v>
      </c>
      <c r="E40" s="31">
        <f>Stdev!D215</f>
        <v>0.65585000000000004</v>
      </c>
      <c r="F40" s="31">
        <f>Stdev!E215</f>
        <v>0.1045</v>
      </c>
      <c r="H40">
        <v>2001</v>
      </c>
      <c r="I40" s="3"/>
      <c r="J40" s="3"/>
      <c r="K40" s="3"/>
      <c r="L40" s="3"/>
      <c r="M40" s="3"/>
      <c r="N40" s="3"/>
      <c r="O40" s="3">
        <f>Stdev!D41</f>
        <v>3382.3</v>
      </c>
      <c r="P40" s="3">
        <f>pm.rep!B100</f>
        <v>35963.4</v>
      </c>
      <c r="Q40" s="38">
        <v>2001</v>
      </c>
      <c r="R40" s="3">
        <f>Stdev!D323</f>
        <v>9854</v>
      </c>
      <c r="S40" s="3">
        <f>Stdev!E323</f>
        <v>314.87</v>
      </c>
      <c r="T40" s="3">
        <f t="shared" si="1"/>
        <v>9244.1112298503904</v>
      </c>
      <c r="U40" s="3">
        <f t="shared" si="0"/>
        <v>10504.126744650986</v>
      </c>
      <c r="V40">
        <f t="shared" si="2"/>
        <v>1</v>
      </c>
      <c r="X40" s="38">
        <v>2001</v>
      </c>
      <c r="Y40" s="3">
        <f t="shared" si="3"/>
        <v>9854</v>
      </c>
      <c r="Z40" s="3">
        <f t="shared" si="4"/>
        <v>314.87</v>
      </c>
      <c r="AA40" s="19">
        <f t="shared" si="35"/>
        <v>3.1953521412624315E-2</v>
      </c>
      <c r="AB40" s="73">
        <f t="shared" si="36"/>
        <v>9244.1112298503904</v>
      </c>
      <c r="AC40" s="73">
        <f t="shared" si="37"/>
        <v>10504.126744650986</v>
      </c>
      <c r="AF40">
        <v>22.114999999999998</v>
      </c>
      <c r="AK40" s="1"/>
      <c r="AL40" s="1"/>
      <c r="AN40" s="3">
        <f t="shared" ref="AN40:AN45" si="38">E237</f>
        <v>0</v>
      </c>
      <c r="AW40" t="s">
        <v>313</v>
      </c>
    </row>
    <row r="41" spans="3:87" x14ac:dyDescent="0.15">
      <c r="C41" s="31">
        <f>Stdev!B216</f>
        <v>63</v>
      </c>
      <c r="D41" s="31" t="str">
        <f>Stdev!C216</f>
        <v>log_rec_devs</v>
      </c>
      <c r="E41" s="31">
        <f>Stdev!D216</f>
        <v>0.21831999999999999</v>
      </c>
      <c r="F41" s="31">
        <f>Stdev!E216</f>
        <v>0.10736</v>
      </c>
      <c r="H41" s="21">
        <v>2002</v>
      </c>
      <c r="I41" s="3"/>
      <c r="J41" s="69"/>
      <c r="K41" s="69"/>
      <c r="L41" s="3"/>
      <c r="M41" s="3"/>
      <c r="N41" s="3"/>
      <c r="O41" s="3">
        <f>Stdev!D42</f>
        <v>3215.9</v>
      </c>
      <c r="P41" s="3">
        <f>pm.rep!B101</f>
        <v>23951.8</v>
      </c>
      <c r="Q41" s="38">
        <v>2002</v>
      </c>
      <c r="R41" s="3">
        <f>Stdev!D324</f>
        <v>10276</v>
      </c>
      <c r="S41" s="3">
        <f>Stdev!E324</f>
        <v>316.69</v>
      </c>
      <c r="T41" s="3">
        <f t="shared" ref="T41:T47" si="39">R41/EXP(2*SQRT(LN(1+S41^2/R41^2)))</f>
        <v>9661.8861552099788</v>
      </c>
      <c r="U41" s="3">
        <f t="shared" ref="U41:U48" si="40">R41*EXP(2*SQRT(LN(1+S41^2/R41^2)))</f>
        <v>10929.14719793706</v>
      </c>
      <c r="V41">
        <f t="shared" si="2"/>
        <v>1</v>
      </c>
      <c r="X41" s="38">
        <v>2002</v>
      </c>
      <c r="Y41" s="3">
        <f t="shared" si="3"/>
        <v>10276</v>
      </c>
      <c r="Z41" s="3">
        <f t="shared" si="4"/>
        <v>316.69</v>
      </c>
      <c r="AA41" s="19">
        <f t="shared" si="35"/>
        <v>3.0818411833398208E-2</v>
      </c>
      <c r="AB41" s="73">
        <f t="shared" si="36"/>
        <v>9661.8861552099788</v>
      </c>
      <c r="AC41" s="73">
        <f t="shared" si="37"/>
        <v>10929.14719793706</v>
      </c>
      <c r="AF41">
        <v>26.404</v>
      </c>
      <c r="AG41" s="6"/>
      <c r="AK41" s="1"/>
      <c r="AL41" s="1"/>
      <c r="AM41">
        <v>2007</v>
      </c>
      <c r="AN41" s="3">
        <f t="shared" si="38"/>
        <v>-0.22727</v>
      </c>
      <c r="AO41" s="3">
        <f>F238</f>
        <v>0.122</v>
      </c>
      <c r="AP41" s="3">
        <f t="shared" ref="AP41:AQ45" si="41">E243</f>
        <v>-3.7775000000000003E-2</v>
      </c>
      <c r="AQ41" s="3">
        <f t="shared" si="41"/>
        <v>0.13094</v>
      </c>
      <c r="AR41" s="3"/>
      <c r="AS41" s="3"/>
      <c r="AT41" s="3">
        <f t="shared" ref="AT41:AU45" si="42">E248</f>
        <v>0.49315999999999999</v>
      </c>
      <c r="AU41" s="3">
        <f>F248/2</f>
        <v>7.8094999999999998E-2</v>
      </c>
      <c r="AW41" s="38">
        <f t="shared" ref="AW41:AX45" si="43">E253</f>
        <v>2547.5</v>
      </c>
      <c r="AX41" s="38">
        <f t="shared" si="43"/>
        <v>59.064</v>
      </c>
    </row>
    <row r="42" spans="3:87" x14ac:dyDescent="0.15">
      <c r="C42" s="31">
        <f>Stdev!B217</f>
        <v>64</v>
      </c>
      <c r="D42" s="31" t="str">
        <f>Stdev!C217</f>
        <v>log_rec_devs</v>
      </c>
      <c r="E42" s="31">
        <f>Stdev!D217</f>
        <v>-0.29304999999999998</v>
      </c>
      <c r="F42" s="31">
        <f>Stdev!E217</f>
        <v>0.11143</v>
      </c>
      <c r="H42">
        <v>2003</v>
      </c>
      <c r="I42" s="3"/>
      <c r="J42" s="69"/>
      <c r="K42" s="69"/>
      <c r="L42" s="3"/>
      <c r="M42" s="3"/>
      <c r="N42" s="3"/>
      <c r="O42" s="3">
        <f>Stdev!D43</f>
        <v>3417.9</v>
      </c>
      <c r="P42" s="3">
        <f>pm.rep!B102</f>
        <v>14625.5</v>
      </c>
      <c r="Q42" s="38">
        <v>2003</v>
      </c>
      <c r="R42" s="3">
        <f>Stdev!D325</f>
        <v>12365</v>
      </c>
      <c r="S42" s="3">
        <f>Stdev!E325</f>
        <v>342.95</v>
      </c>
      <c r="T42" s="3">
        <f t="shared" si="39"/>
        <v>11697.901616604242</v>
      </c>
      <c r="U42" s="3">
        <f t="shared" si="40"/>
        <v>13070.141125394679</v>
      </c>
      <c r="V42">
        <f t="shared" si="2"/>
        <v>1</v>
      </c>
      <c r="X42" s="38">
        <v>2003</v>
      </c>
      <c r="Y42" s="3">
        <f t="shared" si="3"/>
        <v>12365</v>
      </c>
      <c r="Z42" s="3">
        <f t="shared" si="4"/>
        <v>342.95</v>
      </c>
      <c r="AA42" s="19">
        <f t="shared" ref="AA42:AA48" si="44">Z42/Y42</f>
        <v>2.7735543873837445E-2</v>
      </c>
      <c r="AB42" s="73">
        <f t="shared" si="36"/>
        <v>11697.901616604242</v>
      </c>
      <c r="AC42" s="73">
        <f t="shared" si="37"/>
        <v>13070.141125394679</v>
      </c>
      <c r="AE42">
        <v>0</v>
      </c>
      <c r="AF42">
        <v>0</v>
      </c>
      <c r="AG42" s="6"/>
      <c r="AK42" s="1"/>
      <c r="AL42" s="1"/>
      <c r="AM42">
        <v>2008</v>
      </c>
      <c r="AN42" s="3">
        <f t="shared" si="38"/>
        <v>-5.7662E-3</v>
      </c>
      <c r="AO42" s="3">
        <f>F239</f>
        <v>0.1197</v>
      </c>
      <c r="AP42" s="3">
        <f t="shared" si="41"/>
        <v>0.34065000000000001</v>
      </c>
      <c r="AQ42" s="3">
        <f t="shared" si="41"/>
        <v>0.14782999999999999</v>
      </c>
      <c r="AR42" s="3"/>
      <c r="AS42" s="3"/>
      <c r="AT42" s="3">
        <f t="shared" si="42"/>
        <v>-0.31486999999999998</v>
      </c>
      <c r="AU42" s="3">
        <f t="shared" si="42"/>
        <v>0.38288</v>
      </c>
      <c r="AW42" s="38" t="e">
        <f t="shared" si="43"/>
        <v>#REF!</v>
      </c>
      <c r="AX42" s="38" t="e">
        <f t="shared" si="43"/>
        <v>#REF!</v>
      </c>
    </row>
    <row r="43" spans="3:87" x14ac:dyDescent="0.15">
      <c r="C43" s="31">
        <f>Stdev!B218</f>
        <v>65</v>
      </c>
      <c r="D43" s="31" t="str">
        <f>Stdev!C218</f>
        <v>log_rec_devs</v>
      </c>
      <c r="E43" s="31">
        <f>Stdev!D218</f>
        <v>-1.1028</v>
      </c>
      <c r="F43" s="31">
        <f>Stdev!E218</f>
        <v>0.12584000000000001</v>
      </c>
      <c r="H43">
        <v>2004</v>
      </c>
      <c r="I43" s="3"/>
      <c r="J43" s="69"/>
      <c r="K43" s="69"/>
      <c r="L43" s="3"/>
      <c r="M43" s="3"/>
      <c r="N43" s="3"/>
      <c r="O43" s="3">
        <f>Stdev!D44</f>
        <v>3520.4</v>
      </c>
      <c r="P43" s="3">
        <f>pm.rep!B103</f>
        <v>6640.46</v>
      </c>
      <c r="Q43" s="38">
        <v>2004</v>
      </c>
      <c r="R43" s="3">
        <f>Stdev!D326</f>
        <v>11591</v>
      </c>
      <c r="S43" s="3">
        <f>Stdev!E326</f>
        <v>322.27999999999997</v>
      </c>
      <c r="T43" s="3">
        <f t="shared" si="39"/>
        <v>10964.15171619459</v>
      </c>
      <c r="U43" s="3">
        <f t="shared" si="40"/>
        <v>12253.686785595693</v>
      </c>
      <c r="V43">
        <f t="shared" si="2"/>
        <v>1</v>
      </c>
      <c r="X43" s="38">
        <v>2004</v>
      </c>
      <c r="Y43" s="3">
        <f t="shared" si="3"/>
        <v>11591</v>
      </c>
      <c r="Z43" s="3">
        <f t="shared" si="4"/>
        <v>322.27999999999997</v>
      </c>
      <c r="AA43" s="19">
        <f t="shared" si="44"/>
        <v>2.7804330946423948E-2</v>
      </c>
      <c r="AB43" s="73">
        <f t="shared" si="36"/>
        <v>10964.15171619459</v>
      </c>
      <c r="AC43" s="73">
        <f t="shared" si="37"/>
        <v>12253.686785595693</v>
      </c>
      <c r="AE43">
        <v>5000</v>
      </c>
      <c r="AF43" s="27">
        <f>AE43*$AF$41</f>
        <v>132020</v>
      </c>
      <c r="AG43" s="6"/>
      <c r="AK43" s="1"/>
      <c r="AL43" s="1"/>
      <c r="AM43">
        <v>2009</v>
      </c>
      <c r="AN43" s="3">
        <f t="shared" si="38"/>
        <v>5.5912000000000003E-2</v>
      </c>
      <c r="AO43" s="3">
        <f>F240</f>
        <v>0.11422</v>
      </c>
      <c r="AP43" s="3">
        <f t="shared" si="41"/>
        <v>0.39268999999999998</v>
      </c>
      <c r="AQ43" s="3">
        <f t="shared" si="41"/>
        <v>3.6560000000000002E-2</v>
      </c>
      <c r="AR43" s="3"/>
      <c r="AS43" s="3"/>
      <c r="AT43" s="3">
        <f t="shared" si="42"/>
        <v>-0.70692999999999995</v>
      </c>
      <c r="AU43" s="3">
        <f t="shared" si="42"/>
        <v>0.31670999999999999</v>
      </c>
      <c r="AW43" s="38">
        <f t="shared" si="43"/>
        <v>4.9275000000000002</v>
      </c>
      <c r="AX43" s="38">
        <f t="shared" si="43"/>
        <v>0.31462000000000001</v>
      </c>
    </row>
    <row r="44" spans="3:87" x14ac:dyDescent="0.15">
      <c r="C44" s="31">
        <f>Stdev!B219</f>
        <v>66</v>
      </c>
      <c r="D44" s="31" t="str">
        <f>Stdev!C219</f>
        <v>log_rec_devs</v>
      </c>
      <c r="E44" s="31">
        <f>Stdev!D219</f>
        <v>-1.4950000000000001</v>
      </c>
      <c r="F44" s="31">
        <f>Stdev!E219</f>
        <v>0.13839000000000001</v>
      </c>
      <c r="H44">
        <v>2005</v>
      </c>
      <c r="I44" s="3"/>
      <c r="J44" s="69"/>
      <c r="K44" s="69"/>
      <c r="L44" s="3"/>
      <c r="M44" s="3"/>
      <c r="N44" s="3"/>
      <c r="O44" s="3">
        <f>Stdev!D45</f>
        <v>3223</v>
      </c>
      <c r="P44" s="3">
        <f>pm.rep!B104</f>
        <v>4831.7</v>
      </c>
      <c r="Q44" s="38">
        <v>2005</v>
      </c>
      <c r="R44" s="3">
        <f>Stdev!D327</f>
        <v>9705.2000000000007</v>
      </c>
      <c r="S44" s="3">
        <f>Stdev!E327</f>
        <v>287.52999999999997</v>
      </c>
      <c r="T44" s="3">
        <f t="shared" si="39"/>
        <v>9146.9642504549975</v>
      </c>
      <c r="U44" s="3">
        <f t="shared" si="40"/>
        <v>10297.504665038423</v>
      </c>
      <c r="V44">
        <f t="shared" si="2"/>
        <v>1</v>
      </c>
      <c r="X44" s="38">
        <v>2005</v>
      </c>
      <c r="Y44" s="3">
        <f t="shared" si="3"/>
        <v>9705.2000000000007</v>
      </c>
      <c r="Z44" s="3">
        <f t="shared" si="4"/>
        <v>287.52999999999997</v>
      </c>
      <c r="AA44" s="19">
        <f t="shared" si="44"/>
        <v>2.9626385855005558E-2</v>
      </c>
      <c r="AB44" s="73">
        <f t="shared" si="36"/>
        <v>9146.9642504549975</v>
      </c>
      <c r="AC44" s="73">
        <f t="shared" si="37"/>
        <v>10297.504665038423</v>
      </c>
      <c r="AK44" s="1"/>
      <c r="AL44" s="31">
        <v>1</v>
      </c>
      <c r="AM44">
        <v>2010</v>
      </c>
      <c r="AN44" s="3">
        <f t="shared" si="38"/>
        <v>0.14022999999999999</v>
      </c>
      <c r="AO44" s="3">
        <f>F241</f>
        <v>0.11226</v>
      </c>
      <c r="AP44" s="3">
        <f t="shared" si="41"/>
        <v>0.49895</v>
      </c>
      <c r="AQ44" s="3">
        <f t="shared" si="41"/>
        <v>4.8432000000000003E-2</v>
      </c>
      <c r="AR44" s="3"/>
      <c r="AS44" s="3"/>
      <c r="AT44" s="3">
        <f t="shared" si="42"/>
        <v>0.69506999999999997</v>
      </c>
      <c r="AU44" s="3">
        <f t="shared" si="42"/>
        <v>5.8280999999999999E-2</v>
      </c>
      <c r="AW44" s="38">
        <f t="shared" si="43"/>
        <v>0.60189999999999999</v>
      </c>
      <c r="AX44" s="38">
        <f t="shared" si="43"/>
        <v>5.2519999999999997E-2</v>
      </c>
    </row>
    <row r="45" spans="3:87" x14ac:dyDescent="0.15">
      <c r="C45" s="31">
        <f>Stdev!B220</f>
        <v>67</v>
      </c>
      <c r="D45" s="31" t="str">
        <f>Stdev!C220</f>
        <v>log_rec_devs</v>
      </c>
      <c r="E45" s="31">
        <f>Stdev!D220</f>
        <v>-0.56374999999999997</v>
      </c>
      <c r="F45" s="31">
        <f>Stdev!E220</f>
        <v>0.11877</v>
      </c>
      <c r="H45">
        <v>2006</v>
      </c>
      <c r="I45" s="3"/>
      <c r="J45" s="69"/>
      <c r="K45" s="69"/>
      <c r="L45" s="3"/>
      <c r="M45" s="3"/>
      <c r="N45" s="3"/>
      <c r="O45" s="3">
        <f>Stdev!D46</f>
        <v>2651</v>
      </c>
      <c r="P45" s="3">
        <f>pm.rep!B105</f>
        <v>12207.5</v>
      </c>
      <c r="Q45" s="38">
        <v>2006</v>
      </c>
      <c r="R45" s="3">
        <f>Stdev!D328</f>
        <v>7445.9</v>
      </c>
      <c r="S45" s="3">
        <f>Stdev!E328</f>
        <v>247.67</v>
      </c>
      <c r="T45" s="3">
        <f t="shared" si="39"/>
        <v>6966.8050476438466</v>
      </c>
      <c r="U45" s="3">
        <f t="shared" si="40"/>
        <v>7957.9414711410827</v>
      </c>
      <c r="V45">
        <f t="shared" ref="V45:V50" si="45">R45/Y45</f>
        <v>1</v>
      </c>
      <c r="X45" s="38">
        <v>2006</v>
      </c>
      <c r="Y45" s="3">
        <f t="shared" si="3"/>
        <v>7445.9</v>
      </c>
      <c r="Z45" s="3">
        <f t="shared" si="4"/>
        <v>247.67</v>
      </c>
      <c r="AA45" s="19">
        <f t="shared" si="44"/>
        <v>3.3262600894451981E-2</v>
      </c>
      <c r="AB45" s="73">
        <f t="shared" ref="AB45:AB50" si="46">Y45/EXP(2*SQRT(LN(1+Z45^2/Y45^2)))</f>
        <v>6966.8050476438466</v>
      </c>
      <c r="AC45" s="73">
        <f t="shared" ref="AC45:AC50" si="47">Y45*EXP(2*SQRT(LN(1+Z45^2/Y45^2)))</f>
        <v>7957.9414711410827</v>
      </c>
      <c r="AK45" s="1"/>
      <c r="AL45" s="31"/>
      <c r="AM45">
        <v>2011</v>
      </c>
      <c r="AN45" s="3">
        <f t="shared" si="38"/>
        <v>0.14204</v>
      </c>
      <c r="AO45" s="3">
        <f>F242</f>
        <v>0.12936</v>
      </c>
      <c r="AP45" s="3">
        <f t="shared" si="41"/>
        <v>0.72987999999999997</v>
      </c>
      <c r="AQ45" s="3">
        <f t="shared" si="41"/>
        <v>0.27945999999999999</v>
      </c>
      <c r="AR45" s="3"/>
      <c r="AS45" s="3"/>
      <c r="AT45" s="3">
        <f t="shared" si="42"/>
        <v>0.40887000000000001</v>
      </c>
      <c r="AU45" s="3">
        <f t="shared" si="42"/>
        <v>0.21242</v>
      </c>
      <c r="AW45" s="38">
        <f t="shared" si="43"/>
        <v>0.72987999999999997</v>
      </c>
      <c r="AX45" s="38">
        <f t="shared" si="43"/>
        <v>0.27945999999999999</v>
      </c>
    </row>
    <row r="46" spans="3:87" x14ac:dyDescent="0.15">
      <c r="C46" s="31">
        <f>Stdev!B221</f>
        <v>68</v>
      </c>
      <c r="D46" s="31" t="str">
        <f>Stdev!C221</f>
        <v>log_rec_devs</v>
      </c>
      <c r="E46" s="31">
        <f>Stdev!D221</f>
        <v>0.29220000000000002</v>
      </c>
      <c r="F46" s="31">
        <f>Stdev!E221</f>
        <v>0.11661000000000001</v>
      </c>
      <c r="H46">
        <v>2007</v>
      </c>
      <c r="I46" s="3"/>
      <c r="J46" s="69"/>
      <c r="K46" s="69"/>
      <c r="L46" s="3"/>
      <c r="M46" s="3"/>
      <c r="N46" s="3"/>
      <c r="O46" s="3">
        <f>Stdev!D47</f>
        <v>2215.1999999999998</v>
      </c>
      <c r="P46" s="3">
        <f>pm.rep!B106</f>
        <v>26390.5</v>
      </c>
      <c r="Q46" s="38">
        <v>2007</v>
      </c>
      <c r="R46" s="3">
        <f>Stdev!D329</f>
        <v>6045.3</v>
      </c>
      <c r="S46" s="3">
        <f>Stdev!E329</f>
        <v>236.01</v>
      </c>
      <c r="T46" s="3">
        <f t="shared" si="39"/>
        <v>5591.4035907175848</v>
      </c>
      <c r="U46" s="3">
        <f t="shared" si="40"/>
        <v>6536.0426048783638</v>
      </c>
      <c r="V46">
        <f t="shared" si="45"/>
        <v>1</v>
      </c>
      <c r="X46" s="38">
        <v>2007</v>
      </c>
      <c r="Y46" s="3">
        <f t="shared" si="3"/>
        <v>6045.3</v>
      </c>
      <c r="Z46" s="3">
        <f t="shared" si="4"/>
        <v>236.01</v>
      </c>
      <c r="AA46" s="19">
        <f t="shared" si="44"/>
        <v>3.9040246141630687E-2</v>
      </c>
      <c r="AB46" s="73">
        <f t="shared" si="46"/>
        <v>5591.4035907175848</v>
      </c>
      <c r="AC46" s="73">
        <f t="shared" si="47"/>
        <v>6536.0426048783638</v>
      </c>
      <c r="AK46" s="1"/>
      <c r="AL46" s="31"/>
      <c r="AN46" s="3"/>
      <c r="AO46" s="3"/>
      <c r="AP46" s="3"/>
      <c r="AQ46" s="3"/>
      <c r="AR46" s="3"/>
      <c r="AS46" s="3"/>
      <c r="AT46" s="3"/>
      <c r="AU46" s="3"/>
      <c r="AW46" s="38"/>
      <c r="AX46" s="38"/>
    </row>
    <row r="47" spans="3:87" x14ac:dyDescent="0.15">
      <c r="C47" s="31">
        <f>Stdev!B222</f>
        <v>69</v>
      </c>
      <c r="D47" s="31" t="str">
        <f>Stdev!C222</f>
        <v>log_rec_devs</v>
      </c>
      <c r="E47" s="31">
        <f>Stdev!D222</f>
        <v>-0.74770000000000003</v>
      </c>
      <c r="F47" s="31">
        <f>Stdev!E222</f>
        <v>0.16331000000000001</v>
      </c>
      <c r="H47">
        <v>2008</v>
      </c>
      <c r="I47" s="3"/>
      <c r="J47" s="69"/>
      <c r="K47" s="69"/>
      <c r="L47" s="3"/>
      <c r="M47" s="3"/>
      <c r="O47" s="3">
        <f>Stdev!D48</f>
        <v>1629.7</v>
      </c>
      <c r="P47" s="3">
        <f>pm.rep!B107</f>
        <v>14622.4</v>
      </c>
      <c r="Q47" s="38">
        <v>2008</v>
      </c>
      <c r="R47" s="3">
        <f>Stdev!D330</f>
        <v>4848.8</v>
      </c>
      <c r="S47" s="3">
        <f>Stdev!E330</f>
        <v>215.09</v>
      </c>
      <c r="T47" s="3">
        <f t="shared" si="39"/>
        <v>4437.3439645057097</v>
      </c>
      <c r="U47" s="3">
        <f t="shared" si="40"/>
        <v>5298.4086038998221</v>
      </c>
      <c r="V47">
        <f t="shared" si="45"/>
        <v>1</v>
      </c>
      <c r="X47" s="38">
        <v>2008</v>
      </c>
      <c r="Y47" s="3">
        <f t="shared" si="3"/>
        <v>4848.8</v>
      </c>
      <c r="Z47" s="3">
        <f t="shared" si="4"/>
        <v>215.09</v>
      </c>
      <c r="AA47" s="19">
        <f t="shared" si="44"/>
        <v>4.4359429137106089E-2</v>
      </c>
      <c r="AB47" s="73">
        <f t="shared" si="46"/>
        <v>4437.3439645057097</v>
      </c>
      <c r="AC47" s="73">
        <f t="shared" si="47"/>
        <v>5298.4086038998221</v>
      </c>
      <c r="AK47" s="1"/>
      <c r="AL47" s="31"/>
      <c r="AN47" s="3"/>
      <c r="AO47" s="3"/>
      <c r="AP47" s="3"/>
      <c r="AQ47" s="3"/>
      <c r="AR47" s="3"/>
      <c r="AS47" s="3"/>
      <c r="AT47" s="3"/>
      <c r="AU47" s="3"/>
      <c r="AW47" s="38"/>
      <c r="AX47" s="38"/>
    </row>
    <row r="48" spans="3:87" x14ac:dyDescent="0.15">
      <c r="C48" s="31">
        <f>Stdev!B223</f>
        <v>70</v>
      </c>
      <c r="D48" s="31" t="str">
        <f>Stdev!C223</f>
        <v>log_rec_devs</v>
      </c>
      <c r="E48" s="31">
        <f>Stdev!D223</f>
        <v>0.93318999999999996</v>
      </c>
      <c r="F48" s="31">
        <f>Stdev!E223</f>
        <v>0.15121999999999999</v>
      </c>
      <c r="H48">
        <v>2009</v>
      </c>
      <c r="O48" s="3">
        <f>Stdev!D49</f>
        <v>1775.3</v>
      </c>
      <c r="P48" s="3">
        <f>pm.rep!B108</f>
        <v>56930.6</v>
      </c>
      <c r="Q48" s="38">
        <v>2009</v>
      </c>
      <c r="R48" s="3">
        <f>Stdev!D331</f>
        <v>6331.1</v>
      </c>
      <c r="S48" s="3">
        <f>Stdev!E331</f>
        <v>297.02999999999997</v>
      </c>
      <c r="T48" s="3">
        <f>R48/EXP(2*SQRT(LN(1+S48^2/R48^2)))</f>
        <v>5764.3565451907953</v>
      </c>
      <c r="U48" s="3">
        <f t="shared" si="40"/>
        <v>6953.564876801579</v>
      </c>
      <c r="V48">
        <f t="shared" si="45"/>
        <v>1</v>
      </c>
      <c r="X48" s="38">
        <v>2009</v>
      </c>
      <c r="Y48" s="3">
        <f t="shared" si="3"/>
        <v>6331.1</v>
      </c>
      <c r="Z48" s="3">
        <f t="shared" si="4"/>
        <v>297.02999999999997</v>
      </c>
      <c r="AA48" s="19">
        <f t="shared" si="44"/>
        <v>4.6916017753628907E-2</v>
      </c>
      <c r="AB48" s="73">
        <f t="shared" si="46"/>
        <v>5764.3565451907953</v>
      </c>
      <c r="AC48" s="73">
        <f t="shared" si="47"/>
        <v>6953.564876801579</v>
      </c>
      <c r="AK48" s="1"/>
      <c r="AL48" s="31"/>
      <c r="AN48" s="3"/>
      <c r="AO48" s="3"/>
      <c r="AP48" s="3"/>
      <c r="AQ48" s="3"/>
      <c r="AR48" s="3"/>
      <c r="AS48" s="3"/>
      <c r="AT48" s="3"/>
      <c r="AU48" s="3"/>
      <c r="AW48" s="38"/>
      <c r="AX48" s="38"/>
    </row>
    <row r="49" spans="3:53" x14ac:dyDescent="0.15">
      <c r="C49" s="31">
        <f>Stdev!B224</f>
        <v>71</v>
      </c>
      <c r="D49" s="31" t="str">
        <f>Stdev!C224</f>
        <v>log_rec_devs</v>
      </c>
      <c r="E49" s="31">
        <f>Stdev!D224</f>
        <v>0.10517</v>
      </c>
      <c r="F49" s="31">
        <f>Stdev!E224</f>
        <v>0.20871999999999999</v>
      </c>
      <c r="H49">
        <v>2010</v>
      </c>
      <c r="O49" s="3">
        <f>Stdev!D50</f>
        <v>2017.6</v>
      </c>
      <c r="P49" s="3">
        <f>pm.rep!B109</f>
        <v>22500.1</v>
      </c>
      <c r="Q49" s="38">
        <v>2010</v>
      </c>
      <c r="R49" s="3">
        <f>Stdev!D332</f>
        <v>6680.3</v>
      </c>
      <c r="S49" s="3">
        <f>Stdev!E332</f>
        <v>366.02</v>
      </c>
      <c r="T49" s="3">
        <f>R49/EXP(2*SQRT(LN(1+S49^2/R49^2)))</f>
        <v>5987.434964489973</v>
      </c>
      <c r="U49" s="3">
        <f>R49*EXP(2*SQRT(LN(1+S49^2/R49^2)))</f>
        <v>7453.3432688068297</v>
      </c>
      <c r="V49">
        <f t="shared" si="45"/>
        <v>1</v>
      </c>
      <c r="X49" s="38">
        <v>2010</v>
      </c>
      <c r="Y49" s="3">
        <f t="shared" si="3"/>
        <v>6680.3</v>
      </c>
      <c r="Z49" s="3">
        <f>F147</f>
        <v>366.02</v>
      </c>
      <c r="AA49" s="19">
        <f>Z49/Y49</f>
        <v>5.4790952502133131E-2</v>
      </c>
      <c r="AB49" s="73">
        <f t="shared" si="46"/>
        <v>5987.434964489973</v>
      </c>
      <c r="AC49" s="73">
        <f t="shared" si="47"/>
        <v>7453.3432688068297</v>
      </c>
      <c r="AK49" s="1"/>
      <c r="AL49" s="31"/>
      <c r="AN49" s="3"/>
      <c r="AO49" s="3"/>
      <c r="AP49" s="3"/>
      <c r="AQ49" s="3"/>
      <c r="AR49" s="3"/>
      <c r="AS49" s="3"/>
      <c r="AT49" s="3"/>
      <c r="AU49" s="3"/>
      <c r="AW49" s="38"/>
      <c r="AX49" s="38"/>
    </row>
    <row r="50" spans="3:53" x14ac:dyDescent="0.15">
      <c r="C50" s="31">
        <f>Stdev!B225</f>
        <v>72</v>
      </c>
      <c r="D50" s="31" t="str">
        <f>Stdev!C225</f>
        <v>log_rec_devs</v>
      </c>
      <c r="E50" s="31">
        <f>Stdev!D225</f>
        <v>4.7077000000000001E-2</v>
      </c>
      <c r="F50" s="31">
        <f>Stdev!E225</f>
        <v>0.15917000000000001</v>
      </c>
      <c r="H50">
        <v>2011</v>
      </c>
      <c r="O50" s="3">
        <f>Stdev!D51</f>
        <v>2538.1</v>
      </c>
      <c r="P50" s="3">
        <f>pm.rep!B110</f>
        <v>13479.2</v>
      </c>
      <c r="Q50" s="38">
        <v>2011</v>
      </c>
      <c r="R50" s="3">
        <f>Stdev!D333</f>
        <v>10053</v>
      </c>
      <c r="S50" s="3">
        <f>Stdev!E333</f>
        <v>656.7</v>
      </c>
      <c r="T50" s="3">
        <f>R50/EXP(2*SQRT(LN(1+S50^2/R50^2)))</f>
        <v>8823.0056007029307</v>
      </c>
      <c r="U50" s="3">
        <f>R50*EXP(2*SQRT(LN(1+S50^2/R50^2)))</f>
        <v>11454.465017221375</v>
      </c>
      <c r="V50">
        <f t="shared" si="45"/>
        <v>1</v>
      </c>
      <c r="X50" s="38">
        <v>2011</v>
      </c>
      <c r="Y50" s="3">
        <f t="shared" si="3"/>
        <v>10053</v>
      </c>
      <c r="Z50" s="3">
        <f>F148</f>
        <v>656.7</v>
      </c>
      <c r="AA50" s="19">
        <f>Z50/Y50</f>
        <v>6.5323783945091016E-2</v>
      </c>
      <c r="AB50" s="73">
        <f t="shared" si="46"/>
        <v>8823.0056007029307</v>
      </c>
      <c r="AC50" s="73">
        <f t="shared" si="47"/>
        <v>11454.465017221375</v>
      </c>
      <c r="AK50" s="1"/>
      <c r="AL50" s="31"/>
      <c r="AN50" s="3"/>
      <c r="AO50" s="3"/>
      <c r="AP50" s="3"/>
      <c r="AQ50" s="3"/>
      <c r="AR50" s="3"/>
      <c r="AS50" s="3"/>
      <c r="AT50" s="3"/>
      <c r="AU50" s="3"/>
      <c r="AW50" s="38"/>
      <c r="AX50" s="38"/>
    </row>
    <row r="51" spans="3:53" x14ac:dyDescent="0.15">
      <c r="C51" s="31">
        <f>Stdev!B226</f>
        <v>73</v>
      </c>
      <c r="D51" s="31" t="str">
        <f>Stdev!C226</f>
        <v>log_rec_devs</v>
      </c>
      <c r="E51" s="31">
        <f>Stdev!D226</f>
        <v>-3.7270999999999999E-2</v>
      </c>
      <c r="F51" s="31">
        <f>Stdev!E226</f>
        <v>0.18687000000000001</v>
      </c>
      <c r="H51">
        <v>2012</v>
      </c>
      <c r="O51" s="3"/>
      <c r="P51" s="3"/>
      <c r="Q51" s="38"/>
      <c r="R51" s="3"/>
      <c r="S51" s="3"/>
      <c r="T51" s="3"/>
      <c r="U51" s="3"/>
      <c r="X51" s="38"/>
      <c r="Y51" s="3"/>
      <c r="Z51" s="3"/>
      <c r="AA51" s="19"/>
      <c r="AB51" s="73"/>
      <c r="AC51" s="73"/>
      <c r="AK51" s="1"/>
      <c r="AL51" s="31"/>
      <c r="AN51" s="3"/>
      <c r="AO51" s="3"/>
      <c r="AP51" s="3"/>
      <c r="AQ51" s="3"/>
      <c r="AR51" s="3"/>
      <c r="AS51" s="3"/>
      <c r="AT51" s="3"/>
      <c r="AU51" s="3"/>
      <c r="AW51" s="38"/>
      <c r="AX51" s="38"/>
    </row>
    <row r="52" spans="3:53" x14ac:dyDescent="0.15">
      <c r="C52" s="31">
        <f>Stdev!B228</f>
        <v>74</v>
      </c>
      <c r="D52" s="31" t="str">
        <f>Stdev!C228</f>
        <v>log_rec_devs</v>
      </c>
      <c r="E52" s="31">
        <f>Stdev!D228</f>
        <v>-2.6462999999999999E-3</v>
      </c>
      <c r="F52" s="31">
        <f>Stdev!E228</f>
        <v>0.19542000000000001</v>
      </c>
      <c r="H52">
        <v>2013</v>
      </c>
      <c r="O52" s="3"/>
      <c r="P52" s="3"/>
      <c r="Q52" s="38"/>
      <c r="R52" s="3"/>
      <c r="S52" s="3"/>
      <c r="T52" s="3"/>
      <c r="U52" s="3"/>
      <c r="X52" s="38"/>
      <c r="Y52" s="3"/>
      <c r="Z52" s="3"/>
      <c r="AA52" s="19"/>
      <c r="AB52" s="73"/>
      <c r="AC52" s="73"/>
      <c r="AK52" s="1"/>
      <c r="AL52" s="31"/>
      <c r="AN52" s="3"/>
      <c r="AO52" s="3"/>
      <c r="AP52" s="3"/>
      <c r="AQ52" s="3"/>
      <c r="AR52" s="3"/>
      <c r="AS52" s="3"/>
      <c r="AT52" s="3"/>
      <c r="AU52" s="3"/>
      <c r="AW52" s="38"/>
      <c r="AX52" s="38"/>
    </row>
    <row r="53" spans="3:53" x14ac:dyDescent="0.15">
      <c r="C53" s="31"/>
      <c r="D53" s="31"/>
      <c r="E53" s="31"/>
      <c r="F53" s="31"/>
      <c r="O53" s="3">
        <f>Stdev!D52</f>
        <v>3053</v>
      </c>
      <c r="P53" s="3">
        <f>pm.rep!B111</f>
        <v>11200.8</v>
      </c>
      <c r="Q53" s="38">
        <v>2012</v>
      </c>
      <c r="R53" s="3">
        <f>Stdev!D334</f>
        <v>10164</v>
      </c>
      <c r="S53" s="3">
        <f>Stdev!E334</f>
        <v>769.38</v>
      </c>
      <c r="T53" s="3">
        <f>R53/EXP(2*SQRT(LN(1+S53^2/R53^2)))</f>
        <v>8737.9456648639807</v>
      </c>
      <c r="U53" s="3">
        <f>R53*EXP(2*SQRT(LN(1+S53^2/R53^2)))</f>
        <v>11822.789928232878</v>
      </c>
      <c r="V53">
        <f>R53/Y53</f>
        <v>1</v>
      </c>
      <c r="X53" s="38">
        <v>2012</v>
      </c>
      <c r="Y53" s="3">
        <f>E149</f>
        <v>10164</v>
      </c>
      <c r="Z53" s="3">
        <f>F149</f>
        <v>769.38</v>
      </c>
      <c r="AA53" s="19">
        <f>Z53/Y53</f>
        <v>7.5696576151121603E-2</v>
      </c>
      <c r="AB53" s="73">
        <f>Y53/EXP(2*SQRT(LN(1+Z53^2/Y53^2)))</f>
        <v>8737.9456648639807</v>
      </c>
      <c r="AC53" s="73">
        <f>Y53*EXP(2*SQRT(LN(1+Z53^2/Y53^2)))</f>
        <v>11822.789928232878</v>
      </c>
      <c r="AK53" s="1"/>
      <c r="AL53" s="31"/>
      <c r="AN53" s="3"/>
      <c r="AO53" s="3"/>
      <c r="AP53" s="3"/>
      <c r="AQ53" s="3"/>
      <c r="AR53" s="3"/>
      <c r="AS53" s="3"/>
      <c r="AT53" s="3"/>
      <c r="AU53" s="3"/>
      <c r="AW53" s="38"/>
      <c r="AX53" s="38"/>
    </row>
    <row r="54" spans="3:53" x14ac:dyDescent="0.15">
      <c r="D54" t="str">
        <f>Stdev!C201</f>
        <v>log_rec_devs</v>
      </c>
      <c r="O54" s="3"/>
      <c r="P54" s="3"/>
      <c r="Q54" s="38"/>
      <c r="R54" s="3"/>
      <c r="S54" s="3"/>
      <c r="T54" s="3"/>
      <c r="U54" s="3"/>
      <c r="X54" s="38"/>
      <c r="Y54" s="3"/>
      <c r="Z54" s="3"/>
      <c r="AA54" s="19"/>
      <c r="AB54" s="73"/>
      <c r="AC54" s="73"/>
      <c r="AK54" s="1"/>
      <c r="AL54" s="31"/>
      <c r="AN54" s="3"/>
      <c r="AO54" s="3"/>
      <c r="AP54" s="3"/>
      <c r="AQ54" s="3"/>
      <c r="AR54" s="3"/>
      <c r="AS54" s="3"/>
      <c r="AT54" s="3"/>
      <c r="AU54" s="3"/>
      <c r="AW54" s="38"/>
      <c r="AX54" s="38"/>
    </row>
    <row r="55" spans="3:53" x14ac:dyDescent="0.15">
      <c r="D55" t="str">
        <f>Stdev!C202</f>
        <v>log_rec_devs</v>
      </c>
      <c r="Q55" s="3"/>
      <c r="R55" s="3"/>
      <c r="Y55" s="3"/>
      <c r="Z55" s="3"/>
      <c r="AA55" s="19"/>
      <c r="AB55" s="73"/>
      <c r="AC55" s="73"/>
      <c r="AK55" s="1"/>
      <c r="AL55" s="31"/>
      <c r="AN55" s="3"/>
      <c r="AO55" s="3"/>
      <c r="AP55" s="3"/>
      <c r="AQ55" s="3"/>
      <c r="AR55" s="3"/>
      <c r="AS55" s="3"/>
      <c r="AT55" s="3"/>
      <c r="AU55" s="3"/>
      <c r="AW55" s="38"/>
      <c r="AX55" s="38"/>
    </row>
    <row r="56" spans="3:53" x14ac:dyDescent="0.15">
      <c r="D56" t="str">
        <f>Stdev!C203</f>
        <v>log_rec_devs</v>
      </c>
      <c r="R56" s="21" t="s">
        <v>353</v>
      </c>
      <c r="S56" s="21" t="s">
        <v>58</v>
      </c>
      <c r="T56" t="s">
        <v>409</v>
      </c>
      <c r="U56" t="s">
        <v>429</v>
      </c>
      <c r="V56" t="s">
        <v>520</v>
      </c>
      <c r="W56" t="s">
        <v>575</v>
      </c>
      <c r="AA56" t="s">
        <v>233</v>
      </c>
      <c r="AB56" s="19">
        <f>Y36/AVERAGE(Y3:Y19)</f>
        <v>2.2877644271450328</v>
      </c>
      <c r="AC56" s="23">
        <f>(Y36-AVERAGE(Y3:Y19))/AVERAGE(Y3:Y19)</f>
        <v>1.2877644271450326</v>
      </c>
      <c r="AK56" s="1"/>
      <c r="AL56" s="1"/>
    </row>
    <row r="57" spans="3:53" x14ac:dyDescent="0.15">
      <c r="D57" t="str">
        <f>Stdev!C204</f>
        <v>log_rec_devs</v>
      </c>
      <c r="Q57">
        <v>1964</v>
      </c>
      <c r="R57" s="27">
        <v>1449.0407908413717</v>
      </c>
      <c r="S57" s="27">
        <v>1481.8518321264996</v>
      </c>
      <c r="T57" s="27">
        <v>1453.0636128202514</v>
      </c>
      <c r="U57" s="27">
        <v>1444.7068963624092</v>
      </c>
      <c r="V57" s="27">
        <v>1471.1274694067868</v>
      </c>
      <c r="W57" s="27">
        <v>1390.7103708419058</v>
      </c>
      <c r="X57" s="27">
        <v>1810.1</v>
      </c>
      <c r="AA57" t="s">
        <v>232</v>
      </c>
      <c r="AB57" s="23">
        <f>Y36/AVERAGE(Y13:Y18)</f>
        <v>2.5626812761843376</v>
      </c>
      <c r="AK57" s="1"/>
      <c r="AL57" s="1"/>
    </row>
    <row r="58" spans="3:53" x14ac:dyDescent="0.15">
      <c r="D58" t="str">
        <f>Stdev!C205</f>
        <v>log_rec_devs</v>
      </c>
      <c r="Q58">
        <v>1965</v>
      </c>
      <c r="R58" s="27">
        <v>1833.2212639675581</v>
      </c>
      <c r="S58" s="27">
        <v>1872.6817385047307</v>
      </c>
      <c r="T58" s="27">
        <v>1837.9147881585754</v>
      </c>
      <c r="U58" s="27">
        <v>1794.82847245537</v>
      </c>
      <c r="V58" s="27">
        <v>1803.4254386513028</v>
      </c>
      <c r="W58" s="27">
        <v>1724.8956108508462</v>
      </c>
      <c r="X58" s="27">
        <v>2230.9</v>
      </c>
      <c r="AA58" t="s">
        <v>234</v>
      </c>
      <c r="AB58" s="23">
        <f>Y24/Y19</f>
        <v>2.6499294088760665</v>
      </c>
      <c r="AK58" s="1"/>
      <c r="AL58" s="1"/>
    </row>
    <row r="59" spans="3:53" x14ac:dyDescent="0.15">
      <c r="D59" t="str">
        <f>Stdev!C206</f>
        <v>log_rec_devs</v>
      </c>
      <c r="Q59">
        <v>1966</v>
      </c>
      <c r="R59" s="27">
        <v>1874.4685417274343</v>
      </c>
      <c r="S59" s="27">
        <v>1915.874090740592</v>
      </c>
      <c r="T59" s="27">
        <v>1876.5269189135565</v>
      </c>
      <c r="U59" s="27">
        <v>1840.7151797884449</v>
      </c>
      <c r="V59" s="27">
        <v>1812.3283792980449</v>
      </c>
      <c r="W59" s="27">
        <v>1627.8324723859791</v>
      </c>
      <c r="X59" s="27">
        <v>2251.5</v>
      </c>
      <c r="AA59" t="s">
        <v>236</v>
      </c>
      <c r="AB59" s="23">
        <f>Y24/Y13</f>
        <v>3.3675698164231109</v>
      </c>
      <c r="AK59" s="1"/>
      <c r="AL59" s="1"/>
      <c r="AN59" s="3"/>
      <c r="AO59" s="3"/>
    </row>
    <row r="60" spans="3:53" x14ac:dyDescent="0.15">
      <c r="D60" t="str">
        <f>Stdev!C207</f>
        <v>log_rec_devs</v>
      </c>
      <c r="Q60">
        <v>1967</v>
      </c>
      <c r="R60" s="27">
        <v>2746.2186351739169</v>
      </c>
      <c r="S60" s="27">
        <v>2801.4166585698522</v>
      </c>
      <c r="T60" s="27">
        <v>2749.1755275263868</v>
      </c>
      <c r="U60" s="27">
        <v>2722.2332653909666</v>
      </c>
      <c r="V60" s="27">
        <v>2750.5336229442883</v>
      </c>
      <c r="W60" s="27">
        <v>2482.1307286615033</v>
      </c>
      <c r="X60" s="27">
        <v>3517.9</v>
      </c>
      <c r="AA60" t="s">
        <v>237</v>
      </c>
      <c r="AB60" s="23">
        <f>Y24/Y3</f>
        <v>6.929744769650596</v>
      </c>
      <c r="AK60" s="1"/>
      <c r="AL60" s="1"/>
      <c r="AN60" s="3"/>
      <c r="AO60" s="3"/>
    </row>
    <row r="61" spans="3:53" x14ac:dyDescent="0.15">
      <c r="D61" t="str">
        <f>Stdev!C208</f>
        <v>log_rec_devs</v>
      </c>
      <c r="Q61">
        <v>1968</v>
      </c>
      <c r="R61" s="27">
        <v>3076.1886437063467</v>
      </c>
      <c r="S61" s="27">
        <v>3138.9510052034311</v>
      </c>
      <c r="T61" s="27">
        <v>3076.1877706860928</v>
      </c>
      <c r="U61" s="27">
        <v>2998.2389781633938</v>
      </c>
      <c r="V61" s="27">
        <v>3002.5501554457228</v>
      </c>
      <c r="W61" s="27">
        <v>2721.8307247546463</v>
      </c>
      <c r="X61" s="27">
        <v>3881.4</v>
      </c>
      <c r="AA61" t="s">
        <v>235</v>
      </c>
      <c r="AB61" s="23">
        <f>Y36/Y24</f>
        <v>0.76750830051733454</v>
      </c>
      <c r="AK61" s="1">
        <v>1</v>
      </c>
      <c r="AL61" s="1"/>
      <c r="AM61" s="21" t="s">
        <v>311</v>
      </c>
      <c r="AO61" s="3"/>
      <c r="AV61">
        <v>1</v>
      </c>
    </row>
    <row r="62" spans="3:53" x14ac:dyDescent="0.15">
      <c r="D62" t="str">
        <f>Stdev!C209</f>
        <v>log_rec_devs</v>
      </c>
      <c r="Q62">
        <v>1969</v>
      </c>
      <c r="R62" s="27">
        <v>4098.4707506066034</v>
      </c>
      <c r="S62" s="27">
        <v>4174.4284061590424</v>
      </c>
      <c r="T62" s="27">
        <v>4103.9886617475831</v>
      </c>
      <c r="U62" s="27">
        <v>4154.1916409079595</v>
      </c>
      <c r="V62" s="27">
        <v>3929.7518635742517</v>
      </c>
      <c r="W62" s="27">
        <v>3978.9876705219808</v>
      </c>
      <c r="X62" s="27">
        <v>5057.8999999999996</v>
      </c>
      <c r="AA62" t="s">
        <v>238</v>
      </c>
      <c r="AB62" s="23">
        <f>Y36/AVERAGE(Y3:Y36)</f>
        <v>1.325283440309698</v>
      </c>
      <c r="AK62" s="1"/>
      <c r="AL62" s="1" t="s">
        <v>178</v>
      </c>
      <c r="AM62" t="s">
        <v>147</v>
      </c>
      <c r="AN62" t="s">
        <v>150</v>
      </c>
      <c r="AP62" t="s">
        <v>223</v>
      </c>
      <c r="AR62" t="s">
        <v>224</v>
      </c>
      <c r="AT62" t="s">
        <v>239</v>
      </c>
      <c r="AW62" t="s">
        <v>638</v>
      </c>
      <c r="AY62" t="s">
        <v>571</v>
      </c>
    </row>
    <row r="63" spans="3:53" x14ac:dyDescent="0.15">
      <c r="D63" t="str">
        <f>Stdev!C210</f>
        <v>log_rec_devs</v>
      </c>
      <c r="Q63">
        <v>1970</v>
      </c>
      <c r="R63" s="27">
        <v>4712.9335667996784</v>
      </c>
      <c r="S63" s="27">
        <v>4795.0854960357092</v>
      </c>
      <c r="T63" s="27">
        <v>4721.2415849726358</v>
      </c>
      <c r="U63" s="27">
        <v>4936.3750845121122</v>
      </c>
      <c r="V63" s="27">
        <v>4481.51712306832</v>
      </c>
      <c r="W63" s="27">
        <v>4867.1677961685755</v>
      </c>
      <c r="X63" s="27">
        <v>5929.2</v>
      </c>
      <c r="AK63" s="27">
        <f t="shared" ref="AK63:AK68" si="48">AT63</f>
        <v>3483.4</v>
      </c>
      <c r="AL63" s="27">
        <f>pm.rep!B857</f>
        <v>26543.8</v>
      </c>
      <c r="AM63">
        <v>2013</v>
      </c>
      <c r="AN63" s="27">
        <f t="shared" ref="AN63:AO68" si="49">E265</f>
        <v>3483.4</v>
      </c>
      <c r="AO63" s="33">
        <f t="shared" si="49"/>
        <v>397.65</v>
      </c>
      <c r="AP63" s="27">
        <f t="shared" ref="AP63:AQ68" si="50">E271</f>
        <v>3483.4</v>
      </c>
      <c r="AQ63" s="33">
        <f t="shared" si="50"/>
        <v>397.65</v>
      </c>
      <c r="AR63" s="27"/>
      <c r="AS63" s="33"/>
      <c r="AT63" s="27">
        <f t="shared" ref="AT63:AU68" si="51">E277</f>
        <v>3483.4</v>
      </c>
      <c r="AU63" s="33">
        <f t="shared" si="51"/>
        <v>397.65</v>
      </c>
      <c r="AV63">
        <v>2013</v>
      </c>
      <c r="AW63" s="27">
        <f t="shared" ref="AW63:AX68" si="52">E283</f>
        <v>3483.4</v>
      </c>
      <c r="AX63" s="33">
        <f t="shared" si="52"/>
        <v>397.65</v>
      </c>
      <c r="AY63" s="27">
        <f t="shared" ref="AY63:AZ68" si="53">E289</f>
        <v>3483.4</v>
      </c>
      <c r="AZ63" s="27">
        <f t="shared" si="53"/>
        <v>397.65</v>
      </c>
      <c r="BA63" s="27" t="str">
        <f>D283</f>
        <v>future_SSB</v>
      </c>
    </row>
    <row r="64" spans="3:53" x14ac:dyDescent="0.15">
      <c r="D64" t="str">
        <f>Stdev!C211</f>
        <v>log_rec_devs</v>
      </c>
      <c r="Q64">
        <v>1971</v>
      </c>
      <c r="R64" s="27">
        <v>4877.8311822595588</v>
      </c>
      <c r="S64" s="27">
        <v>4960.3434052474231</v>
      </c>
      <c r="T64" s="27">
        <v>4888.5387824045383</v>
      </c>
      <c r="U64" s="27">
        <v>5271.6940498948252</v>
      </c>
      <c r="V64" s="27">
        <v>4810.116796208179</v>
      </c>
      <c r="W64" s="27">
        <v>5281.0813850800478</v>
      </c>
      <c r="X64" s="27">
        <v>6616.7</v>
      </c>
      <c r="AK64" s="27">
        <f t="shared" si="48"/>
        <v>3645.7</v>
      </c>
      <c r="AL64" s="27">
        <f>pm.rep!B858</f>
        <v>24938.400000000001</v>
      </c>
      <c r="AM64">
        <v>2014</v>
      </c>
      <c r="AN64" s="27">
        <f t="shared" si="49"/>
        <v>3679.3</v>
      </c>
      <c r="AO64" s="33">
        <f t="shared" si="49"/>
        <v>444.87</v>
      </c>
      <c r="AP64" s="27">
        <f t="shared" si="50"/>
        <v>3662.6</v>
      </c>
      <c r="AQ64" s="33">
        <f t="shared" si="50"/>
        <v>445.05</v>
      </c>
      <c r="AR64" s="27"/>
      <c r="AS64" s="33"/>
      <c r="AT64" s="27">
        <f t="shared" si="51"/>
        <v>3645.7</v>
      </c>
      <c r="AU64" s="33">
        <f t="shared" si="51"/>
        <v>445.28</v>
      </c>
      <c r="AV64">
        <f>AV63+1</f>
        <v>2014</v>
      </c>
      <c r="AW64" s="27">
        <f t="shared" si="52"/>
        <v>3628.5</v>
      </c>
      <c r="AX64" s="33">
        <f t="shared" si="52"/>
        <v>445.55</v>
      </c>
      <c r="AY64" s="27">
        <f t="shared" si="53"/>
        <v>3611.1</v>
      </c>
      <c r="AZ64" s="27">
        <f t="shared" si="53"/>
        <v>445.87</v>
      </c>
    </row>
    <row r="65" spans="4:54" x14ac:dyDescent="0.15">
      <c r="D65" t="str">
        <f>Stdev!C212</f>
        <v>log_rec_devs</v>
      </c>
      <c r="Q65">
        <v>1972</v>
      </c>
      <c r="R65" s="27">
        <v>4350.8111456886663</v>
      </c>
      <c r="S65" s="27">
        <v>4427.6950462408095</v>
      </c>
      <c r="T65" s="27">
        <v>4360.1104862980192</v>
      </c>
      <c r="U65" s="27">
        <v>4777.0105423719024</v>
      </c>
      <c r="V65" s="27">
        <v>4403.6377989726398</v>
      </c>
      <c r="W65" s="27">
        <v>4755.2392120528439</v>
      </c>
      <c r="X65" s="27">
        <v>6265.1</v>
      </c>
      <c r="AK65" s="27">
        <f t="shared" si="48"/>
        <v>3832.3</v>
      </c>
      <c r="AL65" s="27">
        <f>pm.rep!B859</f>
        <v>24058.6</v>
      </c>
      <c r="AM65">
        <v>2015</v>
      </c>
      <c r="AN65" s="27">
        <f t="shared" si="49"/>
        <v>3982.5</v>
      </c>
      <c r="AO65" s="33">
        <f t="shared" si="49"/>
        <v>505.08</v>
      </c>
      <c r="AP65" s="27">
        <f t="shared" si="50"/>
        <v>3907.1</v>
      </c>
      <c r="AQ65" s="33">
        <f t="shared" si="50"/>
        <v>505.63</v>
      </c>
      <c r="AR65" s="27"/>
      <c r="AS65" s="33"/>
      <c r="AT65" s="27">
        <f t="shared" si="51"/>
        <v>3832.3</v>
      </c>
      <c r="AU65" s="33">
        <f t="shared" si="51"/>
        <v>506.23</v>
      </c>
      <c r="AV65">
        <f>AV64+1</f>
        <v>2015</v>
      </c>
      <c r="AW65" s="27">
        <f t="shared" si="52"/>
        <v>3758</v>
      </c>
      <c r="AX65" s="33">
        <f t="shared" si="52"/>
        <v>506.89</v>
      </c>
      <c r="AY65" s="27">
        <f t="shared" si="53"/>
        <v>3684.2</v>
      </c>
      <c r="AZ65" s="27">
        <f t="shared" si="53"/>
        <v>507.59</v>
      </c>
      <c r="BA65" s="27">
        <f>AY65-AW65</f>
        <v>-73.800000000000182</v>
      </c>
      <c r="BB65" s="65">
        <f>BA65/AW65</f>
        <v>-1.9638105375199624E-2</v>
      </c>
    </row>
    <row r="66" spans="4:54" x14ac:dyDescent="0.15">
      <c r="D66" t="str">
        <f>Stdev!C213</f>
        <v>log_rec_devs</v>
      </c>
      <c r="Q66">
        <v>1973</v>
      </c>
      <c r="R66" s="27">
        <v>3052.4666184359412</v>
      </c>
      <c r="S66" s="27">
        <v>3122.9641264124866</v>
      </c>
      <c r="T66" s="27">
        <v>3058.09287831143</v>
      </c>
      <c r="U66" s="27">
        <v>3427.9231008273478</v>
      </c>
      <c r="V66" s="27">
        <v>3147.0731734074229</v>
      </c>
      <c r="W66" s="27">
        <v>3324.5091981015362</v>
      </c>
      <c r="X66" s="27">
        <v>4750.7</v>
      </c>
      <c r="AK66" s="27">
        <f t="shared" si="48"/>
        <v>3914.7</v>
      </c>
      <c r="AL66" s="27">
        <f>pm.rep!B860</f>
        <v>23755.7</v>
      </c>
      <c r="AM66">
        <v>2016</v>
      </c>
      <c r="AN66" s="27">
        <f t="shared" si="49"/>
        <v>4169.8999999999996</v>
      </c>
      <c r="AO66" s="33">
        <f t="shared" si="49"/>
        <v>569.87</v>
      </c>
      <c r="AP66" s="27">
        <f t="shared" si="50"/>
        <v>4040.7</v>
      </c>
      <c r="AQ66" s="33">
        <f t="shared" si="50"/>
        <v>569.38</v>
      </c>
      <c r="AR66" s="27"/>
      <c r="AS66" s="33"/>
      <c r="AT66" s="27">
        <f t="shared" si="51"/>
        <v>3914.7</v>
      </c>
      <c r="AU66" s="33">
        <f t="shared" si="51"/>
        <v>568.78</v>
      </c>
      <c r="AV66">
        <f>AV65+1</f>
        <v>2016</v>
      </c>
      <c r="AW66" s="27">
        <f t="shared" si="52"/>
        <v>3792</v>
      </c>
      <c r="AX66" s="33">
        <f t="shared" si="52"/>
        <v>568.03</v>
      </c>
      <c r="AY66" s="27">
        <f t="shared" si="53"/>
        <v>3672.6</v>
      </c>
      <c r="AZ66" s="27">
        <f t="shared" si="53"/>
        <v>567.11</v>
      </c>
    </row>
    <row r="67" spans="4:54" x14ac:dyDescent="0.15">
      <c r="D67" t="str">
        <f>Stdev!C214</f>
        <v>log_rec_devs</v>
      </c>
      <c r="Q67">
        <v>1974</v>
      </c>
      <c r="R67" s="27">
        <v>2064.6357003553585</v>
      </c>
      <c r="S67" s="27">
        <v>2126.2227539589853</v>
      </c>
      <c r="T67" s="27">
        <v>2067.6863107704648</v>
      </c>
      <c r="U67" s="27">
        <v>2366.2405933262671</v>
      </c>
      <c r="V67" s="27">
        <v>2202.9859485123006</v>
      </c>
      <c r="W67" s="27">
        <v>2237.8743487213492</v>
      </c>
      <c r="X67" s="27">
        <v>3460.1</v>
      </c>
      <c r="AA67" s="25"/>
      <c r="AB67" s="25" t="s">
        <v>193</v>
      </c>
      <c r="AC67" s="25" t="s">
        <v>191</v>
      </c>
      <c r="AD67" s="25" t="s">
        <v>192</v>
      </c>
      <c r="AK67" s="27">
        <f t="shared" si="48"/>
        <v>4011.3</v>
      </c>
      <c r="AL67" s="27">
        <f>pm.rep!B861</f>
        <v>23474</v>
      </c>
      <c r="AM67">
        <v>2017</v>
      </c>
      <c r="AN67" s="27">
        <f t="shared" si="49"/>
        <v>4347.6000000000004</v>
      </c>
      <c r="AO67" s="33">
        <f t="shared" si="49"/>
        <v>757.93</v>
      </c>
      <c r="AP67" s="27">
        <f t="shared" si="50"/>
        <v>4175.8</v>
      </c>
      <c r="AQ67" s="33">
        <f t="shared" si="50"/>
        <v>755.24</v>
      </c>
      <c r="AR67" s="27"/>
      <c r="AS67" s="33"/>
      <c r="AT67" s="27">
        <f t="shared" si="51"/>
        <v>4011.3</v>
      </c>
      <c r="AU67" s="33">
        <f t="shared" si="51"/>
        <v>752.31</v>
      </c>
      <c r="AV67">
        <f>AV66+1</f>
        <v>2017</v>
      </c>
      <c r="AW67" s="27">
        <f t="shared" si="52"/>
        <v>3853.8</v>
      </c>
      <c r="AX67" s="33">
        <f t="shared" si="52"/>
        <v>749.07</v>
      </c>
      <c r="AY67" s="27">
        <f t="shared" si="53"/>
        <v>3703</v>
      </c>
      <c r="AZ67" s="27">
        <f t="shared" si="53"/>
        <v>745.5</v>
      </c>
    </row>
    <row r="68" spans="4:54" x14ac:dyDescent="0.15">
      <c r="D68" t="str">
        <f>Stdev!C215</f>
        <v>log_rec_devs</v>
      </c>
      <c r="Q68">
        <v>1975</v>
      </c>
      <c r="R68" s="27">
        <v>2260.0705064563717</v>
      </c>
      <c r="S68" s="27">
        <v>2306.9273848683197</v>
      </c>
      <c r="T68" s="27">
        <v>2264.0137919085182</v>
      </c>
      <c r="U68" s="27">
        <v>2489.4779770441555</v>
      </c>
      <c r="V68" s="27">
        <v>2408.8555558221292</v>
      </c>
      <c r="W68" s="27">
        <v>2437.577827629982</v>
      </c>
      <c r="X68" s="27">
        <v>3584.7</v>
      </c>
      <c r="AA68" s="25" t="s">
        <v>194</v>
      </c>
      <c r="AB68" s="15">
        <f>EXP(AB75)</f>
        <v>1.4779559229638046</v>
      </c>
      <c r="AC68" s="1">
        <f>AB68*EXP(-2*AC75)</f>
        <v>1.2563541564558802</v>
      </c>
      <c r="AD68" s="15">
        <f>AB68*EXP(2*AC75)</f>
        <v>1.738644870954029</v>
      </c>
      <c r="AK68" s="27">
        <f t="shared" si="48"/>
        <v>4102.5</v>
      </c>
      <c r="AL68" s="27" t="str">
        <f>pm.rep!B862</f>
        <v>MSY,</v>
      </c>
      <c r="AM68">
        <v>2018</v>
      </c>
      <c r="AN68" s="27">
        <f t="shared" si="49"/>
        <v>4492.8999999999996</v>
      </c>
      <c r="AO68" s="33">
        <f t="shared" si="49"/>
        <v>970.59</v>
      </c>
      <c r="AP68" s="27">
        <f t="shared" si="50"/>
        <v>4292.2</v>
      </c>
      <c r="AQ68" s="33">
        <f t="shared" si="50"/>
        <v>961.8</v>
      </c>
      <c r="AR68" s="27"/>
      <c r="AS68" s="33"/>
      <c r="AT68" s="27">
        <f t="shared" si="51"/>
        <v>4102.5</v>
      </c>
      <c r="AU68" s="33">
        <f t="shared" si="51"/>
        <v>952.77</v>
      </c>
      <c r="AV68">
        <f>AV67+1</f>
        <v>2018</v>
      </c>
      <c r="AW68" s="27">
        <f t="shared" si="52"/>
        <v>3923.5</v>
      </c>
      <c r="AX68" s="33">
        <f t="shared" si="52"/>
        <v>943.45</v>
      </c>
      <c r="AY68" s="27">
        <f t="shared" si="53"/>
        <v>3754.6</v>
      </c>
      <c r="AZ68" s="27">
        <f t="shared" si="53"/>
        <v>933.82</v>
      </c>
    </row>
    <row r="69" spans="4:54" x14ac:dyDescent="0.15">
      <c r="D69" t="str">
        <f>Stdev!C216</f>
        <v>log_rec_devs</v>
      </c>
      <c r="Q69">
        <v>1976</v>
      </c>
      <c r="R69" s="27">
        <v>2398.4654829450242</v>
      </c>
      <c r="S69" s="27">
        <v>2439.2947364917964</v>
      </c>
      <c r="T69" s="27">
        <v>2403.4418216787594</v>
      </c>
      <c r="U69" s="27">
        <v>2519.4019704851357</v>
      </c>
      <c r="V69" s="27">
        <v>2491.8604738017771</v>
      </c>
      <c r="W69" s="27">
        <v>2494.586477449071</v>
      </c>
      <c r="X69" s="27">
        <v>3576.5</v>
      </c>
      <c r="AA69" s="25" t="s">
        <v>195</v>
      </c>
      <c r="AB69" s="15">
        <f>EXP(AB76)</f>
        <v>0.35686418634166889</v>
      </c>
      <c r="AC69" s="1">
        <f>AB69*EXP(-2*AC76)</f>
        <v>0.29701697111815467</v>
      </c>
      <c r="AD69" s="15">
        <f>AB69*EXP(2*AC76)</f>
        <v>0.42877027199445833</v>
      </c>
      <c r="AK69" s="1"/>
      <c r="AL69" s="1"/>
      <c r="AO69" s="3"/>
      <c r="AY69" s="4" t="s">
        <v>688</v>
      </c>
    </row>
    <row r="70" spans="4:54" x14ac:dyDescent="0.15">
      <c r="D70" t="str">
        <f>Stdev!C217</f>
        <v>log_rec_devs</v>
      </c>
      <c r="Q70">
        <v>1977</v>
      </c>
      <c r="R70" s="27">
        <v>2504.729813040427</v>
      </c>
      <c r="S70" s="27">
        <v>2544.600643980496</v>
      </c>
      <c r="T70" s="27">
        <v>2512.0957208053901</v>
      </c>
      <c r="U70" s="27">
        <v>2559.1450974171257</v>
      </c>
      <c r="V70" s="27">
        <v>2584.6633215427969</v>
      </c>
      <c r="W70" s="27">
        <v>2606.4565057955192</v>
      </c>
      <c r="X70" s="27">
        <v>3581.5</v>
      </c>
      <c r="AA70" s="25" t="s">
        <v>196</v>
      </c>
      <c r="AB70" s="15">
        <f>SUM(AB68:AB69)</f>
        <v>1.8348201093054735</v>
      </c>
      <c r="AC70" s="1">
        <f>AB70*EXP(-2*SQRT(AC76^2+AC75^2))</f>
        <v>1.4359457043232176</v>
      </c>
      <c r="AD70" s="31">
        <f>AB70*EXP(2*SQRT(AC76^2+AC75^2))</f>
        <v>2.3444931262902182</v>
      </c>
      <c r="AK70" s="1"/>
      <c r="AL70" s="27">
        <f>Stdev!D577</f>
        <v>-0.21093999999999999</v>
      </c>
      <c r="AO70" s="3"/>
      <c r="AT70" s="27"/>
      <c r="AY70" t="s">
        <v>3</v>
      </c>
    </row>
    <row r="71" spans="4:54" x14ac:dyDescent="0.15">
      <c r="D71" t="str">
        <f>Stdev!C218</f>
        <v>log_rec_devs</v>
      </c>
      <c r="Q71">
        <v>1978</v>
      </c>
      <c r="R71" s="27">
        <v>2395.0800788205916</v>
      </c>
      <c r="S71" s="27">
        <v>2435.7426790115228</v>
      </c>
      <c r="T71" s="27">
        <v>2403.7718287710768</v>
      </c>
      <c r="U71" s="27">
        <v>2400.7768881241609</v>
      </c>
      <c r="V71" s="27">
        <v>2461.3218051650692</v>
      </c>
      <c r="W71" s="27">
        <v>2492.3886149241735</v>
      </c>
      <c r="X71" s="27">
        <v>3437.6</v>
      </c>
      <c r="AK71" s="1"/>
      <c r="AL71" s="1"/>
      <c r="AM71">
        <v>1</v>
      </c>
      <c r="AO71" s="3"/>
      <c r="AT71" s="27"/>
      <c r="AX71">
        <f t="shared" ref="AX71:AX76" si="54">(AV63)+1</f>
        <v>2014</v>
      </c>
    </row>
    <row r="72" spans="4:54" x14ac:dyDescent="0.15">
      <c r="D72" t="str">
        <f>Stdev!C219</f>
        <v>log_rec_devs</v>
      </c>
      <c r="Q72">
        <v>1979</v>
      </c>
      <c r="R72" s="27">
        <v>2396.9752095515419</v>
      </c>
      <c r="S72" s="27">
        <v>2441.3526325824614</v>
      </c>
      <c r="T72" s="27">
        <v>2407.6207194385256</v>
      </c>
      <c r="U72" s="27">
        <v>2338.2386050941586</v>
      </c>
      <c r="V72" s="27">
        <v>2412.2416438828336</v>
      </c>
      <c r="W72" s="27">
        <v>2443.827659885545</v>
      </c>
      <c r="X72" s="27">
        <v>3322.9</v>
      </c>
      <c r="AK72" s="1"/>
      <c r="AL72" s="1"/>
      <c r="AO72" s="3"/>
      <c r="AX72">
        <f t="shared" si="54"/>
        <v>2015</v>
      </c>
    </row>
    <row r="73" spans="4:54" x14ac:dyDescent="0.15">
      <c r="D73" t="str">
        <f>Stdev!C220</f>
        <v>log_rec_devs</v>
      </c>
      <c r="Q73">
        <v>1980</v>
      </c>
      <c r="R73" s="27">
        <v>3326.509265624808</v>
      </c>
      <c r="S73" s="27">
        <v>3392.8442183375673</v>
      </c>
      <c r="T73" s="27">
        <v>3346.9963880049559</v>
      </c>
      <c r="U73" s="27">
        <v>3304.2881478255686</v>
      </c>
      <c r="V73" s="27">
        <v>3238.3788895529428</v>
      </c>
      <c r="W73" s="27">
        <v>3302.7152578972873</v>
      </c>
      <c r="X73" s="27">
        <v>4319.5</v>
      </c>
      <c r="AK73" s="1"/>
      <c r="AL73" s="1"/>
      <c r="AO73" s="3"/>
      <c r="AX73">
        <f t="shared" si="54"/>
        <v>2016</v>
      </c>
    </row>
    <row r="74" spans="4:54" x14ac:dyDescent="0.15">
      <c r="D74" t="str">
        <f>Stdev!C221</f>
        <v>log_rec_devs</v>
      </c>
      <c r="Q74">
        <v>1981</v>
      </c>
      <c r="R74" s="27">
        <v>6587.4953856333859</v>
      </c>
      <c r="S74" s="27">
        <v>6738.4238011221969</v>
      </c>
      <c r="T74" s="27">
        <v>6641.0884522837077</v>
      </c>
      <c r="U74" s="27">
        <v>6640.1901611494395</v>
      </c>
      <c r="V74" s="27">
        <v>6699.6568883160171</v>
      </c>
      <c r="W74" s="27">
        <v>6654.2558341749836</v>
      </c>
      <c r="X74" s="27">
        <v>8364</v>
      </c>
      <c r="AK74" s="1"/>
      <c r="AL74" s="1"/>
      <c r="AO74" s="3"/>
      <c r="AX74">
        <f t="shared" si="54"/>
        <v>2017</v>
      </c>
    </row>
    <row r="75" spans="4:54" x14ac:dyDescent="0.15">
      <c r="D75" t="str">
        <f>Stdev!C222</f>
        <v>log_rec_devs</v>
      </c>
      <c r="Q75">
        <v>1982</v>
      </c>
      <c r="R75" s="27">
        <v>7591.8682475881069</v>
      </c>
      <c r="S75" s="27">
        <v>7786.9219455837328</v>
      </c>
      <c r="T75" s="27">
        <v>7664.5334784684419</v>
      </c>
      <c r="U75" s="27">
        <v>7640.2530763831001</v>
      </c>
      <c r="V75" s="27">
        <v>7668.9881381942241</v>
      </c>
      <c r="W75" s="27">
        <v>7636.447538865852</v>
      </c>
      <c r="X75" s="27">
        <v>9475.9</v>
      </c>
      <c r="AA75" s="1" t="str">
        <f>Stdev!C280</f>
        <v>log_q_bts</v>
      </c>
      <c r="AB75" s="31">
        <f>Stdev!D280</f>
        <v>0.39066000000000001</v>
      </c>
      <c r="AC75" s="31">
        <f>Stdev!E280</f>
        <v>8.1223000000000004E-2</v>
      </c>
      <c r="AK75" s="1"/>
      <c r="AL75" s="1"/>
      <c r="AO75" s="3"/>
      <c r="AX75">
        <f t="shared" si="54"/>
        <v>2018</v>
      </c>
    </row>
    <row r="76" spans="4:54" x14ac:dyDescent="0.15">
      <c r="D76" t="str">
        <f>Stdev!C223</f>
        <v>log_rec_devs</v>
      </c>
      <c r="Q76">
        <v>1983</v>
      </c>
      <c r="R76" s="27">
        <v>8483.3843580625853</v>
      </c>
      <c r="S76" s="27">
        <v>8730.9314688097202</v>
      </c>
      <c r="T76" s="27">
        <v>8579.3201153106093</v>
      </c>
      <c r="U76" s="27">
        <v>8565.445297998991</v>
      </c>
      <c r="V76" s="27">
        <v>8485.4317715617617</v>
      </c>
      <c r="W76" s="27">
        <v>8527.7076100917548</v>
      </c>
      <c r="X76" s="27">
        <v>10443</v>
      </c>
      <c r="AA76" s="1" t="str">
        <f>Stdev!C281</f>
        <v>log_q_eit</v>
      </c>
      <c r="AB76" s="31">
        <f>Stdev!D281</f>
        <v>-1.0304</v>
      </c>
      <c r="AC76" s="31">
        <f>Stdev!E281</f>
        <v>9.1783000000000003E-2</v>
      </c>
      <c r="AJ76" s="1"/>
      <c r="AK76" s="1"/>
      <c r="AN76" s="3"/>
      <c r="AX76">
        <f t="shared" si="54"/>
        <v>2019</v>
      </c>
    </row>
    <row r="77" spans="4:54" x14ac:dyDescent="0.15">
      <c r="D77" t="str">
        <f>Stdev!C224</f>
        <v>log_rec_devs</v>
      </c>
      <c r="Q77">
        <v>1984</v>
      </c>
      <c r="R77" s="27">
        <v>8172.1447999721531</v>
      </c>
      <c r="S77" s="27">
        <v>8441.850807462899</v>
      </c>
      <c r="T77" s="27">
        <v>8276.3946596112492</v>
      </c>
      <c r="U77" s="27">
        <v>8260.3023895789174</v>
      </c>
      <c r="V77" s="27">
        <v>8125.1068210459716</v>
      </c>
      <c r="W77" s="27">
        <v>8219.0827444623701</v>
      </c>
      <c r="X77" s="27">
        <v>10088</v>
      </c>
      <c r="AJ77" s="1"/>
      <c r="AK77" s="1"/>
      <c r="AN77" s="3"/>
    </row>
    <row r="78" spans="4:54" x14ac:dyDescent="0.15">
      <c r="D78" t="str">
        <f>Stdev!C225</f>
        <v>log_rec_devs</v>
      </c>
      <c r="Q78">
        <v>1985</v>
      </c>
      <c r="R78" s="27">
        <v>10038.383658343899</v>
      </c>
      <c r="S78" s="27">
        <v>10406.242043988603</v>
      </c>
      <c r="T78" s="27">
        <v>10166.480047486713</v>
      </c>
      <c r="U78" s="27">
        <v>10117.812188661093</v>
      </c>
      <c r="V78" s="27">
        <v>9987.5582621677859</v>
      </c>
      <c r="W78" s="27">
        <v>10198.113031336674</v>
      </c>
      <c r="X78" s="27">
        <v>12285</v>
      </c>
      <c r="AJ78" s="1"/>
      <c r="AK78" s="1"/>
      <c r="AN78" s="3"/>
    </row>
    <row r="79" spans="4:54" x14ac:dyDescent="0.15">
      <c r="D79" t="str">
        <f>Stdev!C229</f>
        <v>log_F_devs</v>
      </c>
      <c r="Q79">
        <v>1986</v>
      </c>
      <c r="R79" s="27">
        <v>9349.375784489157</v>
      </c>
      <c r="S79" s="27">
        <v>9724.2972647324532</v>
      </c>
      <c r="T79" s="27">
        <v>9469.8913662109899</v>
      </c>
      <c r="U79" s="27">
        <v>9411.5090192712742</v>
      </c>
      <c r="V79" s="27">
        <v>9304.650810299685</v>
      </c>
      <c r="W79" s="27">
        <v>9550.5854842300541</v>
      </c>
      <c r="X79" s="27">
        <v>11486</v>
      </c>
      <c r="AJ79" s="1"/>
      <c r="AK79" s="1"/>
      <c r="AN79" s="3"/>
    </row>
    <row r="80" spans="4:54" x14ac:dyDescent="0.15">
      <c r="D80" t="str">
        <f>Stdev!C230</f>
        <v>log_F_devs</v>
      </c>
      <c r="Q80">
        <v>1987</v>
      </c>
      <c r="R80" s="27">
        <v>9992.0133499242456</v>
      </c>
      <c r="S80" s="27">
        <v>10322.926132732382</v>
      </c>
      <c r="T80" s="27">
        <v>10004.013439933462</v>
      </c>
      <c r="U80" s="27">
        <v>9902.0641667020518</v>
      </c>
      <c r="V80" s="27">
        <v>9958.4218025663486</v>
      </c>
      <c r="W80" s="27">
        <v>10237.336093998139</v>
      </c>
      <c r="X80" s="27">
        <v>12077</v>
      </c>
      <c r="AJ80" s="1"/>
      <c r="AK80" s="1"/>
      <c r="AN80" s="3"/>
    </row>
    <row r="81" spans="3:42" x14ac:dyDescent="0.15">
      <c r="D81" t="str">
        <f>Stdev!C231</f>
        <v>log_F_devs</v>
      </c>
      <c r="Q81">
        <v>1988</v>
      </c>
      <c r="R81" s="27">
        <v>9112.8298958191754</v>
      </c>
      <c r="S81" s="27">
        <v>9384.501619208364</v>
      </c>
      <c r="T81" s="27">
        <v>9048.9739518988554</v>
      </c>
      <c r="U81" s="27">
        <v>8970.4166094377051</v>
      </c>
      <c r="V81" s="27">
        <v>9123.9671967114464</v>
      </c>
      <c r="W81" s="27">
        <v>9370.8901779336938</v>
      </c>
      <c r="X81" s="27">
        <v>11330</v>
      </c>
      <c r="AJ81" s="1"/>
      <c r="AK81" s="1"/>
      <c r="AN81" s="3"/>
    </row>
    <row r="82" spans="3:42" x14ac:dyDescent="0.15">
      <c r="D82" t="str">
        <f>Stdev!C232</f>
        <v>log_F_devs</v>
      </c>
      <c r="Q82">
        <v>1989</v>
      </c>
      <c r="R82" s="27">
        <v>7579.6711206772334</v>
      </c>
      <c r="S82" s="27">
        <v>7846.3114296841704</v>
      </c>
      <c r="T82" s="27">
        <v>7515.8054249579791</v>
      </c>
      <c r="U82" s="27">
        <v>7444.3405221115399</v>
      </c>
      <c r="V82" s="27">
        <v>7618.1790796041469</v>
      </c>
      <c r="W82" s="27">
        <v>7867.5615734753801</v>
      </c>
      <c r="X82" s="27">
        <v>9584.1</v>
      </c>
      <c r="AJ82" s="1"/>
      <c r="AK82" s="1"/>
      <c r="AN82" s="3"/>
    </row>
    <row r="83" spans="3:42" x14ac:dyDescent="0.15">
      <c r="D83" t="str">
        <f>Stdev!C233</f>
        <v>log_F_devs</v>
      </c>
      <c r="Q83">
        <v>1990</v>
      </c>
      <c r="R83" s="27">
        <v>5714.114525914084</v>
      </c>
      <c r="S83" s="27">
        <v>5962.720796348297</v>
      </c>
      <c r="T83" s="27">
        <v>5653.9165059836305</v>
      </c>
      <c r="U83" s="27">
        <v>5599.7078633417113</v>
      </c>
      <c r="V83" s="27">
        <v>5786.4710510864161</v>
      </c>
      <c r="W83" s="27">
        <v>5995.7383850792457</v>
      </c>
      <c r="X83" s="27">
        <v>7602.7</v>
      </c>
      <c r="AJ83" s="1"/>
      <c r="AK83" s="1"/>
      <c r="AN83" s="3"/>
    </row>
    <row r="84" spans="3:42" x14ac:dyDescent="0.15">
      <c r="D84" t="str">
        <f>Stdev!C234</f>
        <v>log_F_devs</v>
      </c>
      <c r="Q84">
        <v>1991</v>
      </c>
      <c r="R84" s="27">
        <v>4270.6318192487652</v>
      </c>
      <c r="S84" s="27">
        <v>4516.7837789094792</v>
      </c>
      <c r="T84" s="27">
        <v>4278.6208797631534</v>
      </c>
      <c r="U84" s="27">
        <v>4121.3315966097753</v>
      </c>
      <c r="V84" s="27">
        <v>4479.3810077533863</v>
      </c>
      <c r="W84" s="27">
        <v>4624.434402012279</v>
      </c>
      <c r="X84" s="27">
        <v>5928.5</v>
      </c>
      <c r="AJ84" s="1"/>
      <c r="AK84" s="1"/>
      <c r="AN84" s="3"/>
    </row>
    <row r="85" spans="3:42" x14ac:dyDescent="0.15">
      <c r="D85" t="str">
        <f>Stdev!C235</f>
        <v>log_F_devs</v>
      </c>
      <c r="Q85">
        <v>1992</v>
      </c>
      <c r="R85" s="27">
        <v>7326.0678488672374</v>
      </c>
      <c r="S85" s="27">
        <v>7533.8636870820146</v>
      </c>
      <c r="T85" s="27">
        <v>7157.4963281493165</v>
      </c>
      <c r="U85" s="27">
        <v>6972.7161014004796</v>
      </c>
      <c r="V85" s="27">
        <v>7243.196306734535</v>
      </c>
      <c r="W85" s="27">
        <v>7492.3733754796403</v>
      </c>
      <c r="X85" s="27">
        <v>9269.6</v>
      </c>
      <c r="AJ85" s="1"/>
      <c r="AK85" s="1"/>
      <c r="AN85" s="3"/>
    </row>
    <row r="86" spans="3:42" x14ac:dyDescent="0.15">
      <c r="D86" t="str">
        <f>Stdev!C236</f>
        <v>log_F_devs</v>
      </c>
      <c r="Q86">
        <v>1993</v>
      </c>
      <c r="R86" s="27">
        <v>9734.2233030542066</v>
      </c>
      <c r="S86" s="27">
        <v>9952.855549562164</v>
      </c>
      <c r="T86" s="27">
        <v>9410.0122798493903</v>
      </c>
      <c r="U86" s="27">
        <v>9364.6230162678949</v>
      </c>
      <c r="V86" s="27">
        <v>9462.8604607255584</v>
      </c>
      <c r="W86" s="27">
        <v>9496.3096211468983</v>
      </c>
      <c r="X86" s="27">
        <v>11795</v>
      </c>
      <c r="AJ86" s="1"/>
      <c r="AK86" s="1"/>
      <c r="AN86" s="3"/>
    </row>
    <row r="87" spans="3:42" x14ac:dyDescent="0.15">
      <c r="D87" t="str">
        <f>Stdev!C237</f>
        <v>log_F_devs</v>
      </c>
      <c r="Q87">
        <v>1994</v>
      </c>
      <c r="R87" s="27">
        <v>9066.0800172095187</v>
      </c>
      <c r="S87" s="27">
        <v>9376.1002429638102</v>
      </c>
      <c r="T87" s="27">
        <v>8798.946085190315</v>
      </c>
      <c r="U87" s="27">
        <v>8802.4122833845031</v>
      </c>
      <c r="V87" s="27">
        <v>9134.2128500331928</v>
      </c>
      <c r="W87" s="27">
        <v>9195.5758600267673</v>
      </c>
      <c r="X87" s="27">
        <v>11407</v>
      </c>
      <c r="AJ87" s="1"/>
      <c r="AK87" s="1"/>
      <c r="AN87" s="3"/>
    </row>
    <row r="88" spans="3:42" x14ac:dyDescent="0.15">
      <c r="D88" t="str">
        <f>Stdev!C238</f>
        <v>log_F_devs</v>
      </c>
      <c r="Q88">
        <v>1995</v>
      </c>
      <c r="R88" s="27">
        <v>11252.209008979551</v>
      </c>
      <c r="S88" s="27">
        <v>11790.919181474099</v>
      </c>
      <c r="T88" s="27">
        <v>11042.212419068994</v>
      </c>
      <c r="U88" s="27">
        <v>11087.950032781206</v>
      </c>
      <c r="V88" s="27">
        <v>11088.932262784654</v>
      </c>
      <c r="W88" s="27">
        <v>11050.412055723065</v>
      </c>
      <c r="X88" s="27">
        <v>13658</v>
      </c>
      <c r="AJ88" s="1"/>
      <c r="AK88" s="1"/>
      <c r="AN88" s="3"/>
    </row>
    <row r="89" spans="3:42" x14ac:dyDescent="0.15">
      <c r="D89" t="str">
        <f>Stdev!C239</f>
        <v>log_F_devs</v>
      </c>
      <c r="Q89">
        <v>1996</v>
      </c>
      <c r="R89" s="27">
        <v>9685.3295856250988</v>
      </c>
      <c r="S89" s="27">
        <v>10239.305907614915</v>
      </c>
      <c r="T89" s="27">
        <v>9536.2681233338826</v>
      </c>
      <c r="U89" s="27">
        <v>9582.5693478493195</v>
      </c>
      <c r="V89" s="27">
        <v>9247.4584322797709</v>
      </c>
      <c r="W89" s="27">
        <v>9298.5504596084866</v>
      </c>
      <c r="X89" s="27">
        <v>11480</v>
      </c>
      <c r="AJ89" s="1"/>
      <c r="AK89" s="1"/>
      <c r="AN89" s="3"/>
    </row>
    <row r="90" spans="3:42" x14ac:dyDescent="0.15">
      <c r="D90" t="str">
        <f>Stdev!C240</f>
        <v>log_F_devs</v>
      </c>
      <c r="Q90">
        <v>1997</v>
      </c>
      <c r="R90" s="27">
        <v>8141.5610528725074</v>
      </c>
      <c r="S90" s="27">
        <v>8687.6606712869816</v>
      </c>
      <c r="T90" s="27">
        <v>8010.832650895105</v>
      </c>
      <c r="U90" s="27">
        <v>8029.1095760263834</v>
      </c>
      <c r="V90" s="27">
        <v>8068.3787572854972</v>
      </c>
      <c r="W90" s="27">
        <v>8110.884971404932</v>
      </c>
      <c r="X90" s="27">
        <v>10056</v>
      </c>
      <c r="AJ90" s="1"/>
      <c r="AK90" s="1"/>
      <c r="AN90" s="3"/>
    </row>
    <row r="91" spans="3:42" x14ac:dyDescent="0.15">
      <c r="D91" t="str">
        <f>Stdev!C241</f>
        <v>log_F_devs</v>
      </c>
      <c r="Q91">
        <v>1998</v>
      </c>
      <c r="R91" s="27">
        <v>8442.1151017054672</v>
      </c>
      <c r="S91" s="27">
        <v>8997.5767027568872</v>
      </c>
      <c r="T91" s="27">
        <v>8033.3228231052626</v>
      </c>
      <c r="U91" s="27">
        <v>8008.502387190395</v>
      </c>
      <c r="V91" s="27">
        <v>8017.947496082109</v>
      </c>
      <c r="W91" s="27">
        <v>8197.2384782595</v>
      </c>
      <c r="X91" s="27">
        <v>9972.7999999999993</v>
      </c>
      <c r="AJ91" s="1"/>
      <c r="AK91" s="1"/>
      <c r="AN91" s="3"/>
      <c r="AO91" s="1"/>
      <c r="AP91" s="1"/>
    </row>
    <row r="92" spans="3:42" x14ac:dyDescent="0.15">
      <c r="D92" t="str">
        <f>Stdev!C242</f>
        <v>log_F_devs</v>
      </c>
      <c r="Q92">
        <v>1999</v>
      </c>
      <c r="R92" s="27">
        <v>10435.585812316851</v>
      </c>
      <c r="S92" s="27">
        <v>10977.799833822419</v>
      </c>
      <c r="T92" s="27">
        <v>9044.1510949191725</v>
      </c>
      <c r="U92" s="27">
        <v>8961.8677994856971</v>
      </c>
      <c r="V92" s="27">
        <v>8851.7559644973062</v>
      </c>
      <c r="W92" s="27">
        <v>9033.711791238873</v>
      </c>
      <c r="X92" s="27">
        <v>10872</v>
      </c>
      <c r="AJ92" s="1"/>
      <c r="AK92" s="1"/>
      <c r="AN92" s="3"/>
      <c r="AO92" s="1"/>
      <c r="AP92" s="1"/>
    </row>
    <row r="93" spans="3:42" x14ac:dyDescent="0.15">
      <c r="D93" t="str">
        <f>Stdev!C243</f>
        <v>log_F_devs</v>
      </c>
      <c r="H93" s="20"/>
      <c r="I93" s="20"/>
      <c r="J93" s="20"/>
      <c r="K93" s="20"/>
      <c r="L93" s="20"/>
      <c r="Q93">
        <v>2000</v>
      </c>
      <c r="R93" s="27">
        <v>9582.6456356201434</v>
      </c>
      <c r="S93" s="27">
        <v>10179.617966995185</v>
      </c>
      <c r="T93" s="27">
        <v>8065.2032441981664</v>
      </c>
      <c r="U93" s="27">
        <v>7988.2530831351241</v>
      </c>
      <c r="V93" s="27">
        <v>8072.0652045323495</v>
      </c>
      <c r="W93" s="27">
        <v>8199.0012995035358</v>
      </c>
      <c r="X93" s="27">
        <v>10052</v>
      </c>
      <c r="AJ93" s="1"/>
      <c r="AK93" s="1"/>
      <c r="AN93" s="3"/>
      <c r="AO93" s="1"/>
      <c r="AP93" s="1"/>
    </row>
    <row r="94" spans="3:42" x14ac:dyDescent="0.15">
      <c r="C94">
        <f>Stdev!B244</f>
        <v>91</v>
      </c>
      <c r="D94" t="str">
        <f>Stdev!C244</f>
        <v>log_F_devs</v>
      </c>
      <c r="E94">
        <f>Stdev!D244</f>
        <v>0.37119000000000002</v>
      </c>
      <c r="F94" s="1">
        <f>Stdev!E244</f>
        <v>0.25902999999999998</v>
      </c>
      <c r="Q94">
        <v>2001</v>
      </c>
      <c r="R94" s="27">
        <v>9190.6873199629299</v>
      </c>
      <c r="S94" s="27">
        <v>9953.9835504021521</v>
      </c>
      <c r="T94" s="27">
        <v>7682.7458201358049</v>
      </c>
      <c r="U94" s="27">
        <v>7587.0714289755506</v>
      </c>
      <c r="V94" s="27">
        <v>7713.5388583078666</v>
      </c>
      <c r="W94" s="27">
        <v>7799.3530401854059</v>
      </c>
      <c r="X94" s="27">
        <v>9799.9</v>
      </c>
      <c r="AJ94" s="1"/>
      <c r="AK94" s="1"/>
      <c r="AN94" s="3"/>
    </row>
    <row r="95" spans="3:42" x14ac:dyDescent="0.15">
      <c r="C95">
        <f>Stdev!B245</f>
        <v>92</v>
      </c>
      <c r="D95" t="str">
        <f>Stdev!C245</f>
        <v>log_F_devs</v>
      </c>
      <c r="E95">
        <f>Stdev!D245</f>
        <v>0.32795999999999997</v>
      </c>
      <c r="F95" s="1">
        <f>Stdev!E245</f>
        <v>0.22509999999999999</v>
      </c>
      <c r="Q95">
        <v>2002</v>
      </c>
      <c r="R95" s="27">
        <v>8793.0082265218953</v>
      </c>
      <c r="S95" s="27">
        <v>9910.2578957014739</v>
      </c>
      <c r="T95" s="27">
        <v>7781.3627916447822</v>
      </c>
      <c r="U95" s="27">
        <v>7716.3208560273815</v>
      </c>
      <c r="V95" s="27">
        <v>7994.8008346245697</v>
      </c>
      <c r="W95" s="27">
        <v>8018.7461042596196</v>
      </c>
      <c r="X95" s="27">
        <v>10197</v>
      </c>
      <c r="AJ95" s="1"/>
      <c r="AK95" s="1"/>
      <c r="AN95" s="3"/>
    </row>
    <row r="96" spans="3:42" x14ac:dyDescent="0.15">
      <c r="D96" t="str">
        <f>Stdev!C246</f>
        <v>log_F_devs</v>
      </c>
      <c r="Q96">
        <v>2003</v>
      </c>
      <c r="S96" s="27">
        <v>10020</v>
      </c>
      <c r="T96" s="27">
        <v>9745.2224058502979</v>
      </c>
      <c r="U96" s="27">
        <v>10492.982538602626</v>
      </c>
      <c r="V96" s="27">
        <v>10678.957505785349</v>
      </c>
      <c r="W96" s="27">
        <v>10290.768726407523</v>
      </c>
      <c r="X96" s="27">
        <v>13320</v>
      </c>
      <c r="AJ96" s="1"/>
      <c r="AK96" s="1"/>
      <c r="AN96" s="3"/>
    </row>
    <row r="97" spans="3:40" x14ac:dyDescent="0.15">
      <c r="C97">
        <f>Stdev!B246</f>
        <v>93</v>
      </c>
      <c r="D97" t="str">
        <f>Stdev!C246</f>
        <v>log_F_devs</v>
      </c>
      <c r="E97">
        <f>Stdev!D246</f>
        <v>0.10399</v>
      </c>
      <c r="F97">
        <f>Stdev!E246</f>
        <v>0.31622</v>
      </c>
      <c r="Q97">
        <v>2004</v>
      </c>
      <c r="S97" s="27">
        <v>8885.0321245658233</v>
      </c>
      <c r="T97" s="27">
        <v>7729.0426635039512</v>
      </c>
      <c r="U97" s="27">
        <v>8654.2632555183063</v>
      </c>
      <c r="V97" s="27">
        <v>9603.1928235700652</v>
      </c>
      <c r="W97" s="27">
        <v>9369.6385816217298</v>
      </c>
      <c r="X97" s="27">
        <v>12055</v>
      </c>
      <c r="AJ97" s="1"/>
      <c r="AK97" s="1"/>
      <c r="AN97" s="3"/>
    </row>
    <row r="98" spans="3:40" x14ac:dyDescent="0.15">
      <c r="C98">
        <f>Stdev!B247</f>
        <v>94</v>
      </c>
      <c r="D98" t="str">
        <f>Stdev!C247</f>
        <v>log_F_devs</v>
      </c>
      <c r="E98">
        <f>Stdev!D247</f>
        <v>-0.17324999999999999</v>
      </c>
      <c r="F98">
        <f>Stdev!E247</f>
        <v>0.36257</v>
      </c>
      <c r="I98" s="20">
        <f>(E98)-2*F98</f>
        <v>-0.89839000000000002</v>
      </c>
      <c r="J98" s="6">
        <f>(E98)+2*F98</f>
        <v>0.55188999999999999</v>
      </c>
      <c r="Q98">
        <v>2005</v>
      </c>
      <c r="T98" s="27">
        <v>6753.8813349925413</v>
      </c>
      <c r="U98" s="27">
        <v>7225.8386382791678</v>
      </c>
      <c r="V98" s="27">
        <v>7620.0113473222145</v>
      </c>
      <c r="W98" s="27">
        <v>7480.4932254580044</v>
      </c>
      <c r="X98" s="27">
        <v>9759.1</v>
      </c>
      <c r="AJ98" s="1"/>
      <c r="AK98" s="1"/>
      <c r="AN98" s="3"/>
    </row>
    <row r="99" spans="3:40" x14ac:dyDescent="0.15">
      <c r="C99">
        <f>Stdev!B249</f>
        <v>96</v>
      </c>
      <c r="D99" t="str">
        <f>Stdev!C249</f>
        <v>log_F_devs</v>
      </c>
      <c r="E99">
        <f>Stdev!D249</f>
        <v>-0.15329999999999999</v>
      </c>
      <c r="F99">
        <f>Stdev!E249</f>
        <v>0.36976999999999999</v>
      </c>
      <c r="G99">
        <v>1000</v>
      </c>
      <c r="I99" s="20">
        <f>(E99)-2*F99</f>
        <v>-0.89283999999999997</v>
      </c>
      <c r="J99" s="6">
        <f>(E99)+2*F99</f>
        <v>0.58623999999999998</v>
      </c>
      <c r="Q99">
        <v>2006</v>
      </c>
      <c r="U99" s="27">
        <v>6504.3701293463719</v>
      </c>
      <c r="V99" s="27">
        <v>6049.1098052238849</v>
      </c>
      <c r="W99" s="27">
        <v>5386.7242395625553</v>
      </c>
      <c r="X99" s="27">
        <v>7950.4</v>
      </c>
      <c r="AJ99" s="1"/>
      <c r="AK99" s="1"/>
      <c r="AN99" s="3"/>
    </row>
    <row r="100" spans="3:40" x14ac:dyDescent="0.15">
      <c r="D100" t="str">
        <f>Stdev!C250</f>
        <v>log_F_devs</v>
      </c>
      <c r="E100" s="27"/>
      <c r="G100" t="s">
        <v>291</v>
      </c>
      <c r="H100" t="s">
        <v>292</v>
      </c>
      <c r="I100" s="20">
        <f>(E100)-2*F100</f>
        <v>0</v>
      </c>
      <c r="J100" s="6">
        <f t="shared" ref="J100:J135" si="55">(E100)+2*F100</f>
        <v>0</v>
      </c>
      <c r="Q100">
        <v>2007</v>
      </c>
      <c r="V100" s="27">
        <v>4957.8589398544427</v>
      </c>
      <c r="W100" s="27">
        <v>3896.3520153655791</v>
      </c>
      <c r="X100" s="27">
        <v>6360.9</v>
      </c>
      <c r="AJ100" s="1"/>
      <c r="AK100" s="1"/>
      <c r="AN100" s="3"/>
    </row>
    <row r="101" spans="3:40" x14ac:dyDescent="0.15">
      <c r="C101">
        <v>1964</v>
      </c>
      <c r="D101" t="str">
        <f>Stdev!C286</f>
        <v>age_3_plus_biom</v>
      </c>
      <c r="E101">
        <f>Stdev!D286</f>
        <v>1868.9</v>
      </c>
      <c r="F101">
        <f>Stdev!E286</f>
        <v>443.49</v>
      </c>
      <c r="G101">
        <v>2900</v>
      </c>
      <c r="I101" s="20">
        <f t="shared" ref="I101:I135" si="56">(E101)-2*F101</f>
        <v>981.92000000000007</v>
      </c>
      <c r="J101" s="6">
        <f t="shared" si="55"/>
        <v>2755.88</v>
      </c>
      <c r="Q101">
        <v>2008</v>
      </c>
      <c r="W101" s="27">
        <v>3276.7180330057704</v>
      </c>
      <c r="X101" s="27">
        <v>6419.9</v>
      </c>
      <c r="AJ101" s="1"/>
      <c r="AK101" s="1"/>
      <c r="AN101" s="3"/>
    </row>
    <row r="102" spans="3:40" x14ac:dyDescent="0.15">
      <c r="C102">
        <v>1965</v>
      </c>
      <c r="D102" t="str">
        <f>Stdev!C287</f>
        <v>age_3_plus_biom</v>
      </c>
      <c r="E102">
        <f>Stdev!D287</f>
        <v>2323.6999999999998</v>
      </c>
      <c r="F102">
        <f>Stdev!E287</f>
        <v>511.99</v>
      </c>
      <c r="G102">
        <v>2600</v>
      </c>
      <c r="H102">
        <v>2816.4374278468858</v>
      </c>
      <c r="I102" s="20">
        <f t="shared" si="56"/>
        <v>1299.7199999999998</v>
      </c>
      <c r="J102" s="6">
        <f t="shared" si="55"/>
        <v>3347.68</v>
      </c>
      <c r="AJ102" s="1"/>
      <c r="AK102" s="1"/>
    </row>
    <row r="103" spans="3:40" x14ac:dyDescent="0.15">
      <c r="C103">
        <v>1966</v>
      </c>
      <c r="D103" t="str">
        <f>Stdev!C288</f>
        <v>age_3_plus_biom</v>
      </c>
      <c r="E103">
        <f>Stdev!D288</f>
        <v>2562.9</v>
      </c>
      <c r="F103">
        <f>Stdev!E288</f>
        <v>555.11</v>
      </c>
      <c r="G103">
        <v>2800</v>
      </c>
      <c r="H103">
        <v>3473.5804750659449</v>
      </c>
      <c r="I103" s="20">
        <f t="shared" si="56"/>
        <v>1452.68</v>
      </c>
      <c r="J103" s="6">
        <f t="shared" si="55"/>
        <v>3673.12</v>
      </c>
      <c r="AJ103" s="1"/>
      <c r="AK103" s="1"/>
    </row>
    <row r="104" spans="3:40" x14ac:dyDescent="0.15">
      <c r="C104">
        <v>1967</v>
      </c>
      <c r="D104" t="str">
        <f>Stdev!C289</f>
        <v>age_3_plus_biom</v>
      </c>
      <c r="E104">
        <f>Stdev!D289</f>
        <v>3888.1</v>
      </c>
      <c r="F104">
        <f>Stdev!E289</f>
        <v>723.67</v>
      </c>
      <c r="G104">
        <v>3300</v>
      </c>
      <c r="H104">
        <v>3802.169890745166</v>
      </c>
      <c r="I104" s="20">
        <f t="shared" si="56"/>
        <v>2440.7600000000002</v>
      </c>
      <c r="J104" s="6">
        <f t="shared" si="55"/>
        <v>5335.44</v>
      </c>
      <c r="AJ104" s="1"/>
      <c r="AK104" s="1"/>
    </row>
    <row r="105" spans="3:40" x14ac:dyDescent="0.15">
      <c r="C105">
        <v>1968</v>
      </c>
      <c r="D105" t="str">
        <f>Stdev!C290</f>
        <v>age_3_plus_biom</v>
      </c>
      <c r="E105">
        <f>Stdev!D290</f>
        <v>4495</v>
      </c>
      <c r="F105">
        <f>Stdev!E290</f>
        <v>830.51</v>
      </c>
      <c r="G105">
        <v>4500</v>
      </c>
      <c r="H105">
        <v>5257.3046005779743</v>
      </c>
      <c r="I105" s="20">
        <f t="shared" si="56"/>
        <v>2833.98</v>
      </c>
      <c r="J105" s="6">
        <f t="shared" si="55"/>
        <v>6156.02</v>
      </c>
      <c r="AJ105" s="1"/>
      <c r="AK105" s="1"/>
    </row>
    <row r="106" spans="3:40" x14ac:dyDescent="0.15">
      <c r="C106">
        <v>1969</v>
      </c>
      <c r="D106" t="str">
        <f>Stdev!C291</f>
        <v>age_3_plus_biom</v>
      </c>
      <c r="E106">
        <f>Stdev!D291</f>
        <v>5690</v>
      </c>
      <c r="F106">
        <f>Stdev!E291</f>
        <v>936.78</v>
      </c>
      <c r="G106">
        <v>5500</v>
      </c>
      <c r="H106">
        <v>6712.4684180142021</v>
      </c>
      <c r="I106" s="20">
        <f t="shared" si="56"/>
        <v>3816.44</v>
      </c>
      <c r="J106" s="6">
        <f t="shared" si="55"/>
        <v>7563.5599999999995</v>
      </c>
      <c r="AJ106" s="1"/>
      <c r="AK106" s="1"/>
    </row>
    <row r="107" spans="3:40" x14ac:dyDescent="0.15">
      <c r="C107">
        <v>1970</v>
      </c>
      <c r="D107" t="str">
        <f>Stdev!C292</f>
        <v>age_3_plus_biom</v>
      </c>
      <c r="E107">
        <f>Stdev!D292</f>
        <v>6423.9</v>
      </c>
      <c r="F107">
        <f>Stdev!E292</f>
        <v>975.33</v>
      </c>
      <c r="G107">
        <v>6500</v>
      </c>
      <c r="H107">
        <v>5679.8098281148577</v>
      </c>
      <c r="I107" s="20">
        <f t="shared" si="56"/>
        <v>4473.24</v>
      </c>
      <c r="J107" s="6">
        <f t="shared" si="55"/>
        <v>8374.56</v>
      </c>
      <c r="AJ107" s="1"/>
      <c r="AK107" s="1"/>
    </row>
    <row r="108" spans="3:40" x14ac:dyDescent="0.15">
      <c r="C108">
        <v>1971</v>
      </c>
      <c r="D108" t="str">
        <f>Stdev!C293</f>
        <v>age_3_plus_biom</v>
      </c>
      <c r="E108">
        <f>Stdev!D293</f>
        <v>6858.4</v>
      </c>
      <c r="F108">
        <f>Stdev!E293</f>
        <v>932.93</v>
      </c>
      <c r="G108">
        <v>6800</v>
      </c>
      <c r="H108">
        <v>5257.3312828086864</v>
      </c>
      <c r="I108" s="20">
        <f t="shared" si="56"/>
        <v>4992.54</v>
      </c>
      <c r="J108" s="6">
        <f t="shared" si="55"/>
        <v>8724.26</v>
      </c>
      <c r="AJ108" s="1"/>
      <c r="AK108" s="1"/>
    </row>
    <row r="109" spans="3:40" x14ac:dyDescent="0.15">
      <c r="C109">
        <v>1972</v>
      </c>
      <c r="D109" t="str">
        <f>Stdev!C294</f>
        <v>age_3_plus_biom</v>
      </c>
      <c r="E109">
        <f>Stdev!D294</f>
        <v>6430.6</v>
      </c>
      <c r="F109">
        <f>Stdev!E294</f>
        <v>831.53</v>
      </c>
      <c r="G109">
        <v>6400</v>
      </c>
      <c r="H109">
        <v>5726.7434839455955</v>
      </c>
      <c r="I109" s="20">
        <f t="shared" si="56"/>
        <v>4767.5400000000009</v>
      </c>
      <c r="J109" s="6">
        <f t="shared" si="55"/>
        <v>8093.66</v>
      </c>
      <c r="AJ109" s="1"/>
      <c r="AK109" s="1"/>
    </row>
    <row r="110" spans="3:40" x14ac:dyDescent="0.15">
      <c r="C110">
        <v>1973</v>
      </c>
      <c r="D110" t="str">
        <f>Stdev!C295</f>
        <v>age_3_plus_biom</v>
      </c>
      <c r="E110">
        <f>Stdev!D295</f>
        <v>5161.2</v>
      </c>
      <c r="F110">
        <f>Stdev!E295</f>
        <v>733.88</v>
      </c>
      <c r="G110">
        <v>5600</v>
      </c>
      <c r="H110">
        <v>4787.9239487782552</v>
      </c>
      <c r="I110" s="20">
        <f t="shared" si="56"/>
        <v>3693.4399999999996</v>
      </c>
      <c r="J110" s="6">
        <f t="shared" si="55"/>
        <v>6628.96</v>
      </c>
      <c r="AJ110" s="1"/>
      <c r="AK110" s="1"/>
    </row>
    <row r="111" spans="3:40" x14ac:dyDescent="0.15">
      <c r="C111">
        <v>1974</v>
      </c>
      <c r="D111" t="str">
        <f>Stdev!C296</f>
        <v>age_3_plus_biom</v>
      </c>
      <c r="E111">
        <f>Stdev!D296</f>
        <v>3845.8</v>
      </c>
      <c r="F111">
        <f>Stdev!E296</f>
        <v>636.17999999999995</v>
      </c>
      <c r="G111">
        <v>3700</v>
      </c>
      <c r="H111">
        <v>4740.992587996886</v>
      </c>
      <c r="I111" s="20">
        <f t="shared" si="56"/>
        <v>2573.4400000000005</v>
      </c>
      <c r="J111" s="6">
        <f t="shared" si="55"/>
        <v>5118.16</v>
      </c>
      <c r="AJ111" s="1"/>
      <c r="AK111" s="1"/>
    </row>
    <row r="112" spans="3:40" x14ac:dyDescent="0.15">
      <c r="C112">
        <v>1975</v>
      </c>
      <c r="D112" t="str">
        <f>Stdev!C297</f>
        <v>age_3_plus_biom</v>
      </c>
      <c r="E112">
        <f>Stdev!D297</f>
        <v>3868.4</v>
      </c>
      <c r="F112">
        <f>Stdev!E297</f>
        <v>498.71</v>
      </c>
      <c r="G112">
        <v>3600</v>
      </c>
      <c r="H112">
        <v>4271.5744596902914</v>
      </c>
      <c r="I112" s="20">
        <f t="shared" si="56"/>
        <v>2870.98</v>
      </c>
      <c r="J112" s="6">
        <f t="shared" si="55"/>
        <v>4865.82</v>
      </c>
      <c r="AJ112" s="1"/>
      <c r="AK112" s="1"/>
    </row>
    <row r="113" spans="3:37" x14ac:dyDescent="0.15">
      <c r="C113">
        <v>1976</v>
      </c>
      <c r="D113" t="str">
        <f>Stdev!C298</f>
        <v>age_3_plus_biom</v>
      </c>
      <c r="E113">
        <f>Stdev!D298</f>
        <v>3871.5</v>
      </c>
      <c r="F113">
        <f>Stdev!E298</f>
        <v>420.58</v>
      </c>
      <c r="G113">
        <v>4100</v>
      </c>
      <c r="H113">
        <v>4318.5230578289902</v>
      </c>
      <c r="I113" s="20">
        <f t="shared" si="56"/>
        <v>3030.34</v>
      </c>
      <c r="J113" s="6">
        <f t="shared" si="55"/>
        <v>4712.66</v>
      </c>
      <c r="AJ113" s="1"/>
      <c r="AK113" s="1"/>
    </row>
    <row r="114" spans="3:37" x14ac:dyDescent="0.15">
      <c r="C114">
        <v>1977</v>
      </c>
      <c r="D114" t="str">
        <f>Stdev!C299</f>
        <v>age_3_plus_biom</v>
      </c>
      <c r="E114">
        <f>Stdev!D299</f>
        <v>3939.3</v>
      </c>
      <c r="F114">
        <f>Stdev!E299</f>
        <v>383.92</v>
      </c>
      <c r="G114">
        <v>4200</v>
      </c>
      <c r="I114" s="20">
        <f t="shared" si="56"/>
        <v>3171.46</v>
      </c>
      <c r="J114" s="6">
        <f t="shared" si="55"/>
        <v>4707.1400000000003</v>
      </c>
      <c r="AJ114" s="1"/>
      <c r="AK114" s="1"/>
    </row>
    <row r="115" spans="3:37" x14ac:dyDescent="0.15">
      <c r="C115">
        <v>1978</v>
      </c>
      <c r="D115" t="str">
        <f>Stdev!C300</f>
        <v>age_3_plus_biom</v>
      </c>
      <c r="E115">
        <f>Stdev!D300</f>
        <v>3888.3</v>
      </c>
      <c r="F115">
        <f>Stdev!E300</f>
        <v>366.95</v>
      </c>
      <c r="G115">
        <v>4100</v>
      </c>
      <c r="I115" s="20">
        <f t="shared" si="56"/>
        <v>3154.4</v>
      </c>
      <c r="J115" s="6">
        <f t="shared" si="55"/>
        <v>4622.2</v>
      </c>
      <c r="AJ115" s="1"/>
      <c r="AK115" s="1"/>
    </row>
    <row r="116" spans="3:37" x14ac:dyDescent="0.15">
      <c r="C116">
        <v>1979</v>
      </c>
      <c r="D116" t="str">
        <f>Stdev!C301</f>
        <v>age_3_plus_biom</v>
      </c>
      <c r="E116">
        <f>Stdev!D301</f>
        <v>3859.2</v>
      </c>
      <c r="F116">
        <f>Stdev!E301</f>
        <v>357.13</v>
      </c>
      <c r="G116">
        <v>4000</v>
      </c>
      <c r="I116" s="20">
        <f t="shared" si="56"/>
        <v>3144.9399999999996</v>
      </c>
      <c r="J116" s="6">
        <f t="shared" si="55"/>
        <v>4573.46</v>
      </c>
      <c r="AJ116" s="1"/>
      <c r="AK116" s="1"/>
    </row>
    <row r="117" spans="3:37" x14ac:dyDescent="0.15">
      <c r="C117">
        <v>1980</v>
      </c>
      <c r="D117" t="str">
        <f>Stdev!C302</f>
        <v>age_3_plus_biom</v>
      </c>
      <c r="E117">
        <f>Stdev!D302</f>
        <v>4887.3</v>
      </c>
      <c r="F117">
        <f>Stdev!E302</f>
        <v>382.46</v>
      </c>
      <c r="G117">
        <v>4200</v>
      </c>
      <c r="I117" s="20">
        <f t="shared" si="56"/>
        <v>4122.38</v>
      </c>
      <c r="J117" s="6">
        <f t="shared" si="55"/>
        <v>5652.22</v>
      </c>
      <c r="AJ117" s="1"/>
      <c r="AK117" s="1"/>
    </row>
    <row r="118" spans="3:37" x14ac:dyDescent="0.15">
      <c r="C118">
        <v>1981</v>
      </c>
      <c r="D118" t="str">
        <f>Stdev!C303</f>
        <v>age_3_plus_biom</v>
      </c>
      <c r="E118">
        <f>Stdev!D303</f>
        <v>9054.2999999999993</v>
      </c>
      <c r="F118">
        <f>Stdev!E303</f>
        <v>498.11</v>
      </c>
      <c r="G118">
        <v>7600</v>
      </c>
      <c r="I118" s="20">
        <f t="shared" si="56"/>
        <v>8058.079999999999</v>
      </c>
      <c r="J118" s="6">
        <f t="shared" si="55"/>
        <v>10050.519999999999</v>
      </c>
      <c r="AJ118" s="1"/>
      <c r="AK118" s="1"/>
    </row>
    <row r="119" spans="3:37" x14ac:dyDescent="0.15">
      <c r="C119">
        <v>1982</v>
      </c>
      <c r="D119" t="str">
        <f>Stdev!C304</f>
        <v>age_3_plus_biom</v>
      </c>
      <c r="E119">
        <f>Stdev!D304</f>
        <v>10289</v>
      </c>
      <c r="F119">
        <f>Stdev!E304</f>
        <v>533.91</v>
      </c>
      <c r="G119">
        <v>8400</v>
      </c>
      <c r="I119" s="20">
        <f t="shared" si="56"/>
        <v>9221.18</v>
      </c>
      <c r="J119" s="6">
        <f t="shared" si="55"/>
        <v>11356.82</v>
      </c>
      <c r="AJ119" s="1"/>
      <c r="AK119" s="1"/>
    </row>
    <row r="120" spans="3:37" x14ac:dyDescent="0.15">
      <c r="C120">
        <v>1983</v>
      </c>
      <c r="D120" t="str">
        <f>Stdev!C305</f>
        <v>age_3_plus_biom</v>
      </c>
      <c r="E120">
        <f>Stdev!D305</f>
        <v>11383</v>
      </c>
      <c r="F120">
        <f>Stdev!E305</f>
        <v>548.78</v>
      </c>
      <c r="G120">
        <v>8100</v>
      </c>
      <c r="I120" s="20">
        <f t="shared" si="56"/>
        <v>10285.44</v>
      </c>
      <c r="J120" s="6">
        <f t="shared" si="55"/>
        <v>12480.56</v>
      </c>
      <c r="AJ120" s="1"/>
      <c r="AK120" s="1"/>
    </row>
    <row r="121" spans="3:37" x14ac:dyDescent="0.15">
      <c r="C121">
        <v>1984</v>
      </c>
      <c r="D121" t="str">
        <f>Stdev!C306</f>
        <v>age_3_plus_biom</v>
      </c>
      <c r="E121">
        <f>Stdev!D306</f>
        <v>11040</v>
      </c>
      <c r="F121">
        <f>Stdev!E306</f>
        <v>527.41</v>
      </c>
      <c r="G121">
        <v>8300</v>
      </c>
      <c r="I121" s="20">
        <f t="shared" si="56"/>
        <v>9985.18</v>
      </c>
      <c r="J121" s="6">
        <f t="shared" si="55"/>
        <v>12094.82</v>
      </c>
      <c r="AJ121" s="1"/>
      <c r="AK121" s="1"/>
    </row>
    <row r="122" spans="3:37" x14ac:dyDescent="0.15">
      <c r="C122">
        <v>1985</v>
      </c>
      <c r="D122" t="str">
        <f>Stdev!C307</f>
        <v>age_3_plus_biom</v>
      </c>
      <c r="E122">
        <f>Stdev!D307</f>
        <v>12951</v>
      </c>
      <c r="F122">
        <f>Stdev!E307</f>
        <v>522.98</v>
      </c>
      <c r="G122">
        <v>9400</v>
      </c>
      <c r="I122" s="20">
        <f t="shared" si="56"/>
        <v>11905.04</v>
      </c>
      <c r="J122" s="6">
        <f t="shared" si="55"/>
        <v>13996.96</v>
      </c>
      <c r="AJ122" s="1"/>
      <c r="AK122" s="1"/>
    </row>
    <row r="123" spans="3:37" x14ac:dyDescent="0.15">
      <c r="C123">
        <v>1986</v>
      </c>
      <c r="D123" t="str">
        <f>Stdev!C308</f>
        <v>age_3_plus_biom</v>
      </c>
      <c r="E123">
        <f>Stdev!D308</f>
        <v>12019</v>
      </c>
      <c r="F123">
        <f>Stdev!E308</f>
        <v>486.69</v>
      </c>
      <c r="G123">
        <v>8500</v>
      </c>
      <c r="I123" s="20">
        <f t="shared" si="56"/>
        <v>11045.62</v>
      </c>
      <c r="J123" s="6">
        <f t="shared" si="55"/>
        <v>12992.38</v>
      </c>
      <c r="AJ123" s="1"/>
      <c r="AK123" s="1"/>
    </row>
    <row r="124" spans="3:37" x14ac:dyDescent="0.15">
      <c r="C124">
        <v>1987</v>
      </c>
      <c r="D124" t="str">
        <f>Stdev!C309</f>
        <v>age_3_plus_biom</v>
      </c>
      <c r="E124">
        <f>Stdev!D309</f>
        <v>12334</v>
      </c>
      <c r="F124">
        <f>Stdev!E309</f>
        <v>451.88</v>
      </c>
      <c r="G124">
        <v>9000</v>
      </c>
      <c r="I124" s="20">
        <f t="shared" si="56"/>
        <v>11430.24</v>
      </c>
      <c r="J124" s="6">
        <f t="shared" si="55"/>
        <v>13237.76</v>
      </c>
      <c r="AJ124" s="1"/>
      <c r="AK124" s="1"/>
    </row>
    <row r="125" spans="3:37" x14ac:dyDescent="0.15">
      <c r="C125">
        <v>1988</v>
      </c>
      <c r="D125" t="str">
        <f>Stdev!C310</f>
        <v>age_3_plus_biom</v>
      </c>
      <c r="E125">
        <f>Stdev!D310</f>
        <v>11536</v>
      </c>
      <c r="F125">
        <f>Stdev!E310</f>
        <v>411.79</v>
      </c>
      <c r="G125">
        <v>8600</v>
      </c>
      <c r="I125" s="20">
        <f t="shared" si="56"/>
        <v>10712.42</v>
      </c>
      <c r="J125" s="6">
        <f t="shared" si="55"/>
        <v>12359.58</v>
      </c>
      <c r="AJ125" s="1"/>
      <c r="AK125" s="1"/>
    </row>
    <row r="126" spans="3:37" x14ac:dyDescent="0.15">
      <c r="C126">
        <v>1989</v>
      </c>
      <c r="D126" t="str">
        <f>Stdev!C311</f>
        <v>age_3_plus_biom</v>
      </c>
      <c r="E126">
        <f>Stdev!D311</f>
        <v>9699.9</v>
      </c>
      <c r="F126">
        <f>Stdev!E311</f>
        <v>366.29</v>
      </c>
      <c r="G126">
        <v>7700</v>
      </c>
      <c r="I126" s="20">
        <f t="shared" si="56"/>
        <v>8967.32</v>
      </c>
      <c r="J126" s="6">
        <f t="shared" si="55"/>
        <v>10432.48</v>
      </c>
      <c r="AJ126" s="1"/>
      <c r="AK126" s="1"/>
    </row>
    <row r="127" spans="3:37" x14ac:dyDescent="0.15">
      <c r="C127">
        <v>1990</v>
      </c>
      <c r="D127" t="str">
        <f>Stdev!C312</f>
        <v>age_3_plus_biom</v>
      </c>
      <c r="E127">
        <f>Stdev!D312</f>
        <v>7700.5</v>
      </c>
      <c r="F127">
        <f>Stdev!E312</f>
        <v>320.76</v>
      </c>
      <c r="G127">
        <v>7300</v>
      </c>
      <c r="I127" s="20">
        <f t="shared" si="56"/>
        <v>7058.98</v>
      </c>
      <c r="J127" s="6">
        <f t="shared" si="55"/>
        <v>8342.02</v>
      </c>
      <c r="AJ127" s="1"/>
      <c r="AK127" s="1"/>
    </row>
    <row r="128" spans="3:37" x14ac:dyDescent="0.15">
      <c r="C128">
        <v>1991</v>
      </c>
      <c r="D128" t="str">
        <f>Stdev!C313</f>
        <v>age_3_plus_biom</v>
      </c>
      <c r="E128">
        <f>Stdev!D313</f>
        <v>6063.2</v>
      </c>
      <c r="F128">
        <f>Stdev!E313</f>
        <v>281.62</v>
      </c>
      <c r="I128" s="20">
        <f t="shared" si="56"/>
        <v>5499.96</v>
      </c>
      <c r="J128" s="6">
        <f t="shared" si="55"/>
        <v>6626.44</v>
      </c>
      <c r="AJ128" s="1"/>
      <c r="AK128" s="1"/>
    </row>
    <row r="129" spans="2:37" x14ac:dyDescent="0.15">
      <c r="C129">
        <v>1992</v>
      </c>
      <c r="D129" t="str">
        <f>Stdev!C314</f>
        <v>age_3_plus_biom</v>
      </c>
      <c r="E129">
        <f>Stdev!D314</f>
        <v>9472.2000000000007</v>
      </c>
      <c r="F129">
        <f>Stdev!E314</f>
        <v>318.35000000000002</v>
      </c>
      <c r="I129" s="20">
        <f t="shared" si="56"/>
        <v>8835.5</v>
      </c>
      <c r="J129" s="6">
        <f t="shared" si="55"/>
        <v>10108.900000000001</v>
      </c>
      <c r="AJ129" s="1"/>
      <c r="AK129" s="1"/>
    </row>
    <row r="130" spans="2:37" x14ac:dyDescent="0.15">
      <c r="C130">
        <v>1993</v>
      </c>
      <c r="D130" t="str">
        <f>Stdev!C315</f>
        <v>age_3_plus_biom</v>
      </c>
      <c r="E130">
        <f>Stdev!D315</f>
        <v>11712</v>
      </c>
      <c r="F130">
        <f>Stdev!E315</f>
        <v>373.44</v>
      </c>
      <c r="I130" s="20">
        <f t="shared" si="56"/>
        <v>10965.12</v>
      </c>
      <c r="J130" s="6">
        <f t="shared" si="55"/>
        <v>12458.88</v>
      </c>
      <c r="AJ130" s="1"/>
      <c r="AK130" s="1"/>
    </row>
    <row r="131" spans="2:37" x14ac:dyDescent="0.15">
      <c r="C131">
        <v>1994</v>
      </c>
      <c r="D131" t="str">
        <f>Stdev!C316</f>
        <v>age_3_plus_biom</v>
      </c>
      <c r="E131">
        <f>Stdev!D316</f>
        <v>11418</v>
      </c>
      <c r="F131">
        <f>Stdev!E316</f>
        <v>370.59</v>
      </c>
      <c r="I131" s="20">
        <f t="shared" si="56"/>
        <v>10676.82</v>
      </c>
      <c r="J131" s="6">
        <f t="shared" si="55"/>
        <v>12159.18</v>
      </c>
      <c r="AJ131" s="1"/>
      <c r="AK131" s="1"/>
    </row>
    <row r="132" spans="2:37" x14ac:dyDescent="0.15">
      <c r="C132">
        <v>1995</v>
      </c>
      <c r="D132" t="str">
        <f>Stdev!C317</f>
        <v>age_3_plus_biom</v>
      </c>
      <c r="E132">
        <f>Stdev!D317</f>
        <v>13177</v>
      </c>
      <c r="F132">
        <f>Stdev!E317</f>
        <v>411.45</v>
      </c>
      <c r="I132" s="20">
        <f t="shared" si="56"/>
        <v>12354.1</v>
      </c>
      <c r="J132" s="6">
        <f t="shared" si="55"/>
        <v>13999.9</v>
      </c>
      <c r="AJ132" s="1"/>
      <c r="AK132" s="1"/>
    </row>
    <row r="133" spans="2:37" x14ac:dyDescent="0.15">
      <c r="C133">
        <v>1996</v>
      </c>
      <c r="D133" t="str">
        <f>Stdev!C318</f>
        <v>age_3_plus_biom</v>
      </c>
      <c r="E133">
        <f>Stdev!D318</f>
        <v>11358</v>
      </c>
      <c r="F133">
        <f>Stdev!E318</f>
        <v>373.27</v>
      </c>
      <c r="I133" s="20">
        <f t="shared" si="56"/>
        <v>10611.46</v>
      </c>
      <c r="J133" s="6">
        <f t="shared" si="55"/>
        <v>12104.54</v>
      </c>
      <c r="AJ133" s="1"/>
      <c r="AK133" s="1"/>
    </row>
    <row r="134" spans="2:37" x14ac:dyDescent="0.15">
      <c r="C134">
        <v>1997</v>
      </c>
      <c r="D134" t="str">
        <f>Stdev!C319</f>
        <v>age_3_plus_biom</v>
      </c>
      <c r="E134">
        <f>Stdev!D319</f>
        <v>9940</v>
      </c>
      <c r="F134">
        <f>Stdev!E319</f>
        <v>343.76</v>
      </c>
      <c r="I134" s="20">
        <f t="shared" si="56"/>
        <v>9252.48</v>
      </c>
      <c r="J134" s="6">
        <f t="shared" si="55"/>
        <v>10627.52</v>
      </c>
      <c r="AJ134" s="1"/>
      <c r="AK134" s="1"/>
    </row>
    <row r="135" spans="2:37" x14ac:dyDescent="0.15">
      <c r="C135">
        <v>1998</v>
      </c>
      <c r="D135" t="str">
        <f>Stdev!C320</f>
        <v>age_3_plus_biom</v>
      </c>
      <c r="E135">
        <f>Stdev!D320</f>
        <v>9989.7999999999993</v>
      </c>
      <c r="F135">
        <f>Stdev!E320</f>
        <v>337.21</v>
      </c>
      <c r="I135" s="20">
        <f t="shared" si="56"/>
        <v>9315.3799999999992</v>
      </c>
      <c r="J135" s="6">
        <f t="shared" si="55"/>
        <v>10664.22</v>
      </c>
      <c r="AJ135" s="1"/>
      <c r="AK135" s="1"/>
    </row>
    <row r="136" spans="2:37" x14ac:dyDescent="0.15">
      <c r="C136">
        <v>1999</v>
      </c>
      <c r="D136" t="str">
        <f>Stdev!C321</f>
        <v>age_3_plus_biom</v>
      </c>
      <c r="E136">
        <f>Stdev!D321</f>
        <v>10853</v>
      </c>
      <c r="F136">
        <f>Stdev!E321</f>
        <v>337.01</v>
      </c>
      <c r="I136" s="20">
        <f t="shared" ref="I136:I141" si="57">(E136)-2*F136</f>
        <v>10178.98</v>
      </c>
      <c r="J136" s="6">
        <f t="shared" ref="J136:J141" si="58">(E136)+2*F136</f>
        <v>11527.02</v>
      </c>
      <c r="M136" s="6"/>
      <c r="N136" s="6"/>
      <c r="AJ136" s="1"/>
      <c r="AK136" s="1"/>
    </row>
    <row r="137" spans="2:37" x14ac:dyDescent="0.15">
      <c r="C137">
        <v>2000</v>
      </c>
      <c r="D137" t="str">
        <f>Stdev!C322</f>
        <v>age_3_plus_biom</v>
      </c>
      <c r="E137">
        <f>Stdev!D322</f>
        <v>10068</v>
      </c>
      <c r="F137">
        <f>Stdev!E322</f>
        <v>314.02</v>
      </c>
      <c r="I137" s="20">
        <f t="shared" si="57"/>
        <v>9439.9599999999991</v>
      </c>
      <c r="J137" s="6">
        <f t="shared" si="58"/>
        <v>10696.04</v>
      </c>
      <c r="M137" s="6"/>
      <c r="N137" s="6"/>
      <c r="AJ137" s="1"/>
      <c r="AK137" s="1"/>
    </row>
    <row r="138" spans="2:37" x14ac:dyDescent="0.15">
      <c r="C138">
        <v>2001</v>
      </c>
      <c r="D138" t="str">
        <f>Stdev!C323</f>
        <v>age_3_plus_biom</v>
      </c>
      <c r="E138">
        <f>Stdev!D323</f>
        <v>9854</v>
      </c>
      <c r="F138">
        <f>Stdev!E323</f>
        <v>314.87</v>
      </c>
      <c r="I138" s="20">
        <f t="shared" si="57"/>
        <v>9224.26</v>
      </c>
      <c r="J138" s="6">
        <f t="shared" si="58"/>
        <v>10483.74</v>
      </c>
      <c r="M138" s="6"/>
      <c r="N138" s="6"/>
      <c r="AJ138" s="1"/>
      <c r="AK138" s="1"/>
    </row>
    <row r="139" spans="2:37" x14ac:dyDescent="0.15">
      <c r="C139">
        <v>2002</v>
      </c>
      <c r="D139" t="str">
        <f>Stdev!C324</f>
        <v>age_3_plus_biom</v>
      </c>
      <c r="E139">
        <f>Stdev!D324</f>
        <v>10276</v>
      </c>
      <c r="F139">
        <f>Stdev!E324</f>
        <v>316.69</v>
      </c>
      <c r="I139" s="20">
        <f t="shared" si="57"/>
        <v>9642.6200000000008</v>
      </c>
      <c r="J139" s="6">
        <f t="shared" si="58"/>
        <v>10909.38</v>
      </c>
      <c r="M139" s="6"/>
      <c r="N139" s="6"/>
      <c r="AJ139" s="1"/>
      <c r="AK139" s="1"/>
    </row>
    <row r="140" spans="2:37" x14ac:dyDescent="0.15">
      <c r="C140">
        <v>2003</v>
      </c>
      <c r="D140" t="str">
        <f>Stdev!C325</f>
        <v>age_3_plus_biom</v>
      </c>
      <c r="E140">
        <f>Stdev!D325</f>
        <v>12365</v>
      </c>
      <c r="F140">
        <f>Stdev!E325</f>
        <v>342.95</v>
      </c>
      <c r="I140" s="20">
        <f t="shared" si="57"/>
        <v>11679.1</v>
      </c>
      <c r="J140" s="6">
        <f t="shared" si="58"/>
        <v>13050.9</v>
      </c>
      <c r="M140" s="6"/>
      <c r="N140" s="6"/>
      <c r="AJ140" s="1"/>
      <c r="AK140" s="1"/>
    </row>
    <row r="141" spans="2:37" x14ac:dyDescent="0.15">
      <c r="C141">
        <v>2004</v>
      </c>
      <c r="D141" t="str">
        <f>Stdev!C326</f>
        <v>age_3_plus_biom</v>
      </c>
      <c r="E141">
        <f>Stdev!D326</f>
        <v>11591</v>
      </c>
      <c r="F141">
        <f>Stdev!E326</f>
        <v>322.27999999999997</v>
      </c>
      <c r="G141">
        <f t="shared" ref="G141:G146" si="59">LN(E141)</f>
        <v>9.357984213888745</v>
      </c>
      <c r="H141">
        <f t="shared" ref="H141:H146" si="60">F141/E141</f>
        <v>2.7804330946423948E-2</v>
      </c>
      <c r="I141" s="20">
        <f t="shared" si="57"/>
        <v>10946.44</v>
      </c>
      <c r="J141" s="6">
        <f t="shared" si="58"/>
        <v>12235.56</v>
      </c>
      <c r="M141" s="6"/>
      <c r="N141" s="6"/>
      <c r="AJ141" s="1"/>
      <c r="AK141" s="1"/>
    </row>
    <row r="142" spans="2:37" x14ac:dyDescent="0.15">
      <c r="B142" s="27">
        <f>AVERAGE(E132:E142)</f>
        <v>10834.272727272728</v>
      </c>
      <c r="C142">
        <v>2005</v>
      </c>
      <c r="D142" t="str">
        <f>Stdev!C327</f>
        <v>age_3_plus_biom</v>
      </c>
      <c r="E142">
        <f>Stdev!D327</f>
        <v>9705.2000000000007</v>
      </c>
      <c r="F142">
        <f>Stdev!E327</f>
        <v>287.52999999999997</v>
      </c>
      <c r="G142">
        <f t="shared" si="59"/>
        <v>9.1804171033248245</v>
      </c>
      <c r="H142">
        <f t="shared" si="60"/>
        <v>2.9626385855005558E-2</v>
      </c>
      <c r="I142" s="20">
        <f t="shared" ref="I142:I147" si="61">(E142)-2*F142</f>
        <v>9130.1400000000012</v>
      </c>
      <c r="J142" s="6">
        <f t="shared" ref="J142:J147" si="62">(E142)+2*F142</f>
        <v>10280.26</v>
      </c>
      <c r="M142" s="6"/>
      <c r="N142" s="6"/>
      <c r="AJ142" s="1"/>
      <c r="AK142" s="1"/>
    </row>
    <row r="143" spans="2:37" x14ac:dyDescent="0.15">
      <c r="C143">
        <v>2006</v>
      </c>
      <c r="D143" t="str">
        <f>Stdev!C328</f>
        <v>age_3_plus_biom</v>
      </c>
      <c r="E143">
        <f>Stdev!D328</f>
        <v>7445.9</v>
      </c>
      <c r="F143">
        <f>Stdev!E328</f>
        <v>247.67</v>
      </c>
      <c r="G143">
        <f t="shared" si="59"/>
        <v>8.9154188243129333</v>
      </c>
      <c r="H143">
        <f t="shared" si="60"/>
        <v>3.3262600894451981E-2</v>
      </c>
      <c r="I143" s="20">
        <f t="shared" si="61"/>
        <v>6950.5599999999995</v>
      </c>
      <c r="J143" s="6">
        <f t="shared" si="62"/>
        <v>7941.24</v>
      </c>
      <c r="M143" s="6"/>
      <c r="N143" s="6"/>
      <c r="AJ143" s="1"/>
      <c r="AK143" s="1"/>
    </row>
    <row r="144" spans="2:37" x14ac:dyDescent="0.15">
      <c r="C144">
        <v>2007</v>
      </c>
      <c r="D144" t="str">
        <f>Stdev!C329</f>
        <v>age_3_plus_biom</v>
      </c>
      <c r="E144">
        <f>Stdev!D329</f>
        <v>6045.3</v>
      </c>
      <c r="F144">
        <f>Stdev!E329</f>
        <v>236.01</v>
      </c>
      <c r="G144">
        <f t="shared" si="59"/>
        <v>8.7070363896090388</v>
      </c>
      <c r="H144">
        <f t="shared" si="60"/>
        <v>3.9040246141630687E-2</v>
      </c>
      <c r="I144" s="20">
        <f t="shared" si="61"/>
        <v>5573.2800000000007</v>
      </c>
      <c r="J144" s="6">
        <f t="shared" si="62"/>
        <v>6517.32</v>
      </c>
      <c r="M144" s="6"/>
      <c r="N144" s="6"/>
      <c r="AJ144" s="1"/>
      <c r="AK144" s="1"/>
    </row>
    <row r="145" spans="2:37" x14ac:dyDescent="0.15">
      <c r="B145">
        <f>STDEV(E114:E147)</f>
        <v>2820.5264350538896</v>
      </c>
      <c r="C145">
        <v>2008</v>
      </c>
      <c r="D145" t="str">
        <f>Stdev!C330</f>
        <v>age_3_plus_biom</v>
      </c>
      <c r="E145">
        <f>Stdev!D330</f>
        <v>4848.8</v>
      </c>
      <c r="F145">
        <f>Stdev!E330</f>
        <v>215.09</v>
      </c>
      <c r="G145">
        <f t="shared" si="59"/>
        <v>8.4864865306370749</v>
      </c>
      <c r="H145">
        <f t="shared" si="60"/>
        <v>4.4359429137106089E-2</v>
      </c>
      <c r="I145" s="20">
        <f t="shared" si="61"/>
        <v>4418.62</v>
      </c>
      <c r="J145" s="6">
        <f t="shared" si="62"/>
        <v>5278.9800000000005</v>
      </c>
      <c r="AJ145" s="1"/>
      <c r="AK145" s="1"/>
    </row>
    <row r="146" spans="2:37" x14ac:dyDescent="0.15">
      <c r="B146">
        <f>AVERAGE(E114:E147)</f>
        <v>9228.6647058823528</v>
      </c>
      <c r="C146">
        <v>2009</v>
      </c>
      <c r="D146" t="str">
        <f>Stdev!C331</f>
        <v>age_3_plus_biom</v>
      </c>
      <c r="E146">
        <f>Stdev!D331</f>
        <v>6331.1</v>
      </c>
      <c r="F146">
        <f>Stdev!E331</f>
        <v>297.02999999999997</v>
      </c>
      <c r="G146">
        <f t="shared" si="59"/>
        <v>8.7532292757123855</v>
      </c>
      <c r="H146">
        <f t="shared" si="60"/>
        <v>4.6916017753628907E-2</v>
      </c>
      <c r="I146" s="20">
        <f t="shared" si="61"/>
        <v>5737.0400000000009</v>
      </c>
      <c r="J146" s="6">
        <f t="shared" si="62"/>
        <v>6925.16</v>
      </c>
      <c r="AJ146" s="1"/>
      <c r="AK146" s="1"/>
    </row>
    <row r="147" spans="2:37" x14ac:dyDescent="0.15">
      <c r="B147">
        <f>B145/B146</f>
        <v>0.30562671035779265</v>
      </c>
      <c r="C147">
        <v>2010</v>
      </c>
      <c r="D147" t="str">
        <f>Stdev!C332</f>
        <v>age_3_plus_biom</v>
      </c>
      <c r="E147">
        <f>Stdev!D332</f>
        <v>6680.3</v>
      </c>
      <c r="F147">
        <f>Stdev!E332</f>
        <v>366.02</v>
      </c>
      <c r="G147">
        <f>LN(E147)</f>
        <v>8.8069181757019006</v>
      </c>
      <c r="H147">
        <f>F147/E147</f>
        <v>5.4790952502133131E-2</v>
      </c>
      <c r="I147" s="20">
        <f t="shared" si="61"/>
        <v>5948.26</v>
      </c>
      <c r="J147" s="6">
        <f t="shared" si="62"/>
        <v>7412.34</v>
      </c>
      <c r="AJ147" s="1"/>
      <c r="AK147" s="1"/>
    </row>
    <row r="148" spans="2:37" x14ac:dyDescent="0.15">
      <c r="C148">
        <v>2011</v>
      </c>
      <c r="D148" t="str">
        <f>Stdev!C333</f>
        <v>age_3_plus_biom</v>
      </c>
      <c r="E148">
        <f>Stdev!D333</f>
        <v>10053</v>
      </c>
      <c r="F148">
        <f>Stdev!E333</f>
        <v>656.7</v>
      </c>
      <c r="G148">
        <f>LN(E148)</f>
        <v>9.2156263764054209</v>
      </c>
      <c r="H148">
        <f>F148/E148</f>
        <v>6.5323783945091016E-2</v>
      </c>
      <c r="I148" s="20">
        <f>(E148)-2*F148</f>
        <v>8739.6</v>
      </c>
      <c r="J148" s="6">
        <f>(E148)+2*F148</f>
        <v>11366.4</v>
      </c>
      <c r="AJ148" s="1"/>
      <c r="AK148" s="1"/>
    </row>
    <row r="149" spans="2:37" x14ac:dyDescent="0.15">
      <c r="C149">
        <v>2012</v>
      </c>
      <c r="D149" t="str">
        <f>Stdev!C334</f>
        <v>age_3_plus_biom</v>
      </c>
      <c r="E149">
        <f>Stdev!D334</f>
        <v>10164</v>
      </c>
      <c r="F149">
        <f>Stdev!E334</f>
        <v>769.38</v>
      </c>
      <c r="G149">
        <f>LN(E149)</f>
        <v>9.2266073444400547</v>
      </c>
      <c r="H149">
        <f>F149/E149</f>
        <v>7.5696576151121603E-2</v>
      </c>
      <c r="I149" s="20"/>
      <c r="J149" s="6"/>
      <c r="AJ149" s="1"/>
      <c r="AK149" s="1"/>
    </row>
    <row r="150" spans="2:37" x14ac:dyDescent="0.15">
      <c r="B150" t="s">
        <v>208</v>
      </c>
      <c r="D150" t="str">
        <f>Stdev!C335</f>
        <v>age_3_plus_biom</v>
      </c>
      <c r="E150" s="27">
        <f>Stdev!D335</f>
        <v>10337</v>
      </c>
      <c r="I150" t="s">
        <v>264</v>
      </c>
      <c r="J150" s="6"/>
      <c r="AJ150" s="1"/>
      <c r="AK150" s="1"/>
    </row>
    <row r="151" spans="2:37" x14ac:dyDescent="0.15">
      <c r="B151">
        <f t="array" ref="B151:B171">TRANSPOSE(pm.rep!B688:U688)</f>
        <v>162.09399999999999</v>
      </c>
      <c r="C151">
        <f>Stdev!B341</f>
        <v>1303</v>
      </c>
      <c r="D151" t="str">
        <f>Stdev!C341</f>
        <v>rechat</v>
      </c>
      <c r="E151" s="27">
        <f>Stdev!D341</f>
        <v>17455</v>
      </c>
      <c r="F151" s="27">
        <f>Stdev!E341</f>
        <v>3602</v>
      </c>
      <c r="G151" s="27">
        <f>E151/EXP(2*SQRT(LN(1+F151^2/E151^2)))</f>
        <v>11602.295899588542</v>
      </c>
      <c r="H151" s="27">
        <f>E151*EXP(2*SQRT(LN(1+F151^2/E151^2)))</f>
        <v>26260.063321674541</v>
      </c>
      <c r="I151" s="27" t="e">
        <f t="shared" ref="I151:I170" si="63">B151*EXP(Alph1-_Bet1*B151)</f>
        <v>#VALUE!</v>
      </c>
      <c r="J151" s="6"/>
      <c r="K151" s="6"/>
      <c r="L151" s="6"/>
      <c r="AJ151" s="1"/>
      <c r="AK151" s="1"/>
    </row>
    <row r="152" spans="2:37" x14ac:dyDescent="0.15">
      <c r="B152">
        <v>486.28199999999998</v>
      </c>
      <c r="C152">
        <f>Stdev!B342</f>
        <v>1304</v>
      </c>
      <c r="D152" t="str">
        <f>Stdev!C342</f>
        <v>rechat</v>
      </c>
      <c r="E152" s="27">
        <f>Stdev!D342</f>
        <v>21668</v>
      </c>
      <c r="F152" s="27">
        <f>Stdev!E342</f>
        <v>4181.1000000000004</v>
      </c>
      <c r="G152" s="27">
        <f t="shared" ref="G152:G170" si="64">E152/EXP(2*SQRT(LN(1+F152^2/E152^2)))</f>
        <v>14782.355769670254</v>
      </c>
      <c r="H152" s="27">
        <f t="shared" ref="H152:H170" si="65">E152*EXP(2*SQRT(LN(1+F152^2/E152^2)))</f>
        <v>31760.987985643173</v>
      </c>
      <c r="I152" s="27" t="e">
        <f t="shared" si="63"/>
        <v>#VALUE!</v>
      </c>
      <c r="J152" s="6"/>
      <c r="AJ152" s="1"/>
      <c r="AK152" s="1"/>
    </row>
    <row r="153" spans="2:37" x14ac:dyDescent="0.15">
      <c r="B153">
        <v>810.46900000000005</v>
      </c>
      <c r="C153">
        <f>Stdev!B343</f>
        <v>1305</v>
      </c>
      <c r="D153" t="str">
        <f>Stdev!C343</f>
        <v>rechat</v>
      </c>
      <c r="E153" s="27">
        <f>Stdev!D343</f>
        <v>24702</v>
      </c>
      <c r="F153" s="27">
        <f>Stdev!E343</f>
        <v>4455</v>
      </c>
      <c r="G153" s="27">
        <f t="shared" si="64"/>
        <v>17271.662192471773</v>
      </c>
      <c r="H153" s="27">
        <f t="shared" si="65"/>
        <v>35328.89870124741</v>
      </c>
      <c r="I153" s="27" t="e">
        <f t="shared" si="63"/>
        <v>#VALUE!</v>
      </c>
      <c r="J153" s="6"/>
      <c r="AJ153" s="1"/>
      <c r="AK153" s="1"/>
    </row>
    <row r="154" spans="2:37" x14ac:dyDescent="0.15">
      <c r="B154">
        <v>1134.6600000000001</v>
      </c>
      <c r="C154">
        <f>Stdev!B344</f>
        <v>1306</v>
      </c>
      <c r="D154" t="str">
        <f>Stdev!C344</f>
        <v>rechat</v>
      </c>
      <c r="E154" s="27">
        <f>Stdev!D344</f>
        <v>26770</v>
      </c>
      <c r="F154" s="27">
        <f>Stdev!E344</f>
        <v>4516.3</v>
      </c>
      <c r="G154" s="27">
        <f t="shared" si="64"/>
        <v>19148.634656787784</v>
      </c>
      <c r="H154" s="27">
        <f t="shared" si="65"/>
        <v>37424.751834511022</v>
      </c>
      <c r="I154" s="27" t="e">
        <f t="shared" si="63"/>
        <v>#VALUE!</v>
      </c>
      <c r="J154" s="6"/>
      <c r="AJ154" s="1"/>
      <c r="AK154" s="1"/>
    </row>
    <row r="155" spans="2:37" x14ac:dyDescent="0.15">
      <c r="B155">
        <v>1458.84</v>
      </c>
      <c r="C155">
        <f>Stdev!B345</f>
        <v>1307</v>
      </c>
      <c r="D155" t="str">
        <f>Stdev!C345</f>
        <v>rechat</v>
      </c>
      <c r="E155" s="27">
        <f>Stdev!D345</f>
        <v>28053</v>
      </c>
      <c r="F155" s="27">
        <f>Stdev!E345</f>
        <v>4438.8999999999996</v>
      </c>
      <c r="G155" s="27">
        <f t="shared" si="64"/>
        <v>20482.784965802257</v>
      </c>
      <c r="H155" s="27">
        <f t="shared" si="65"/>
        <v>38421.084355175059</v>
      </c>
      <c r="I155" s="27" t="e">
        <f t="shared" si="63"/>
        <v>#VALUE!</v>
      </c>
      <c r="J155" s="6"/>
      <c r="AJ155" s="1"/>
      <c r="AK155" s="1"/>
    </row>
    <row r="156" spans="2:37" x14ac:dyDescent="0.15">
      <c r="B156">
        <v>1783.03</v>
      </c>
      <c r="C156">
        <f>Stdev!B346</f>
        <v>1308</v>
      </c>
      <c r="D156" t="str">
        <f>Stdev!C346</f>
        <v>rechat</v>
      </c>
      <c r="E156" s="27">
        <f>Stdev!D346</f>
        <v>28701</v>
      </c>
      <c r="F156" s="27">
        <f>Stdev!E346</f>
        <v>4281.8999999999996</v>
      </c>
      <c r="G156" s="27">
        <f t="shared" si="64"/>
        <v>21331.667447305656</v>
      </c>
      <c r="H156" s="27">
        <f t="shared" si="65"/>
        <v>38616.174897478311</v>
      </c>
      <c r="I156" s="27" t="e">
        <f t="shared" si="63"/>
        <v>#VALUE!</v>
      </c>
      <c r="J156" s="6"/>
      <c r="AJ156" s="1"/>
      <c r="AK156" s="1"/>
    </row>
    <row r="157" spans="2:37" x14ac:dyDescent="0.15">
      <c r="B157">
        <v>2107.2199999999998</v>
      </c>
      <c r="C157">
        <f>Stdev!B347</f>
        <v>1309</v>
      </c>
      <c r="D157" t="str">
        <f>Stdev!C347</f>
        <v>rechat</v>
      </c>
      <c r="E157" s="27">
        <f>Stdev!D347</f>
        <v>28842</v>
      </c>
      <c r="F157" s="27">
        <f>Stdev!E347</f>
        <v>4091.1</v>
      </c>
      <c r="G157" s="27">
        <f t="shared" si="64"/>
        <v>21748.696623458411</v>
      </c>
      <c r="H157" s="27">
        <f t="shared" si="65"/>
        <v>38248.773174882786</v>
      </c>
      <c r="I157" s="27" t="e">
        <f t="shared" si="63"/>
        <v>#VALUE!</v>
      </c>
      <c r="J157" s="6"/>
      <c r="AJ157" s="1"/>
      <c r="AK157" s="1"/>
    </row>
    <row r="158" spans="2:37" x14ac:dyDescent="0.15">
      <c r="B158">
        <v>2431.41</v>
      </c>
      <c r="C158">
        <f>Stdev!B348</f>
        <v>1310</v>
      </c>
      <c r="D158" t="str">
        <f>Stdev!C348</f>
        <v>rechat</v>
      </c>
      <c r="E158" s="27">
        <f>Stdev!D348</f>
        <v>28583</v>
      </c>
      <c r="F158" s="27">
        <f>Stdev!E348</f>
        <v>3900.8</v>
      </c>
      <c r="G158" s="27">
        <f t="shared" si="64"/>
        <v>21782.89229660845</v>
      </c>
      <c r="H158" s="27">
        <f t="shared" si="65"/>
        <v>37505.941721394054</v>
      </c>
      <c r="I158" s="27" t="e">
        <f t="shared" si="63"/>
        <v>#VALUE!</v>
      </c>
      <c r="J158" s="6"/>
      <c r="AJ158" s="1"/>
      <c r="AK158" s="1"/>
    </row>
    <row r="159" spans="2:37" x14ac:dyDescent="0.15">
      <c r="B159">
        <v>2755.6</v>
      </c>
      <c r="C159">
        <f>Stdev!B349</f>
        <v>1311</v>
      </c>
      <c r="D159" t="str">
        <f>Stdev!C349</f>
        <v>rechat</v>
      </c>
      <c r="E159" s="27">
        <f>Stdev!D349</f>
        <v>28012</v>
      </c>
      <c r="F159" s="27">
        <f>Stdev!E349</f>
        <v>3734.4</v>
      </c>
      <c r="G159" s="27">
        <f t="shared" si="64"/>
        <v>21481.193028855425</v>
      </c>
      <c r="H159" s="27">
        <f t="shared" si="65"/>
        <v>36528.3316874421</v>
      </c>
      <c r="I159" s="27" t="e">
        <f t="shared" si="63"/>
        <v>#VALUE!</v>
      </c>
      <c r="J159" s="6"/>
      <c r="AJ159" s="1"/>
      <c r="AK159" s="1"/>
    </row>
    <row r="160" spans="2:37" x14ac:dyDescent="0.15">
      <c r="B160">
        <v>3079.78</v>
      </c>
      <c r="C160">
        <f>Stdev!B350</f>
        <v>1312</v>
      </c>
      <c r="D160" t="str">
        <f>Stdev!C350</f>
        <v>rechat</v>
      </c>
      <c r="E160" s="27">
        <f>Stdev!D350</f>
        <v>27203</v>
      </c>
      <c r="F160" s="27">
        <f>Stdev!E350</f>
        <v>3605.1</v>
      </c>
      <c r="G160" s="27">
        <f t="shared" si="64"/>
        <v>20893.298301470331</v>
      </c>
      <c r="H160" s="27">
        <f t="shared" si="65"/>
        <v>35418.20914641914</v>
      </c>
      <c r="I160" s="27" t="e">
        <f t="shared" si="63"/>
        <v>#VALUE!</v>
      </c>
      <c r="J160" s="6"/>
      <c r="AJ160" s="1"/>
      <c r="AK160" s="1"/>
    </row>
    <row r="161" spans="1:44" x14ac:dyDescent="0.15">
      <c r="B161">
        <v>3403.97</v>
      </c>
      <c r="C161">
        <f>Stdev!B351</f>
        <v>1313</v>
      </c>
      <c r="D161" t="str">
        <f>Stdev!C351</f>
        <v>rechat</v>
      </c>
      <c r="E161" s="27">
        <f>Stdev!D351</f>
        <v>26218</v>
      </c>
      <c r="F161" s="27">
        <f>Stdev!E351</f>
        <v>3517.1</v>
      </c>
      <c r="G161" s="27">
        <f t="shared" si="64"/>
        <v>20072.385864571454</v>
      </c>
      <c r="H161" s="27">
        <f t="shared" si="65"/>
        <v>34245.232661317998</v>
      </c>
      <c r="I161" s="27" t="e">
        <f t="shared" si="63"/>
        <v>#VALUE!</v>
      </c>
      <c r="J161" s="6"/>
      <c r="AJ161" s="1"/>
      <c r="AK161" s="1"/>
    </row>
    <row r="162" spans="1:44" x14ac:dyDescent="0.15">
      <c r="B162">
        <v>3728.16</v>
      </c>
      <c r="C162">
        <f>Stdev!B352</f>
        <v>1314</v>
      </c>
      <c r="D162" t="str">
        <f>Stdev!C352</f>
        <v>rechat</v>
      </c>
      <c r="E162" s="27">
        <f>Stdev!D352</f>
        <v>25107</v>
      </c>
      <c r="F162" s="27">
        <f>Stdev!E352</f>
        <v>3467.2</v>
      </c>
      <c r="G162" s="27">
        <f t="shared" si="64"/>
        <v>19072.665386068082</v>
      </c>
      <c r="H162" s="27">
        <f t="shared" si="65"/>
        <v>33050.516864856079</v>
      </c>
      <c r="I162" s="27" t="e">
        <f t="shared" si="63"/>
        <v>#VALUE!</v>
      </c>
      <c r="J162" s="6"/>
      <c r="AJ162" s="1"/>
      <c r="AK162" s="1"/>
    </row>
    <row r="163" spans="1:44" x14ac:dyDescent="0.15">
      <c r="B163">
        <v>4052.35</v>
      </c>
      <c r="C163">
        <f>Stdev!B353</f>
        <v>1315</v>
      </c>
      <c r="D163" t="str">
        <f>Stdev!C353</f>
        <v>rechat</v>
      </c>
      <c r="E163" s="27">
        <f>Stdev!D353</f>
        <v>23911</v>
      </c>
      <c r="F163" s="27">
        <f>Stdev!E353</f>
        <v>3447.6</v>
      </c>
      <c r="G163" s="27">
        <f t="shared" si="64"/>
        <v>17947.509048192642</v>
      </c>
      <c r="H163" s="27">
        <f t="shared" si="65"/>
        <v>31856.004054087676</v>
      </c>
      <c r="I163" s="27" t="e">
        <f t="shared" si="63"/>
        <v>#VALUE!</v>
      </c>
      <c r="J163" s="6"/>
      <c r="AJ163" s="1"/>
      <c r="AK163" s="1"/>
    </row>
    <row r="164" spans="1:44" x14ac:dyDescent="0.15">
      <c r="B164">
        <v>4376.53</v>
      </c>
      <c r="C164">
        <f>Stdev!B354</f>
        <v>1316</v>
      </c>
      <c r="D164" t="str">
        <f>Stdev!C354</f>
        <v>rechat</v>
      </c>
      <c r="E164" s="27">
        <f>Stdev!D354</f>
        <v>22664</v>
      </c>
      <c r="F164" s="27">
        <f>Stdev!E354</f>
        <v>3448.3</v>
      </c>
      <c r="G164" s="27">
        <f t="shared" si="64"/>
        <v>16747.006389335314</v>
      </c>
      <c r="H164" s="27">
        <f t="shared" si="65"/>
        <v>30671.565058164819</v>
      </c>
      <c r="I164" s="27" t="e">
        <f t="shared" si="63"/>
        <v>#VALUE!</v>
      </c>
      <c r="J164" s="6"/>
      <c r="AJ164" s="1"/>
      <c r="AK164" s="1"/>
    </row>
    <row r="165" spans="1:44" x14ac:dyDescent="0.15">
      <c r="B165">
        <v>4700.72</v>
      </c>
      <c r="C165">
        <f>Stdev!B355</f>
        <v>1317</v>
      </c>
      <c r="D165" t="str">
        <f>Stdev!C355</f>
        <v>rechat</v>
      </c>
      <c r="E165" s="27">
        <f>Stdev!D355</f>
        <v>21393</v>
      </c>
      <c r="F165" s="27">
        <f>Stdev!E355</f>
        <v>3459.5</v>
      </c>
      <c r="G165" s="27">
        <f t="shared" si="64"/>
        <v>15513.726614017751</v>
      </c>
      <c r="H165" s="27">
        <f t="shared" si="65"/>
        <v>29500.355419855819</v>
      </c>
      <c r="I165" s="27" t="e">
        <f t="shared" si="63"/>
        <v>#VALUE!</v>
      </c>
      <c r="J165" s="6"/>
      <c r="AJ165" s="1"/>
      <c r="AK165" s="1"/>
    </row>
    <row r="166" spans="1:44" x14ac:dyDescent="0.15">
      <c r="B166">
        <v>5024.91</v>
      </c>
      <c r="C166">
        <f>Stdev!B356</f>
        <v>1318</v>
      </c>
      <c r="D166" t="str">
        <f>Stdev!C356</f>
        <v>rechat</v>
      </c>
      <c r="E166" s="27">
        <f>Stdev!D356</f>
        <v>20118</v>
      </c>
      <c r="F166" s="27">
        <f>Stdev!E356</f>
        <v>3472.7</v>
      </c>
      <c r="G166" s="27">
        <f t="shared" si="64"/>
        <v>14280.75466072394</v>
      </c>
      <c r="H166" s="27">
        <f t="shared" si="65"/>
        <v>28341.214005526697</v>
      </c>
      <c r="I166" s="27" t="e">
        <f t="shared" si="63"/>
        <v>#VALUE!</v>
      </c>
      <c r="J166" s="6"/>
      <c r="AJ166" s="1"/>
      <c r="AK166" s="1"/>
    </row>
    <row r="167" spans="1:44" x14ac:dyDescent="0.15">
      <c r="B167">
        <v>5349.1</v>
      </c>
      <c r="C167">
        <f>Stdev!B357</f>
        <v>1319</v>
      </c>
      <c r="D167" t="str">
        <f>Stdev!C357</f>
        <v>rechat</v>
      </c>
      <c r="E167" s="27">
        <f>Stdev!D357</f>
        <v>18858</v>
      </c>
      <c r="F167" s="27">
        <f>Stdev!E357</f>
        <v>3481.5</v>
      </c>
      <c r="G167" s="27">
        <f t="shared" si="64"/>
        <v>13076.194937778633</v>
      </c>
      <c r="H167" s="27">
        <f t="shared" si="65"/>
        <v>27196.30333535032</v>
      </c>
      <c r="I167" s="27" t="e">
        <f t="shared" si="63"/>
        <v>#VALUE!</v>
      </c>
      <c r="J167" s="6"/>
      <c r="AJ167" s="1"/>
      <c r="AK167" s="1"/>
    </row>
    <row r="168" spans="1:44" x14ac:dyDescent="0.15">
      <c r="B168">
        <v>5673.28</v>
      </c>
      <c r="C168">
        <f>Stdev!B358</f>
        <v>1320</v>
      </c>
      <c r="D168" t="str">
        <f>Stdev!C358</f>
        <v>rechat</v>
      </c>
      <c r="E168" s="27">
        <f>Stdev!D358</f>
        <v>17625</v>
      </c>
      <c r="F168" s="27">
        <f>Stdev!E358</f>
        <v>3481.3</v>
      </c>
      <c r="G168" s="27">
        <f t="shared" si="64"/>
        <v>11918.012800086437</v>
      </c>
      <c r="H168" s="27">
        <f t="shared" si="65"/>
        <v>26064.800416873779</v>
      </c>
      <c r="I168" s="27" t="e">
        <f t="shared" si="63"/>
        <v>#VALUE!</v>
      </c>
      <c r="J168" s="6"/>
      <c r="AJ168" s="1"/>
      <c r="AK168" s="1"/>
    </row>
    <row r="169" spans="1:44" x14ac:dyDescent="0.15">
      <c r="B169">
        <v>5997.47</v>
      </c>
      <c r="C169">
        <f>Stdev!B359</f>
        <v>1321</v>
      </c>
      <c r="D169" t="str">
        <f>Stdev!C359</f>
        <v>rechat</v>
      </c>
      <c r="E169" s="27">
        <f>Stdev!D359</f>
        <v>9.7247E-2</v>
      </c>
      <c r="F169" s="27">
        <f>Stdev!E359</f>
        <v>2.1569000000000001E-2</v>
      </c>
      <c r="G169" s="27">
        <f t="shared" si="64"/>
        <v>6.2738593094154874E-2</v>
      </c>
      <c r="H169" s="27">
        <f t="shared" si="65"/>
        <v>0.15073623016709109</v>
      </c>
      <c r="I169" s="27" t="e">
        <f t="shared" si="63"/>
        <v>#VALUE!</v>
      </c>
      <c r="J169" s="6"/>
      <c r="AJ169" s="1"/>
      <c r="AK169" s="1"/>
    </row>
    <row r="170" spans="1:44" x14ac:dyDescent="0.15">
      <c r="B170">
        <v>6321.66</v>
      </c>
      <c r="C170">
        <f>Stdev!B360</f>
        <v>1322</v>
      </c>
      <c r="D170" t="str">
        <f>Stdev!C360</f>
        <v>rechat</v>
      </c>
      <c r="E170" s="27">
        <f>Stdev!D360</f>
        <v>0.10691000000000001</v>
      </c>
      <c r="F170" s="27">
        <f>Stdev!E360</f>
        <v>2.2388000000000002E-2</v>
      </c>
      <c r="G170" s="27">
        <f t="shared" si="64"/>
        <v>7.0644016255710776E-2</v>
      </c>
      <c r="H170" s="27">
        <f t="shared" si="65"/>
        <v>0.16179357723133464</v>
      </c>
      <c r="I170" s="27" t="e">
        <f t="shared" si="63"/>
        <v>#VALUE!</v>
      </c>
      <c r="J170" s="6"/>
      <c r="AJ170" s="1"/>
      <c r="AK170" s="1"/>
    </row>
    <row r="171" spans="1:44" x14ac:dyDescent="0.15">
      <c r="B171" t="e">
        <v>#N/A</v>
      </c>
      <c r="F171" s="31"/>
      <c r="G171" s="1"/>
      <c r="H171" s="1"/>
      <c r="AJ171" s="1"/>
      <c r="AK171" s="1"/>
    </row>
    <row r="172" spans="1:44" x14ac:dyDescent="0.15">
      <c r="E172">
        <v>2015</v>
      </c>
      <c r="F172" s="31"/>
      <c r="G172" s="1"/>
      <c r="H172" s="1"/>
      <c r="L172">
        <v>2004</v>
      </c>
      <c r="M172" s="31"/>
      <c r="N172" s="1"/>
      <c r="O172" s="1"/>
      <c r="S172">
        <v>2003</v>
      </c>
      <c r="Y172">
        <v>2002</v>
      </c>
      <c r="AD172">
        <v>2001</v>
      </c>
      <c r="AI172">
        <v>2000</v>
      </c>
      <c r="AN172">
        <v>1999</v>
      </c>
      <c r="AQ172" s="1"/>
      <c r="AR172" s="1"/>
    </row>
    <row r="173" spans="1:44" x14ac:dyDescent="0.15">
      <c r="A173" t="s">
        <v>354</v>
      </c>
      <c r="B173" t="s">
        <v>147</v>
      </c>
      <c r="D173" t="s">
        <v>355</v>
      </c>
      <c r="E173" t="s">
        <v>193</v>
      </c>
      <c r="F173" t="s">
        <v>341</v>
      </c>
      <c r="G173" t="s">
        <v>342</v>
      </c>
      <c r="H173" t="s">
        <v>357</v>
      </c>
      <c r="I173" t="s">
        <v>263</v>
      </c>
      <c r="L173" t="s">
        <v>193</v>
      </c>
      <c r="M173" t="s">
        <v>341</v>
      </c>
      <c r="N173" t="s">
        <v>342</v>
      </c>
      <c r="O173" t="s">
        <v>357</v>
      </c>
      <c r="P173" t="s">
        <v>263</v>
      </c>
      <c r="Q173" t="s">
        <v>356</v>
      </c>
      <c r="S173" t="s">
        <v>193</v>
      </c>
      <c r="T173" t="s">
        <v>341</v>
      </c>
      <c r="U173" t="s">
        <v>342</v>
      </c>
      <c r="V173" t="s">
        <v>357</v>
      </c>
      <c r="Y173" t="s">
        <v>193</v>
      </c>
      <c r="Z173" t="s">
        <v>341</v>
      </c>
      <c r="AA173" t="s">
        <v>342</v>
      </c>
      <c r="AB173" t="s">
        <v>357</v>
      </c>
      <c r="AD173" t="s">
        <v>193</v>
      </c>
      <c r="AE173" t="s">
        <v>341</v>
      </c>
      <c r="AF173" t="s">
        <v>342</v>
      </c>
      <c r="AG173" t="s">
        <v>357</v>
      </c>
      <c r="AI173" t="s">
        <v>193</v>
      </c>
      <c r="AJ173" t="s">
        <v>341</v>
      </c>
      <c r="AK173" t="s">
        <v>342</v>
      </c>
      <c r="AL173" t="s">
        <v>357</v>
      </c>
      <c r="AN173" t="s">
        <v>193</v>
      </c>
      <c r="AO173" t="s">
        <v>341</v>
      </c>
      <c r="AP173" t="s">
        <v>342</v>
      </c>
      <c r="AQ173" t="s">
        <v>357</v>
      </c>
      <c r="AR173" s="1"/>
    </row>
    <row r="174" spans="1:44" x14ac:dyDescent="0.15">
      <c r="A174">
        <v>1963</v>
      </c>
      <c r="B174">
        <v>1964</v>
      </c>
      <c r="C174">
        <f>Stdev!B323</f>
        <v>2001</v>
      </c>
      <c r="D174" t="str">
        <f>Stdev!C361</f>
        <v>pred_rec</v>
      </c>
      <c r="E174" s="27">
        <f>Stdev!D361</f>
        <v>7409.5</v>
      </c>
      <c r="F174" s="27">
        <f>E174/EXP(2*SQRT(LN(1+Stdev!E361^2/E174^2)))</f>
        <v>3490.9734430119806</v>
      </c>
      <c r="G174" s="27">
        <f>E174*EXP(2*SQRT(LN(1+Stdev!E361^2/E174^2)))</f>
        <v>15726.470323026055</v>
      </c>
      <c r="H174" s="3">
        <f>AVERAGE(E174:E227)</f>
        <v>23095.374509803922</v>
      </c>
      <c r="I174" s="23">
        <f t="shared" ref="I174:I214" si="66">J174/E174</f>
        <v>0.39001282137796073</v>
      </c>
      <c r="J174" s="27">
        <f>Stdev!E361</f>
        <v>2889.8</v>
      </c>
      <c r="L174" s="27">
        <v>4988.6000000000004</v>
      </c>
      <c r="M174" s="27">
        <v>2666.8078141973697</v>
      </c>
      <c r="N174" s="27">
        <v>9331.8047995483284</v>
      </c>
      <c r="O174" s="3">
        <v>22283.531707317074</v>
      </c>
      <c r="P174" s="23">
        <v>0.64194363147977385</v>
      </c>
      <c r="Q174" s="27">
        <v>3202.4</v>
      </c>
      <c r="S174">
        <v>5091.2</v>
      </c>
      <c r="T174" s="27">
        <v>2730.2485232533795</v>
      </c>
      <c r="U174" s="27">
        <v>9493.7575166648949</v>
      </c>
      <c r="V174" s="27">
        <v>24110.317435897439</v>
      </c>
      <c r="W174" s="27"/>
      <c r="Y174" s="27">
        <v>5017.3</v>
      </c>
      <c r="Z174" s="27">
        <v>2689.4271822315532</v>
      </c>
      <c r="AA174" s="27">
        <v>9360.0969962356248</v>
      </c>
      <c r="AB174" s="27">
        <f>AVERAGE(Y174:Y212)</f>
        <v>23026.323076923076</v>
      </c>
      <c r="AD174" s="27">
        <v>4917.2</v>
      </c>
      <c r="AE174" s="27">
        <v>2633.8938043341541</v>
      </c>
      <c r="AF174" s="27">
        <v>9179.8901687732978</v>
      </c>
      <c r="AG174" s="27">
        <f>AVERAGE(AD174:AD212)</f>
        <v>22590.868421052633</v>
      </c>
      <c r="AI174" s="27">
        <v>3590.7</v>
      </c>
      <c r="AJ174" s="27">
        <v>1707.802054323914</v>
      </c>
      <c r="AK174" s="27">
        <v>7549.5438463470755</v>
      </c>
      <c r="AL174" s="27">
        <f>AVERAGE(AI174:AI212)</f>
        <v>20997.567567567567</v>
      </c>
      <c r="AN174">
        <v>3056.8</v>
      </c>
      <c r="AO174">
        <v>1791.8092680706388</v>
      </c>
      <c r="AP174">
        <v>5214.8554014687843</v>
      </c>
      <c r="AQ174" s="27">
        <f>AVERAGE(AN174:AN212)</f>
        <v>20321.741666666665</v>
      </c>
    </row>
    <row r="175" spans="1:44" x14ac:dyDescent="0.15">
      <c r="A175">
        <v>1964</v>
      </c>
      <c r="B175">
        <v>1965</v>
      </c>
      <c r="C175">
        <f>Stdev!B324</f>
        <v>2002</v>
      </c>
      <c r="D175" t="str">
        <f>Stdev!C362</f>
        <v>pred_rec</v>
      </c>
      <c r="E175" s="27">
        <f>Stdev!D362</f>
        <v>22290</v>
      </c>
      <c r="F175" s="27">
        <f>E175/EXP(2*SQRT(LN(1+Stdev!E362^2/E175^2)))</f>
        <v>13239.250436529253</v>
      </c>
      <c r="G175" s="27">
        <f>E175*EXP(2*SQRT(LN(1+Stdev!E362^2/E175^2)))</f>
        <v>37528.114025936549</v>
      </c>
      <c r="H175" s="3">
        <f t="shared" ref="H175:H216" si="67">H174</f>
        <v>23095.374509803922</v>
      </c>
      <c r="I175" s="23">
        <f t="shared" si="66"/>
        <v>0.26495737999102736</v>
      </c>
      <c r="J175" s="27">
        <f>Stdev!E362</f>
        <v>5905.9</v>
      </c>
      <c r="L175" s="27">
        <v>20741</v>
      </c>
      <c r="M175" s="27">
        <v>13989.060559647329</v>
      </c>
      <c r="N175" s="27">
        <v>30751.820621959283</v>
      </c>
      <c r="O175" s="3">
        <v>22283.531707317074</v>
      </c>
      <c r="P175" s="23">
        <v>0.39768574321392408</v>
      </c>
      <c r="Q175" s="27">
        <v>8248.4</v>
      </c>
      <c r="S175">
        <v>20965</v>
      </c>
      <c r="T175" s="27">
        <v>14132.989394094797</v>
      </c>
      <c r="U175" s="27">
        <v>31099.66424963496</v>
      </c>
      <c r="V175" s="27">
        <v>24110.317435897439</v>
      </c>
      <c r="W175" s="27"/>
      <c r="Y175" s="27">
        <v>20705</v>
      </c>
      <c r="Z175" s="27">
        <v>13962.476104793837</v>
      </c>
      <c r="AA175" s="27">
        <v>30703.510020891808</v>
      </c>
      <c r="AB175" s="27">
        <f>AB174</f>
        <v>23026.323076923076</v>
      </c>
      <c r="AD175" s="27">
        <v>20392</v>
      </c>
      <c r="AE175" s="27">
        <v>13751.712310783887</v>
      </c>
      <c r="AF175" s="27">
        <v>30238.682616557464</v>
      </c>
      <c r="AG175" s="27">
        <f t="shared" ref="AG175:AG214" si="68">AG174</f>
        <v>22590.868421052633</v>
      </c>
      <c r="AI175" s="27">
        <v>16304</v>
      </c>
      <c r="AJ175" s="27">
        <v>10368.944972162424</v>
      </c>
      <c r="AK175" s="27">
        <v>25636.20664529032</v>
      </c>
      <c r="AL175" s="27">
        <f t="shared" ref="AL175:AL214" si="69">AL174</f>
        <v>20997.567567567567</v>
      </c>
      <c r="AN175">
        <v>16216</v>
      </c>
      <c r="AO175">
        <v>12002.837348658908</v>
      </c>
      <c r="AP175">
        <v>21908.04127070677</v>
      </c>
      <c r="AQ175" s="27">
        <f t="shared" ref="AQ175:AQ214" si="70">AQ174</f>
        <v>20321.741666666665</v>
      </c>
    </row>
    <row r="176" spans="1:44" x14ac:dyDescent="0.15">
      <c r="A176">
        <v>1965</v>
      </c>
      <c r="B176">
        <v>1966</v>
      </c>
      <c r="C176">
        <f>Stdev!B325</f>
        <v>2003</v>
      </c>
      <c r="D176" t="str">
        <f>Stdev!C363</f>
        <v>pred_rec</v>
      </c>
      <c r="E176" s="27">
        <f>Stdev!D363</f>
        <v>16499</v>
      </c>
      <c r="F176" s="27">
        <f>E176/EXP(2*SQRT(LN(1+Stdev!E363^2/E176^2)))</f>
        <v>8776.7691872514097</v>
      </c>
      <c r="G176" s="27">
        <f>E176*EXP(2*SQRT(LN(1+Stdev!E363^2/E176^2)))</f>
        <v>31015.627184933328</v>
      </c>
      <c r="H176" s="3">
        <f t="shared" si="67"/>
        <v>23095.374509803922</v>
      </c>
      <c r="I176" s="23">
        <f t="shared" si="66"/>
        <v>0.32361961330989752</v>
      </c>
      <c r="J176" s="27">
        <f>Stdev!E363</f>
        <v>5339.4</v>
      </c>
      <c r="L176" s="27">
        <v>14649</v>
      </c>
      <c r="M176" s="27">
        <v>8320.2329118333491</v>
      </c>
      <c r="N176" s="27">
        <v>25791.730024143606</v>
      </c>
      <c r="O176" s="3">
        <v>22283.531707317074</v>
      </c>
      <c r="P176" s="23">
        <v>0.57718615605160761</v>
      </c>
      <c r="Q176" s="27">
        <v>8455.2000000000007</v>
      </c>
      <c r="S176">
        <v>14845</v>
      </c>
      <c r="T176" s="27">
        <v>8455.5250634572512</v>
      </c>
      <c r="U176" s="27">
        <v>26062.725063923423</v>
      </c>
      <c r="V176" s="27">
        <v>24110.317435897439</v>
      </c>
      <c r="W176" s="27"/>
      <c r="Y176" s="27">
        <v>14682</v>
      </c>
      <c r="Z176" s="27">
        <v>8363.8686506204704</v>
      </c>
      <c r="AA176" s="27">
        <v>25772.896850072924</v>
      </c>
      <c r="AB176" s="27">
        <f t="shared" ref="AB176:AB214" si="71">AB175</f>
        <v>23026.323076923076</v>
      </c>
      <c r="AD176" s="27">
        <v>14470</v>
      </c>
      <c r="AE176" s="27">
        <v>8235.214962368882</v>
      </c>
      <c r="AF176" s="27">
        <v>25425.067949868186</v>
      </c>
      <c r="AG176" s="27">
        <f t="shared" si="68"/>
        <v>22590.868421052633</v>
      </c>
      <c r="AI176" s="27">
        <v>11974</v>
      </c>
      <c r="AJ176" s="27">
        <v>6602.1996552020501</v>
      </c>
      <c r="AK176" s="27">
        <v>21716.501088698471</v>
      </c>
      <c r="AL176" s="27">
        <f t="shared" si="69"/>
        <v>20997.567567567567</v>
      </c>
      <c r="AN176">
        <v>13125</v>
      </c>
      <c r="AO176">
        <v>8783.6134325071744</v>
      </c>
      <c r="AP176">
        <v>19612.159201185259</v>
      </c>
      <c r="AQ176" s="27">
        <f t="shared" si="70"/>
        <v>20321.741666666665</v>
      </c>
    </row>
    <row r="177" spans="1:43" x14ac:dyDescent="0.15">
      <c r="A177">
        <v>1966</v>
      </c>
      <c r="B177">
        <v>1967</v>
      </c>
      <c r="C177">
        <f>Stdev!B326</f>
        <v>2004</v>
      </c>
      <c r="D177" t="str">
        <f>Stdev!C364</f>
        <v>pred_rec</v>
      </c>
      <c r="E177" s="27">
        <f>Stdev!D364</f>
        <v>27209</v>
      </c>
      <c r="F177" s="27">
        <f>E177/EXP(2*SQRT(LN(1+Stdev!E364^2/E177^2)))</f>
        <v>16169.413053514119</v>
      </c>
      <c r="G177" s="27">
        <f>E177*EXP(2*SQRT(LN(1+Stdev!E364^2/E177^2)))</f>
        <v>45785.810440355046</v>
      </c>
      <c r="H177" s="3">
        <f t="shared" si="67"/>
        <v>23095.374509803922</v>
      </c>
      <c r="I177" s="23">
        <f t="shared" si="66"/>
        <v>0.26468080414568707</v>
      </c>
      <c r="J177" s="27">
        <f>Stdev!E364</f>
        <v>7201.7</v>
      </c>
      <c r="L177" s="27">
        <v>28184</v>
      </c>
      <c r="M177" s="27">
        <v>18148.625716892264</v>
      </c>
      <c r="N177" s="27">
        <v>43768.485195033318</v>
      </c>
      <c r="O177" s="3">
        <v>22283.531707317074</v>
      </c>
      <c r="P177" s="23">
        <v>0.44554357082032359</v>
      </c>
      <c r="Q177" s="27">
        <v>12557.2</v>
      </c>
      <c r="S177">
        <v>28345</v>
      </c>
      <c r="T177" s="27">
        <v>18272.141419181473</v>
      </c>
      <c r="U177" s="27">
        <v>43970.709648546013</v>
      </c>
      <c r="V177" s="27">
        <v>24110.317435897439</v>
      </c>
      <c r="W177" s="27"/>
      <c r="Y177" s="27">
        <v>28079</v>
      </c>
      <c r="Z177" s="27">
        <v>18081.893229767822</v>
      </c>
      <c r="AA177" s="27">
        <v>43603.301434278168</v>
      </c>
      <c r="AB177" s="27">
        <f t="shared" si="71"/>
        <v>23026.323076923076</v>
      </c>
      <c r="AD177" s="27">
        <v>27793</v>
      </c>
      <c r="AE177" s="27">
        <v>17877.232166712318</v>
      </c>
      <c r="AF177" s="27">
        <v>43208.63776878814</v>
      </c>
      <c r="AG177" s="27">
        <f t="shared" si="68"/>
        <v>22590.868421052633</v>
      </c>
      <c r="AI177" s="27">
        <v>23873</v>
      </c>
      <c r="AJ177" s="27">
        <v>15517.023137640501</v>
      </c>
      <c r="AK177" s="27">
        <v>36728.702660596879</v>
      </c>
      <c r="AL177" s="27">
        <f t="shared" si="69"/>
        <v>20997.567567567567</v>
      </c>
      <c r="AN177">
        <v>26130</v>
      </c>
      <c r="AO177">
        <v>19639.0378468954</v>
      </c>
      <c r="AP177">
        <v>34766.311125976848</v>
      </c>
      <c r="AQ177" s="27">
        <f t="shared" si="70"/>
        <v>20321.741666666665</v>
      </c>
    </row>
    <row r="178" spans="1:43" x14ac:dyDescent="0.15">
      <c r="A178">
        <v>1967</v>
      </c>
      <c r="B178">
        <v>1968</v>
      </c>
      <c r="C178">
        <f>Stdev!B327</f>
        <v>2005</v>
      </c>
      <c r="D178" t="str">
        <f>Stdev!C365</f>
        <v>pred_rec</v>
      </c>
      <c r="E178" s="27">
        <f>Stdev!D365</f>
        <v>23734</v>
      </c>
      <c r="F178" s="27">
        <f>E178/EXP(2*SQRT(LN(1+Stdev!E365^2/E178^2)))</f>
        <v>13645.791906316394</v>
      </c>
      <c r="G178" s="27">
        <f>E178*EXP(2*SQRT(LN(1+Stdev!E365^2/E178^2)))</f>
        <v>41280.327288243141</v>
      </c>
      <c r="H178" s="3">
        <f t="shared" si="67"/>
        <v>23095.374509803922</v>
      </c>
      <c r="I178" s="23">
        <f t="shared" si="66"/>
        <v>0.28212269318277577</v>
      </c>
      <c r="J178" s="27">
        <f>Stdev!E365</f>
        <v>6695.9</v>
      </c>
      <c r="L178" s="27">
        <v>25938</v>
      </c>
      <c r="M178" s="27">
        <v>16554.397666573943</v>
      </c>
      <c r="N178" s="27">
        <v>40640.551081991543</v>
      </c>
      <c r="O178" s="3">
        <v>22283.531707317074</v>
      </c>
      <c r="P178" s="23">
        <v>0.45477677538746242</v>
      </c>
      <c r="Q178" s="27">
        <v>11796</v>
      </c>
      <c r="S178">
        <v>26058</v>
      </c>
      <c r="T178" s="27">
        <v>16648.925811296816</v>
      </c>
      <c r="U178" s="27">
        <v>40784.575034820809</v>
      </c>
      <c r="V178" s="27">
        <v>24110.317435897439</v>
      </c>
      <c r="W178" s="27"/>
      <c r="Y178" s="27">
        <v>25888</v>
      </c>
      <c r="Z178" s="27">
        <v>16530.638598609865</v>
      </c>
      <c r="AA178" s="27">
        <v>40542.205311799575</v>
      </c>
      <c r="AB178" s="27">
        <f t="shared" si="71"/>
        <v>23026.323076923076</v>
      </c>
      <c r="AD178" s="27">
        <v>25684</v>
      </c>
      <c r="AE178" s="27">
        <v>16392.094817243647</v>
      </c>
      <c r="AF178" s="27">
        <v>40243.047844383073</v>
      </c>
      <c r="AG178" s="27">
        <f t="shared" si="68"/>
        <v>22590.868421052633</v>
      </c>
      <c r="AI178" s="27">
        <v>19959</v>
      </c>
      <c r="AJ178" s="27">
        <v>12049.225811530585</v>
      </c>
      <c r="AK178" s="27">
        <v>33061.184779090552</v>
      </c>
      <c r="AL178" s="27">
        <f t="shared" si="69"/>
        <v>20997.567567567567</v>
      </c>
      <c r="AN178">
        <v>23315</v>
      </c>
      <c r="AO178">
        <v>16663.986100079514</v>
      </c>
      <c r="AP178">
        <v>32620.600001425002</v>
      </c>
      <c r="AQ178" s="27">
        <f t="shared" si="70"/>
        <v>20321.741666666665</v>
      </c>
    </row>
    <row r="179" spans="1:43" x14ac:dyDescent="0.15">
      <c r="A179">
        <v>1968</v>
      </c>
      <c r="B179">
        <v>1969</v>
      </c>
      <c r="C179">
        <f>Stdev!B328</f>
        <v>2006</v>
      </c>
      <c r="D179" t="str">
        <f>Stdev!C366</f>
        <v>pred_rec</v>
      </c>
      <c r="E179" s="27">
        <f>Stdev!D366</f>
        <v>26781</v>
      </c>
      <c r="F179" s="27">
        <f>E179/EXP(2*SQRT(LN(1+Stdev!E366^2/E179^2)))</f>
        <v>16040.62818903779</v>
      </c>
      <c r="G179" s="27">
        <f>E179*EXP(2*SQRT(LN(1+Stdev!E366^2/E179^2)))</f>
        <v>44712.834968031457</v>
      </c>
      <c r="H179" s="3">
        <f t="shared" si="67"/>
        <v>23095.374509803922</v>
      </c>
      <c r="I179" s="23">
        <f t="shared" si="66"/>
        <v>0.26055039020200887</v>
      </c>
      <c r="J179" s="27">
        <f>Stdev!E366</f>
        <v>6977.8</v>
      </c>
      <c r="L179" s="27">
        <v>26798</v>
      </c>
      <c r="M179" s="27">
        <v>17127.822339584873</v>
      </c>
      <c r="N179" s="27">
        <v>41927.852225574024</v>
      </c>
      <c r="O179" s="3">
        <v>22283.531707317074</v>
      </c>
      <c r="P179" s="23">
        <v>0.45328755877304278</v>
      </c>
      <c r="Q179" s="27">
        <v>12147.2</v>
      </c>
      <c r="S179">
        <v>26859</v>
      </c>
      <c r="T179" s="27">
        <v>17184.088590540417</v>
      </c>
      <c r="U179" s="27">
        <v>41981.038284283706</v>
      </c>
      <c r="V179" s="27">
        <v>24110.317435897439</v>
      </c>
      <c r="W179" s="27"/>
      <c r="Y179" s="27">
        <v>26753</v>
      </c>
      <c r="Z179" s="27">
        <v>17121.980711300279</v>
      </c>
      <c r="AA179" s="27">
        <v>41801.414279577621</v>
      </c>
      <c r="AB179" s="27">
        <f t="shared" si="71"/>
        <v>23026.323076923076</v>
      </c>
      <c r="AD179" s="27">
        <v>26610</v>
      </c>
      <c r="AE179" s="27">
        <v>17021.201593549056</v>
      </c>
      <c r="AF179" s="27">
        <v>41600.5941829843</v>
      </c>
      <c r="AG179" s="27">
        <f t="shared" si="68"/>
        <v>22590.868421052633</v>
      </c>
      <c r="AI179" s="27">
        <v>23421</v>
      </c>
      <c r="AJ179" s="27">
        <v>14691.309371136149</v>
      </c>
      <c r="AK179" s="27">
        <v>37337.940897066452</v>
      </c>
      <c r="AL179" s="27">
        <f t="shared" si="69"/>
        <v>20997.567567567567</v>
      </c>
      <c r="AN179">
        <v>27181</v>
      </c>
      <c r="AO179">
        <v>19997.138086066163</v>
      </c>
      <c r="AP179">
        <v>36945.624809921894</v>
      </c>
      <c r="AQ179" s="27">
        <f t="shared" si="70"/>
        <v>20321.741666666665</v>
      </c>
    </row>
    <row r="180" spans="1:43" x14ac:dyDescent="0.15">
      <c r="A180">
        <v>1969</v>
      </c>
      <c r="B180">
        <v>1970</v>
      </c>
      <c r="C180">
        <f>Stdev!B329</f>
        <v>2007</v>
      </c>
      <c r="D180" t="str">
        <f>Stdev!C367</f>
        <v>pred_rec</v>
      </c>
      <c r="E180" s="27">
        <f>Stdev!D367</f>
        <v>23061</v>
      </c>
      <c r="F180" s="27">
        <f>E180/EXP(2*SQRT(LN(1+Stdev!E367^2/E180^2)))</f>
        <v>13547.869765991391</v>
      </c>
      <c r="G180" s="27">
        <f>E180*EXP(2*SQRT(LN(1+Stdev!E367^2/E180^2)))</f>
        <v>39254.1211412423</v>
      </c>
      <c r="H180" s="3">
        <f t="shared" si="67"/>
        <v>23095.374509803922</v>
      </c>
      <c r="I180" s="23">
        <f t="shared" si="66"/>
        <v>0.27072980356445947</v>
      </c>
      <c r="J180" s="27">
        <f>Stdev!E367</f>
        <v>6243.3</v>
      </c>
      <c r="L180" s="27">
        <v>21305</v>
      </c>
      <c r="M180" s="27">
        <v>13187.710587286596</v>
      </c>
      <c r="N180" s="27">
        <v>34418.637108822972</v>
      </c>
      <c r="O180" s="3">
        <v>22283.531707317074</v>
      </c>
      <c r="P180" s="23">
        <v>0.4866369396855198</v>
      </c>
      <c r="Q180" s="27">
        <v>10367.799999999999</v>
      </c>
      <c r="S180">
        <v>21356</v>
      </c>
      <c r="T180" s="27">
        <v>13243.388063989116</v>
      </c>
      <c r="U180" s="27">
        <v>34438.221835404103</v>
      </c>
      <c r="V180" s="27">
        <v>24110.317435897439</v>
      </c>
      <c r="W180" s="27"/>
      <c r="Y180" s="27">
        <v>21319</v>
      </c>
      <c r="Z180" s="27">
        <v>13219.531301202458</v>
      </c>
      <c r="AA180" s="27">
        <v>34380.928540080567</v>
      </c>
      <c r="AB180" s="27">
        <f t="shared" si="71"/>
        <v>23026.323076923076</v>
      </c>
      <c r="AD180" s="27">
        <v>21230</v>
      </c>
      <c r="AE180" s="27">
        <v>13150.006280293948</v>
      </c>
      <c r="AF180" s="27">
        <v>34274.728877918453</v>
      </c>
      <c r="AG180" s="27">
        <f t="shared" si="68"/>
        <v>22590.868421052633</v>
      </c>
      <c r="AI180" s="27">
        <v>20500</v>
      </c>
      <c r="AJ180" s="27">
        <v>12461.269234985428</v>
      </c>
      <c r="AK180" s="27">
        <v>33724.494036300421</v>
      </c>
      <c r="AL180" s="27">
        <f t="shared" si="69"/>
        <v>20997.567567567567</v>
      </c>
      <c r="AN180">
        <v>22256</v>
      </c>
      <c r="AO180">
        <v>15852.478073842871</v>
      </c>
      <c r="AP180">
        <v>31246.189629955115</v>
      </c>
      <c r="AQ180" s="27">
        <f t="shared" si="70"/>
        <v>20321.741666666665</v>
      </c>
    </row>
    <row r="181" spans="1:43" x14ac:dyDescent="0.15">
      <c r="A181">
        <v>1970</v>
      </c>
      <c r="B181">
        <v>1971</v>
      </c>
      <c r="C181">
        <f>Stdev!B330</f>
        <v>2008</v>
      </c>
      <c r="D181" t="str">
        <f>Stdev!C368</f>
        <v>pred_rec</v>
      </c>
      <c r="E181" s="27">
        <f>Stdev!D368</f>
        <v>14389</v>
      </c>
      <c r="F181" s="27">
        <f>E181/EXP(2*SQRT(LN(1+Stdev!E368^2/E181^2)))</f>
        <v>7705.6676382826563</v>
      </c>
      <c r="G181" s="27">
        <f>E181*EXP(2*SQRT(LN(1+Stdev!E368^2/E181^2)))</f>
        <v>26868.965898734667</v>
      </c>
      <c r="H181" s="3">
        <f t="shared" si="67"/>
        <v>23095.374509803922</v>
      </c>
      <c r="I181" s="23">
        <f t="shared" si="66"/>
        <v>0.32002223921050804</v>
      </c>
      <c r="J181" s="27">
        <f>Stdev!E368</f>
        <v>4604.8</v>
      </c>
      <c r="L181" s="27">
        <v>9878.7000000000007</v>
      </c>
      <c r="M181" s="27">
        <v>5355.9100416994361</v>
      </c>
      <c r="N181" s="27">
        <v>18220.752949583712</v>
      </c>
      <c r="O181" s="3">
        <v>22283.531707317074</v>
      </c>
      <c r="P181" s="23">
        <v>0.62680312186826193</v>
      </c>
      <c r="Q181" s="27">
        <v>6192</v>
      </c>
      <c r="S181">
        <v>9968.7000000000007</v>
      </c>
      <c r="T181" s="27">
        <v>5433.3124411134313</v>
      </c>
      <c r="U181" s="27">
        <v>18289.943890956401</v>
      </c>
      <c r="V181" s="27">
        <v>24110.317435897439</v>
      </c>
      <c r="W181" s="27"/>
      <c r="Y181" s="27">
        <v>9916.6</v>
      </c>
      <c r="Z181" s="27">
        <v>5394.7721006634711</v>
      </c>
      <c r="AA181" s="27">
        <v>18228.565308237186</v>
      </c>
      <c r="AB181" s="27">
        <f t="shared" si="71"/>
        <v>23026.323076923076</v>
      </c>
      <c r="AD181" s="27">
        <v>9855.2000000000007</v>
      </c>
      <c r="AE181" s="27">
        <v>5348.3634493829259</v>
      </c>
      <c r="AF181" s="27">
        <v>18159.754466799735</v>
      </c>
      <c r="AG181" s="27">
        <f t="shared" si="68"/>
        <v>22590.868421052633</v>
      </c>
      <c r="AI181" s="27">
        <v>13100</v>
      </c>
      <c r="AJ181" s="27">
        <v>7215.148071502078</v>
      </c>
      <c r="AK181" s="27">
        <v>23784.681658553065</v>
      </c>
      <c r="AL181" s="27">
        <f t="shared" si="69"/>
        <v>20997.567567567567</v>
      </c>
      <c r="AN181">
        <v>8396.7999999999993</v>
      </c>
      <c r="AO181">
        <v>4910.3501976367916</v>
      </c>
      <c r="AP181">
        <v>14358.700989174376</v>
      </c>
      <c r="AQ181" s="27">
        <f t="shared" si="70"/>
        <v>20321.741666666665</v>
      </c>
    </row>
    <row r="182" spans="1:43" x14ac:dyDescent="0.15">
      <c r="A182">
        <v>1971</v>
      </c>
      <c r="B182">
        <v>1972</v>
      </c>
      <c r="C182">
        <f>Stdev!B331</f>
        <v>2009</v>
      </c>
      <c r="D182" t="str">
        <f>Stdev!C369</f>
        <v>pred_rec</v>
      </c>
      <c r="E182" s="27">
        <f>Stdev!D369</f>
        <v>11932</v>
      </c>
      <c r="F182" s="27">
        <f>E182/EXP(2*SQRT(LN(1+Stdev!E369^2/E182^2)))</f>
        <v>6328.0280025941993</v>
      </c>
      <c r="G182" s="27">
        <f>E182*EXP(2*SQRT(LN(1+Stdev!E369^2/E182^2)))</f>
        <v>22498.734825704596</v>
      </c>
      <c r="H182" s="3">
        <f t="shared" si="67"/>
        <v>23095.374509803922</v>
      </c>
      <c r="I182" s="23">
        <f t="shared" si="66"/>
        <v>0.32525980556486761</v>
      </c>
      <c r="J182" s="27">
        <f>Stdev!E369</f>
        <v>3881</v>
      </c>
      <c r="L182" s="27">
        <v>11315</v>
      </c>
      <c r="M182" s="27">
        <v>6523.0555128443084</v>
      </c>
      <c r="N182" s="27">
        <v>19627.186177996242</v>
      </c>
      <c r="O182" s="3">
        <v>22283.531707317074</v>
      </c>
      <c r="P182" s="23">
        <v>0.56139637649138308</v>
      </c>
      <c r="Q182" s="27">
        <v>6352.2</v>
      </c>
      <c r="S182">
        <v>11373</v>
      </c>
      <c r="T182" s="27">
        <v>6585.3064763120465</v>
      </c>
      <c r="U182" s="27">
        <v>19641.474465200114</v>
      </c>
      <c r="V182" s="27">
        <v>24110.317435897439</v>
      </c>
      <c r="W182" s="27"/>
      <c r="Y182" s="27">
        <v>11352</v>
      </c>
      <c r="Z182" s="27">
        <v>6561.8283255005608</v>
      </c>
      <c r="AA182" s="27">
        <v>19639.024004817966</v>
      </c>
      <c r="AB182" s="27">
        <f t="shared" si="71"/>
        <v>23026.323076923076</v>
      </c>
      <c r="AD182" s="27">
        <v>11324</v>
      </c>
      <c r="AE182" s="27">
        <v>6530.6697694000604</v>
      </c>
      <c r="AF182" s="27">
        <v>19635.50149187533</v>
      </c>
      <c r="AG182" s="27">
        <f t="shared" si="68"/>
        <v>22590.868421052633</v>
      </c>
      <c r="AI182" s="27">
        <v>9900.6</v>
      </c>
      <c r="AJ182" s="27">
        <v>4744.5732094146724</v>
      </c>
      <c r="AK182" s="27">
        <v>20659.788780473416</v>
      </c>
      <c r="AL182" s="27">
        <f t="shared" si="69"/>
        <v>20997.567567567567</v>
      </c>
      <c r="AN182">
        <v>8838.2000000000007</v>
      </c>
      <c r="AO182">
        <v>5284.4568710194935</v>
      </c>
      <c r="AP182">
        <v>14781.798990239475</v>
      </c>
      <c r="AQ182" s="27">
        <f t="shared" si="70"/>
        <v>20321.741666666665</v>
      </c>
    </row>
    <row r="183" spans="1:43" x14ac:dyDescent="0.15">
      <c r="A183">
        <v>1972</v>
      </c>
      <c r="B183">
        <v>1973</v>
      </c>
      <c r="C183">
        <f>Stdev!B332</f>
        <v>2010</v>
      </c>
      <c r="D183" t="str">
        <f>Stdev!C370</f>
        <v>pred_rec</v>
      </c>
      <c r="E183" s="27">
        <f>Stdev!D370</f>
        <v>26782</v>
      </c>
      <c r="F183" s="27">
        <f>E183/EXP(2*SQRT(LN(1+Stdev!E370^2/E183^2)))</f>
        <v>18208.967423979539</v>
      </c>
      <c r="G183" s="27">
        <f>E183*EXP(2*SQRT(LN(1+Stdev!E370^2/E183^2)))</f>
        <v>39391.334351854239</v>
      </c>
      <c r="H183" s="3">
        <f t="shared" si="67"/>
        <v>23095.374509803922</v>
      </c>
      <c r="I183" s="23">
        <f t="shared" si="66"/>
        <v>0.194716600701964</v>
      </c>
      <c r="J183" s="27">
        <f>Stdev!E370</f>
        <v>5214.8999999999996</v>
      </c>
      <c r="L183" s="27">
        <v>27630</v>
      </c>
      <c r="M183" s="27">
        <v>20477.291897370076</v>
      </c>
      <c r="N183" s="27">
        <v>37281.145564860875</v>
      </c>
      <c r="O183" s="3">
        <v>22283.531707317074</v>
      </c>
      <c r="P183" s="23">
        <v>0.30127397756062252</v>
      </c>
      <c r="Q183" s="27">
        <v>8324.2000000000007</v>
      </c>
      <c r="S183">
        <v>27504</v>
      </c>
      <c r="T183" s="27">
        <v>20390.936374683337</v>
      </c>
      <c r="U183" s="27">
        <v>37098.346152421247</v>
      </c>
      <c r="V183" s="27">
        <v>24110.317435897439</v>
      </c>
      <c r="W183" s="27"/>
      <c r="Y183" s="27">
        <v>27569</v>
      </c>
      <c r="Z183" s="27">
        <v>20430.350541562741</v>
      </c>
      <c r="AA183" s="27">
        <v>37201.993154928168</v>
      </c>
      <c r="AB183" s="27">
        <f t="shared" si="71"/>
        <v>23026.323076923076</v>
      </c>
      <c r="AD183" s="27">
        <v>27720</v>
      </c>
      <c r="AE183" s="27">
        <v>20525.284069030269</v>
      </c>
      <c r="AF183" s="27">
        <v>37436.675537144147</v>
      </c>
      <c r="AG183" s="27">
        <f t="shared" si="68"/>
        <v>22590.868421052633</v>
      </c>
      <c r="AI183" s="27">
        <v>36098</v>
      </c>
      <c r="AJ183" s="27">
        <v>26504.74946147039</v>
      </c>
      <c r="AK183" s="27">
        <v>49163.475621388141</v>
      </c>
      <c r="AL183" s="27">
        <f t="shared" si="69"/>
        <v>20997.567567567567</v>
      </c>
      <c r="AN183">
        <v>34455</v>
      </c>
      <c r="AO183">
        <v>27576.842900051652</v>
      </c>
      <c r="AP183">
        <v>43048.692314150881</v>
      </c>
      <c r="AQ183" s="27">
        <f t="shared" si="70"/>
        <v>20321.741666666665</v>
      </c>
    </row>
    <row r="184" spans="1:43" x14ac:dyDescent="0.15">
      <c r="A184">
        <v>1973</v>
      </c>
      <c r="B184">
        <v>1974</v>
      </c>
      <c r="C184">
        <f>Stdev!B333</f>
        <v>2011</v>
      </c>
      <c r="D184" t="str">
        <f>Stdev!C371</f>
        <v>pred_rec</v>
      </c>
      <c r="E184" s="27">
        <f>Stdev!D371</f>
        <v>21349</v>
      </c>
      <c r="F184" s="27">
        <f>E184/EXP(2*SQRT(LN(1+Stdev!E371^2/E184^2)))</f>
        <v>14703.740369608789</v>
      </c>
      <c r="G184" s="27">
        <f>E184*EXP(2*SQRT(LN(1+Stdev!E371^2/E184^2)))</f>
        <v>30997.541410759182</v>
      </c>
      <c r="H184" s="3">
        <f t="shared" si="67"/>
        <v>23095.374509803922</v>
      </c>
      <c r="I184" s="23">
        <f t="shared" si="66"/>
        <v>0.18808375099536279</v>
      </c>
      <c r="J184" s="27">
        <f>Stdev!E371</f>
        <v>4015.4</v>
      </c>
      <c r="L184" s="27">
        <v>21209</v>
      </c>
      <c r="M184" s="27">
        <v>15537.735431378322</v>
      </c>
      <c r="N184" s="27">
        <v>28950.272900875181</v>
      </c>
      <c r="O184" s="3">
        <v>22283.531707317074</v>
      </c>
      <c r="P184" s="23">
        <v>0.31304634824838512</v>
      </c>
      <c r="Q184" s="27">
        <v>6639.4</v>
      </c>
      <c r="S184">
        <v>21193</v>
      </c>
      <c r="T184" s="27">
        <v>15530.036920033603</v>
      </c>
      <c r="U184" s="27">
        <v>28920.938907789034</v>
      </c>
      <c r="V184" s="27">
        <v>24110.317435897439</v>
      </c>
      <c r="W184" s="27"/>
      <c r="Y184" s="27">
        <v>21182</v>
      </c>
      <c r="Z184" s="27">
        <v>15526.121521103227</v>
      </c>
      <c r="AA184" s="27">
        <v>28898.210244596794</v>
      </c>
      <c r="AB184" s="27">
        <f t="shared" si="71"/>
        <v>23026.323076923076</v>
      </c>
      <c r="AD184" s="27">
        <v>21201</v>
      </c>
      <c r="AE184" s="27">
        <v>15540.291363882101</v>
      </c>
      <c r="AF184" s="27">
        <v>28923.679130280823</v>
      </c>
      <c r="AG184" s="27">
        <f t="shared" si="68"/>
        <v>22590.868421052633</v>
      </c>
      <c r="AI184" s="27">
        <v>21523</v>
      </c>
      <c r="AJ184" s="27">
        <v>15400.617464867875</v>
      </c>
      <c r="AK184" s="27">
        <v>30079.282863609144</v>
      </c>
      <c r="AL184" s="27">
        <f t="shared" si="69"/>
        <v>20997.567567567567</v>
      </c>
      <c r="AN184">
        <v>20440</v>
      </c>
      <c r="AO184">
        <v>15735.444784289873</v>
      </c>
      <c r="AP184">
        <v>26551.114743011356</v>
      </c>
      <c r="AQ184" s="27">
        <f t="shared" si="70"/>
        <v>20321.741666666665</v>
      </c>
    </row>
    <row r="185" spans="1:43" x14ac:dyDescent="0.15">
      <c r="A185">
        <v>1974</v>
      </c>
      <c r="B185">
        <v>1975</v>
      </c>
      <c r="C185">
        <f>Stdev!B334</f>
        <v>2012</v>
      </c>
      <c r="D185" t="str">
        <f>Stdev!C372</f>
        <v>pred_rec</v>
      </c>
      <c r="E185" s="27">
        <f>Stdev!D372</f>
        <v>19146</v>
      </c>
      <c r="F185" s="27">
        <f>E185/EXP(2*SQRT(LN(1+Stdev!E372^2/E185^2)))</f>
        <v>13672.603293137505</v>
      </c>
      <c r="G185" s="27">
        <f>E185*EXP(2*SQRT(LN(1+Stdev!E372^2/E185^2)))</f>
        <v>26810.498932854061</v>
      </c>
      <c r="H185" s="3">
        <f t="shared" si="67"/>
        <v>23095.374509803922</v>
      </c>
      <c r="I185" s="23">
        <f t="shared" si="66"/>
        <v>0.16954977541000729</v>
      </c>
      <c r="J185" s="27">
        <f>Stdev!E372</f>
        <v>3246.2</v>
      </c>
      <c r="L185" s="27">
        <v>17689</v>
      </c>
      <c r="M185" s="27">
        <v>13258.071952567307</v>
      </c>
      <c r="N185" s="27">
        <v>23600.771071347939</v>
      </c>
      <c r="O185" s="3">
        <v>22283.531707317074</v>
      </c>
      <c r="P185" s="23">
        <v>0.28984114421391827</v>
      </c>
      <c r="Q185" s="27">
        <v>5127</v>
      </c>
      <c r="S185">
        <v>17702</v>
      </c>
      <c r="T185" s="27">
        <v>13264.397955188708</v>
      </c>
      <c r="U185" s="27">
        <v>23624.201042416775</v>
      </c>
      <c r="V185" s="27">
        <v>24110.317435897439</v>
      </c>
      <c r="W185" s="27"/>
      <c r="Y185" s="27">
        <v>17632</v>
      </c>
      <c r="Z185" s="27">
        <v>13221.313126913061</v>
      </c>
      <c r="AA185" s="27">
        <v>23514.110967326182</v>
      </c>
      <c r="AB185" s="27">
        <f t="shared" si="71"/>
        <v>23026.323076923076</v>
      </c>
      <c r="AD185" s="27">
        <v>17612</v>
      </c>
      <c r="AE185" s="27">
        <v>13215.335858157925</v>
      </c>
      <c r="AF185" s="27">
        <v>23471.408319034283</v>
      </c>
      <c r="AG185" s="27">
        <f t="shared" si="68"/>
        <v>22590.868421052633</v>
      </c>
      <c r="AI185" s="27">
        <v>16761</v>
      </c>
      <c r="AJ185" s="27">
        <v>12329.868911953186</v>
      </c>
      <c r="AK185" s="27">
        <v>22784.599171825052</v>
      </c>
      <c r="AL185" s="27">
        <f t="shared" si="69"/>
        <v>20997.567567567567</v>
      </c>
      <c r="AN185">
        <v>16562</v>
      </c>
      <c r="AO185">
        <v>12690.472313116592</v>
      </c>
      <c r="AP185">
        <v>21614.628457641385</v>
      </c>
      <c r="AQ185" s="27">
        <f t="shared" si="70"/>
        <v>20321.741666666665</v>
      </c>
    </row>
    <row r="186" spans="1:43" x14ac:dyDescent="0.15">
      <c r="A186">
        <v>1975</v>
      </c>
      <c r="B186">
        <v>1976</v>
      </c>
      <c r="C186">
        <f>Stdev!B341</f>
        <v>1303</v>
      </c>
      <c r="D186" t="str">
        <f>Stdev!C373</f>
        <v>pred_rec</v>
      </c>
      <c r="E186" s="27">
        <f>Stdev!D373</f>
        <v>14795</v>
      </c>
      <c r="F186" s="27">
        <f>E186/EXP(2*SQRT(LN(1+Stdev!E373^2/E186^2)))</f>
        <v>10730.890218758697</v>
      </c>
      <c r="G186" s="27">
        <f>E186*EXP(2*SQRT(LN(1+Stdev!E373^2/E186^2)))</f>
        <v>20398.3099759379</v>
      </c>
      <c r="H186" s="3">
        <f t="shared" si="67"/>
        <v>23095.374509803922</v>
      </c>
      <c r="I186" s="23">
        <f t="shared" si="66"/>
        <v>0.16162216965190943</v>
      </c>
      <c r="J186" s="27">
        <f>Stdev!E373</f>
        <v>2391.1999999999998</v>
      </c>
      <c r="L186" s="27">
        <v>13399</v>
      </c>
      <c r="M186" s="27">
        <v>10160.007026727062</v>
      </c>
      <c r="N186" s="27">
        <v>17670.578428510664</v>
      </c>
      <c r="O186" s="3">
        <v>22283.531707317074</v>
      </c>
      <c r="P186" s="23">
        <v>0.27805060079110383</v>
      </c>
      <c r="Q186" s="27">
        <v>3725.6</v>
      </c>
      <c r="S186">
        <v>13443</v>
      </c>
      <c r="T186" s="27">
        <v>10189.95861918429</v>
      </c>
      <c r="U186" s="27">
        <v>17734.541989186826</v>
      </c>
      <c r="V186" s="27">
        <v>24110.317435897439</v>
      </c>
      <c r="W186" s="27"/>
      <c r="Y186" s="27">
        <v>13357</v>
      </c>
      <c r="Z186" s="27">
        <v>10132.886433564208</v>
      </c>
      <c r="AA186" s="27">
        <v>17606.972126820241</v>
      </c>
      <c r="AB186" s="27">
        <f t="shared" si="71"/>
        <v>23026.323076923076</v>
      </c>
      <c r="AD186" s="27">
        <v>13304</v>
      </c>
      <c r="AE186" s="27">
        <v>10098.281475827758</v>
      </c>
      <c r="AF186" s="27">
        <v>17527.379923373701</v>
      </c>
      <c r="AG186" s="27">
        <f t="shared" si="68"/>
        <v>22590.868421052633</v>
      </c>
      <c r="AI186" s="27">
        <v>12789</v>
      </c>
      <c r="AJ186" s="27">
        <v>9607.9218231411469</v>
      </c>
      <c r="AK186" s="27">
        <v>17023.298483347495</v>
      </c>
      <c r="AL186" s="27">
        <f t="shared" si="69"/>
        <v>20997.567567567567</v>
      </c>
      <c r="AN186">
        <v>13618</v>
      </c>
      <c r="AO186">
        <v>10330.622754453072</v>
      </c>
      <c r="AP186">
        <v>17951.475763652368</v>
      </c>
      <c r="AQ186" s="27">
        <f t="shared" si="70"/>
        <v>20321.741666666665</v>
      </c>
    </row>
    <row r="187" spans="1:43" x14ac:dyDescent="0.15">
      <c r="A187">
        <v>1976</v>
      </c>
      <c r="B187">
        <v>1977</v>
      </c>
      <c r="C187">
        <f>Stdev!B342</f>
        <v>1304</v>
      </c>
      <c r="D187" t="str">
        <f>Stdev!C374</f>
        <v>pred_rec</v>
      </c>
      <c r="E187" s="27">
        <f>Stdev!D374</f>
        <v>15612</v>
      </c>
      <c r="F187" s="27">
        <f>E187/EXP(2*SQRT(LN(1+Stdev!E374^2/E187^2)))</f>
        <v>11826.191156481093</v>
      </c>
      <c r="G187" s="27">
        <f>E187*EXP(2*SQRT(LN(1+Stdev!E374^2/E187^2)))</f>
        <v>20609.724701297971</v>
      </c>
      <c r="H187" s="3">
        <f t="shared" si="67"/>
        <v>23095.374509803922</v>
      </c>
      <c r="I187" s="23">
        <f t="shared" si="66"/>
        <v>0.13953369203177043</v>
      </c>
      <c r="J187" s="27">
        <f>Stdev!E374</f>
        <v>2178.4</v>
      </c>
      <c r="L187" s="27">
        <v>14648</v>
      </c>
      <c r="M187" s="27">
        <v>11370.034466726704</v>
      </c>
      <c r="N187" s="27">
        <v>18870.998555712413</v>
      </c>
      <c r="O187" s="3">
        <v>22283.531707317074</v>
      </c>
      <c r="P187" s="23">
        <v>0.25434188967777172</v>
      </c>
      <c r="Q187" s="27">
        <v>3725.6</v>
      </c>
      <c r="S187">
        <v>14704</v>
      </c>
      <c r="T187" s="27">
        <v>11403.263802745423</v>
      </c>
      <c r="U187" s="27">
        <v>18960.152088031708</v>
      </c>
      <c r="V187" s="27">
        <v>24110.317435897439</v>
      </c>
      <c r="W187" s="27"/>
      <c r="Y187" s="27">
        <v>14589</v>
      </c>
      <c r="Z187" s="27">
        <v>11326.53396762482</v>
      </c>
      <c r="AA187" s="27">
        <v>18791.178449503419</v>
      </c>
      <c r="AB187" s="27">
        <f t="shared" si="71"/>
        <v>23026.323076923076</v>
      </c>
      <c r="AD187" s="27">
        <v>14503</v>
      </c>
      <c r="AE187" s="27">
        <v>11264.326613588646</v>
      </c>
      <c r="AF187" s="27">
        <v>18672.843589803349</v>
      </c>
      <c r="AG187" s="27">
        <f t="shared" si="68"/>
        <v>22590.868421052633</v>
      </c>
      <c r="AI187" s="27">
        <v>14618</v>
      </c>
      <c r="AJ187" s="27">
        <v>11286.923608933395</v>
      </c>
      <c r="AK187" s="27">
        <v>18932.167116899018</v>
      </c>
      <c r="AL187" s="27">
        <f t="shared" si="69"/>
        <v>20997.567567567567</v>
      </c>
      <c r="AN187">
        <v>14913</v>
      </c>
      <c r="AO187">
        <v>11472.85353661433</v>
      </c>
      <c r="AP187">
        <v>19384.67777787305</v>
      </c>
      <c r="AQ187" s="27">
        <f t="shared" si="70"/>
        <v>20321.741666666665</v>
      </c>
    </row>
    <row r="188" spans="1:43" x14ac:dyDescent="0.15">
      <c r="A188">
        <v>1977</v>
      </c>
      <c r="B188">
        <v>1978</v>
      </c>
      <c r="C188">
        <f>Stdev!B343</f>
        <v>1305</v>
      </c>
      <c r="D188" t="str">
        <f>Stdev!C375</f>
        <v>pred_rec</v>
      </c>
      <c r="E188" s="27">
        <f>Stdev!D375</f>
        <v>28474</v>
      </c>
      <c r="F188" s="27">
        <f>E188/EXP(2*SQRT(LN(1+Stdev!E375^2/E188^2)))</f>
        <v>23510.960615480606</v>
      </c>
      <c r="G188" s="27">
        <f>E188*EXP(2*SQRT(LN(1+Stdev!E375^2/E188^2)))</f>
        <v>34484.710738112321</v>
      </c>
      <c r="H188" s="3">
        <f t="shared" si="67"/>
        <v>23095.374509803922</v>
      </c>
      <c r="I188" s="23">
        <f t="shared" si="66"/>
        <v>9.5982299641778471E-2</v>
      </c>
      <c r="J188" s="27">
        <f>Stdev!E375</f>
        <v>2733</v>
      </c>
      <c r="L188" s="27">
        <v>28314</v>
      </c>
      <c r="M188" s="27">
        <v>23742.734670501919</v>
      </c>
      <c r="N188" s="27">
        <v>33765.385795934206</v>
      </c>
      <c r="O188" s="3">
        <v>22283.531707317074</v>
      </c>
      <c r="P188" s="23">
        <v>0.17642155823974004</v>
      </c>
      <c r="Q188" s="27">
        <v>4995.2</v>
      </c>
      <c r="S188">
        <v>28483</v>
      </c>
      <c r="T188" s="27">
        <v>23830.837032877698</v>
      </c>
      <c r="U188" s="27">
        <v>34043.340058963659</v>
      </c>
      <c r="V188" s="27">
        <v>24110.317435897439</v>
      </c>
      <c r="W188" s="27"/>
      <c r="Y188" s="27">
        <v>28102</v>
      </c>
      <c r="Z188" s="27">
        <v>23549.292859225967</v>
      </c>
      <c r="AA188" s="27">
        <v>33534.867000926039</v>
      </c>
      <c r="AB188" s="27">
        <f t="shared" si="71"/>
        <v>23026.323076923076</v>
      </c>
      <c r="AD188" s="27">
        <v>27861</v>
      </c>
      <c r="AE188" s="27">
        <v>23356.103373138056</v>
      </c>
      <c r="AF188" s="27">
        <v>33234.795573509546</v>
      </c>
      <c r="AG188" s="27">
        <f t="shared" si="68"/>
        <v>22590.868421052633</v>
      </c>
      <c r="AI188" s="27">
        <v>27447</v>
      </c>
      <c r="AJ188" s="27">
        <v>22651.205094166693</v>
      </c>
      <c r="AK188" s="27">
        <v>33258.177914516571</v>
      </c>
      <c r="AL188" s="27">
        <f t="shared" si="69"/>
        <v>20997.567567567567</v>
      </c>
      <c r="AN188">
        <v>28622</v>
      </c>
      <c r="AO188">
        <v>23527.477803930575</v>
      </c>
      <c r="AP188">
        <v>34819.664514278651</v>
      </c>
      <c r="AQ188" s="27">
        <f t="shared" si="70"/>
        <v>20321.741666666665</v>
      </c>
    </row>
    <row r="189" spans="1:43" x14ac:dyDescent="0.15">
      <c r="A189">
        <v>1978</v>
      </c>
      <c r="B189">
        <v>1979</v>
      </c>
      <c r="C189">
        <f>Stdev!B344</f>
        <v>1306</v>
      </c>
      <c r="D189" t="str">
        <f>Stdev!C376</f>
        <v>pred_rec</v>
      </c>
      <c r="E189" s="27">
        <f>Stdev!D376</f>
        <v>67784</v>
      </c>
      <c r="F189" s="27">
        <f>E189/EXP(2*SQRT(LN(1+Stdev!E376^2/E189^2)))</f>
        <v>59993.90725672093</v>
      </c>
      <c r="G189" s="27">
        <f>E189*EXP(2*SQRT(LN(1+Stdev!E376^2/E189^2)))</f>
        <v>76585.62120881489</v>
      </c>
      <c r="H189" s="3">
        <f t="shared" si="67"/>
        <v>23095.374509803922</v>
      </c>
      <c r="I189" s="23">
        <f t="shared" si="66"/>
        <v>6.1098489319013335E-2</v>
      </c>
      <c r="J189" s="27">
        <f>Stdev!E376</f>
        <v>4141.5</v>
      </c>
      <c r="L189" s="27">
        <v>64193</v>
      </c>
      <c r="M189" s="27">
        <v>55958.718477196817</v>
      </c>
      <c r="N189" s="27">
        <v>73638.94958886884</v>
      </c>
      <c r="O189" s="3">
        <v>22283.531707317074</v>
      </c>
      <c r="P189" s="23">
        <v>0.13744177714080974</v>
      </c>
      <c r="Q189" s="27">
        <v>8822.7999999999993</v>
      </c>
      <c r="S189">
        <v>64859</v>
      </c>
      <c r="T189" s="27">
        <v>56378.252642942185</v>
      </c>
      <c r="U189" s="27">
        <v>74615.471104470678</v>
      </c>
      <c r="V189" s="27">
        <v>24110.317435897439</v>
      </c>
      <c r="W189" s="27"/>
      <c r="Y189" s="27">
        <v>63568</v>
      </c>
      <c r="Z189" s="27">
        <v>55358.758128772373</v>
      </c>
      <c r="AA189" s="27">
        <v>72994.603936026018</v>
      </c>
      <c r="AB189" s="27">
        <f t="shared" si="71"/>
        <v>23026.323076923076</v>
      </c>
      <c r="AD189" s="27">
        <v>62884</v>
      </c>
      <c r="AE189" s="27">
        <v>54771.514111459772</v>
      </c>
      <c r="AF189" s="27">
        <v>72198.067191511625</v>
      </c>
      <c r="AG189" s="27">
        <f t="shared" si="68"/>
        <v>22590.868421052633</v>
      </c>
      <c r="AI189" s="27">
        <v>65977</v>
      </c>
      <c r="AJ189" s="27">
        <v>57620.823166489339</v>
      </c>
      <c r="AK189" s="27">
        <v>75544.990331404406</v>
      </c>
      <c r="AL189" s="27">
        <f t="shared" si="69"/>
        <v>20997.567567567567</v>
      </c>
      <c r="AN189">
        <v>66846</v>
      </c>
      <c r="AO189">
        <v>58226.458802350149</v>
      </c>
      <c r="AP189">
        <v>76741.533108993492</v>
      </c>
      <c r="AQ189" s="27">
        <f t="shared" si="70"/>
        <v>20321.741666666665</v>
      </c>
    </row>
    <row r="190" spans="1:43" x14ac:dyDescent="0.15">
      <c r="A190">
        <v>1979</v>
      </c>
      <c r="B190">
        <v>1980</v>
      </c>
      <c r="C190">
        <f>Stdev!B345</f>
        <v>1307</v>
      </c>
      <c r="D190" t="str">
        <f>Stdev!C377</f>
        <v>pred_rec</v>
      </c>
      <c r="E190" s="27">
        <f>Stdev!D377</f>
        <v>27425</v>
      </c>
      <c r="F190" s="27">
        <f>E190/EXP(2*SQRT(LN(1+Stdev!E377^2/E190^2)))</f>
        <v>23111.413521903334</v>
      </c>
      <c r="G190" s="27">
        <f>E190*EXP(2*SQRT(LN(1+Stdev!E377^2/E190^2)))</f>
        <v>32543.687744896466</v>
      </c>
      <c r="H190" s="3">
        <f t="shared" si="67"/>
        <v>23095.374509803922</v>
      </c>
      <c r="I190" s="23">
        <f t="shared" si="66"/>
        <v>8.5721057429352779E-2</v>
      </c>
      <c r="J190" s="27">
        <f>Stdev!E377</f>
        <v>2350.9</v>
      </c>
      <c r="L190" s="27">
        <v>26375</v>
      </c>
      <c r="M190" s="27">
        <v>22412.426423969478</v>
      </c>
      <c r="N190" s="27">
        <v>31038.166588514992</v>
      </c>
      <c r="O190" s="3">
        <v>22283.531707317074</v>
      </c>
      <c r="P190" s="23">
        <v>0.16307109004739337</v>
      </c>
      <c r="Q190" s="27">
        <v>4301</v>
      </c>
      <c r="S190">
        <v>26705</v>
      </c>
      <c r="T190" s="27">
        <v>22659.56999004303</v>
      </c>
      <c r="U190" s="27">
        <v>31472.663661021474</v>
      </c>
      <c r="V190" s="27">
        <v>24110.317435897439</v>
      </c>
      <c r="W190" s="27"/>
      <c r="Y190" s="27">
        <v>26082</v>
      </c>
      <c r="Z190" s="27">
        <v>22151.122355865835</v>
      </c>
      <c r="AA190" s="27">
        <v>30710.440449526821</v>
      </c>
      <c r="AB190" s="27">
        <f t="shared" si="71"/>
        <v>23026.323076923076</v>
      </c>
      <c r="AD190" s="27">
        <v>25878</v>
      </c>
      <c r="AE190" s="27">
        <v>21987.012661600271</v>
      </c>
      <c r="AF190" s="27">
        <v>30457.565759697871</v>
      </c>
      <c r="AG190" s="27">
        <f t="shared" si="68"/>
        <v>22590.868421052633</v>
      </c>
      <c r="AI190" s="27">
        <v>25579</v>
      </c>
      <c r="AJ190" s="27">
        <v>20940.051894510219</v>
      </c>
      <c r="AK190" s="27">
        <v>31245.636080373406</v>
      </c>
      <c r="AL190" s="27">
        <f t="shared" si="69"/>
        <v>20997.567567567567</v>
      </c>
      <c r="AN190">
        <v>25370</v>
      </c>
      <c r="AO190">
        <v>20555.856724618396</v>
      </c>
      <c r="AP190">
        <v>31311.606644405067</v>
      </c>
      <c r="AQ190" s="27">
        <f t="shared" si="70"/>
        <v>20321.741666666665</v>
      </c>
    </row>
    <row r="191" spans="1:43" x14ac:dyDescent="0.15">
      <c r="A191">
        <v>1980</v>
      </c>
      <c r="B191">
        <v>1981</v>
      </c>
      <c r="C191">
        <f>Stdev!B346</f>
        <v>1308</v>
      </c>
      <c r="D191" t="str">
        <f>Stdev!C378</f>
        <v>pred_rec</v>
      </c>
      <c r="E191" s="27">
        <f>Stdev!D378</f>
        <v>30874</v>
      </c>
      <c r="F191" s="27">
        <f>E191/EXP(2*SQRT(LN(1+Stdev!E378^2/E191^2)))</f>
        <v>26320.924295468758</v>
      </c>
      <c r="G191" s="27">
        <f>E191*EXP(2*SQRT(LN(1+Stdev!E378^2/E191^2)))</f>
        <v>36214.680962556376</v>
      </c>
      <c r="H191" s="3">
        <f t="shared" si="67"/>
        <v>23095.374509803922</v>
      </c>
      <c r="I191" s="23">
        <f t="shared" si="66"/>
        <v>7.9902183066658028E-2</v>
      </c>
      <c r="J191" s="27">
        <f>Stdev!E378</f>
        <v>2466.9</v>
      </c>
      <c r="L191" s="27">
        <v>30046</v>
      </c>
      <c r="M191" s="27">
        <v>25475.677255814404</v>
      </c>
      <c r="N191" s="27">
        <v>35436.236176761871</v>
      </c>
      <c r="O191" s="3">
        <v>22283.531707317074</v>
      </c>
      <c r="P191" s="23">
        <v>0.16528656060706914</v>
      </c>
      <c r="Q191" s="27">
        <v>4966.2</v>
      </c>
      <c r="S191">
        <v>30504</v>
      </c>
      <c r="T191" s="27">
        <v>25814.207394421021</v>
      </c>
      <c r="U191" s="27">
        <v>36045.810037192881</v>
      </c>
      <c r="V191" s="27">
        <v>24110.317435897439</v>
      </c>
      <c r="W191" s="27"/>
      <c r="Y191" s="27">
        <v>29636</v>
      </c>
      <c r="Z191" s="27">
        <v>25094.182766988542</v>
      </c>
      <c r="AA191" s="27">
        <v>34999.844551837567</v>
      </c>
      <c r="AB191" s="27">
        <f t="shared" si="71"/>
        <v>23026.323076923076</v>
      </c>
      <c r="AD191" s="27">
        <v>29348</v>
      </c>
      <c r="AE191" s="27">
        <v>24855.886016880173</v>
      </c>
      <c r="AF191" s="27">
        <v>34651.957424292537</v>
      </c>
      <c r="AG191" s="27">
        <f t="shared" si="68"/>
        <v>22590.868421052633</v>
      </c>
      <c r="AI191" s="27">
        <v>27418</v>
      </c>
      <c r="AJ191" s="27">
        <v>22644.177102983882</v>
      </c>
      <c r="AK191" s="27">
        <v>33198.235492555847</v>
      </c>
      <c r="AL191" s="27">
        <f t="shared" si="69"/>
        <v>20997.567567567567</v>
      </c>
      <c r="AN191">
        <v>27531</v>
      </c>
      <c r="AO191">
        <v>22662.882145360149</v>
      </c>
      <c r="AP191">
        <v>33444.817659927641</v>
      </c>
      <c r="AQ191" s="27">
        <f t="shared" si="70"/>
        <v>20321.741666666665</v>
      </c>
    </row>
    <row r="192" spans="1:43" x14ac:dyDescent="0.15">
      <c r="A192">
        <v>1981</v>
      </c>
      <c r="B192">
        <v>1982</v>
      </c>
      <c r="C192">
        <f>Stdev!B347</f>
        <v>1309</v>
      </c>
      <c r="D192" t="str">
        <f>Stdev!C379</f>
        <v>pred_rec</v>
      </c>
      <c r="E192" s="27">
        <f>Stdev!D379</f>
        <v>16332</v>
      </c>
      <c r="F192" s="27">
        <f>E192/EXP(2*SQRT(LN(1+Stdev!E379^2/E192^2)))</f>
        <v>13272.591016615821</v>
      </c>
      <c r="G192" s="27">
        <f>E192*EXP(2*SQRT(LN(1+Stdev!E379^2/E192^2)))</f>
        <v>20096.620446307592</v>
      </c>
      <c r="H192" s="3">
        <f t="shared" si="67"/>
        <v>23095.374509803922</v>
      </c>
      <c r="I192" s="23">
        <f t="shared" si="66"/>
        <v>0.10399216262552045</v>
      </c>
      <c r="J192" s="27">
        <f>Stdev!E379</f>
        <v>1698.4</v>
      </c>
      <c r="L192" s="27">
        <v>16062</v>
      </c>
      <c r="M192" s="27">
        <v>13008.947614846789</v>
      </c>
      <c r="N192" s="27">
        <v>19831.569135197751</v>
      </c>
      <c r="O192" s="3">
        <v>22283.531707317074</v>
      </c>
      <c r="P192" s="23">
        <v>0.2114058025152534</v>
      </c>
      <c r="Q192" s="27">
        <v>3395.6</v>
      </c>
      <c r="S192">
        <v>16378</v>
      </c>
      <c r="T192" s="27">
        <v>13256.374991727696</v>
      </c>
      <c r="U192" s="27">
        <v>20234.708520797554</v>
      </c>
      <c r="V192" s="27">
        <v>24110.317435897439</v>
      </c>
      <c r="W192" s="27"/>
      <c r="Y192" s="27">
        <v>15866</v>
      </c>
      <c r="Z192" s="27">
        <v>12845.838109679131</v>
      </c>
      <c r="AA192" s="27">
        <v>19596.226719557173</v>
      </c>
      <c r="AB192" s="27">
        <f t="shared" si="71"/>
        <v>23026.323076923076</v>
      </c>
      <c r="AD192" s="27">
        <v>15715</v>
      </c>
      <c r="AE192" s="27">
        <v>12726.97518228359</v>
      </c>
      <c r="AF192" s="27">
        <v>19404.549899946294</v>
      </c>
      <c r="AG192" s="27">
        <f t="shared" si="68"/>
        <v>22590.868421052633</v>
      </c>
      <c r="AI192" s="27">
        <v>13586</v>
      </c>
      <c r="AJ192" s="27">
        <v>10648.76978083223</v>
      </c>
      <c r="AK192" s="27">
        <v>17333.400927893344</v>
      </c>
      <c r="AL192" s="27">
        <f t="shared" si="69"/>
        <v>20997.567567567567</v>
      </c>
      <c r="AN192">
        <v>13524</v>
      </c>
      <c r="AO192">
        <v>10402.267670625155</v>
      </c>
      <c r="AP192">
        <v>17582.567743039839</v>
      </c>
      <c r="AQ192" s="27">
        <f t="shared" si="70"/>
        <v>20321.741666666665</v>
      </c>
    </row>
    <row r="193" spans="1:43" x14ac:dyDescent="0.15">
      <c r="A193">
        <v>1982</v>
      </c>
      <c r="B193">
        <v>1983</v>
      </c>
      <c r="C193">
        <f>Stdev!B348</f>
        <v>1310</v>
      </c>
      <c r="D193" t="str">
        <f>Stdev!C380</f>
        <v>pred_rec</v>
      </c>
      <c r="E193" s="27">
        <f>Stdev!D380</f>
        <v>50333</v>
      </c>
      <c r="F193" s="27">
        <f>E193/EXP(2*SQRT(LN(1+Stdev!E380^2/E193^2)))</f>
        <v>44642.604738332644</v>
      </c>
      <c r="G193" s="27">
        <f>E193*EXP(2*SQRT(LN(1+Stdev!E380^2/E193^2)))</f>
        <v>56748.724763021528</v>
      </c>
      <c r="H193" s="3">
        <f t="shared" si="67"/>
        <v>23095.374509803922</v>
      </c>
      <c r="I193" s="23">
        <f t="shared" si="66"/>
        <v>6.0040132716110702E-2</v>
      </c>
      <c r="J193" s="27">
        <f>Stdev!E380</f>
        <v>3022</v>
      </c>
      <c r="L193" s="27">
        <v>53111</v>
      </c>
      <c r="M193" s="27">
        <v>47439.097048452481</v>
      </c>
      <c r="N193" s="27">
        <v>59461.045772413512</v>
      </c>
      <c r="O193" s="3">
        <v>22283.531707317074</v>
      </c>
      <c r="P193" s="23">
        <v>0.11302743311178476</v>
      </c>
      <c r="Q193" s="27">
        <v>6003</v>
      </c>
      <c r="S193">
        <v>54361</v>
      </c>
      <c r="T193" s="27">
        <v>48491.745199762379</v>
      </c>
      <c r="U193" s="27">
        <v>60940.646883842834</v>
      </c>
      <c r="V193" s="27">
        <v>24110.317435897439</v>
      </c>
      <c r="W193" s="27"/>
      <c r="Y193" s="27">
        <v>52584</v>
      </c>
      <c r="Z193" s="27">
        <v>46921.739853857893</v>
      </c>
      <c r="AA193" s="27">
        <v>58929.550877953137</v>
      </c>
      <c r="AB193" s="27">
        <f t="shared" si="71"/>
        <v>23026.323076923076</v>
      </c>
      <c r="AD193" s="27">
        <v>52130</v>
      </c>
      <c r="AE193" s="27">
        <v>46561.186241797281</v>
      </c>
      <c r="AF193" s="27">
        <v>58364.8553515698</v>
      </c>
      <c r="AG193" s="27">
        <f t="shared" si="68"/>
        <v>22590.868421052633</v>
      </c>
      <c r="AI193" s="27">
        <v>45316</v>
      </c>
      <c r="AJ193" s="27">
        <v>39660.272658715025</v>
      </c>
      <c r="AK193" s="27">
        <v>51778.258653719851</v>
      </c>
      <c r="AL193" s="27">
        <f t="shared" si="69"/>
        <v>20997.567567567567</v>
      </c>
      <c r="AN193">
        <v>45923</v>
      </c>
      <c r="AO193">
        <v>39970.083410146734</v>
      </c>
      <c r="AP193">
        <v>52762.510084345558</v>
      </c>
      <c r="AQ193" s="27">
        <f t="shared" si="70"/>
        <v>20321.741666666665</v>
      </c>
    </row>
    <row r="194" spans="1:43" x14ac:dyDescent="0.15">
      <c r="A194">
        <v>1983</v>
      </c>
      <c r="B194">
        <v>1984</v>
      </c>
      <c r="C194">
        <f>Stdev!B349</f>
        <v>1311</v>
      </c>
      <c r="D194" t="str">
        <f>Stdev!C381</f>
        <v>pred_rec</v>
      </c>
      <c r="E194" s="27">
        <f>Stdev!D381</f>
        <v>12734</v>
      </c>
      <c r="F194" s="27">
        <f>E194/EXP(2*SQRT(LN(1+Stdev!E381^2/E194^2)))</f>
        <v>10286.775169460052</v>
      </c>
      <c r="G194" s="27">
        <f>E194*EXP(2*SQRT(LN(1+Stdev!E381^2/E194^2)))</f>
        <v>15763.419859842375</v>
      </c>
      <c r="H194" s="3">
        <f t="shared" si="67"/>
        <v>23095.374509803922</v>
      </c>
      <c r="I194" s="23">
        <f t="shared" si="66"/>
        <v>0.10701272184702372</v>
      </c>
      <c r="J194" s="27">
        <f>Stdev!E381</f>
        <v>1362.7</v>
      </c>
      <c r="L194" s="27">
        <v>12600</v>
      </c>
      <c r="M194" s="27">
        <v>10164.697512658136</v>
      </c>
      <c r="N194" s="27">
        <v>15618.762860606088</v>
      </c>
      <c r="O194" s="3">
        <v>22283.531707317074</v>
      </c>
      <c r="P194" s="23">
        <v>0.21539682539682539</v>
      </c>
      <c r="Q194" s="27">
        <v>2714</v>
      </c>
      <c r="S194">
        <v>12983</v>
      </c>
      <c r="T194" s="27">
        <v>10473.269756049049</v>
      </c>
      <c r="U194" s="27">
        <v>16094.14184167707</v>
      </c>
      <c r="V194" s="27">
        <v>24110.317435897439</v>
      </c>
      <c r="W194" s="27"/>
      <c r="Y194" s="27">
        <v>12573</v>
      </c>
      <c r="Z194" s="27">
        <v>10147.063205576078</v>
      </c>
      <c r="AA194" s="27">
        <v>15578.924246094248</v>
      </c>
      <c r="AB194" s="27">
        <f t="shared" si="71"/>
        <v>23026.323076923076</v>
      </c>
      <c r="AD194" s="27">
        <v>12458</v>
      </c>
      <c r="AE194" s="27">
        <v>10059.756189027004</v>
      </c>
      <c r="AF194" s="27">
        <v>15427.984643334717</v>
      </c>
      <c r="AG194" s="27">
        <f t="shared" si="68"/>
        <v>22590.868421052633</v>
      </c>
      <c r="AI194" s="27">
        <v>11157</v>
      </c>
      <c r="AJ194" s="27">
        <v>8762.2166898243413</v>
      </c>
      <c r="AK194" s="27">
        <v>14206.296580699542</v>
      </c>
      <c r="AL194" s="27">
        <f t="shared" si="69"/>
        <v>20997.567567567567</v>
      </c>
      <c r="AN194">
        <v>11103</v>
      </c>
      <c r="AO194">
        <v>8553.6952531009956</v>
      </c>
      <c r="AP194">
        <v>14412.088033567501</v>
      </c>
      <c r="AQ194" s="27">
        <f t="shared" si="70"/>
        <v>20321.741666666665</v>
      </c>
    </row>
    <row r="195" spans="1:43" x14ac:dyDescent="0.15">
      <c r="A195">
        <v>1984</v>
      </c>
      <c r="B195">
        <v>1985</v>
      </c>
      <c r="C195">
        <f>Stdev!B350</f>
        <v>1312</v>
      </c>
      <c r="D195" t="str">
        <f>Stdev!C382</f>
        <v>pred_rec</v>
      </c>
      <c r="E195" s="27">
        <f>Stdev!D382</f>
        <v>32660</v>
      </c>
      <c r="F195" s="27">
        <f>E195/EXP(2*SQRT(LN(1+Stdev!E382^2/E195^2)))</f>
        <v>28597.390609999802</v>
      </c>
      <c r="G195" s="27">
        <f>E195*EXP(2*SQRT(LN(1+Stdev!E382^2/E195^2)))</f>
        <v>37299.752783284006</v>
      </c>
      <c r="H195" s="3">
        <f t="shared" si="67"/>
        <v>23095.374509803922</v>
      </c>
      <c r="I195" s="23">
        <f t="shared" si="66"/>
        <v>6.6491120636864659E-2</v>
      </c>
      <c r="J195" s="27">
        <f>Stdev!E382</f>
        <v>2171.6</v>
      </c>
      <c r="L195" s="27">
        <v>34378</v>
      </c>
      <c r="M195" s="27">
        <v>30462.149644816247</v>
      </c>
      <c r="N195" s="27">
        <v>38797.225336364769</v>
      </c>
      <c r="O195" s="3">
        <v>22283.531707317074</v>
      </c>
      <c r="P195" s="23">
        <v>0.12104252719762638</v>
      </c>
      <c r="Q195" s="27">
        <v>4161.2</v>
      </c>
      <c r="S195">
        <v>35624</v>
      </c>
      <c r="T195" s="27">
        <v>31551.221285206379</v>
      </c>
      <c r="U195" s="27">
        <v>40222.511975948029</v>
      </c>
      <c r="V195" s="27">
        <v>24110.317435897439</v>
      </c>
      <c r="W195" s="27"/>
      <c r="Y195" s="27">
        <v>34535</v>
      </c>
      <c r="Z195" s="27">
        <v>30593.494450582428</v>
      </c>
      <c r="AA195" s="27">
        <v>38984.308475336475</v>
      </c>
      <c r="AB195" s="27">
        <f t="shared" si="71"/>
        <v>23026.323076923076</v>
      </c>
      <c r="AD195" s="27">
        <v>34188</v>
      </c>
      <c r="AE195" s="27">
        <v>30316.070420303713</v>
      </c>
      <c r="AF195" s="27">
        <v>38554.447452965454</v>
      </c>
      <c r="AG195" s="27">
        <f t="shared" si="68"/>
        <v>22590.868421052633</v>
      </c>
      <c r="AI195" s="27">
        <v>30654</v>
      </c>
      <c r="AJ195" s="27">
        <v>26551.98375365114</v>
      </c>
      <c r="AK195" s="27">
        <v>35389.736778924744</v>
      </c>
      <c r="AL195" s="27">
        <f t="shared" si="69"/>
        <v>20997.567567567567</v>
      </c>
      <c r="AN195">
        <v>30589</v>
      </c>
      <c r="AO195">
        <v>26277.345900648459</v>
      </c>
      <c r="AP195">
        <v>35608.121327691231</v>
      </c>
      <c r="AQ195" s="27">
        <f t="shared" si="70"/>
        <v>20321.741666666665</v>
      </c>
    </row>
    <row r="196" spans="1:43" x14ac:dyDescent="0.15">
      <c r="A196">
        <v>1985</v>
      </c>
      <c r="B196">
        <v>1986</v>
      </c>
      <c r="C196">
        <f>Stdev!B351</f>
        <v>1313</v>
      </c>
      <c r="D196" t="str">
        <f>Stdev!C383</f>
        <v>pred_rec</v>
      </c>
      <c r="E196" s="27">
        <f>Stdev!D383</f>
        <v>13941</v>
      </c>
      <c r="F196" s="27">
        <f>E196/EXP(2*SQRT(LN(1+Stdev!E383^2/E196^2)))</f>
        <v>11587.26028016937</v>
      </c>
      <c r="G196" s="27">
        <f>E196*EXP(2*SQRT(LN(1+Stdev!E383^2/E196^2)))</f>
        <v>16772.858838134183</v>
      </c>
      <c r="H196" s="3">
        <f t="shared" si="67"/>
        <v>23095.374509803922</v>
      </c>
      <c r="I196" s="23">
        <f t="shared" si="66"/>
        <v>9.2661932429524418E-2</v>
      </c>
      <c r="J196" s="27">
        <f>Stdev!E383</f>
        <v>1291.8</v>
      </c>
      <c r="L196" s="27">
        <v>12632</v>
      </c>
      <c r="M196" s="27">
        <v>10556.923365927129</v>
      </c>
      <c r="N196" s="27">
        <v>15114.955225971416</v>
      </c>
      <c r="O196" s="3">
        <v>22283.531707317074</v>
      </c>
      <c r="P196" s="23">
        <v>0.17981317289423687</v>
      </c>
      <c r="Q196" s="27">
        <v>2271.4</v>
      </c>
      <c r="S196">
        <v>13192</v>
      </c>
      <c r="T196" s="27">
        <v>11028.832548310538</v>
      </c>
      <c r="U196" s="27">
        <v>15779.44567003683</v>
      </c>
      <c r="V196" s="27">
        <v>24110.317435897439</v>
      </c>
      <c r="W196" s="27"/>
      <c r="Y196" s="27">
        <v>12700</v>
      </c>
      <c r="Z196" s="27">
        <v>10612.114321121962</v>
      </c>
      <c r="AA196" s="27">
        <v>15198.667779047038</v>
      </c>
      <c r="AB196" s="27">
        <f t="shared" si="71"/>
        <v>23026.323076923076</v>
      </c>
      <c r="AD196" s="27">
        <v>12552</v>
      </c>
      <c r="AE196" s="27">
        <v>10495.561643658008</v>
      </c>
      <c r="AF196" s="27">
        <v>15011.364741514521</v>
      </c>
      <c r="AG196" s="27">
        <f t="shared" si="68"/>
        <v>22590.868421052633</v>
      </c>
      <c r="AI196" s="27">
        <v>12125</v>
      </c>
      <c r="AJ196" s="27">
        <v>9747.8857517140768</v>
      </c>
      <c r="AK196" s="27">
        <v>15081.796067844625</v>
      </c>
      <c r="AL196" s="27">
        <f t="shared" si="69"/>
        <v>20997.567567567567</v>
      </c>
      <c r="AN196">
        <v>11787</v>
      </c>
      <c r="AO196">
        <v>9324.8246253599737</v>
      </c>
      <c r="AP196">
        <v>14899.301014429173</v>
      </c>
      <c r="AQ196" s="27">
        <f t="shared" si="70"/>
        <v>20321.741666666665</v>
      </c>
    </row>
    <row r="197" spans="1:43" x14ac:dyDescent="0.15">
      <c r="A197">
        <v>1986</v>
      </c>
      <c r="B197">
        <v>1987</v>
      </c>
      <c r="C197">
        <f>Stdev!B352</f>
        <v>1314</v>
      </c>
      <c r="D197" t="str">
        <f>Stdev!C384</f>
        <v>pred_rec</v>
      </c>
      <c r="E197" s="27">
        <f>Stdev!D384</f>
        <v>7729.4</v>
      </c>
      <c r="F197" s="27">
        <f>E197/EXP(2*SQRT(LN(1+Stdev!E384^2/E197^2)))</f>
        <v>6133.5447816643455</v>
      </c>
      <c r="G197" s="27">
        <f>E197*EXP(2*SQRT(LN(1+Stdev!E384^2/E197^2)))</f>
        <v>9740.4725141321105</v>
      </c>
      <c r="H197" s="3">
        <f t="shared" si="67"/>
        <v>23095.374509803922</v>
      </c>
      <c r="I197" s="23">
        <f t="shared" si="66"/>
        <v>0.11601676714880846</v>
      </c>
      <c r="J197" s="27">
        <f>Stdev!E384</f>
        <v>896.74</v>
      </c>
      <c r="L197" s="27">
        <v>7379</v>
      </c>
      <c r="M197" s="27">
        <v>5897.6657974810387</v>
      </c>
      <c r="N197" s="27">
        <v>9232.4053057153687</v>
      </c>
      <c r="O197" s="3">
        <v>22283.531707317074</v>
      </c>
      <c r="P197" s="23">
        <v>0.22478655644396262</v>
      </c>
      <c r="Q197" s="27">
        <v>1658.7</v>
      </c>
      <c r="S197">
        <v>7766.1</v>
      </c>
      <c r="T197" s="27">
        <v>6211.3760736046615</v>
      </c>
      <c r="U197" s="27">
        <v>9709.9754539574733</v>
      </c>
      <c r="V197" s="27">
        <v>24110.317435897439</v>
      </c>
      <c r="W197" s="27"/>
      <c r="Y197" s="27">
        <v>7452.7</v>
      </c>
      <c r="Z197" s="27">
        <v>5954.6126589506539</v>
      </c>
      <c r="AA197" s="27">
        <v>9327.6826674042586</v>
      </c>
      <c r="AB197" s="27">
        <f t="shared" si="71"/>
        <v>23026.323076923076</v>
      </c>
      <c r="AD197" s="27">
        <v>7352.4</v>
      </c>
      <c r="AE197" s="27">
        <v>5880.4616272536005</v>
      </c>
      <c r="AF197" s="27">
        <v>9192.7792725427644</v>
      </c>
      <c r="AG197" s="27">
        <f t="shared" si="68"/>
        <v>22590.868421052633</v>
      </c>
      <c r="AI197" s="27">
        <v>6711.5</v>
      </c>
      <c r="AJ197" s="27">
        <v>5141.0550410746746</v>
      </c>
      <c r="AK197" s="27">
        <v>8761.6708808050535</v>
      </c>
      <c r="AL197" s="27">
        <f t="shared" si="69"/>
        <v>20997.567567567567</v>
      </c>
      <c r="AN197">
        <v>6673.8</v>
      </c>
      <c r="AO197">
        <v>5025.9900142830475</v>
      </c>
      <c r="AP197">
        <v>8861.85732829267</v>
      </c>
      <c r="AQ197" s="27">
        <f t="shared" si="70"/>
        <v>20321.741666666665</v>
      </c>
    </row>
    <row r="198" spans="1:43" x14ac:dyDescent="0.15">
      <c r="A198">
        <v>1987</v>
      </c>
      <c r="B198">
        <v>1988</v>
      </c>
      <c r="C198">
        <f>Stdev!B353</f>
        <v>1315</v>
      </c>
      <c r="D198" t="str">
        <f>Stdev!C385</f>
        <v>pred_rec</v>
      </c>
      <c r="E198" s="27">
        <f>Stdev!D385</f>
        <v>5433.1</v>
      </c>
      <c r="F198" s="27">
        <f>E198/EXP(2*SQRT(LN(1+Stdev!E385^2/E198^2)))</f>
        <v>4219.4960329923515</v>
      </c>
      <c r="G198" s="27">
        <f>E198*EXP(2*SQRT(LN(1+Stdev!E385^2/E198^2)))</f>
        <v>6995.7585880383531</v>
      </c>
      <c r="H198" s="3">
        <f t="shared" si="67"/>
        <v>23095.374509803922</v>
      </c>
      <c r="I198" s="23">
        <f t="shared" si="66"/>
        <v>0.12690360935745706</v>
      </c>
      <c r="J198" s="27">
        <f>Stdev!E385</f>
        <v>689.48</v>
      </c>
      <c r="L198" s="27">
        <v>4406.3999999999996</v>
      </c>
      <c r="M198" s="27">
        <v>3351.0178320518685</v>
      </c>
      <c r="N198" s="27">
        <v>5794.1681999678067</v>
      </c>
      <c r="O198" s="3">
        <v>22283.531707317074</v>
      </c>
      <c r="P198" s="23">
        <v>0.27508169934640525</v>
      </c>
      <c r="Q198" s="27">
        <v>1212.1199999999999</v>
      </c>
      <c r="S198">
        <v>4644.5</v>
      </c>
      <c r="T198" s="27">
        <v>3532.927904316577</v>
      </c>
      <c r="U198" s="27">
        <v>6105.8082231578537</v>
      </c>
      <c r="V198" s="27">
        <v>24110.317435897439</v>
      </c>
      <c r="W198" s="27"/>
      <c r="Y198" s="27">
        <v>4448.7</v>
      </c>
      <c r="Z198" s="27">
        <v>3379.4363695192214</v>
      </c>
      <c r="AA198" s="27">
        <v>5856.2817955396431</v>
      </c>
      <c r="AB198" s="27">
        <f t="shared" si="71"/>
        <v>23026.323076923076</v>
      </c>
      <c r="AD198" s="27">
        <v>4376.8999999999996</v>
      </c>
      <c r="AE198" s="27">
        <v>3330.6125868069271</v>
      </c>
      <c r="AF198" s="27">
        <v>5751.8708978296809</v>
      </c>
      <c r="AG198" s="27">
        <f t="shared" si="68"/>
        <v>22590.868421052633</v>
      </c>
      <c r="AI198" s="27">
        <v>4963.5</v>
      </c>
      <c r="AJ198" s="27">
        <v>3675.8024371036399</v>
      </c>
      <c r="AK198" s="27">
        <v>6702.3004286955838</v>
      </c>
      <c r="AL198" s="27">
        <f t="shared" si="69"/>
        <v>20997.567567567567</v>
      </c>
      <c r="AN198">
        <v>4817.3</v>
      </c>
      <c r="AO198">
        <v>3496.1227196936229</v>
      </c>
      <c r="AP198">
        <v>6637.7473420136848</v>
      </c>
      <c r="AQ198" s="27">
        <f t="shared" si="70"/>
        <v>20321.741666666665</v>
      </c>
    </row>
    <row r="199" spans="1:43" x14ac:dyDescent="0.15">
      <c r="A199">
        <v>1988</v>
      </c>
      <c r="B199">
        <v>1989</v>
      </c>
      <c r="C199">
        <f>Stdev!B354</f>
        <v>1316</v>
      </c>
      <c r="D199" t="str">
        <f>Stdev!C386</f>
        <v>pred_rec</v>
      </c>
      <c r="E199" s="27">
        <f>Stdev!D386</f>
        <v>11458</v>
      </c>
      <c r="F199" s="27">
        <f>E199/EXP(2*SQRT(LN(1+Stdev!E386^2/E199^2)))</f>
        <v>9598.9839124200535</v>
      </c>
      <c r="G199" s="27">
        <f>E199*EXP(2*SQRT(LN(1+Stdev!E386^2/E199^2)))</f>
        <v>13677.04802902423</v>
      </c>
      <c r="H199" s="3">
        <f t="shared" si="67"/>
        <v>23095.374509803922</v>
      </c>
      <c r="I199" s="23">
        <f t="shared" si="66"/>
        <v>8.8689125501832791E-2</v>
      </c>
      <c r="J199" s="27">
        <f>Stdev!E386</f>
        <v>1016.2</v>
      </c>
      <c r="L199" s="27">
        <v>9267.5</v>
      </c>
      <c r="M199" s="27">
        <v>7320.6724392762071</v>
      </c>
      <c r="N199" s="27">
        <v>11732.058354258448</v>
      </c>
      <c r="O199" s="3">
        <v>22283.531707317074</v>
      </c>
      <c r="P199" s="23">
        <v>0.2366333962773132</v>
      </c>
      <c r="Q199" s="27">
        <v>2193</v>
      </c>
      <c r="S199">
        <v>9773</v>
      </c>
      <c r="T199" s="27">
        <v>7722.1852711447627</v>
      </c>
      <c r="U199" s="27">
        <v>12368.458622314438</v>
      </c>
      <c r="V199" s="27">
        <v>24110.317435897439</v>
      </c>
      <c r="W199" s="27"/>
      <c r="Y199" s="27">
        <v>9421.2999999999993</v>
      </c>
      <c r="Z199" s="27">
        <v>7426.8541616211633</v>
      </c>
      <c r="AA199" s="27">
        <v>11951.34464181062</v>
      </c>
      <c r="AB199" s="27">
        <f t="shared" si="71"/>
        <v>23026.323076923076</v>
      </c>
      <c r="AD199" s="27">
        <v>9159.2999999999993</v>
      </c>
      <c r="AE199" s="27">
        <v>7227.6986787324822</v>
      </c>
      <c r="AF199" s="27">
        <v>11607.12146687225</v>
      </c>
      <c r="AG199" s="27">
        <f t="shared" si="68"/>
        <v>22590.868421052633</v>
      </c>
      <c r="AI199" s="27">
        <v>9266.6</v>
      </c>
      <c r="AJ199" s="27">
        <v>7365.917508014727</v>
      </c>
      <c r="AK199" s="27">
        <v>11657.729735171008</v>
      </c>
      <c r="AL199" s="27">
        <f t="shared" si="69"/>
        <v>20997.567567567567</v>
      </c>
      <c r="AN199">
        <v>8907.7000000000007</v>
      </c>
      <c r="AO199">
        <v>6987.1290997540709</v>
      </c>
      <c r="AP199">
        <v>11356.183370476556</v>
      </c>
      <c r="AQ199" s="27">
        <f t="shared" si="70"/>
        <v>20321.741666666665</v>
      </c>
    </row>
    <row r="200" spans="1:43" x14ac:dyDescent="0.15">
      <c r="A200">
        <v>1989</v>
      </c>
      <c r="B200">
        <v>1990</v>
      </c>
      <c r="C200">
        <f>Stdev!B355</f>
        <v>1317</v>
      </c>
      <c r="D200" t="str">
        <f>Stdev!C387</f>
        <v>pred_rec</v>
      </c>
      <c r="E200" s="27">
        <f>Stdev!D387</f>
        <v>49809</v>
      </c>
      <c r="F200" s="27">
        <f>E200/EXP(2*SQRT(LN(1+Stdev!E387^2/E200^2)))</f>
        <v>45916.586540051881</v>
      </c>
      <c r="G200" s="27">
        <f>E200*EXP(2*SQRT(LN(1+Stdev!E387^2/E200^2)))</f>
        <v>54031.378809832509</v>
      </c>
      <c r="H200" s="3">
        <f t="shared" si="67"/>
        <v>23095.374509803922</v>
      </c>
      <c r="I200" s="23">
        <f t="shared" si="66"/>
        <v>4.070147965227168E-2</v>
      </c>
      <c r="J200" s="27">
        <f>Stdev!E387</f>
        <v>2027.3</v>
      </c>
      <c r="L200" s="27">
        <v>52966</v>
      </c>
      <c r="M200" s="27">
        <v>48457.27152976043</v>
      </c>
      <c r="N200" s="27">
        <v>57894.245124326539</v>
      </c>
      <c r="O200" s="3">
        <v>22283.531707317074</v>
      </c>
      <c r="P200" s="23">
        <v>8.9011818902692302E-2</v>
      </c>
      <c r="Q200" s="27">
        <v>4714.6000000000004</v>
      </c>
      <c r="S200">
        <v>55934</v>
      </c>
      <c r="T200" s="27">
        <v>50944.93725305819</v>
      </c>
      <c r="U200" s="27">
        <v>61411.644114100687</v>
      </c>
      <c r="V200" s="27">
        <v>24110.317435897439</v>
      </c>
      <c r="W200" s="27"/>
      <c r="Y200" s="27">
        <v>54551</v>
      </c>
      <c r="Z200" s="27">
        <v>49710.507402545416</v>
      </c>
      <c r="AA200" s="27">
        <v>59862.828936797858</v>
      </c>
      <c r="AB200" s="27">
        <f t="shared" si="71"/>
        <v>23026.323076923076</v>
      </c>
      <c r="AD200" s="27">
        <v>52355</v>
      </c>
      <c r="AE200" s="27">
        <v>47817.428354817617</v>
      </c>
      <c r="AF200" s="27">
        <v>57323.158507411426</v>
      </c>
      <c r="AG200" s="27">
        <f t="shared" si="68"/>
        <v>22590.868421052633</v>
      </c>
      <c r="AI200" s="27">
        <v>48106</v>
      </c>
      <c r="AJ200" s="27">
        <v>43174.858690201756</v>
      </c>
      <c r="AK200" s="27">
        <v>53600.343028457653</v>
      </c>
      <c r="AL200" s="27">
        <f t="shared" si="69"/>
        <v>20997.567567567567</v>
      </c>
      <c r="AN200">
        <v>47289</v>
      </c>
      <c r="AO200">
        <v>42082.281812905319</v>
      </c>
      <c r="AP200">
        <v>53139.930266666575</v>
      </c>
      <c r="AQ200" s="27">
        <f t="shared" si="70"/>
        <v>20321.741666666665</v>
      </c>
    </row>
    <row r="201" spans="1:43" x14ac:dyDescent="0.15">
      <c r="A201">
        <v>1990</v>
      </c>
      <c r="B201">
        <v>1991</v>
      </c>
      <c r="C201">
        <f>Stdev!B356</f>
        <v>1318</v>
      </c>
      <c r="D201" t="str">
        <f>Stdev!C388</f>
        <v>pred_rec</v>
      </c>
      <c r="E201" s="27">
        <f>Stdev!D388</f>
        <v>26087</v>
      </c>
      <c r="F201" s="27">
        <f>E201/EXP(2*SQRT(LN(1+Stdev!E388^2/E201^2)))</f>
        <v>23235.191585257853</v>
      </c>
      <c r="G201" s="27">
        <f>E201*EXP(2*SQRT(LN(1+Stdev!E388^2/E201^2)))</f>
        <v>29288.829683323132</v>
      </c>
      <c r="H201" s="3">
        <f t="shared" si="67"/>
        <v>23095.374509803922</v>
      </c>
      <c r="I201" s="23">
        <f t="shared" si="66"/>
        <v>5.7933070111549814E-2</v>
      </c>
      <c r="J201" s="27">
        <f>Stdev!E388</f>
        <v>1511.3</v>
      </c>
      <c r="L201" s="27">
        <v>25505</v>
      </c>
      <c r="M201" s="27">
        <v>22324.303870457072</v>
      </c>
      <c r="N201" s="27">
        <v>29138.871642974165</v>
      </c>
      <c r="O201" s="3">
        <v>22283.531707317074</v>
      </c>
      <c r="P201" s="23">
        <v>0.13334640266614389</v>
      </c>
      <c r="Q201" s="27">
        <v>3401</v>
      </c>
      <c r="S201">
        <v>27110</v>
      </c>
      <c r="T201" s="27">
        <v>23595.042611035278</v>
      </c>
      <c r="U201" s="27">
        <v>31148.581170871323</v>
      </c>
      <c r="V201" s="27">
        <v>24110.317435897439</v>
      </c>
      <c r="W201" s="27"/>
      <c r="Y201" s="27">
        <v>26251</v>
      </c>
      <c r="Z201" s="27">
        <v>22848.604829305114</v>
      </c>
      <c r="AA201" s="27">
        <v>30160.047239127547</v>
      </c>
      <c r="AB201" s="27">
        <f t="shared" si="71"/>
        <v>23026.323076923076</v>
      </c>
      <c r="AD201" s="27">
        <v>24354</v>
      </c>
      <c r="AE201" s="27">
        <v>21224.857611575408</v>
      </c>
      <c r="AF201" s="27">
        <v>27944.466194040866</v>
      </c>
      <c r="AG201" s="27">
        <f t="shared" si="68"/>
        <v>22590.868421052633</v>
      </c>
      <c r="AI201" s="27">
        <v>22383</v>
      </c>
      <c r="AJ201" s="27">
        <v>19179.52900243691</v>
      </c>
      <c r="AK201" s="27">
        <v>26121.532438901093</v>
      </c>
      <c r="AL201" s="27">
        <f t="shared" si="69"/>
        <v>20997.567567567567</v>
      </c>
      <c r="AN201">
        <v>20760</v>
      </c>
      <c r="AO201">
        <v>17526.22002680353</v>
      </c>
      <c r="AP201">
        <v>24590.447874150228</v>
      </c>
      <c r="AQ201" s="27">
        <f t="shared" si="70"/>
        <v>20321.741666666665</v>
      </c>
    </row>
    <row r="202" spans="1:43" x14ac:dyDescent="0.15">
      <c r="A202">
        <v>1991</v>
      </c>
      <c r="B202">
        <v>1992</v>
      </c>
      <c r="C202">
        <f>Stdev!B357</f>
        <v>1319</v>
      </c>
      <c r="D202" t="str">
        <f>Stdev!C389</f>
        <v>pred_rec</v>
      </c>
      <c r="E202" s="27">
        <f>Stdev!D389</f>
        <v>23039</v>
      </c>
      <c r="F202" s="27">
        <f>E202/EXP(2*SQRT(LN(1+Stdev!E389^2/E202^2)))</f>
        <v>20314.334628459306</v>
      </c>
      <c r="G202" s="27">
        <f>E202*EXP(2*SQRT(LN(1+Stdev!E389^2/E202^2)))</f>
        <v>26129.111817247689</v>
      </c>
      <c r="H202" s="3">
        <f t="shared" si="67"/>
        <v>23095.374509803922</v>
      </c>
      <c r="I202" s="23">
        <f t="shared" si="66"/>
        <v>6.2993185468119273E-2</v>
      </c>
      <c r="J202" s="27">
        <f>Stdev!E389</f>
        <v>1451.3</v>
      </c>
      <c r="L202" s="27">
        <v>20142</v>
      </c>
      <c r="M202" s="27">
        <v>17175.99782551446</v>
      </c>
      <c r="N202" s="27">
        <v>23620.180214353768</v>
      </c>
      <c r="O202" s="3">
        <v>22283.531707317074</v>
      </c>
      <c r="P202" s="23">
        <v>0.15954721477509681</v>
      </c>
      <c r="Q202" s="27">
        <v>3213.6</v>
      </c>
      <c r="S202">
        <v>21687</v>
      </c>
      <c r="T202" s="27">
        <v>18333.400892062346</v>
      </c>
      <c r="U202" s="27">
        <v>25654.049227911277</v>
      </c>
      <c r="V202" s="27">
        <v>24110.317435897439</v>
      </c>
      <c r="W202" s="27"/>
      <c r="Y202" s="27">
        <v>20574</v>
      </c>
      <c r="Z202" s="27">
        <v>17366.714657612851</v>
      </c>
      <c r="AA202" s="27">
        <v>24373.606887958358</v>
      </c>
      <c r="AB202" s="27">
        <f t="shared" si="71"/>
        <v>23026.323076923076</v>
      </c>
      <c r="AD202" s="27">
        <v>18295</v>
      </c>
      <c r="AE202" s="27">
        <v>15392.598504343423</v>
      </c>
      <c r="AF202" s="27">
        <v>21744.673253548041</v>
      </c>
      <c r="AG202" s="27">
        <f t="shared" si="68"/>
        <v>22590.868421052633</v>
      </c>
      <c r="AI202" s="27">
        <v>15802</v>
      </c>
      <c r="AJ202" s="27">
        <v>13009.729259174348</v>
      </c>
      <c r="AK202" s="27">
        <v>19193.574210924602</v>
      </c>
      <c r="AL202" s="27">
        <f t="shared" si="69"/>
        <v>20997.567567567567</v>
      </c>
      <c r="AN202">
        <v>12675</v>
      </c>
      <c r="AO202">
        <v>10082.454510845901</v>
      </c>
      <c r="AP202">
        <v>15934.178014607405</v>
      </c>
      <c r="AQ202" s="27">
        <f t="shared" si="70"/>
        <v>20321.741666666665</v>
      </c>
    </row>
    <row r="203" spans="1:43" x14ac:dyDescent="0.15">
      <c r="A203">
        <v>1992</v>
      </c>
      <c r="B203">
        <v>1993</v>
      </c>
      <c r="C203">
        <f>Stdev!B358</f>
        <v>1320</v>
      </c>
      <c r="D203" t="str">
        <f>Stdev!C390</f>
        <v>pred_rec</v>
      </c>
      <c r="E203" s="27">
        <f>Stdev!D390</f>
        <v>47645</v>
      </c>
      <c r="F203" s="27">
        <f>E203/EXP(2*SQRT(LN(1+Stdev!E390^2/E203^2)))</f>
        <v>43499.215569627464</v>
      </c>
      <c r="G203" s="27">
        <f>E203*EXP(2*SQRT(LN(1+Stdev!E390^2/E203^2)))</f>
        <v>52185.907154266439</v>
      </c>
      <c r="H203" s="3">
        <f t="shared" si="67"/>
        <v>23095.374509803922</v>
      </c>
      <c r="I203" s="23">
        <f t="shared" si="66"/>
        <v>4.5540980165809639E-2</v>
      </c>
      <c r="J203" s="27">
        <f>Stdev!E390</f>
        <v>2169.8000000000002</v>
      </c>
      <c r="L203" s="27">
        <v>51253</v>
      </c>
      <c r="M203" s="27">
        <v>45130.14460328337</v>
      </c>
      <c r="N203" s="27">
        <v>58206.54979263874</v>
      </c>
      <c r="O203" s="3">
        <v>22283.531707317074</v>
      </c>
      <c r="P203" s="23">
        <v>0.12735254521686534</v>
      </c>
      <c r="Q203" s="27">
        <v>6527.2</v>
      </c>
      <c r="S203">
        <v>54804</v>
      </c>
      <c r="T203" s="27">
        <v>47363.822623119406</v>
      </c>
      <c r="U203" s="27">
        <v>63412.922556929152</v>
      </c>
      <c r="V203" s="27">
        <v>24110.317435897439</v>
      </c>
      <c r="W203" s="27"/>
      <c r="Y203" s="27">
        <v>51914</v>
      </c>
      <c r="Z203" s="27">
        <v>44660.912555897179</v>
      </c>
      <c r="AA203" s="27">
        <v>60345.014057356835</v>
      </c>
      <c r="AB203" s="27">
        <f t="shared" si="71"/>
        <v>23026.323076923076</v>
      </c>
      <c r="AD203" s="27">
        <v>46450</v>
      </c>
      <c r="AE203" s="27">
        <v>39413.279050865494</v>
      </c>
      <c r="AF203" s="27">
        <v>54743.034630929047</v>
      </c>
      <c r="AG203" s="27">
        <f t="shared" si="68"/>
        <v>22590.868421052633</v>
      </c>
      <c r="AI203" s="27">
        <v>34090</v>
      </c>
      <c r="AJ203" s="27">
        <v>27982.205677532722</v>
      </c>
      <c r="AK203" s="27">
        <v>41530.968408722969</v>
      </c>
      <c r="AL203" s="27">
        <f t="shared" si="69"/>
        <v>20997.567567567567</v>
      </c>
      <c r="AN203">
        <v>25867</v>
      </c>
      <c r="AO203">
        <v>19896.081376012258</v>
      </c>
      <c r="AP203">
        <v>33629.822694970659</v>
      </c>
      <c r="AQ203" s="27">
        <f t="shared" si="70"/>
        <v>20321.741666666665</v>
      </c>
    </row>
    <row r="204" spans="1:43" x14ac:dyDescent="0.15">
      <c r="A204">
        <v>1993</v>
      </c>
      <c r="B204">
        <v>1994</v>
      </c>
      <c r="C204">
        <f>Stdev!B359</f>
        <v>1321</v>
      </c>
      <c r="D204" t="str">
        <f>Stdev!C391</f>
        <v>pred_rec</v>
      </c>
      <c r="E204" s="27">
        <f>Stdev!D391</f>
        <v>15411</v>
      </c>
      <c r="F204" s="27">
        <f>E204/EXP(2*SQRT(LN(1+Stdev!E391^2/E204^2)))</f>
        <v>13383.816209155317</v>
      </c>
      <c r="G204" s="27">
        <f>E204*EXP(2*SQRT(LN(1+Stdev!E391^2/E204^2)))</f>
        <v>17745.231799995636</v>
      </c>
      <c r="H204" s="3">
        <f t="shared" si="67"/>
        <v>23095.374509803922</v>
      </c>
      <c r="I204" s="23">
        <f t="shared" si="66"/>
        <v>7.0605411718902084E-2</v>
      </c>
      <c r="J204" s="27">
        <f>Stdev!E391</f>
        <v>1088.0999999999999</v>
      </c>
      <c r="L204" s="27">
        <v>13332</v>
      </c>
      <c r="M204" s="27">
        <v>11015.992879520871</v>
      </c>
      <c r="N204" s="27">
        <v>16134.925461909948</v>
      </c>
      <c r="O204" s="3">
        <v>22283.531707317074</v>
      </c>
      <c r="P204" s="23">
        <v>0.19125412541254128</v>
      </c>
      <c r="Q204" s="27">
        <v>2549.8000000000002</v>
      </c>
      <c r="S204">
        <v>14917</v>
      </c>
      <c r="T204" s="27">
        <v>12050.900254638158</v>
      </c>
      <c r="U204" s="27">
        <v>18464.752366891225</v>
      </c>
      <c r="V204" s="27">
        <v>24110.317435897439</v>
      </c>
      <c r="W204" s="27"/>
      <c r="Y204" s="27">
        <v>13824</v>
      </c>
      <c r="Z204" s="27">
        <v>11094.101860201368</v>
      </c>
      <c r="AA204" s="27">
        <v>17225.63740698621</v>
      </c>
      <c r="AB204" s="27">
        <f t="shared" si="71"/>
        <v>23026.323076923076</v>
      </c>
      <c r="AD204" s="27">
        <v>12034</v>
      </c>
      <c r="AE204" s="27">
        <v>9430.0832459837675</v>
      </c>
      <c r="AF204" s="27">
        <v>15356.932937116648</v>
      </c>
      <c r="AG204" s="27">
        <f t="shared" si="68"/>
        <v>22590.868421052633</v>
      </c>
      <c r="AI204" s="27">
        <v>9835.9</v>
      </c>
      <c r="AJ204" s="27">
        <v>7119.3901097082662</v>
      </c>
      <c r="AK204" s="27">
        <v>13588.934911443466</v>
      </c>
      <c r="AL204" s="27">
        <f t="shared" si="69"/>
        <v>20997.567567567567</v>
      </c>
      <c r="AN204">
        <v>8473.7999999999993</v>
      </c>
      <c r="AO204">
        <v>5770.4194120500788</v>
      </c>
      <c r="AP204">
        <v>12443.685859307314</v>
      </c>
      <c r="AQ204" s="27">
        <f t="shared" si="70"/>
        <v>20321.741666666665</v>
      </c>
    </row>
    <row r="205" spans="1:43" x14ac:dyDescent="0.15">
      <c r="A205">
        <v>1994</v>
      </c>
      <c r="B205">
        <v>1995</v>
      </c>
      <c r="C205">
        <f>Stdev!B360</f>
        <v>1322</v>
      </c>
      <c r="D205" t="str">
        <f>Stdev!C392</f>
        <v>pred_rec</v>
      </c>
      <c r="E205" s="27">
        <f>Stdev!D392</f>
        <v>10725</v>
      </c>
      <c r="F205" s="27">
        <f>E205/EXP(2*SQRT(LN(1+Stdev!E392^2/E205^2)))</f>
        <v>9177.6337500588306</v>
      </c>
      <c r="G205" s="27">
        <f>E205*EXP(2*SQRT(LN(1+Stdev!E392^2/E205^2)))</f>
        <v>12533.255099579743</v>
      </c>
      <c r="H205" s="3">
        <f t="shared" si="67"/>
        <v>23095.374509803922</v>
      </c>
      <c r="I205" s="23">
        <f t="shared" si="66"/>
        <v>7.8022377622377626E-2</v>
      </c>
      <c r="J205" s="27">
        <f>Stdev!E392</f>
        <v>836.79</v>
      </c>
      <c r="L205" s="27">
        <v>10003</v>
      </c>
      <c r="M205" s="27">
        <v>8139.7189987171678</v>
      </c>
      <c r="N205" s="27">
        <v>12292.808758603289</v>
      </c>
      <c r="O205" s="3">
        <v>22283.531707317074</v>
      </c>
      <c r="P205" s="23">
        <v>0.20667799660101971</v>
      </c>
      <c r="Q205" s="27">
        <v>2067.4</v>
      </c>
      <c r="S205">
        <v>11638</v>
      </c>
      <c r="T205" s="27">
        <v>9106.8251407748448</v>
      </c>
      <c r="U205" s="27">
        <v>14872.696236756334</v>
      </c>
      <c r="V205" s="27">
        <v>24110.317435897439</v>
      </c>
      <c r="W205" s="27"/>
      <c r="Y205" s="27">
        <v>10815</v>
      </c>
      <c r="Z205" s="27">
        <v>8355.8605101226203</v>
      </c>
      <c r="AA205" s="27">
        <v>13997.867108756171</v>
      </c>
      <c r="AB205" s="27">
        <f t="shared" si="71"/>
        <v>23026.323076923076</v>
      </c>
      <c r="AD205" s="27">
        <v>9852</v>
      </c>
      <c r="AE205" s="27">
        <v>7253.1744151902649</v>
      </c>
      <c r="AF205" s="27">
        <v>13381.989518509859</v>
      </c>
      <c r="AG205" s="27">
        <f t="shared" si="68"/>
        <v>22590.868421052633</v>
      </c>
      <c r="AI205" s="27">
        <v>9464.2000000000007</v>
      </c>
      <c r="AJ205" s="27">
        <v>6434.7178957668893</v>
      </c>
      <c r="AK205" s="27">
        <v>13919.97024437152</v>
      </c>
      <c r="AL205" s="27">
        <f t="shared" si="69"/>
        <v>20997.567567567567</v>
      </c>
      <c r="AN205">
        <v>8067.7</v>
      </c>
      <c r="AO205">
        <v>5016.6082097877315</v>
      </c>
      <c r="AP205">
        <v>12974.460146799876</v>
      </c>
      <c r="AQ205" s="27">
        <f t="shared" si="70"/>
        <v>20321.741666666665</v>
      </c>
    </row>
    <row r="206" spans="1:43" x14ac:dyDescent="0.15">
      <c r="A206">
        <v>1995</v>
      </c>
      <c r="B206">
        <v>1996</v>
      </c>
      <c r="C206">
        <f>Stdev!B362</f>
        <v>1247</v>
      </c>
      <c r="D206" t="str">
        <f>Stdev!C393</f>
        <v>pred_rec</v>
      </c>
      <c r="E206" s="27">
        <f>Stdev!D393</f>
        <v>22872</v>
      </c>
      <c r="F206" s="27">
        <f>E206/EXP(2*SQRT(LN(1+Stdev!E393^2/E206^2)))</f>
        <v>20595.830844726697</v>
      </c>
      <c r="G206" s="27">
        <f>E206*EXP(2*SQRT(LN(1+Stdev!E393^2/E206^2)))</f>
        <v>25399.722300299454</v>
      </c>
      <c r="H206" s="3">
        <f t="shared" si="67"/>
        <v>23095.374509803922</v>
      </c>
      <c r="I206" s="23">
        <f t="shared" si="66"/>
        <v>5.2448408534452602E-2</v>
      </c>
      <c r="J206" s="27">
        <f>Stdev!E393</f>
        <v>1199.5999999999999</v>
      </c>
      <c r="L206" s="27">
        <v>22468</v>
      </c>
      <c r="M206" s="27">
        <v>19157.876956966666</v>
      </c>
      <c r="N206" s="27">
        <v>26350.050432724383</v>
      </c>
      <c r="O206" s="3">
        <v>22283.531707317074</v>
      </c>
      <c r="P206" s="23">
        <v>0.15963147587680257</v>
      </c>
      <c r="Q206" s="27">
        <v>3586.6</v>
      </c>
      <c r="S206">
        <v>27303</v>
      </c>
      <c r="T206" s="27">
        <v>21418.697943052004</v>
      </c>
      <c r="U206" s="27">
        <v>34803.880748587573</v>
      </c>
      <c r="V206" s="27">
        <v>24110.317435897439</v>
      </c>
      <c r="W206" s="27"/>
      <c r="Y206" s="27">
        <v>26563</v>
      </c>
      <c r="Z206" s="27">
        <v>20615.356299652121</v>
      </c>
      <c r="AA206" s="27">
        <v>34226.571626700752</v>
      </c>
      <c r="AB206" s="27">
        <f t="shared" si="71"/>
        <v>23026.323076923076</v>
      </c>
      <c r="AD206" s="27">
        <v>25453</v>
      </c>
      <c r="AE206" s="27">
        <v>18273.978812506943</v>
      </c>
      <c r="AF206" s="27">
        <v>35452.334472260613</v>
      </c>
      <c r="AG206" s="27">
        <f t="shared" si="68"/>
        <v>22590.868421052633</v>
      </c>
      <c r="AI206" s="27">
        <v>22739</v>
      </c>
      <c r="AJ206" s="27">
        <v>15557.244110294187</v>
      </c>
      <c r="AK206" s="27">
        <v>33236.100001661696</v>
      </c>
      <c r="AL206" s="27">
        <f t="shared" si="69"/>
        <v>20997.567567567567</v>
      </c>
      <c r="AN206">
        <v>17320</v>
      </c>
      <c r="AO206">
        <v>11014.721018162722</v>
      </c>
      <c r="AP206">
        <v>27234.679798548153</v>
      </c>
      <c r="AQ206" s="27">
        <f t="shared" si="70"/>
        <v>20321.741666666665</v>
      </c>
    </row>
    <row r="207" spans="1:43" x14ac:dyDescent="0.15">
      <c r="A207">
        <v>1996</v>
      </c>
      <c r="B207">
        <v>1997</v>
      </c>
      <c r="C207">
        <f>Stdev!B363</f>
        <v>1248</v>
      </c>
      <c r="D207" t="str">
        <f>Stdev!C394</f>
        <v>pred_rec</v>
      </c>
      <c r="E207" s="27">
        <f>Stdev!D394</f>
        <v>31391</v>
      </c>
      <c r="F207" s="27">
        <f>E207/EXP(2*SQRT(LN(1+Stdev!E394^2/E207^2)))</f>
        <v>28689.962914416545</v>
      </c>
      <c r="G207" s="27">
        <f>E207*EXP(2*SQRT(LN(1+Stdev!E394^2/E207^2)))</f>
        <v>34346.328154535353</v>
      </c>
      <c r="H207" s="3">
        <f t="shared" si="67"/>
        <v>23095.374509803922</v>
      </c>
      <c r="I207" s="23">
        <f t="shared" si="66"/>
        <v>4.5009716160683E-2</v>
      </c>
      <c r="J207" s="27">
        <f>Stdev!E394</f>
        <v>1412.9</v>
      </c>
      <c r="L207" s="27">
        <v>31204</v>
      </c>
      <c r="M207" s="27">
        <v>26430.891798935045</v>
      </c>
      <c r="N207" s="27">
        <v>36839.075404910553</v>
      </c>
      <c r="O207" s="3">
        <v>22283.531707317074</v>
      </c>
      <c r="P207" s="23">
        <v>0.16629919241122931</v>
      </c>
      <c r="Q207" s="27">
        <v>5189.2</v>
      </c>
      <c r="S207">
        <v>42981</v>
      </c>
      <c r="T207" s="27">
        <v>32181.964483133463</v>
      </c>
      <c r="U207" s="27">
        <v>57403.778503583984</v>
      </c>
      <c r="V207" s="27">
        <v>24110.317435897439</v>
      </c>
      <c r="W207" s="27"/>
      <c r="Y207" s="27">
        <v>42316</v>
      </c>
      <c r="Z207" s="27">
        <v>31221.091066177814</v>
      </c>
      <c r="AA207" s="27">
        <v>57353.660453584409</v>
      </c>
      <c r="AB207" s="27">
        <f t="shared" si="71"/>
        <v>23026.323076923076</v>
      </c>
      <c r="AD207" s="27">
        <v>50253</v>
      </c>
      <c r="AE207" s="27">
        <v>32935.487898322972</v>
      </c>
      <c r="AF207" s="27">
        <v>76676.077087310667</v>
      </c>
      <c r="AG207" s="27">
        <f t="shared" si="68"/>
        <v>22590.868421052633</v>
      </c>
      <c r="AI207" s="27">
        <v>48749</v>
      </c>
      <c r="AJ207" s="27">
        <v>32315.608999596396</v>
      </c>
      <c r="AK207" s="27">
        <v>73539.229943946935</v>
      </c>
      <c r="AL207" s="27">
        <f t="shared" si="69"/>
        <v>20997.567567567567</v>
      </c>
      <c r="AN207">
        <v>35935</v>
      </c>
      <c r="AO207">
        <v>22204.58987470522</v>
      </c>
      <c r="AP207">
        <v>58155.734120135065</v>
      </c>
      <c r="AQ207" s="27">
        <f t="shared" si="70"/>
        <v>20321.741666666665</v>
      </c>
    </row>
    <row r="208" spans="1:43" x14ac:dyDescent="0.15">
      <c r="A208">
        <v>1997</v>
      </c>
      <c r="B208">
        <v>1998</v>
      </c>
      <c r="C208">
        <f>Stdev!B364</f>
        <v>1249</v>
      </c>
      <c r="D208" t="str">
        <f>Stdev!C395</f>
        <v>pred_rec</v>
      </c>
      <c r="E208" s="27">
        <f>Stdev!D395</f>
        <v>15821</v>
      </c>
      <c r="F208" s="27">
        <f>E208/EXP(2*SQRT(LN(1+Stdev!E395^2/E208^2)))</f>
        <v>13989.586673557638</v>
      </c>
      <c r="G208" s="27">
        <f>E208*EXP(2*SQRT(LN(1+Stdev!E395^2/E208^2)))</f>
        <v>17892.168427900102</v>
      </c>
      <c r="H208" s="3">
        <f t="shared" si="67"/>
        <v>23095.374509803922</v>
      </c>
      <c r="I208" s="23">
        <f t="shared" si="66"/>
        <v>6.1570697174641302E-2</v>
      </c>
      <c r="J208" s="27">
        <f>Stdev!E395</f>
        <v>974.11</v>
      </c>
      <c r="L208" s="27">
        <v>14516</v>
      </c>
      <c r="M208" s="27">
        <v>11544.114038733072</v>
      </c>
      <c r="N208" s="27">
        <v>18252.960365170231</v>
      </c>
      <c r="O208" s="3">
        <v>22283.531707317074</v>
      </c>
      <c r="P208" s="23">
        <v>0.22982915403692475</v>
      </c>
      <c r="Q208" s="27">
        <v>3336.2</v>
      </c>
      <c r="S208">
        <v>19189</v>
      </c>
      <c r="T208" s="27">
        <v>13310.862604261058</v>
      </c>
      <c r="U208" s="27">
        <v>27662.949573390277</v>
      </c>
      <c r="V208" s="27">
        <v>24110.317435897439</v>
      </c>
      <c r="W208" s="27"/>
      <c r="Y208" s="27">
        <v>17472</v>
      </c>
      <c r="Z208" s="27">
        <v>11902.158193062345</v>
      </c>
      <c r="AA208" s="27">
        <v>25648.355453546184</v>
      </c>
      <c r="AB208" s="27">
        <f t="shared" si="71"/>
        <v>23026.323076923076</v>
      </c>
      <c r="AD208" s="27">
        <v>16482</v>
      </c>
      <c r="AE208" s="27">
        <v>9557.0915371138926</v>
      </c>
      <c r="AF208" s="27">
        <v>28424.581154742857</v>
      </c>
      <c r="AG208" s="27">
        <f t="shared" si="68"/>
        <v>22590.868421052633</v>
      </c>
      <c r="AI208" s="27">
        <v>18253</v>
      </c>
      <c r="AJ208" s="27">
        <v>10830.810961404815</v>
      </c>
      <c r="AK208" s="27">
        <v>30761.501625985889</v>
      </c>
      <c r="AL208" s="27">
        <f t="shared" si="69"/>
        <v>20997.567567567567</v>
      </c>
      <c r="AN208">
        <v>15464</v>
      </c>
      <c r="AO208">
        <v>8341.6919196222116</v>
      </c>
      <c r="AP208">
        <v>28667.4811661985</v>
      </c>
      <c r="AQ208" s="27">
        <f t="shared" si="70"/>
        <v>20321.741666666665</v>
      </c>
    </row>
    <row r="209" spans="1:43" x14ac:dyDescent="0.15">
      <c r="A209">
        <v>1998</v>
      </c>
      <c r="B209">
        <v>1999</v>
      </c>
      <c r="C209">
        <f>Stdev!B365</f>
        <v>1250</v>
      </c>
      <c r="D209" t="str">
        <f>Stdev!C396</f>
        <v>pred_rec</v>
      </c>
      <c r="E209" s="27">
        <f>Stdev!D396</f>
        <v>17291</v>
      </c>
      <c r="F209" s="27">
        <f>E209/EXP(2*SQRT(LN(1+Stdev!E396^2/E209^2)))</f>
        <v>15364.949877426241</v>
      </c>
      <c r="G209" s="27">
        <f>E209*EXP(2*SQRT(LN(1+Stdev!E396^2/E209^2)))</f>
        <v>19458.487231334948</v>
      </c>
      <c r="H209" s="3">
        <f t="shared" si="67"/>
        <v>23095.374509803922</v>
      </c>
      <c r="I209" s="23">
        <f t="shared" si="66"/>
        <v>5.9100109883754554E-2</v>
      </c>
      <c r="J209" s="27">
        <f>Stdev!E396</f>
        <v>1021.9</v>
      </c>
      <c r="L209" s="27">
        <v>16706</v>
      </c>
      <c r="M209" s="27">
        <v>12483.207739467291</v>
      </c>
      <c r="N209" s="27">
        <v>22357.269207146106</v>
      </c>
      <c r="O209" s="3">
        <v>22283.531707317074</v>
      </c>
      <c r="P209" s="23">
        <v>0.29293666946007424</v>
      </c>
      <c r="Q209" s="27">
        <v>4893.8</v>
      </c>
      <c r="S209">
        <v>20498</v>
      </c>
      <c r="T209" s="27">
        <v>13405.984753818653</v>
      </c>
      <c r="U209" s="27">
        <v>31341.823201784297</v>
      </c>
      <c r="V209" s="27">
        <v>24110.317435897439</v>
      </c>
      <c r="W209" s="27"/>
      <c r="Y209" s="27">
        <v>17447</v>
      </c>
      <c r="Z209" s="27">
        <v>11050.078861692231</v>
      </c>
      <c r="AA209" s="27">
        <v>27547.116433283438</v>
      </c>
      <c r="AB209" s="27">
        <f t="shared" si="71"/>
        <v>23026.323076923076</v>
      </c>
      <c r="AD209" s="27">
        <v>16233</v>
      </c>
      <c r="AE209" s="27">
        <v>8791.7583363907052</v>
      </c>
      <c r="AF209" s="27">
        <v>29972.42177475266</v>
      </c>
      <c r="AG209" s="27">
        <f t="shared" si="68"/>
        <v>22590.868421052633</v>
      </c>
      <c r="AI209" s="27">
        <v>10853</v>
      </c>
      <c r="AJ209" s="27">
        <v>5772.6882087731456</v>
      </c>
      <c r="AK209" s="27">
        <v>20404.290815670625</v>
      </c>
      <c r="AL209" s="27">
        <f t="shared" si="69"/>
        <v>20997.567567567567</v>
      </c>
      <c r="AN209">
        <v>9534.6</v>
      </c>
      <c r="AO209">
        <v>4512.0319630423282</v>
      </c>
      <c r="AP209">
        <v>20148.039265817402</v>
      </c>
      <c r="AQ209" s="27">
        <f t="shared" si="70"/>
        <v>20321.741666666665</v>
      </c>
    </row>
    <row r="210" spans="1:43" x14ac:dyDescent="0.15">
      <c r="A210">
        <v>1999</v>
      </c>
      <c r="B210">
        <v>2000</v>
      </c>
      <c r="C210">
        <f>Stdev!B366</f>
        <v>1251</v>
      </c>
      <c r="D210" t="str">
        <f>Stdev!C397</f>
        <v>pred_rec</v>
      </c>
      <c r="E210" s="27">
        <f>Stdev!D397</f>
        <v>26883</v>
      </c>
      <c r="F210" s="27">
        <f>E210/EXP(2*SQRT(LN(1+Stdev!E397^2/E210^2)))</f>
        <v>24429.363099913153</v>
      </c>
      <c r="G210" s="27">
        <f>E210*EXP(2*SQRT(LN(1+Stdev!E397^2/E210^2)))</f>
        <v>29583.075336195288</v>
      </c>
      <c r="H210" s="3">
        <f t="shared" si="67"/>
        <v>23095.374509803922</v>
      </c>
      <c r="I210" s="23">
        <f t="shared" si="66"/>
        <v>4.7881560837704125E-2</v>
      </c>
      <c r="J210" s="27">
        <f>Stdev!E397</f>
        <v>1287.2</v>
      </c>
      <c r="L210" s="27">
        <v>23525</v>
      </c>
      <c r="M210" s="27">
        <v>16430.458318229073</v>
      </c>
      <c r="N210" s="27">
        <v>33682.908551978231</v>
      </c>
      <c r="O210" s="3">
        <v>22283.531707317074</v>
      </c>
      <c r="P210" s="23">
        <v>0.36183634431455902</v>
      </c>
      <c r="Q210" s="27">
        <v>8512.2000000000007</v>
      </c>
      <c r="S210">
        <v>28727</v>
      </c>
      <c r="T210" s="27">
        <v>17698.424822839617</v>
      </c>
      <c r="U210" s="27">
        <v>46627.908260798235</v>
      </c>
      <c r="V210" s="27">
        <v>24110.317435897439</v>
      </c>
      <c r="W210" s="27"/>
      <c r="Y210" s="27">
        <v>24486</v>
      </c>
      <c r="Z210" s="27">
        <v>14347.521699045623</v>
      </c>
      <c r="AA210" s="27">
        <v>41788.694143594308</v>
      </c>
      <c r="AB210" s="27">
        <f t="shared" si="71"/>
        <v>23026.323076923076</v>
      </c>
      <c r="AD210" s="27">
        <v>14994</v>
      </c>
      <c r="AE210" s="27">
        <v>6341.1023296965923</v>
      </c>
      <c r="AF210" s="27">
        <v>35454.409077602308</v>
      </c>
      <c r="AG210" s="27">
        <f t="shared" si="68"/>
        <v>22590.868421052633</v>
      </c>
      <c r="AI210" s="27">
        <v>12023</v>
      </c>
      <c r="AJ210" s="27">
        <v>5653.4609487449534</v>
      </c>
      <c r="AK210" s="27">
        <v>25568.856017673585</v>
      </c>
      <c r="AL210" s="27">
        <f t="shared" si="69"/>
        <v>20997.567567567567</v>
      </c>
      <c r="AQ210" s="27">
        <f t="shared" si="70"/>
        <v>20321.741666666665</v>
      </c>
    </row>
    <row r="211" spans="1:43" x14ac:dyDescent="0.15">
      <c r="A211">
        <v>2000</v>
      </c>
      <c r="B211">
        <v>2001</v>
      </c>
      <c r="C211">
        <f>Stdev!B367</f>
        <v>1252</v>
      </c>
      <c r="D211" t="str">
        <f>Stdev!C398</f>
        <v>pred_rec</v>
      </c>
      <c r="E211" s="27">
        <f>Stdev!D398</f>
        <v>36321</v>
      </c>
      <c r="F211" s="27">
        <f>E211/EXP(2*SQRT(LN(1+Stdev!E398^2/E211^2)))</f>
        <v>33611.265172807151</v>
      </c>
      <c r="G211" s="27">
        <f>E211*EXP(2*SQRT(LN(1+Stdev!E398^2/E211^2)))</f>
        <v>39249.193215948842</v>
      </c>
      <c r="H211" s="3">
        <f t="shared" si="67"/>
        <v>23095.374509803922</v>
      </c>
      <c r="I211" s="23">
        <f t="shared" si="66"/>
        <v>3.8781971862008199E-2</v>
      </c>
      <c r="J211" s="27">
        <f>Stdev!E398</f>
        <v>1408.6</v>
      </c>
      <c r="L211" s="27">
        <v>40527</v>
      </c>
      <c r="M211" s="27">
        <v>26488.035166042595</v>
      </c>
      <c r="N211" s="27">
        <v>62006.778483350448</v>
      </c>
      <c r="O211" s="3">
        <v>22283.531707317074</v>
      </c>
      <c r="P211" s="23">
        <v>0.43012806277296617</v>
      </c>
      <c r="Q211" s="27">
        <v>17431.8</v>
      </c>
      <c r="S211">
        <v>31032</v>
      </c>
      <c r="T211" s="27">
        <v>18182.036421571574</v>
      </c>
      <c r="U211" s="27">
        <v>52963.540588747972</v>
      </c>
      <c r="V211" s="27">
        <v>24110.317435897439</v>
      </c>
      <c r="W211" s="27"/>
      <c r="Y211" s="27">
        <v>25693</v>
      </c>
      <c r="Z211" s="27">
        <v>14272.560944110584</v>
      </c>
      <c r="AA211" s="27">
        <v>46251.702941397874</v>
      </c>
      <c r="AB211" s="27">
        <f t="shared" si="71"/>
        <v>23026.323076923076</v>
      </c>
      <c r="AD211" s="27">
        <v>21180</v>
      </c>
      <c r="AE211" s="27">
        <v>8931.2861944332999</v>
      </c>
      <c r="AF211" s="27">
        <v>50227.077067533573</v>
      </c>
      <c r="AG211" s="27">
        <f t="shared" si="68"/>
        <v>22590.868421052633</v>
      </c>
      <c r="AL211" s="27">
        <f t="shared" si="69"/>
        <v>20997.567567567567</v>
      </c>
      <c r="AQ211" s="27">
        <f t="shared" si="70"/>
        <v>20321.741666666665</v>
      </c>
    </row>
    <row r="212" spans="1:43" x14ac:dyDescent="0.15">
      <c r="A212">
        <v>2001</v>
      </c>
      <c r="B212">
        <v>2002</v>
      </c>
      <c r="C212">
        <f>Stdev!B368</f>
        <v>1253</v>
      </c>
      <c r="D212" t="str">
        <f>Stdev!C399</f>
        <v>pred_rec</v>
      </c>
      <c r="E212" s="27">
        <f>Stdev!D399</f>
        <v>23454</v>
      </c>
      <c r="F212" s="27">
        <f>E212/EXP(2*SQRT(LN(1+Stdev!E399^2/E212^2)))</f>
        <v>21361.493077040624</v>
      </c>
      <c r="G212" s="27">
        <f>E212*EXP(2*SQRT(LN(1+Stdev!E399^2/E212^2)))</f>
        <v>25751.482539918426</v>
      </c>
      <c r="H212" s="3">
        <f t="shared" si="67"/>
        <v>23095.374509803922</v>
      </c>
      <c r="I212" s="23">
        <f t="shared" si="66"/>
        <v>4.6751087234586854E-2</v>
      </c>
      <c r="J212" s="27">
        <f>Stdev!E399</f>
        <v>1096.5</v>
      </c>
      <c r="L212" s="27">
        <v>12863</v>
      </c>
      <c r="M212" s="27">
        <v>7384.3087295699097</v>
      </c>
      <c r="N212" s="27">
        <v>22406.534593744815</v>
      </c>
      <c r="O212" s="3">
        <v>22283.531707317074</v>
      </c>
      <c r="P212" s="23">
        <v>0.56585555469175153</v>
      </c>
      <c r="Q212" s="27">
        <v>7278.6</v>
      </c>
      <c r="S212">
        <v>11904</v>
      </c>
      <c r="T212" s="27">
        <v>6155.2050813375481</v>
      </c>
      <c r="U212" s="27">
        <v>23022.013747299374</v>
      </c>
      <c r="V212" s="27">
        <v>24110.317435897439</v>
      </c>
      <c r="W212" s="27"/>
      <c r="Y212" s="27">
        <v>11111</v>
      </c>
      <c r="Z212" s="27">
        <v>5269.8609932566887</v>
      </c>
      <c r="AA212" s="27">
        <v>23426.485282623598</v>
      </c>
      <c r="AB212" s="27">
        <f t="shared" si="71"/>
        <v>23026.323076923076</v>
      </c>
      <c r="AG212" s="27">
        <f t="shared" si="68"/>
        <v>22590.868421052633</v>
      </c>
      <c r="AL212" s="27">
        <f t="shared" si="69"/>
        <v>20997.567567567567</v>
      </c>
      <c r="AQ212" s="27">
        <f t="shared" si="70"/>
        <v>20321.741666666665</v>
      </c>
    </row>
    <row r="213" spans="1:43" x14ac:dyDescent="0.15">
      <c r="A213">
        <v>2002</v>
      </c>
      <c r="B213">
        <v>2003</v>
      </c>
      <c r="C213">
        <f>Stdev!B369</f>
        <v>1254</v>
      </c>
      <c r="D213" t="str">
        <f>Stdev!C400</f>
        <v>pred_rec</v>
      </c>
      <c r="E213" s="27">
        <f>Stdev!D400</f>
        <v>14150</v>
      </c>
      <c r="F213" s="27">
        <f>E213/EXP(2*SQRT(LN(1+Stdev!E400^2/E213^2)))</f>
        <v>12650.764860713287</v>
      </c>
      <c r="G213" s="27">
        <f>E213*EXP(2*SQRT(LN(1+Stdev!E400^2/E213^2)))</f>
        <v>15826.908665561181</v>
      </c>
      <c r="H213" s="3">
        <f t="shared" si="67"/>
        <v>23095.374509803922</v>
      </c>
      <c r="I213" s="23">
        <f t="shared" si="66"/>
        <v>5.6042402826855124E-2</v>
      </c>
      <c r="J213" s="27">
        <f>Stdev!E400</f>
        <v>793</v>
      </c>
      <c r="L213" s="27">
        <v>8157.6</v>
      </c>
      <c r="M213" s="27">
        <v>3919.2059500056744</v>
      </c>
      <c r="N213" s="27">
        <v>16979.571527723278</v>
      </c>
      <c r="O213" s="3">
        <v>22283.531707317074</v>
      </c>
      <c r="P213" s="23">
        <v>0.75838481906443067</v>
      </c>
      <c r="Q213" s="27">
        <v>6186.6</v>
      </c>
      <c r="S213">
        <v>12988</v>
      </c>
      <c r="T213" s="27">
        <v>4935.206902832927</v>
      </c>
      <c r="U213" s="27">
        <v>34180.561690973678</v>
      </c>
      <c r="V213" s="27">
        <v>24110.317435897439</v>
      </c>
      <c r="W213" s="27"/>
      <c r="AB213" s="27">
        <f t="shared" si="71"/>
        <v>23026.323076923076</v>
      </c>
      <c r="AG213" s="27">
        <f t="shared" si="68"/>
        <v>22590.868421052633</v>
      </c>
      <c r="AL213" s="27">
        <f t="shared" si="69"/>
        <v>20997.567567567567</v>
      </c>
      <c r="AQ213" s="27">
        <f t="shared" si="70"/>
        <v>20321.741666666665</v>
      </c>
    </row>
    <row r="214" spans="1:43" x14ac:dyDescent="0.15">
      <c r="A214">
        <v>2003</v>
      </c>
      <c r="B214">
        <v>2004</v>
      </c>
      <c r="C214">
        <f>Stdev!B370</f>
        <v>1255</v>
      </c>
      <c r="D214" t="str">
        <f>Stdev!C401</f>
        <v>pred_rec</v>
      </c>
      <c r="E214" s="27">
        <f>Stdev!D401</f>
        <v>6358.9</v>
      </c>
      <c r="F214" s="27">
        <f>E214/EXP(2*SQRT(LN(1+Stdev!E401^2/E214^2)))</f>
        <v>5414.5382735410767</v>
      </c>
      <c r="G214" s="27">
        <f>E214*EXP(2*SQRT(LN(1+Stdev!E401^2/E214^2)))</f>
        <v>7467.9699666349097</v>
      </c>
      <c r="H214" s="3">
        <f t="shared" si="67"/>
        <v>23095.374509803922</v>
      </c>
      <c r="I214" s="23">
        <f t="shared" si="66"/>
        <v>8.0513925364449832E-2</v>
      </c>
      <c r="J214" s="27">
        <f>Stdev!E401</f>
        <v>511.98</v>
      </c>
      <c r="L214" s="27">
        <v>13321</v>
      </c>
      <c r="M214" s="27">
        <v>5575.5289056805095</v>
      </c>
      <c r="N214" s="27">
        <v>31826.404992575648</v>
      </c>
      <c r="O214" s="3">
        <v>22283.531707317074</v>
      </c>
      <c r="P214" s="23">
        <v>0.91392538097740406</v>
      </c>
      <c r="Q214" s="27">
        <v>12174.4</v>
      </c>
      <c r="V214" s="27">
        <v>24110.317435897439</v>
      </c>
      <c r="W214" s="27"/>
      <c r="AB214" s="27">
        <f t="shared" si="71"/>
        <v>23026.323076923076</v>
      </c>
      <c r="AG214" s="27">
        <f t="shared" si="68"/>
        <v>22590.868421052633</v>
      </c>
      <c r="AL214" s="27">
        <f t="shared" si="69"/>
        <v>20997.567567567567</v>
      </c>
      <c r="AQ214" s="27">
        <f t="shared" si="70"/>
        <v>20321.741666666665</v>
      </c>
    </row>
    <row r="215" spans="1:43" x14ac:dyDescent="0.15">
      <c r="A215">
        <v>2004</v>
      </c>
      <c r="B215">
        <v>2005</v>
      </c>
      <c r="C215">
        <f>Stdev!B371</f>
        <v>1256</v>
      </c>
      <c r="D215" t="str">
        <f>Stdev!C402</f>
        <v>pred_rec</v>
      </c>
      <c r="E215" s="27">
        <f>Stdev!D402</f>
        <v>4422.2</v>
      </c>
      <c r="F215" s="27">
        <f>E215/EXP(2*SQRT(LN(1+Stdev!E402^2/E215^2)))</f>
        <v>3652.9540763580189</v>
      </c>
      <c r="G215" s="27">
        <f>E215*EXP(2*SQRT(LN(1+Stdev!E402^2/E215^2)))</f>
        <v>5353.4351736217577</v>
      </c>
      <c r="H215" s="3">
        <f t="shared" si="67"/>
        <v>23095.374509803922</v>
      </c>
      <c r="I215" s="23">
        <f t="shared" ref="I215:I220" si="72">J215/E215</f>
        <v>9.5769074216453351E-2</v>
      </c>
      <c r="J215" s="27">
        <f>Stdev!E402</f>
        <v>423.51</v>
      </c>
      <c r="AB215" s="27"/>
    </row>
    <row r="216" spans="1:43" x14ac:dyDescent="0.15">
      <c r="A216">
        <v>2005</v>
      </c>
      <c r="B216">
        <v>2006</v>
      </c>
      <c r="C216">
        <f>Stdev!B372</f>
        <v>1257</v>
      </c>
      <c r="D216" t="str">
        <f>Stdev!C403</f>
        <v>pred_rec</v>
      </c>
      <c r="E216" s="27">
        <f>Stdev!D403</f>
        <v>11401</v>
      </c>
      <c r="F216" s="27">
        <f>E216/EXP(2*SQRT(LN(1+Stdev!E403^2/E216^2)))</f>
        <v>9923.3728404239155</v>
      </c>
      <c r="G216" s="27">
        <f>E216*EXP(2*SQRT(LN(1+Stdev!E403^2/E216^2)))</f>
        <v>13098.651344682045</v>
      </c>
      <c r="H216" s="3">
        <f t="shared" si="67"/>
        <v>23095.374509803922</v>
      </c>
      <c r="I216" s="23">
        <f t="shared" si="72"/>
        <v>6.9487764231207796E-2</v>
      </c>
      <c r="J216" s="27">
        <f>Stdev!E403</f>
        <v>792.23</v>
      </c>
    </row>
    <row r="217" spans="1:43" x14ac:dyDescent="0.15">
      <c r="A217">
        <v>2006</v>
      </c>
      <c r="B217">
        <v>2007</v>
      </c>
      <c r="C217">
        <f>Stdev!B373</f>
        <v>1258</v>
      </c>
      <c r="D217" t="str">
        <f>Stdev!C404</f>
        <v>pred_rec</v>
      </c>
      <c r="E217" s="27">
        <f>Stdev!D404</f>
        <v>27094</v>
      </c>
      <c r="F217" s="27">
        <f>E217/EXP(2*SQRT(LN(1+Stdev!E404^2/E217^2)))</f>
        <v>23804.026629571439</v>
      </c>
      <c r="G217" s="27">
        <f>E217*EXP(2*SQRT(LN(1+Stdev!E404^2/E217^2)))</f>
        <v>30838.683195222769</v>
      </c>
      <c r="H217" s="3">
        <f t="shared" ref="H217:H224" si="73">H216</f>
        <v>23095.374509803922</v>
      </c>
      <c r="I217" s="23">
        <f t="shared" si="72"/>
        <v>6.4796633941093959E-2</v>
      </c>
      <c r="J217" s="27">
        <f>Stdev!E404</f>
        <v>1755.6</v>
      </c>
    </row>
    <row r="218" spans="1:43" x14ac:dyDescent="0.15">
      <c r="A218">
        <v>2007</v>
      </c>
      <c r="B218">
        <v>2008</v>
      </c>
      <c r="C218">
        <f>Stdev!B374</f>
        <v>1259</v>
      </c>
      <c r="D218" t="str">
        <f>Stdev!C405</f>
        <v>pred_rec</v>
      </c>
      <c r="E218" s="27">
        <f>Stdev!D405</f>
        <v>15205</v>
      </c>
      <c r="F218" s="27">
        <f>E218/EXP(2*SQRT(LN(1+Stdev!E405^2/E218^2)))</f>
        <v>12406.96087985851</v>
      </c>
      <c r="G218" s="27">
        <f>E218*EXP(2*SQRT(LN(1+Stdev!E405^2/E218^2)))</f>
        <v>18634.057706695738</v>
      </c>
      <c r="H218" s="3">
        <f t="shared" si="73"/>
        <v>23095.374509803922</v>
      </c>
      <c r="I218" s="23">
        <f t="shared" si="72"/>
        <v>0.10194672804998355</v>
      </c>
      <c r="J218" s="27">
        <f>Stdev!E405</f>
        <v>1550.1</v>
      </c>
    </row>
    <row r="219" spans="1:43" x14ac:dyDescent="0.15">
      <c r="A219">
        <v>2008</v>
      </c>
      <c r="B219">
        <v>2009</v>
      </c>
      <c r="C219">
        <f>Stdev!B375</f>
        <v>1260</v>
      </c>
      <c r="D219" t="str">
        <f>Stdev!C406</f>
        <v>pred_rec</v>
      </c>
      <c r="E219" s="27">
        <f>Stdev!D406</f>
        <v>62011</v>
      </c>
      <c r="F219" s="27">
        <f>E219/EXP(2*SQRT(LN(1+Stdev!E406^2/E219^2)))</f>
        <v>51619.941621466394</v>
      </c>
      <c r="G219" s="27">
        <f>E219*EXP(2*SQRT(LN(1+Stdev!E406^2/E219^2)))</f>
        <v>74493.771209553001</v>
      </c>
      <c r="H219" s="3">
        <f t="shared" si="73"/>
        <v>23095.374509803922</v>
      </c>
      <c r="I219" s="23">
        <f t="shared" si="72"/>
        <v>9.1894986373385362E-2</v>
      </c>
      <c r="J219" s="27">
        <f>Stdev!E406</f>
        <v>5698.5</v>
      </c>
    </row>
    <row r="220" spans="1:43" x14ac:dyDescent="0.15">
      <c r="A220">
        <v>2009</v>
      </c>
      <c r="B220">
        <v>2010</v>
      </c>
      <c r="C220">
        <f>Stdev!B376</f>
        <v>1261</v>
      </c>
      <c r="D220" t="str">
        <f>Stdev!C407</f>
        <v>pred_rec</v>
      </c>
      <c r="E220" s="27">
        <f>Stdev!D407</f>
        <v>23818</v>
      </c>
      <c r="F220" s="27">
        <f>E220/EXP(2*SQRT(LN(1+Stdev!E407^2/E220^2)))</f>
        <v>18232.303675158284</v>
      </c>
      <c r="G220" s="27">
        <f>E220*EXP(2*SQRT(LN(1+Stdev!E407^2/E220^2)))</f>
        <v>31114.944886144505</v>
      </c>
      <c r="H220" s="3">
        <f t="shared" si="73"/>
        <v>23095.374509803922</v>
      </c>
      <c r="I220" s="23">
        <f t="shared" si="72"/>
        <v>0.13422201696196154</v>
      </c>
      <c r="J220" s="27">
        <f>Stdev!E407</f>
        <v>3196.9</v>
      </c>
    </row>
    <row r="221" spans="1:43" x14ac:dyDescent="0.15">
      <c r="A221">
        <v>2010</v>
      </c>
      <c r="B221">
        <v>2011</v>
      </c>
      <c r="C221">
        <f>Stdev!B377</f>
        <v>1262</v>
      </c>
      <c r="D221" t="str">
        <f>Stdev!C408</f>
        <v>pred_rec</v>
      </c>
      <c r="E221" s="27">
        <f>Stdev!D408</f>
        <v>16973</v>
      </c>
      <c r="F221" s="27">
        <f>E221/EXP(2*SQRT(LN(1+Stdev!E408^2/E221^2)))</f>
        <v>11928.573896943719</v>
      </c>
      <c r="G221" s="27">
        <f>E221*EXP(2*SQRT(LN(1+Stdev!E408^2/E221^2)))</f>
        <v>24150.642942641378</v>
      </c>
      <c r="H221" s="3">
        <f t="shared" si="73"/>
        <v>23095.374509803922</v>
      </c>
      <c r="I221" s="23">
        <f>J221/E221</f>
        <v>0.17772344311553645</v>
      </c>
      <c r="J221" s="27">
        <f>Stdev!E408</f>
        <v>3016.5</v>
      </c>
    </row>
    <row r="222" spans="1:43" x14ac:dyDescent="0.15">
      <c r="A222">
        <v>2011</v>
      </c>
      <c r="B222">
        <v>2012</v>
      </c>
      <c r="C222">
        <f>Stdev!B378</f>
        <v>1263</v>
      </c>
      <c r="D222" t="str">
        <f>Stdev!C409</f>
        <v>pred_rec</v>
      </c>
      <c r="E222" s="27">
        <f>Stdev!D409</f>
        <v>10626</v>
      </c>
      <c r="F222" s="27">
        <f>E222/EXP(2*SQRT(LN(1+Stdev!E409^2/E222^2)))</f>
        <v>6427.9508305423997</v>
      </c>
      <c r="G222" s="27">
        <f>E222*EXP(2*SQRT(LN(1+Stdev!E409^2/E222^2)))</f>
        <v>17565.765354566709</v>
      </c>
      <c r="H222" s="3">
        <f t="shared" si="73"/>
        <v>23095.374509803922</v>
      </c>
      <c r="I222" s="23">
        <f>J222/E222</f>
        <v>0.25534537925842277</v>
      </c>
      <c r="J222" s="27">
        <f>Stdev!E409</f>
        <v>2713.3</v>
      </c>
    </row>
    <row r="223" spans="1:43" x14ac:dyDescent="0.15">
      <c r="A223">
        <v>2012</v>
      </c>
      <c r="B223">
        <v>2013</v>
      </c>
      <c r="C223">
        <f>Stdev!B379</f>
        <v>1264</v>
      </c>
      <c r="D223" t="str">
        <f>Stdev!C410</f>
        <v>pred_rec</v>
      </c>
      <c r="E223" s="27">
        <f>Stdev!D410</f>
        <v>36897</v>
      </c>
      <c r="F223" s="27">
        <f>E223/EXP(2*SQRT(LN(1+Stdev!E410^2/E223^2)))</f>
        <v>25525.468536610544</v>
      </c>
      <c r="G223" s="27">
        <f>E223*EXP(2*SQRT(LN(1+Stdev!E410^2/E223^2)))</f>
        <v>53334.519875605583</v>
      </c>
      <c r="H223" s="3">
        <f t="shared" si="73"/>
        <v>23095.374509803922</v>
      </c>
      <c r="I223" s="23">
        <f>J223/E223</f>
        <v>0.18580101363254464</v>
      </c>
      <c r="J223" s="27">
        <f>Stdev!E410</f>
        <v>6855.5</v>
      </c>
    </row>
    <row r="224" spans="1:43" x14ac:dyDescent="0.15">
      <c r="A224">
        <v>2013</v>
      </c>
      <c r="B224">
        <v>2014</v>
      </c>
      <c r="C224">
        <f>Stdev!B380</f>
        <v>1265</v>
      </c>
      <c r="D224" t="str">
        <f>Stdev!C411</f>
        <v>pred_rec</v>
      </c>
      <c r="E224" s="27">
        <f>Stdev!D411</f>
        <v>25993</v>
      </c>
      <c r="F224" s="27">
        <f>E224/EXP(2*SQRT(LN(1+Stdev!E411^2/E224^2)))</f>
        <v>17128.753678562727</v>
      </c>
      <c r="G224" s="27">
        <f>E224*EXP(2*SQRT(LN(1+Stdev!E411^2/E224^2)))</f>
        <v>39444.553975084811</v>
      </c>
      <c r="H224" s="3">
        <f t="shared" si="73"/>
        <v>23095.374509803922</v>
      </c>
      <c r="I224" s="23">
        <f>J224/E224</f>
        <v>0.21082214442349861</v>
      </c>
      <c r="J224" s="27">
        <f>Stdev!E411</f>
        <v>5479.9</v>
      </c>
    </row>
    <row r="225" spans="3:10" x14ac:dyDescent="0.15">
      <c r="E225" s="27"/>
      <c r="F225" s="27"/>
      <c r="G225" s="27"/>
      <c r="H225" s="3"/>
      <c r="I225" s="23"/>
      <c r="J225" s="27"/>
    </row>
    <row r="226" spans="3:10" x14ac:dyDescent="0.15">
      <c r="E226" s="27"/>
      <c r="F226" s="27"/>
      <c r="G226" s="27"/>
      <c r="H226" s="3"/>
      <c r="I226" s="23"/>
      <c r="J226" s="27"/>
    </row>
    <row r="227" spans="3:10" ht="14" thickBot="1" x14ac:dyDescent="0.2">
      <c r="E227" s="27"/>
      <c r="F227" s="27"/>
      <c r="G227" s="27"/>
      <c r="H227" s="3"/>
      <c r="I227" s="23"/>
      <c r="J227" s="27"/>
    </row>
    <row r="228" spans="3:10" ht="14" thickBot="1" x14ac:dyDescent="0.2">
      <c r="D228" s="115">
        <v>1</v>
      </c>
      <c r="E228" s="110">
        <f>Stdev!D373</f>
        <v>14795</v>
      </c>
      <c r="F228" s="111">
        <f>E228/EXP(2*SQRT(LN(1+Stdev!E373^2/E228^2)))</f>
        <v>10730.890218758697</v>
      </c>
      <c r="G228" s="111">
        <f>E228*EXP(2*SQRT(LN(1+Stdev!E373^2/E228^2)))</f>
        <v>20398.3099759379</v>
      </c>
      <c r="H228" s="112">
        <f>F228*EXP(2*SQRT(LN(1+Stdev!F379^2/F228^2)))</f>
        <v>10730.890218758697</v>
      </c>
      <c r="I228" s="31"/>
      <c r="J228" s="31"/>
    </row>
    <row r="229" spans="3:10" ht="14" thickBot="1" x14ac:dyDescent="0.2">
      <c r="E229" s="113">
        <f>AVERAGE(E189:E222)</f>
        <v>23985.635294117645</v>
      </c>
      <c r="F229" s="114">
        <f>E229/EXP(2*SQRT(LN(1+$H$233^2/E229^2)))</f>
        <v>7951.9101599022533</v>
      </c>
      <c r="G229" s="114">
        <f>E229*EXP(2*SQRT(LN(1+$H$233^2/E229^2)))</f>
        <v>72348.742490004937</v>
      </c>
      <c r="H229" s="112">
        <f>F229*EXP(2*SQRT(LN(1+Stdev!F380^2/F229^2)))</f>
        <v>7951.9101599022533</v>
      </c>
      <c r="I229" s="31"/>
      <c r="J229" s="31"/>
    </row>
    <row r="230" spans="3:10" x14ac:dyDescent="0.15">
      <c r="F230" s="1"/>
      <c r="H230" s="3"/>
      <c r="I230" s="31"/>
      <c r="J230" s="31"/>
    </row>
    <row r="231" spans="3:10" x14ac:dyDescent="0.15">
      <c r="F231" s="1"/>
      <c r="H231" s="3"/>
      <c r="I231" s="31"/>
      <c r="J231" s="31"/>
    </row>
    <row r="232" spans="3:10" x14ac:dyDescent="0.15">
      <c r="F232" s="1"/>
      <c r="H232" s="3"/>
      <c r="I232" s="31"/>
      <c r="J232" s="31"/>
    </row>
    <row r="233" spans="3:10" x14ac:dyDescent="0.15">
      <c r="C233">
        <f>Stdev!B378</f>
        <v>1263</v>
      </c>
      <c r="D233" t="str">
        <f>Stdev!C378</f>
        <v>pred_rec</v>
      </c>
      <c r="E233">
        <f>Stdev!D378</f>
        <v>30874</v>
      </c>
      <c r="F233" s="35">
        <f>Stdev!E378*2</f>
        <v>4933.8</v>
      </c>
      <c r="H233">
        <f>STDEV(F189:F222)</f>
        <v>14316.343502950071</v>
      </c>
    </row>
    <row r="234" spans="3:10" x14ac:dyDescent="0.15">
      <c r="C234">
        <f>Stdev!B379</f>
        <v>1264</v>
      </c>
      <c r="D234" t="str">
        <f>Stdev!C379</f>
        <v>pred_rec</v>
      </c>
      <c r="E234">
        <f>Stdev!D379</f>
        <v>16332</v>
      </c>
      <c r="F234" s="35">
        <f>Stdev!E379*2</f>
        <v>3396.8</v>
      </c>
    </row>
    <row r="235" spans="3:10" x14ac:dyDescent="0.15">
      <c r="C235">
        <f>Stdev!B380</f>
        <v>1265</v>
      </c>
      <c r="D235" t="str">
        <f>Stdev!C380</f>
        <v>pred_rec</v>
      </c>
      <c r="E235">
        <f>Stdev!D380</f>
        <v>50333</v>
      </c>
      <c r="F235" s="35">
        <f>Stdev!E380*2</f>
        <v>6044</v>
      </c>
    </row>
    <row r="236" spans="3:10" x14ac:dyDescent="0.15">
      <c r="C236">
        <f>Stdev!B381</f>
        <v>1266</v>
      </c>
      <c r="D236" t="str">
        <f>Stdev!C381</f>
        <v>pred_rec</v>
      </c>
      <c r="E236">
        <f>Stdev!D381</f>
        <v>12734</v>
      </c>
      <c r="F236" s="35">
        <f>Stdev!E381*2</f>
        <v>2725.4</v>
      </c>
    </row>
    <row r="237" spans="3:10" x14ac:dyDescent="0.15">
      <c r="F237" s="35"/>
    </row>
    <row r="238" spans="3:10" x14ac:dyDescent="0.15">
      <c r="C238">
        <f>Stdev!B387</f>
        <v>1272</v>
      </c>
      <c r="D238" s="31" t="str">
        <f>Stdev!C581</f>
        <v>log_F_devs</v>
      </c>
      <c r="E238" s="31">
        <f>Stdev!D581</f>
        <v>-0.22727</v>
      </c>
      <c r="F238" s="31">
        <f>Stdev!E581</f>
        <v>0.122</v>
      </c>
    </row>
    <row r="239" spans="3:10" x14ac:dyDescent="0.15">
      <c r="C239">
        <f>Stdev!B388</f>
        <v>1273</v>
      </c>
      <c r="D239" s="31" t="str">
        <f>Stdev!C582</f>
        <v>log_F_devs</v>
      </c>
      <c r="E239" s="31">
        <f>Stdev!D582</f>
        <v>-5.7662E-3</v>
      </c>
      <c r="F239" s="31">
        <f>Stdev!E582</f>
        <v>0.1197</v>
      </c>
    </row>
    <row r="240" spans="3:10" x14ac:dyDescent="0.15">
      <c r="C240">
        <f>Stdev!B389</f>
        <v>1274</v>
      </c>
      <c r="D240" s="31" t="str">
        <f>Stdev!C583</f>
        <v>log_F_devs</v>
      </c>
      <c r="E240" s="31">
        <f>Stdev!D583</f>
        <v>5.5912000000000003E-2</v>
      </c>
      <c r="F240" s="31">
        <f>Stdev!E583</f>
        <v>0.11422</v>
      </c>
    </row>
    <row r="241" spans="3:41" x14ac:dyDescent="0.15">
      <c r="C241">
        <f>Stdev!B390</f>
        <v>1275</v>
      </c>
      <c r="D241" s="31" t="str">
        <f>Stdev!C584</f>
        <v>log_F_devs</v>
      </c>
      <c r="E241" s="31">
        <f>Stdev!D584</f>
        <v>0.14022999999999999</v>
      </c>
      <c r="F241" s="31">
        <f>Stdev!E584</f>
        <v>0.11226</v>
      </c>
    </row>
    <row r="242" spans="3:41" x14ac:dyDescent="0.15">
      <c r="C242">
        <f>Stdev!B391</f>
        <v>1276</v>
      </c>
      <c r="D242" s="31" t="str">
        <f>Stdev!C585</f>
        <v>log_F_devs</v>
      </c>
      <c r="E242" s="31">
        <f>Stdev!D585</f>
        <v>0.14204</v>
      </c>
      <c r="F242" s="31">
        <f>Stdev!E585</f>
        <v>0.12936</v>
      </c>
    </row>
    <row r="243" spans="3:41" x14ac:dyDescent="0.15">
      <c r="C243">
        <f>Stdev!B392</f>
        <v>1277</v>
      </c>
      <c r="D243" s="31" t="str">
        <f>Stdev!C586</f>
        <v>log_F_devs</v>
      </c>
      <c r="E243" s="31">
        <f>Stdev!D586</f>
        <v>-3.7775000000000003E-2</v>
      </c>
      <c r="F243" s="31">
        <f>Stdev!E586</f>
        <v>0.13094</v>
      </c>
    </row>
    <row r="244" spans="3:41" x14ac:dyDescent="0.15">
      <c r="C244">
        <f>Stdev!B393</f>
        <v>1278</v>
      </c>
      <c r="D244" s="31" t="str">
        <f>Stdev!C587</f>
        <v>log_F_devs</v>
      </c>
      <c r="E244" s="31">
        <f>Stdev!D587</f>
        <v>0.34065000000000001</v>
      </c>
      <c r="F244" s="31">
        <f>Stdev!E587</f>
        <v>0.14782999999999999</v>
      </c>
    </row>
    <row r="245" spans="3:41" x14ac:dyDescent="0.15">
      <c r="C245">
        <f>Stdev!B394</f>
        <v>1279</v>
      </c>
      <c r="D245" s="31" t="str">
        <f>Stdev!C591</f>
        <v>F40</v>
      </c>
      <c r="E245" s="31">
        <f>Stdev!D591</f>
        <v>0.39268999999999998</v>
      </c>
      <c r="F245" s="31">
        <f>Stdev!E591</f>
        <v>3.6560000000000002E-2</v>
      </c>
      <c r="AN245" s="1"/>
      <c r="AO245" s="1"/>
    </row>
    <row r="246" spans="3:41" x14ac:dyDescent="0.15">
      <c r="C246" t="e">
        <f>pm.rep!#REF!</f>
        <v>#REF!</v>
      </c>
      <c r="D246" s="31" t="str">
        <f>Stdev!C592</f>
        <v>F35</v>
      </c>
      <c r="E246" s="31">
        <f>Stdev!D592</f>
        <v>0.49895</v>
      </c>
      <c r="F246" s="31">
        <f>Stdev!E592</f>
        <v>4.8432000000000003E-2</v>
      </c>
      <c r="AN246" s="1"/>
      <c r="AO246" s="1"/>
    </row>
    <row r="247" spans="3:41" x14ac:dyDescent="0.15">
      <c r="C247" t="e">
        <f>pm.rep!#REF!</f>
        <v>#REF!</v>
      </c>
      <c r="D247" s="31" t="str">
        <f>Stdev!C593</f>
        <v>Fmsy</v>
      </c>
      <c r="E247" s="31">
        <f>Stdev!D593</f>
        <v>0.72987999999999997</v>
      </c>
      <c r="F247" s="31">
        <f>Stdev!E593</f>
        <v>0.27945999999999999</v>
      </c>
      <c r="AN247" s="1"/>
      <c r="AO247" s="1"/>
    </row>
    <row r="248" spans="3:41" x14ac:dyDescent="0.15">
      <c r="C248" t="e">
        <f>pm.rep!#REF!</f>
        <v>#REF!</v>
      </c>
      <c r="D248" s="31" t="str">
        <f>Stdev!C594</f>
        <v>Fmsy2</v>
      </c>
      <c r="E248" s="31">
        <f>Stdev!D594</f>
        <v>0.49315999999999999</v>
      </c>
      <c r="F248" s="31">
        <f>Stdev!E594</f>
        <v>0.15619</v>
      </c>
      <c r="AN248" s="1"/>
      <c r="AO248" s="1"/>
    </row>
    <row r="249" spans="3:41" x14ac:dyDescent="0.15">
      <c r="C249" t="e">
        <f>pm.rep!#REF!</f>
        <v>#REF!</v>
      </c>
      <c r="D249" s="31" t="str">
        <f>Stdev!C595</f>
        <v>lnFmsy</v>
      </c>
      <c r="E249" s="31">
        <f>Stdev!D595</f>
        <v>-0.31486999999999998</v>
      </c>
      <c r="F249" s="31">
        <f>Stdev!E595</f>
        <v>0.38288</v>
      </c>
      <c r="AN249" s="1"/>
      <c r="AO249" s="1"/>
    </row>
    <row r="250" spans="3:41" x14ac:dyDescent="0.15">
      <c r="C250" t="e">
        <f>pm.rep!#REF!</f>
        <v>#REF!</v>
      </c>
      <c r="D250" s="31" t="str">
        <f>Stdev!C596</f>
        <v>lnFmsy2</v>
      </c>
      <c r="E250" s="31">
        <f>Stdev!D596</f>
        <v>-0.70692999999999995</v>
      </c>
      <c r="F250" s="31">
        <f>Stdev!E596</f>
        <v>0.31670999999999999</v>
      </c>
      <c r="AN250" s="1"/>
      <c r="AO250" s="1"/>
    </row>
    <row r="251" spans="3:41" x14ac:dyDescent="0.15">
      <c r="C251" t="e">
        <f>pm.rep!#REF!</f>
        <v>#REF!</v>
      </c>
      <c r="D251" s="31" t="str">
        <f>Stdev!C597</f>
        <v>SER_Fmsy</v>
      </c>
      <c r="E251" s="31">
        <f>Stdev!D597</f>
        <v>0.69506999999999997</v>
      </c>
      <c r="F251" s="31">
        <f>Stdev!E597</f>
        <v>5.8280999999999999E-2</v>
      </c>
      <c r="AN251" s="1"/>
      <c r="AO251" s="1"/>
    </row>
    <row r="252" spans="3:41" x14ac:dyDescent="0.15">
      <c r="C252" t="e">
        <f>pm.rep!#REF!</f>
        <v>#REF!</v>
      </c>
      <c r="D252" s="31" t="str">
        <f>Stdev!C598</f>
        <v>Fendyr_Fmsy</v>
      </c>
      <c r="E252" s="31">
        <f>Stdev!D598</f>
        <v>0.40887000000000001</v>
      </c>
      <c r="F252" s="31">
        <f>Stdev!E598</f>
        <v>0.21242</v>
      </c>
      <c r="AN252" s="1"/>
      <c r="AO252" s="1"/>
    </row>
    <row r="253" spans="3:41" x14ac:dyDescent="0.15">
      <c r="C253" t="e">
        <f>pm.rep!#REF!</f>
        <v>#REF!</v>
      </c>
      <c r="D253" s="31" t="str">
        <f>Stdev!C619</f>
        <v>F40_spb</v>
      </c>
      <c r="E253" s="31">
        <f>Stdev!D619</f>
        <v>2547.5</v>
      </c>
      <c r="F253" s="31">
        <f>Stdev!E619</f>
        <v>59.064</v>
      </c>
      <c r="AN253" s="1"/>
      <c r="AO253" s="1"/>
    </row>
    <row r="254" spans="3:41" x14ac:dyDescent="0.15">
      <c r="C254" t="e">
        <f>pm.rep!#REF!</f>
        <v>#REF!</v>
      </c>
      <c r="D254" s="31" t="e">
        <f>pm.rep!#REF!</f>
        <v>#REF!</v>
      </c>
      <c r="E254" s="31" t="e">
        <f>pm.rep!#REF!</f>
        <v>#REF!</v>
      </c>
      <c r="F254" s="31" t="e">
        <f>pm.rep!#REF!</f>
        <v>#REF!</v>
      </c>
      <c r="AN254" s="1"/>
      <c r="AO254" s="1"/>
    </row>
    <row r="255" spans="3:41" x14ac:dyDescent="0.15">
      <c r="C255" t="e">
        <f>pm.rep!#REF!</f>
        <v>#REF!</v>
      </c>
      <c r="D255" s="31" t="str">
        <f>Stdev!C620</f>
        <v>avg_age_msy</v>
      </c>
      <c r="E255" s="31">
        <f>Stdev!D620</f>
        <v>4.9275000000000002</v>
      </c>
      <c r="F255" s="31">
        <f>Stdev!E620</f>
        <v>0.31462000000000001</v>
      </c>
      <c r="AN255" s="1"/>
      <c r="AO255" s="1"/>
    </row>
    <row r="256" spans="3:41" x14ac:dyDescent="0.15">
      <c r="C256" t="e">
        <f>pm.rep!#REF!</f>
        <v>#REF!</v>
      </c>
      <c r="D256" s="31" t="str">
        <f>Stdev!C621</f>
        <v>avgwt_msy</v>
      </c>
      <c r="E256" s="31">
        <f>Stdev!D621</f>
        <v>0.60189999999999999</v>
      </c>
      <c r="F256" s="31">
        <f>Stdev!E621</f>
        <v>5.2519999999999997E-2</v>
      </c>
      <c r="AN256" s="1"/>
      <c r="AO256" s="1"/>
    </row>
    <row r="257" spans="2:41" x14ac:dyDescent="0.15">
      <c r="C257" t="e">
        <f>pm.rep!#REF!</f>
        <v>#REF!</v>
      </c>
      <c r="D257" s="31" t="str">
        <f>Stdev!C622</f>
        <v>Fmsy</v>
      </c>
      <c r="E257" s="31">
        <f>Stdev!D622</f>
        <v>0.72987999999999997</v>
      </c>
      <c r="F257" s="31">
        <f>Stdev!E622</f>
        <v>0.27945999999999999</v>
      </c>
      <c r="AN257" s="1"/>
      <c r="AO257" s="1"/>
    </row>
    <row r="258" spans="2:41" x14ac:dyDescent="0.15">
      <c r="C258" t="e">
        <f>pm.rep!#REF!</f>
        <v>#REF!</v>
      </c>
      <c r="D258" s="31" t="str">
        <f>Stdev!C623</f>
        <v>Fmsy2</v>
      </c>
      <c r="E258" s="31">
        <f>Stdev!D623</f>
        <v>0.49315999999999999</v>
      </c>
      <c r="F258" s="31">
        <f>Stdev!E623</f>
        <v>0.15619</v>
      </c>
      <c r="AN258" s="1"/>
      <c r="AO258" s="1"/>
    </row>
    <row r="259" spans="2:41" x14ac:dyDescent="0.15">
      <c r="C259" t="e">
        <f>pm.rep!#REF!</f>
        <v>#REF!</v>
      </c>
      <c r="D259" s="31" t="str">
        <f>Stdev!C624</f>
        <v>lnFmsy</v>
      </c>
      <c r="E259" s="31">
        <f>Stdev!D624</f>
        <v>-0.31486999999999998</v>
      </c>
      <c r="F259" s="31">
        <f>Stdev!E624</f>
        <v>0.38288</v>
      </c>
      <c r="AN259" s="1"/>
      <c r="AO259" s="1"/>
    </row>
    <row r="260" spans="2:41" x14ac:dyDescent="0.15">
      <c r="C260" t="e">
        <f>pm.rep!#REF!</f>
        <v>#REF!</v>
      </c>
      <c r="D260" s="31" t="str">
        <f>Stdev!C625</f>
        <v>lnFmsy2</v>
      </c>
      <c r="E260" s="31">
        <f>Stdev!D625</f>
        <v>-0.70692999999999995</v>
      </c>
      <c r="F260" s="31">
        <f>Stdev!E625</f>
        <v>0.31670999999999999</v>
      </c>
      <c r="AN260" s="1"/>
      <c r="AO260" s="1"/>
    </row>
    <row r="261" spans="2:41" x14ac:dyDescent="0.15">
      <c r="C261" t="e">
        <f>pm.rep!#REF!</f>
        <v>#REF!</v>
      </c>
      <c r="D261" s="31" t="str">
        <f>Stdev!C626</f>
        <v>SER_Fmsy</v>
      </c>
      <c r="E261" s="31">
        <f>Stdev!D626</f>
        <v>0.69506999999999997</v>
      </c>
      <c r="F261" s="31">
        <f>Stdev!E626</f>
        <v>5.8280999999999999E-2</v>
      </c>
      <c r="AN261" s="1"/>
      <c r="AO261" s="1"/>
    </row>
    <row r="262" spans="2:41" x14ac:dyDescent="0.15">
      <c r="C262" t="e">
        <f>pm.rep!#REF!</f>
        <v>#REF!</v>
      </c>
      <c r="D262" s="31" t="str">
        <f>Stdev!C627</f>
        <v>Fendyr_Fmsy</v>
      </c>
      <c r="E262" s="31">
        <f>Stdev!D627</f>
        <v>0.40887000000000001</v>
      </c>
      <c r="F262" s="31">
        <f>Stdev!E627</f>
        <v>0.21242</v>
      </c>
      <c r="AN262" s="1"/>
      <c r="AO262" s="1"/>
    </row>
    <row r="263" spans="2:41" ht="16" x14ac:dyDescent="0.2">
      <c r="C263" s="54" t="s">
        <v>9</v>
      </c>
      <c r="F263" s="31"/>
      <c r="AN263" s="1"/>
      <c r="AO263" s="1"/>
    </row>
    <row r="264" spans="2:41" ht="16" x14ac:dyDescent="0.2">
      <c r="B264">
        <v>1</v>
      </c>
      <c r="C264" s="54" t="s">
        <v>71</v>
      </c>
      <c r="F264" s="31"/>
      <c r="J264">
        <v>1</v>
      </c>
      <c r="K264">
        <v>2</v>
      </c>
      <c r="L264">
        <v>3</v>
      </c>
      <c r="M264">
        <v>4</v>
      </c>
      <c r="N264">
        <v>5</v>
      </c>
      <c r="O264">
        <v>6</v>
      </c>
      <c r="P264">
        <v>7</v>
      </c>
      <c r="Q264">
        <v>8</v>
      </c>
      <c r="R264">
        <v>9</v>
      </c>
      <c r="S264">
        <v>10</v>
      </c>
      <c r="T264">
        <v>11</v>
      </c>
      <c r="U264">
        <v>12</v>
      </c>
      <c r="V264">
        <v>13</v>
      </c>
      <c r="W264">
        <v>14</v>
      </c>
      <c r="X264">
        <v>15</v>
      </c>
      <c r="AN264" s="1"/>
      <c r="AO264" s="1"/>
    </row>
    <row r="265" spans="2:41" x14ac:dyDescent="0.15">
      <c r="B265" t="s">
        <v>220</v>
      </c>
      <c r="C265">
        <v>2013</v>
      </c>
      <c r="D265" t="str">
        <f>Stdev!C425</f>
        <v>future_SSB</v>
      </c>
      <c r="E265" s="27">
        <f>Stdev!D62</f>
        <v>3483.4</v>
      </c>
      <c r="F265" s="27">
        <f>Stdev!E62</f>
        <v>397.65</v>
      </c>
      <c r="I265">
        <v>2014</v>
      </c>
      <c r="J265" s="27">
        <f>pm.rep!B858</f>
        <v>24938.400000000001</v>
      </c>
      <c r="K265" s="27">
        <f>pm.rep!C858</f>
        <v>10791.8</v>
      </c>
      <c r="L265" s="27">
        <f>pm.rep!D858</f>
        <v>4909.34</v>
      </c>
      <c r="M265" s="27">
        <f>pm.rep!E858</f>
        <v>3454.93</v>
      </c>
      <c r="N265" s="27">
        <f>pm.rep!F858</f>
        <v>4242.72</v>
      </c>
      <c r="O265" s="27">
        <f>pm.rep!G858</f>
        <v>5544.84</v>
      </c>
      <c r="P265" s="27">
        <f>pm.rep!H858</f>
        <v>621.30100000000004</v>
      </c>
      <c r="Q265" s="27">
        <f>pm.rep!I858</f>
        <v>429.36500000000001</v>
      </c>
      <c r="R265" s="27">
        <f>pm.rep!J858</f>
        <v>395.33699999999999</v>
      </c>
      <c r="S265" s="27">
        <f>pm.rep!K858</f>
        <v>612.30899999999997</v>
      </c>
      <c r="T265" s="27">
        <f>pm.rep!L858</f>
        <v>95.632400000000004</v>
      </c>
      <c r="U265" s="27">
        <f>pm.rep!M858</f>
        <v>54.9041</v>
      </c>
      <c r="V265" s="27">
        <f>pm.rep!N858</f>
        <v>13.1416</v>
      </c>
      <c r="W265" s="27">
        <f>pm.rep!O858</f>
        <v>3.04826</v>
      </c>
      <c r="X265" s="27">
        <f>pm.rep!P858</f>
        <v>8.9292400000000001</v>
      </c>
      <c r="AN265" s="1"/>
      <c r="AO265" s="1"/>
    </row>
    <row r="266" spans="2:41" x14ac:dyDescent="0.15">
      <c r="C266">
        <v>2014</v>
      </c>
      <c r="D266" t="str">
        <f>Stdev!C426</f>
        <v>future_SSB</v>
      </c>
      <c r="E266" s="27">
        <f>Stdev!D63</f>
        <v>3679.3</v>
      </c>
      <c r="F266" s="27">
        <f>Stdev!E63</f>
        <v>444.87</v>
      </c>
      <c r="I266">
        <f>I265+1</f>
        <v>2015</v>
      </c>
      <c r="J266" s="27">
        <f>pm.rep!B859</f>
        <v>24058.6</v>
      </c>
      <c r="K266" s="27">
        <f>pm.rep!C859</f>
        <v>10139.1</v>
      </c>
      <c r="L266" s="27">
        <f>pm.rep!D859</f>
        <v>6876.52</v>
      </c>
      <c r="M266" s="27">
        <f>pm.rep!E859</f>
        <v>3604.67</v>
      </c>
      <c r="N266" s="27">
        <f>pm.rep!F859</f>
        <v>2484.04</v>
      </c>
      <c r="O266" s="27">
        <f>pm.rep!G859</f>
        <v>2959.67</v>
      </c>
      <c r="P266" s="27">
        <f>pm.rep!H859</f>
        <v>3749.35</v>
      </c>
      <c r="Q266" s="27">
        <f>pm.rep!I859</f>
        <v>416.71100000000001</v>
      </c>
      <c r="R266" s="27">
        <f>pm.rep!J859</f>
        <v>287.33100000000002</v>
      </c>
      <c r="S266" s="27">
        <f>pm.rep!K859</f>
        <v>265.12400000000002</v>
      </c>
      <c r="T266" s="27">
        <f>pm.rep!L859</f>
        <v>406.93200000000002</v>
      </c>
      <c r="U266" s="27">
        <f>pm.rep!M859</f>
        <v>63.555900000000001</v>
      </c>
      <c r="V266" s="27">
        <f>pm.rep!N859</f>
        <v>36.488500000000002</v>
      </c>
      <c r="W266" s="27">
        <f>pm.rep!O859</f>
        <v>8.7337000000000007</v>
      </c>
      <c r="X266" s="27">
        <f>pm.rep!P859</f>
        <v>7.96007</v>
      </c>
      <c r="AN266" s="1"/>
      <c r="AO266" s="1"/>
    </row>
    <row r="267" spans="2:41" x14ac:dyDescent="0.15">
      <c r="C267">
        <v>2015</v>
      </c>
      <c r="D267" t="str">
        <f>Stdev!C427</f>
        <v>future_SSB</v>
      </c>
      <c r="E267" s="27">
        <f>Stdev!D64</f>
        <v>3982.5</v>
      </c>
      <c r="F267" s="27">
        <f>Stdev!E64</f>
        <v>505.08</v>
      </c>
      <c r="I267">
        <f>I266+1</f>
        <v>2016</v>
      </c>
      <c r="J267" s="27">
        <f>pm.rep!B860</f>
        <v>23755.7</v>
      </c>
      <c r="K267" s="27">
        <f>pm.rep!C860</f>
        <v>9781.4</v>
      </c>
      <c r="L267" s="27">
        <f>pm.rep!D860</f>
        <v>6460.61</v>
      </c>
      <c r="M267" s="27">
        <f>pm.rep!E860</f>
        <v>5049.0600000000004</v>
      </c>
      <c r="N267" s="27">
        <f>pm.rep!F860</f>
        <v>2591.6999999999998</v>
      </c>
      <c r="O267" s="27">
        <f>pm.rep!G860</f>
        <v>1732.84</v>
      </c>
      <c r="P267" s="27">
        <f>pm.rep!H860</f>
        <v>2001.3</v>
      </c>
      <c r="Q267" s="27">
        <f>pm.rep!I860</f>
        <v>2514.7199999999998</v>
      </c>
      <c r="R267" s="27">
        <f>pm.rep!J860</f>
        <v>278.863</v>
      </c>
      <c r="S267" s="27">
        <f>pm.rep!K860</f>
        <v>192.69200000000001</v>
      </c>
      <c r="T267" s="27">
        <f>pm.rep!L860</f>
        <v>176.19800000000001</v>
      </c>
      <c r="U267" s="27">
        <f>pm.rep!M860</f>
        <v>270.44099999999997</v>
      </c>
      <c r="V267" s="27">
        <f>pm.rep!N860</f>
        <v>42.238399999999999</v>
      </c>
      <c r="W267" s="27">
        <f>pm.rep!O860</f>
        <v>24.249700000000001</v>
      </c>
      <c r="X267" s="27">
        <f>pm.rep!P860</f>
        <v>11.0944</v>
      </c>
      <c r="AN267" s="1"/>
      <c r="AO267" s="1"/>
    </row>
    <row r="268" spans="2:41" x14ac:dyDescent="0.15">
      <c r="C268">
        <v>2016</v>
      </c>
      <c r="D268" t="str">
        <f>Stdev!C428</f>
        <v>future_SSB</v>
      </c>
      <c r="E268" s="27">
        <f>Stdev!D65</f>
        <v>4169.8999999999996</v>
      </c>
      <c r="F268" s="27">
        <f>Stdev!E65</f>
        <v>569.87</v>
      </c>
      <c r="I268">
        <f>I267+1</f>
        <v>2017</v>
      </c>
      <c r="J268" s="27">
        <f>pm.rep!B861</f>
        <v>23474</v>
      </c>
      <c r="K268" s="27">
        <f>pm.rep!C861</f>
        <v>9658.26</v>
      </c>
      <c r="L268" s="27">
        <f>pm.rep!D861</f>
        <v>6232.69</v>
      </c>
      <c r="M268" s="27">
        <f>pm.rep!E861</f>
        <v>4743.68</v>
      </c>
      <c r="N268" s="27">
        <f>pm.rep!F861</f>
        <v>3630.19</v>
      </c>
      <c r="O268" s="27">
        <f>pm.rep!G861</f>
        <v>1807.94</v>
      </c>
      <c r="P268" s="27">
        <f>pm.rep!H861</f>
        <v>1171.72</v>
      </c>
      <c r="Q268" s="27">
        <f>pm.rep!I861</f>
        <v>1342.28</v>
      </c>
      <c r="R268" s="27">
        <f>pm.rep!J861</f>
        <v>1682.85</v>
      </c>
      <c r="S268" s="27">
        <f>pm.rep!K861</f>
        <v>187.01300000000001</v>
      </c>
      <c r="T268" s="27">
        <f>pm.rep!L861</f>
        <v>128.06</v>
      </c>
      <c r="U268" s="27">
        <f>pm.rep!M861</f>
        <v>117.099</v>
      </c>
      <c r="V268" s="27">
        <f>pm.rep!N861</f>
        <v>179.73099999999999</v>
      </c>
      <c r="W268" s="27">
        <f>pm.rep!O861</f>
        <v>28.071000000000002</v>
      </c>
      <c r="X268" s="27">
        <f>pm.rep!P861</f>
        <v>23.4892</v>
      </c>
      <c r="AN268" s="1"/>
      <c r="AO268" s="1"/>
    </row>
    <row r="269" spans="2:41" x14ac:dyDescent="0.15">
      <c r="C269">
        <v>2017</v>
      </c>
      <c r="D269" t="str">
        <f>Stdev!C429</f>
        <v>future_SSB</v>
      </c>
      <c r="E269" s="27">
        <f>Stdev!D66</f>
        <v>4347.6000000000004</v>
      </c>
      <c r="F269" s="27">
        <f>Stdev!E66</f>
        <v>757.93</v>
      </c>
      <c r="I269">
        <f>I268+1</f>
        <v>2018</v>
      </c>
      <c r="J269" s="27" t="str">
        <f>pm.rep!B862</f>
        <v>MSY,</v>
      </c>
      <c r="K269" s="27" t="str">
        <f>pm.rep!C862</f>
        <v>Steepness,</v>
      </c>
      <c r="L269" s="27" t="str">
        <f>pm.rep!D862</f>
        <v>Rzero,</v>
      </c>
      <c r="M269" s="27" t="str">
        <f>pm.rep!E862</f>
        <v>Bzero,</v>
      </c>
      <c r="N269" s="27" t="str">
        <f>pm.rep!F862</f>
        <v>PhiZero,</v>
      </c>
      <c r="O269" s="27" t="str">
        <f>pm.rep!G862</f>
        <v>Alpha,</v>
      </c>
      <c r="P269" s="27" t="str">
        <f>pm.rep!H862</f>
        <v>Beta,</v>
      </c>
      <c r="Q269" s="27" t="str">
        <f>pm.rep!I862</f>
        <v>SPB0,</v>
      </c>
      <c r="R269" s="27" t="str">
        <f>pm.rep!J862</f>
        <v>SPRBF40,</v>
      </c>
      <c r="S269" s="27" t="str">
        <f>pm.rep!K862</f>
        <v>Fmsy2,</v>
      </c>
      <c r="T269" s="27" t="str">
        <f>pm.rep!L862</f>
        <v>Bmsy2</v>
      </c>
      <c r="U269" s="27">
        <f>pm.rep!M862</f>
        <v>0</v>
      </c>
      <c r="V269" s="27">
        <f>pm.rep!N862</f>
        <v>0</v>
      </c>
      <c r="W269" s="27">
        <f>pm.rep!O862</f>
        <v>0</v>
      </c>
      <c r="X269" s="27">
        <f>pm.rep!P862</f>
        <v>0</v>
      </c>
      <c r="AN269" s="1"/>
      <c r="AO269" s="1"/>
    </row>
    <row r="270" spans="2:41" x14ac:dyDescent="0.15">
      <c r="C270">
        <v>2018</v>
      </c>
      <c r="D270" t="str">
        <f>Stdev!C430</f>
        <v>future_SSB</v>
      </c>
      <c r="E270" s="27">
        <f>Stdev!D67</f>
        <v>4492.8999999999996</v>
      </c>
      <c r="F270" s="27">
        <f>Stdev!E67</f>
        <v>970.59</v>
      </c>
      <c r="AN270" s="1"/>
      <c r="AO270" s="1"/>
    </row>
    <row r="271" spans="2:41" x14ac:dyDescent="0.15">
      <c r="B271" t="s">
        <v>221</v>
      </c>
      <c r="C271">
        <v>2013</v>
      </c>
      <c r="D271" t="str">
        <f>Stdev!C431</f>
        <v>future_SSB</v>
      </c>
      <c r="E271" s="27">
        <f>Stdev!D68</f>
        <v>3483.4</v>
      </c>
      <c r="F271" s="27">
        <f>Stdev!E68</f>
        <v>397.65</v>
      </c>
      <c r="H271" t="s">
        <v>43</v>
      </c>
      <c r="I271" t="s">
        <v>3</v>
      </c>
      <c r="J271">
        <v>1</v>
      </c>
      <c r="K271">
        <v>2</v>
      </c>
      <c r="L271">
        <v>3</v>
      </c>
      <c r="M271">
        <v>4</v>
      </c>
      <c r="N271">
        <v>5</v>
      </c>
      <c r="O271">
        <v>6</v>
      </c>
      <c r="P271">
        <v>7</v>
      </c>
      <c r="Q271">
        <v>8</v>
      </c>
      <c r="R271">
        <v>9</v>
      </c>
      <c r="S271">
        <v>10</v>
      </c>
      <c r="T271">
        <v>11</v>
      </c>
      <c r="U271">
        <v>12</v>
      </c>
      <c r="V271">
        <v>13</v>
      </c>
      <c r="W271">
        <v>14</v>
      </c>
      <c r="X271">
        <v>15</v>
      </c>
      <c r="AN271" s="1"/>
      <c r="AO271" s="1"/>
    </row>
    <row r="272" spans="2:41" x14ac:dyDescent="0.15">
      <c r="C272">
        <v>2014</v>
      </c>
      <c r="D272" t="str">
        <f>Stdev!C432</f>
        <v>future_SSB</v>
      </c>
      <c r="E272" s="27">
        <f>Stdev!D69</f>
        <v>3662.6</v>
      </c>
      <c r="F272" s="27">
        <f>Stdev!E69</f>
        <v>445.05</v>
      </c>
      <c r="G272">
        <v>2014</v>
      </c>
      <c r="H272" s="27">
        <f>SUMPRODUCT(J272:X272,Summary!$D$43:$R$43,Summary!$D$42:$R$42)</f>
        <v>4629.6988860940774</v>
      </c>
      <c r="J272" s="27">
        <f>J265</f>
        <v>24938.400000000001</v>
      </c>
      <c r="K272" s="27">
        <f t="shared" ref="K272:X272" si="74">K265</f>
        <v>10791.8</v>
      </c>
      <c r="L272" s="27">
        <f t="shared" si="74"/>
        <v>4909.34</v>
      </c>
      <c r="M272" s="27">
        <f t="shared" si="74"/>
        <v>3454.93</v>
      </c>
      <c r="N272" s="27">
        <f t="shared" si="74"/>
        <v>4242.72</v>
      </c>
      <c r="O272" s="27">
        <f t="shared" si="74"/>
        <v>5544.84</v>
      </c>
      <c r="P272" s="27">
        <f t="shared" si="74"/>
        <v>621.30100000000004</v>
      </c>
      <c r="Q272" s="27">
        <f t="shared" si="74"/>
        <v>429.36500000000001</v>
      </c>
      <c r="R272" s="27">
        <f t="shared" si="74"/>
        <v>395.33699999999999</v>
      </c>
      <c r="S272" s="27">
        <f t="shared" si="74"/>
        <v>612.30899999999997</v>
      </c>
      <c r="T272" s="27">
        <f t="shared" si="74"/>
        <v>95.632400000000004</v>
      </c>
      <c r="U272" s="27">
        <f t="shared" si="74"/>
        <v>54.9041</v>
      </c>
      <c r="V272" s="27">
        <f t="shared" si="74"/>
        <v>13.1416</v>
      </c>
      <c r="W272" s="27">
        <f t="shared" si="74"/>
        <v>3.04826</v>
      </c>
      <c r="X272" s="27">
        <f t="shared" si="74"/>
        <v>8.9292400000000001</v>
      </c>
      <c r="AN272" s="1"/>
      <c r="AO272" s="1"/>
    </row>
    <row r="273" spans="2:41" x14ac:dyDescent="0.15">
      <c r="C273">
        <v>2015</v>
      </c>
      <c r="D273" t="str">
        <f>Stdev!C433</f>
        <v>future_SSB</v>
      </c>
      <c r="E273" s="27">
        <f>Stdev!D70</f>
        <v>3907.1</v>
      </c>
      <c r="F273" s="27">
        <f>Stdev!E70</f>
        <v>505.63</v>
      </c>
      <c r="G273">
        <f>(G272+1)</f>
        <v>2015</v>
      </c>
      <c r="H273" s="27">
        <f>SUMPRODUCT(J273:X273,Summary!$D$43:$R$43,Summary!$D$42:$R$42)</f>
        <v>4945.7150249176229</v>
      </c>
      <c r="J273" s="27">
        <f>J266</f>
        <v>24058.6</v>
      </c>
      <c r="K273" s="27">
        <f>J272*EXP(-0.9)</f>
        <v>10139.196802474957</v>
      </c>
      <c r="L273" s="27">
        <f>K272*EXP(-0.45)</f>
        <v>6881.1554866718534</v>
      </c>
      <c r="M273" s="27">
        <f>L272*EXP(-0.3)</f>
        <v>3636.9285235215848</v>
      </c>
      <c r="N273" s="27">
        <f t="shared" ref="N273:W276" si="75">M272*EXP(-0.3)</f>
        <v>2559.4750951798874</v>
      </c>
      <c r="O273" s="27">
        <f t="shared" si="75"/>
        <v>3143.0842812507381</v>
      </c>
      <c r="P273" s="27">
        <f t="shared" si="75"/>
        <v>4107.7185027648165</v>
      </c>
      <c r="Q273" s="27">
        <f t="shared" si="75"/>
        <v>460.27110132777204</v>
      </c>
      <c r="R273" s="27">
        <f t="shared" si="75"/>
        <v>318.08141532300579</v>
      </c>
      <c r="S273" s="27">
        <f t="shared" si="75"/>
        <v>292.87285290964832</v>
      </c>
      <c r="T273" s="27">
        <f t="shared" si="75"/>
        <v>453.60966388740195</v>
      </c>
      <c r="U273" s="27">
        <f t="shared" si="75"/>
        <v>70.846224407522314</v>
      </c>
      <c r="V273" s="27">
        <f t="shared" si="75"/>
        <v>40.673957670131109</v>
      </c>
      <c r="W273" s="27">
        <f t="shared" si="75"/>
        <v>9.7355367289108639</v>
      </c>
      <c r="X273" s="27">
        <f>W272*EXP(-0.3)+X272*EXP(-0.3)</f>
        <v>8.8731502382152758</v>
      </c>
      <c r="Y273" s="27"/>
      <c r="AN273" s="1"/>
      <c r="AO273" s="1"/>
    </row>
    <row r="274" spans="2:41" x14ac:dyDescent="0.15">
      <c r="C274">
        <v>2016</v>
      </c>
      <c r="D274" t="str">
        <f>Stdev!C434</f>
        <v>future_SSB</v>
      </c>
      <c r="E274" s="27">
        <f>Stdev!D71</f>
        <v>4040.7</v>
      </c>
      <c r="F274" s="27">
        <f>Stdev!E71</f>
        <v>569.38</v>
      </c>
      <c r="G274">
        <f>(G273+1)</f>
        <v>2016</v>
      </c>
      <c r="H274" s="27">
        <f>SUMPRODUCT(J274:X274,Summary!$D$43:$R$43,Summary!$D$42:$R$42)</f>
        <v>5286.2895764572131</v>
      </c>
      <c r="J274" s="27">
        <f>J267</f>
        <v>23755.7</v>
      </c>
      <c r="K274" s="27">
        <f>J273*EXP(-0.9)</f>
        <v>9781.4968158351767</v>
      </c>
      <c r="L274" s="27">
        <f>K273*EXP(-0.45)</f>
        <v>6465.0373160915015</v>
      </c>
      <c r="M274" s="27">
        <f>L273*EXP(-0.3)</f>
        <v>5097.6853638704824</v>
      </c>
      <c r="N274" s="27">
        <f t="shared" si="75"/>
        <v>2694.3029175418478</v>
      </c>
      <c r="O274" s="27">
        <f t="shared" si="75"/>
        <v>1896.1057858903346</v>
      </c>
      <c r="P274" s="27">
        <f t="shared" si="75"/>
        <v>2328.454104688848</v>
      </c>
      <c r="Q274" s="27">
        <f t="shared" si="75"/>
        <v>3043.0727122796015</v>
      </c>
      <c r="R274" s="27">
        <f t="shared" si="75"/>
        <v>340.97721831685476</v>
      </c>
      <c r="S274" s="27">
        <f t="shared" si="75"/>
        <v>235.64050813151167</v>
      </c>
      <c r="T274" s="27">
        <f t="shared" si="75"/>
        <v>216.96554577850415</v>
      </c>
      <c r="U274" s="27">
        <f t="shared" si="75"/>
        <v>336.04230408509721</v>
      </c>
      <c r="V274" s="27">
        <f t="shared" si="75"/>
        <v>52.484173907598375</v>
      </c>
      <c r="W274" s="27">
        <f t="shared" si="75"/>
        <v>30.132008949270041</v>
      </c>
      <c r="X274" s="27">
        <f>W273*EXP(-0.3)+X273*EXP(-0.3)</f>
        <v>13.78565436820946</v>
      </c>
      <c r="Y274" s="27"/>
      <c r="AN274" s="1"/>
      <c r="AO274" s="1"/>
    </row>
    <row r="275" spans="2:41" x14ac:dyDescent="0.15">
      <c r="C275">
        <v>2017</v>
      </c>
      <c r="D275" t="str">
        <f>Stdev!C435</f>
        <v>future_SSB</v>
      </c>
      <c r="E275" s="27">
        <f>Stdev!D72</f>
        <v>4175.8</v>
      </c>
      <c r="F275" s="27">
        <f>Stdev!E72</f>
        <v>755.24</v>
      </c>
      <c r="G275">
        <f>(G274+1)</f>
        <v>2017</v>
      </c>
      <c r="H275" s="27">
        <f>SUMPRODUCT(J275:X275,Summary!$D$43:$R$43,Summary!$D$42:$R$42)</f>
        <v>5603.5140089062588</v>
      </c>
      <c r="J275" s="27">
        <f>J268</f>
        <v>23474</v>
      </c>
      <c r="K275" s="27">
        <f>J274*EXP(-0.9)</f>
        <v>9658.3468658997499</v>
      </c>
      <c r="L275" s="27">
        <f>K274*EXP(-0.45)</f>
        <v>6236.9577347752447</v>
      </c>
      <c r="M275" s="27">
        <f>L274*EXP(-0.3)</f>
        <v>4789.4174411478152</v>
      </c>
      <c r="N275" s="27">
        <f t="shared" si="75"/>
        <v>3776.4582008577663</v>
      </c>
      <c r="O275" s="27">
        <f t="shared" si="75"/>
        <v>1995.9886933509129</v>
      </c>
      <c r="P275" s="27">
        <f t="shared" si="75"/>
        <v>1404.669714527588</v>
      </c>
      <c r="Q275" s="27">
        <f t="shared" si="75"/>
        <v>1724.9612267746347</v>
      </c>
      <c r="R275" s="27">
        <f t="shared" si="75"/>
        <v>2254.3637121160637</v>
      </c>
      <c r="S275" s="27">
        <f t="shared" si="75"/>
        <v>252.60213616649401</v>
      </c>
      <c r="T275" s="27">
        <f t="shared" si="75"/>
        <v>174.56678195452236</v>
      </c>
      <c r="U275" s="27">
        <f t="shared" si="75"/>
        <v>160.73202957286924</v>
      </c>
      <c r="V275" s="27">
        <f t="shared" si="75"/>
        <v>248.9462617861065</v>
      </c>
      <c r="W275" s="27">
        <f t="shared" si="75"/>
        <v>38.881232328176871</v>
      </c>
      <c r="X275" s="27">
        <f>W274*EXP(-0.3)+X274*EXP(-0.3)</f>
        <v>32.535005195353918</v>
      </c>
      <c r="Y275" s="27"/>
      <c r="AN275" s="1"/>
      <c r="AO275" s="1"/>
    </row>
    <row r="276" spans="2:41" x14ac:dyDescent="0.15">
      <c r="C276">
        <v>2018</v>
      </c>
      <c r="D276" t="str">
        <f>Stdev!C436</f>
        <v>future_SSB</v>
      </c>
      <c r="E276" s="27">
        <f>Stdev!D73</f>
        <v>4292.2</v>
      </c>
      <c r="F276" s="27">
        <f>Stdev!E73</f>
        <v>961.8</v>
      </c>
      <c r="G276">
        <f>(G275+1)</f>
        <v>2018</v>
      </c>
      <c r="H276" s="27">
        <f>SUMPRODUCT(J276:X276,Summary!$D$43:$R$43,Summary!$D$42:$R$42)</f>
        <v>5820.6334397544815</v>
      </c>
      <c r="J276" s="27" t="str">
        <f>J269</f>
        <v>MSY,</v>
      </c>
      <c r="K276" s="27">
        <f>J275*EXP(-0.9)</f>
        <v>9543.8161927508227</v>
      </c>
      <c r="L276" s="27">
        <f>K275*EXP(-0.45)</f>
        <v>6158.4338598256054</v>
      </c>
      <c r="M276" s="27">
        <f>L275*EXP(-0.3)</f>
        <v>4620.4519315432744</v>
      </c>
      <c r="N276" s="27">
        <f t="shared" si="75"/>
        <v>3548.0877068531108</v>
      </c>
      <c r="O276" s="27">
        <f t="shared" si="75"/>
        <v>2797.669044838332</v>
      </c>
      <c r="P276" s="27">
        <f t="shared" si="75"/>
        <v>1478.6647923090502</v>
      </c>
      <c r="Q276" s="27">
        <f t="shared" si="75"/>
        <v>1040.6049185618244</v>
      </c>
      <c r="R276" s="27">
        <f t="shared" si="75"/>
        <v>1277.8827067641382</v>
      </c>
      <c r="S276" s="27">
        <f t="shared" si="75"/>
        <v>1670.0737139792548</v>
      </c>
      <c r="T276" s="27">
        <f t="shared" si="75"/>
        <v>187.1322650552631</v>
      </c>
      <c r="U276" s="27">
        <f t="shared" si="75"/>
        <v>129.32225279768267</v>
      </c>
      <c r="V276" s="27">
        <f t="shared" si="75"/>
        <v>119.07321615473424</v>
      </c>
      <c r="W276" s="27">
        <f t="shared" si="75"/>
        <v>184.42392670174857</v>
      </c>
      <c r="X276" s="27">
        <f>W275*EXP(-0.3)+X275*EXP(-0.3)</f>
        <v>52.906450009965013</v>
      </c>
      <c r="Y276" s="27"/>
      <c r="AN276" s="1"/>
      <c r="AO276" s="1"/>
    </row>
    <row r="277" spans="2:41" x14ac:dyDescent="0.15">
      <c r="B277" t="s">
        <v>239</v>
      </c>
      <c r="C277">
        <v>2013</v>
      </c>
      <c r="D277" t="str">
        <f>Stdev!C437</f>
        <v>future_SSB</v>
      </c>
      <c r="E277" s="27">
        <f>Stdev!D74</f>
        <v>3483.4</v>
      </c>
      <c r="F277" s="27">
        <f>Stdev!E74</f>
        <v>397.65</v>
      </c>
      <c r="AN277" s="1"/>
      <c r="AO277" s="1"/>
    </row>
    <row r="278" spans="2:41" x14ac:dyDescent="0.15">
      <c r="C278">
        <v>2014</v>
      </c>
      <c r="D278" t="str">
        <f>Stdev!C438</f>
        <v>future_SSB</v>
      </c>
      <c r="E278" s="27">
        <f>Stdev!D75</f>
        <v>3645.7</v>
      </c>
      <c r="F278" s="27">
        <f>Stdev!E75</f>
        <v>445.28</v>
      </c>
      <c r="L278">
        <f>Stdev!B62</f>
        <v>1450</v>
      </c>
      <c r="M278" t="str">
        <f>Stdev!C62</f>
        <v>future_SSB</v>
      </c>
      <c r="N278">
        <f>Stdev!D62</f>
        <v>3483.4</v>
      </c>
      <c r="O278">
        <f>Stdev!E62</f>
        <v>397.65</v>
      </c>
      <c r="AN278" s="1"/>
      <c r="AO278" s="1"/>
    </row>
    <row r="279" spans="2:41" x14ac:dyDescent="0.15">
      <c r="C279">
        <v>2015</v>
      </c>
      <c r="D279" t="str">
        <f>Stdev!C439</f>
        <v>future_SSB</v>
      </c>
      <c r="E279" s="27">
        <f>Stdev!D76</f>
        <v>3832.3</v>
      </c>
      <c r="F279" s="27">
        <f>Stdev!E76</f>
        <v>506.23</v>
      </c>
      <c r="L279">
        <f>Stdev!B63</f>
        <v>1451</v>
      </c>
      <c r="M279" t="str">
        <f>Stdev!C63</f>
        <v>future_SSB</v>
      </c>
      <c r="N279">
        <f>Stdev!D63</f>
        <v>3679.3</v>
      </c>
      <c r="O279">
        <f>Stdev!E63</f>
        <v>444.87</v>
      </c>
      <c r="AN279" s="1"/>
      <c r="AO279" s="1"/>
    </row>
    <row r="280" spans="2:41" x14ac:dyDescent="0.15">
      <c r="C280">
        <v>2016</v>
      </c>
      <c r="D280" t="str">
        <f>Stdev!C440</f>
        <v>future_SSB</v>
      </c>
      <c r="E280" s="27">
        <f>Stdev!D77</f>
        <v>3914.7</v>
      </c>
      <c r="F280" s="27">
        <f>Stdev!E77</f>
        <v>568.78</v>
      </c>
      <c r="L280">
        <f>Stdev!B64</f>
        <v>1452</v>
      </c>
      <c r="M280" t="str">
        <f>Stdev!C64</f>
        <v>future_SSB</v>
      </c>
      <c r="N280">
        <f>Stdev!D64</f>
        <v>3982.5</v>
      </c>
      <c r="O280">
        <f>Stdev!E64</f>
        <v>505.08</v>
      </c>
      <c r="AN280" s="1"/>
      <c r="AO280" s="1"/>
    </row>
    <row r="281" spans="2:41" x14ac:dyDescent="0.15">
      <c r="C281">
        <v>2017</v>
      </c>
      <c r="D281" t="str">
        <f>Stdev!C441</f>
        <v>future_SSB</v>
      </c>
      <c r="E281" s="27">
        <f>Stdev!D78</f>
        <v>4011.3</v>
      </c>
      <c r="F281" s="27">
        <f>Stdev!E78</f>
        <v>752.31</v>
      </c>
      <c r="L281">
        <f>Stdev!B65</f>
        <v>1453</v>
      </c>
      <c r="M281" t="str">
        <f>Stdev!C65</f>
        <v>future_SSB</v>
      </c>
      <c r="N281">
        <f>Stdev!D65</f>
        <v>4169.8999999999996</v>
      </c>
      <c r="O281">
        <f>Stdev!E65</f>
        <v>569.87</v>
      </c>
      <c r="AN281" s="1"/>
      <c r="AO281" s="1"/>
    </row>
    <row r="282" spans="2:41" x14ac:dyDescent="0.15">
      <c r="C282">
        <v>2018</v>
      </c>
      <c r="D282" t="str">
        <f>Stdev!C442</f>
        <v>future_SSB</v>
      </c>
      <c r="E282" s="27">
        <f>Stdev!D79</f>
        <v>4102.5</v>
      </c>
      <c r="F282" s="27">
        <f>Stdev!E79</f>
        <v>952.77</v>
      </c>
      <c r="L282">
        <f>Stdev!B66</f>
        <v>1454</v>
      </c>
      <c r="M282" t="str">
        <f>Stdev!C66</f>
        <v>future_SSB</v>
      </c>
      <c r="N282">
        <f>Stdev!D66</f>
        <v>4347.6000000000004</v>
      </c>
      <c r="O282">
        <f>Stdev!E66</f>
        <v>757.93</v>
      </c>
      <c r="AN282" s="1"/>
      <c r="AO282" s="1"/>
    </row>
    <row r="283" spans="2:41" x14ac:dyDescent="0.15">
      <c r="B283">
        <v>1000</v>
      </c>
      <c r="C283">
        <v>2013</v>
      </c>
      <c r="D283" t="str">
        <f>Stdev!C443</f>
        <v>future_SSB</v>
      </c>
      <c r="E283" s="27">
        <f>Stdev!D80</f>
        <v>3483.4</v>
      </c>
      <c r="F283" s="27">
        <f>Stdev!E80</f>
        <v>397.65</v>
      </c>
      <c r="L283">
        <f>Stdev!B67</f>
        <v>1455</v>
      </c>
      <c r="M283" t="str">
        <f>Stdev!C67</f>
        <v>future_SSB</v>
      </c>
      <c r="N283">
        <f>Stdev!D67</f>
        <v>4492.8999999999996</v>
      </c>
      <c r="O283">
        <f>Stdev!E67</f>
        <v>970.59</v>
      </c>
      <c r="AN283" s="1"/>
      <c r="AO283" s="1"/>
    </row>
    <row r="284" spans="2:41" x14ac:dyDescent="0.15">
      <c r="C284">
        <v>2014</v>
      </c>
      <c r="D284" t="str">
        <f>Stdev!C444</f>
        <v>future_SSB</v>
      </c>
      <c r="E284" s="27">
        <f>Stdev!D81</f>
        <v>3628.5</v>
      </c>
      <c r="F284" s="27">
        <f>Stdev!E81</f>
        <v>445.55</v>
      </c>
      <c r="L284">
        <f>Stdev!B68</f>
        <v>1456</v>
      </c>
      <c r="M284" t="str">
        <f>Stdev!C68</f>
        <v>future_SSB</v>
      </c>
      <c r="N284">
        <f>Stdev!D68</f>
        <v>3483.4</v>
      </c>
      <c r="O284">
        <f>Stdev!E68</f>
        <v>397.65</v>
      </c>
      <c r="AN284" s="1"/>
      <c r="AO284" s="1"/>
    </row>
    <row r="285" spans="2:41" x14ac:dyDescent="0.15">
      <c r="C285">
        <v>2015</v>
      </c>
      <c r="D285" t="str">
        <f>Stdev!C445</f>
        <v>future_SSB</v>
      </c>
      <c r="E285" s="27">
        <f>Stdev!D82</f>
        <v>3758</v>
      </c>
      <c r="F285" s="27">
        <f>Stdev!E82</f>
        <v>506.89</v>
      </c>
      <c r="L285">
        <f>Stdev!B69</f>
        <v>1457</v>
      </c>
      <c r="M285" t="str">
        <f>Stdev!C69</f>
        <v>future_SSB</v>
      </c>
      <c r="N285">
        <f>Stdev!D69</f>
        <v>3662.6</v>
      </c>
      <c r="O285">
        <f>Stdev!E69</f>
        <v>445.05</v>
      </c>
      <c r="AN285" s="1"/>
      <c r="AO285" s="1"/>
    </row>
    <row r="286" spans="2:41" x14ac:dyDescent="0.15">
      <c r="C286">
        <v>2016</v>
      </c>
      <c r="D286" t="str">
        <f>Stdev!C446</f>
        <v>future_SSB</v>
      </c>
      <c r="E286" s="27">
        <f>Stdev!D83</f>
        <v>3792</v>
      </c>
      <c r="F286" s="27">
        <f>Stdev!E83</f>
        <v>568.03</v>
      </c>
      <c r="L286">
        <f>Stdev!B70</f>
        <v>1458</v>
      </c>
      <c r="M286" t="str">
        <f>Stdev!C70</f>
        <v>future_SSB</v>
      </c>
      <c r="N286">
        <f>Stdev!D70</f>
        <v>3907.1</v>
      </c>
      <c r="O286">
        <f>Stdev!E70</f>
        <v>505.63</v>
      </c>
      <c r="AN286" s="1"/>
      <c r="AO286" s="1"/>
    </row>
    <row r="287" spans="2:41" x14ac:dyDescent="0.15">
      <c r="C287">
        <v>2017</v>
      </c>
      <c r="D287" t="str">
        <f>Stdev!C447</f>
        <v>future_SSB</v>
      </c>
      <c r="E287" s="27">
        <f>Stdev!D84</f>
        <v>3853.8</v>
      </c>
      <c r="F287" s="27">
        <f>Stdev!E84</f>
        <v>749.07</v>
      </c>
      <c r="L287">
        <f>Stdev!B71</f>
        <v>1459</v>
      </c>
      <c r="M287" t="str">
        <f>Stdev!C71</f>
        <v>future_SSB</v>
      </c>
      <c r="N287">
        <f>Stdev!D71</f>
        <v>4040.7</v>
      </c>
      <c r="O287">
        <f>Stdev!E71</f>
        <v>569.38</v>
      </c>
      <c r="AN287" s="1"/>
      <c r="AO287" s="1"/>
    </row>
    <row r="288" spans="2:41" x14ac:dyDescent="0.15">
      <c r="C288">
        <v>2018</v>
      </c>
      <c r="D288" t="str">
        <f>Stdev!C448</f>
        <v>future_SSB</v>
      </c>
      <c r="E288" s="27">
        <f>Stdev!D85</f>
        <v>3923.5</v>
      </c>
      <c r="F288" s="27">
        <f>Stdev!E85</f>
        <v>943.45</v>
      </c>
      <c r="L288">
        <f>Stdev!B72</f>
        <v>1460</v>
      </c>
      <c r="M288" t="str">
        <f>Stdev!C72</f>
        <v>future_SSB</v>
      </c>
      <c r="N288">
        <f>Stdev!D72</f>
        <v>4175.8</v>
      </c>
      <c r="O288">
        <f>Stdev!E72</f>
        <v>755.24</v>
      </c>
      <c r="AN288" s="1"/>
      <c r="AO288" s="1"/>
    </row>
    <row r="289" spans="2:41" x14ac:dyDescent="0.15">
      <c r="B289">
        <v>1100</v>
      </c>
      <c r="C289">
        <v>2013</v>
      </c>
      <c r="D289" t="str">
        <f>Stdev!C449</f>
        <v>future_SSB</v>
      </c>
      <c r="E289" s="27">
        <f>Stdev!D86</f>
        <v>3483.4</v>
      </c>
      <c r="F289" s="27">
        <f>Stdev!E86</f>
        <v>397.65</v>
      </c>
      <c r="L289">
        <f>Stdev!B73</f>
        <v>1461</v>
      </c>
      <c r="M289" t="str">
        <f>Stdev!C73</f>
        <v>future_SSB</v>
      </c>
      <c r="N289">
        <f>Stdev!D73</f>
        <v>4292.2</v>
      </c>
      <c r="O289">
        <f>Stdev!E73</f>
        <v>961.8</v>
      </c>
      <c r="AN289" s="1"/>
      <c r="AO289" s="1"/>
    </row>
    <row r="290" spans="2:41" x14ac:dyDescent="0.15">
      <c r="C290">
        <v>2014</v>
      </c>
      <c r="D290" t="str">
        <f>Stdev!C450</f>
        <v>future_SSB</v>
      </c>
      <c r="E290" s="27">
        <f>Stdev!D87</f>
        <v>3611.1</v>
      </c>
      <c r="F290" s="27">
        <f>Stdev!E87</f>
        <v>445.87</v>
      </c>
      <c r="L290">
        <f>Stdev!B74</f>
        <v>1462</v>
      </c>
      <c r="M290" t="str">
        <f>Stdev!C74</f>
        <v>future_SSB</v>
      </c>
      <c r="N290">
        <f>Stdev!D74</f>
        <v>3483.4</v>
      </c>
      <c r="O290">
        <f>Stdev!E74</f>
        <v>397.65</v>
      </c>
      <c r="AN290" s="1"/>
      <c r="AO290" s="1"/>
    </row>
    <row r="291" spans="2:41" x14ac:dyDescent="0.15">
      <c r="C291">
        <v>2015</v>
      </c>
      <c r="D291" t="str">
        <f>Stdev!C451</f>
        <v>future_SSB</v>
      </c>
      <c r="E291" s="27">
        <f>Stdev!D88</f>
        <v>3684.2</v>
      </c>
      <c r="F291" s="27">
        <f>Stdev!E88</f>
        <v>507.59</v>
      </c>
      <c r="L291">
        <f>Stdev!B75</f>
        <v>1463</v>
      </c>
      <c r="M291" t="str">
        <f>Stdev!C75</f>
        <v>future_SSB</v>
      </c>
      <c r="N291">
        <f>Stdev!D75</f>
        <v>3645.7</v>
      </c>
      <c r="O291">
        <f>Stdev!E75</f>
        <v>445.28</v>
      </c>
    </row>
    <row r="292" spans="2:41" x14ac:dyDescent="0.15">
      <c r="C292">
        <v>2016</v>
      </c>
      <c r="D292" t="str">
        <f>Stdev!C452</f>
        <v>future_SSB</v>
      </c>
      <c r="E292" s="27">
        <f>Stdev!D89</f>
        <v>3672.6</v>
      </c>
      <c r="F292" s="27">
        <f>Stdev!E89</f>
        <v>567.11</v>
      </c>
      <c r="L292">
        <f>Stdev!B76</f>
        <v>1464</v>
      </c>
      <c r="M292" t="str">
        <f>Stdev!C76</f>
        <v>future_SSB</v>
      </c>
      <c r="N292">
        <f>Stdev!D76</f>
        <v>3832.3</v>
      </c>
      <c r="O292">
        <f>Stdev!E76</f>
        <v>506.23</v>
      </c>
    </row>
    <row r="293" spans="2:41" x14ac:dyDescent="0.15">
      <c r="C293">
        <v>2017</v>
      </c>
      <c r="D293" t="str">
        <f>Stdev!C453</f>
        <v>future_SSB</v>
      </c>
      <c r="E293" s="27">
        <f>Stdev!D90</f>
        <v>3703</v>
      </c>
      <c r="F293" s="27">
        <f>Stdev!E90</f>
        <v>745.5</v>
      </c>
      <c r="L293">
        <f>Stdev!B77</f>
        <v>1465</v>
      </c>
      <c r="M293" t="str">
        <f>Stdev!C77</f>
        <v>future_SSB</v>
      </c>
      <c r="N293">
        <f>Stdev!D77</f>
        <v>3914.7</v>
      </c>
      <c r="O293">
        <f>Stdev!E77</f>
        <v>568.78</v>
      </c>
      <c r="AN293" s="1"/>
      <c r="AO293" s="1"/>
    </row>
    <row r="294" spans="2:41" x14ac:dyDescent="0.15">
      <c r="C294">
        <v>2018</v>
      </c>
      <c r="D294" t="str">
        <f>Stdev!C454</f>
        <v>future_SSB</v>
      </c>
      <c r="E294" s="27">
        <f>Stdev!D91</f>
        <v>3754.6</v>
      </c>
      <c r="F294" s="27">
        <f>Stdev!E91</f>
        <v>933.82</v>
      </c>
      <c r="L294">
        <f>Stdev!B78</f>
        <v>1466</v>
      </c>
      <c r="M294" t="str">
        <f>Stdev!C78</f>
        <v>future_SSB</v>
      </c>
      <c r="N294">
        <f>Stdev!D78</f>
        <v>4011.3</v>
      </c>
      <c r="O294">
        <f>Stdev!E78</f>
        <v>752.31</v>
      </c>
      <c r="AN294" s="1"/>
      <c r="AO294" s="1"/>
    </row>
    <row r="295" spans="2:41" x14ac:dyDescent="0.15">
      <c r="B295">
        <v>1200</v>
      </c>
      <c r="C295">
        <v>2013</v>
      </c>
      <c r="D295" t="str">
        <f>Stdev!C455</f>
        <v>future_SSB</v>
      </c>
      <c r="E295" s="27">
        <f>Stdev!D92</f>
        <v>3483.4</v>
      </c>
      <c r="F295" s="27">
        <f>Stdev!E92</f>
        <v>397.65</v>
      </c>
      <c r="L295">
        <f>Stdev!B79</f>
        <v>1467</v>
      </c>
      <c r="M295" t="str">
        <f>Stdev!C79</f>
        <v>future_SSB</v>
      </c>
      <c r="N295">
        <f>Stdev!D79</f>
        <v>4102.5</v>
      </c>
      <c r="O295">
        <f>Stdev!E79</f>
        <v>952.77</v>
      </c>
      <c r="AN295" s="1"/>
      <c r="AO295" s="1"/>
    </row>
    <row r="296" spans="2:41" x14ac:dyDescent="0.15">
      <c r="C296">
        <v>2014</v>
      </c>
      <c r="D296" t="str">
        <f>Stdev!C456</f>
        <v>future_SSB</v>
      </c>
      <c r="E296" s="27">
        <f>Stdev!D93</f>
        <v>3593.5</v>
      </c>
      <c r="F296" s="27">
        <f>Stdev!E93</f>
        <v>446.24</v>
      </c>
      <c r="L296">
        <f>Stdev!B80</f>
        <v>1468</v>
      </c>
      <c r="M296" t="str">
        <f>Stdev!C80</f>
        <v>future_SSB</v>
      </c>
      <c r="N296">
        <f>Stdev!D80</f>
        <v>3483.4</v>
      </c>
      <c r="O296">
        <f>Stdev!E80</f>
        <v>397.65</v>
      </c>
      <c r="AN296" s="1"/>
      <c r="AO296" s="1"/>
    </row>
    <row r="297" spans="2:41" x14ac:dyDescent="0.15">
      <c r="C297">
        <v>2015</v>
      </c>
      <c r="D297" t="str">
        <f>Stdev!C457</f>
        <v>future_SSB</v>
      </c>
      <c r="E297" s="27">
        <f>Stdev!D94</f>
        <v>3610.9</v>
      </c>
      <c r="F297" s="27">
        <f>Stdev!E94</f>
        <v>508.33</v>
      </c>
      <c r="L297">
        <f>Stdev!B81</f>
        <v>1469</v>
      </c>
      <c r="M297" t="str">
        <f>Stdev!C81</f>
        <v>future_SSB</v>
      </c>
      <c r="N297">
        <f>Stdev!D81</f>
        <v>3628.5</v>
      </c>
      <c r="O297">
        <f>Stdev!E81</f>
        <v>445.55</v>
      </c>
      <c r="AN297" s="1"/>
      <c r="AO297" s="1"/>
    </row>
    <row r="298" spans="2:41" x14ac:dyDescent="0.15">
      <c r="C298">
        <v>2016</v>
      </c>
      <c r="D298" t="str">
        <f>Stdev!C458</f>
        <v>future_SSB</v>
      </c>
      <c r="E298" s="27">
        <f>Stdev!D95</f>
        <v>3556.3</v>
      </c>
      <c r="F298" s="27">
        <f>Stdev!E95</f>
        <v>565.98</v>
      </c>
      <c r="L298">
        <f>Stdev!B82</f>
        <v>1470</v>
      </c>
      <c r="M298" t="str">
        <f>Stdev!C82</f>
        <v>future_SSB</v>
      </c>
      <c r="N298">
        <f>Stdev!D82</f>
        <v>3758</v>
      </c>
      <c r="O298">
        <f>Stdev!E82</f>
        <v>506.89</v>
      </c>
      <c r="AN298" s="1"/>
      <c r="AO298" s="1"/>
    </row>
    <row r="299" spans="2:41" x14ac:dyDescent="0.15">
      <c r="C299">
        <v>2017</v>
      </c>
      <c r="D299" t="str">
        <f>Stdev!C459</f>
        <v>future_SSB</v>
      </c>
      <c r="E299" s="27">
        <f>Stdev!D96</f>
        <v>3558.9</v>
      </c>
      <c r="F299" s="27">
        <f>Stdev!E96</f>
        <v>741.56</v>
      </c>
      <c r="L299">
        <f>Stdev!B83</f>
        <v>1471</v>
      </c>
      <c r="M299" t="str">
        <f>Stdev!C83</f>
        <v>future_SSB</v>
      </c>
      <c r="N299">
        <f>Stdev!D83</f>
        <v>3792</v>
      </c>
      <c r="O299">
        <f>Stdev!E83</f>
        <v>568.03</v>
      </c>
      <c r="AN299" s="1"/>
      <c r="AO299" s="1"/>
    </row>
    <row r="300" spans="2:41" x14ac:dyDescent="0.15">
      <c r="C300">
        <v>2018</v>
      </c>
      <c r="D300" t="str">
        <f>Stdev!C538</f>
        <v>log_avg_F</v>
      </c>
      <c r="E300" s="27">
        <f>Stdev!D97</f>
        <v>3595.2</v>
      </c>
      <c r="F300" s="27">
        <f>Stdev!E97</f>
        <v>923.87</v>
      </c>
      <c r="L300">
        <f>Stdev!B84</f>
        <v>1472</v>
      </c>
      <c r="M300" t="str">
        <f>Stdev!C84</f>
        <v>future_SSB</v>
      </c>
      <c r="N300">
        <f>Stdev!D84</f>
        <v>3853.8</v>
      </c>
      <c r="O300">
        <f>Stdev!E84</f>
        <v>749.07</v>
      </c>
      <c r="AN300" s="1"/>
      <c r="AO300" s="1"/>
    </row>
    <row r="301" spans="2:41" x14ac:dyDescent="0.15">
      <c r="E301" s="27"/>
      <c r="F301" s="27"/>
      <c r="L301">
        <f>Stdev!B85</f>
        <v>1473</v>
      </c>
      <c r="M301" t="str">
        <f>Stdev!C85</f>
        <v>future_SSB</v>
      </c>
      <c r="N301">
        <f>Stdev!D85</f>
        <v>3923.5</v>
      </c>
      <c r="O301">
        <f>Stdev!E85</f>
        <v>943.45</v>
      </c>
      <c r="AN301" s="1"/>
      <c r="AO301" s="1"/>
    </row>
    <row r="302" spans="2:41" x14ac:dyDescent="0.15">
      <c r="E302" s="27"/>
      <c r="F302" s="27"/>
      <c r="L302">
        <f>Stdev!B86</f>
        <v>1474</v>
      </c>
      <c r="M302" t="str">
        <f>Stdev!C86</f>
        <v>future_SSB</v>
      </c>
      <c r="N302">
        <f>Stdev!D86</f>
        <v>3483.4</v>
      </c>
      <c r="O302">
        <f>Stdev!E86</f>
        <v>397.65</v>
      </c>
      <c r="AN302" s="1"/>
      <c r="AO302" s="1"/>
    </row>
    <row r="303" spans="2:41" x14ac:dyDescent="0.15">
      <c r="C303">
        <f>Stdev!B439</f>
        <v>1394</v>
      </c>
      <c r="D303" t="str">
        <f>Stdev!C439</f>
        <v>future_SSB</v>
      </c>
      <c r="E303">
        <f>Stdev!D439</f>
        <v>2963.8</v>
      </c>
      <c r="F303" s="1">
        <f>Stdev!E439*2</f>
        <v>845.42</v>
      </c>
      <c r="L303">
        <f>Stdev!B87</f>
        <v>1475</v>
      </c>
      <c r="M303" t="str">
        <f>Stdev!C87</f>
        <v>future_SSB</v>
      </c>
      <c r="N303">
        <f>Stdev!D87</f>
        <v>3611.1</v>
      </c>
      <c r="O303">
        <f>Stdev!E87</f>
        <v>445.87</v>
      </c>
      <c r="AN303" s="1"/>
      <c r="AO303" s="1"/>
    </row>
    <row r="304" spans="2:41" x14ac:dyDescent="0.15">
      <c r="C304">
        <f>Stdev!B440</f>
        <v>1395</v>
      </c>
      <c r="D304" t="str">
        <f>Stdev!C440</f>
        <v>future_SSB</v>
      </c>
      <c r="E304">
        <f>Stdev!D440</f>
        <v>3201.3</v>
      </c>
      <c r="F304" s="1">
        <f>Stdev!E440*2</f>
        <v>1205.82</v>
      </c>
      <c r="L304">
        <f>Stdev!B88</f>
        <v>1476</v>
      </c>
      <c r="M304" t="str">
        <f>Stdev!C88</f>
        <v>future_SSB</v>
      </c>
      <c r="N304">
        <f>Stdev!D88</f>
        <v>3684.2</v>
      </c>
      <c r="O304">
        <f>Stdev!E88</f>
        <v>507.59</v>
      </c>
      <c r="AN304" s="1"/>
      <c r="AO304" s="1"/>
    </row>
    <row r="305" spans="3:41" x14ac:dyDescent="0.15">
      <c r="C305">
        <f>Stdev!B441</f>
        <v>1396</v>
      </c>
      <c r="D305" t="str">
        <f>Stdev!C441</f>
        <v>future_SSB</v>
      </c>
      <c r="E305">
        <f>Stdev!D441</f>
        <v>3530.2</v>
      </c>
      <c r="F305" s="1">
        <f>Stdev!E441*2</f>
        <v>1742.22</v>
      </c>
      <c r="L305">
        <f>Stdev!B89</f>
        <v>1477</v>
      </c>
      <c r="M305" t="str">
        <f>Stdev!C89</f>
        <v>future_SSB</v>
      </c>
      <c r="N305">
        <f>Stdev!D89</f>
        <v>3672.6</v>
      </c>
      <c r="O305">
        <f>Stdev!E89</f>
        <v>567.11</v>
      </c>
      <c r="AN305" s="1"/>
      <c r="AO305" s="1"/>
    </row>
    <row r="306" spans="3:41" x14ac:dyDescent="0.15">
      <c r="C306">
        <f>Stdev!B442</f>
        <v>1397</v>
      </c>
      <c r="D306" t="str">
        <f>Stdev!C442</f>
        <v>future_SSB</v>
      </c>
      <c r="E306">
        <f>Stdev!D442</f>
        <v>2649.5</v>
      </c>
      <c r="F306" s="1">
        <f>Stdev!E442*2</f>
        <v>633.58000000000004</v>
      </c>
      <c r="L306">
        <f>Stdev!B90</f>
        <v>1478</v>
      </c>
      <c r="M306" t="str">
        <f>Stdev!C90</f>
        <v>future_SSB</v>
      </c>
      <c r="N306">
        <f>Stdev!D90</f>
        <v>3703</v>
      </c>
      <c r="O306">
        <f>Stdev!E90</f>
        <v>745.5</v>
      </c>
      <c r="AN306" s="1"/>
      <c r="AO306" s="1"/>
    </row>
    <row r="307" spans="3:41" x14ac:dyDescent="0.15">
      <c r="C307">
        <f>Stdev!B443</f>
        <v>1398</v>
      </c>
      <c r="D307" t="str">
        <f>Stdev!C443</f>
        <v>future_SSB</v>
      </c>
      <c r="E307">
        <f>Stdev!D443</f>
        <v>2701</v>
      </c>
      <c r="F307" s="1">
        <f>Stdev!E443*2</f>
        <v>721.92</v>
      </c>
      <c r="L307">
        <f>Stdev!B91</f>
        <v>1479</v>
      </c>
      <c r="M307" t="str">
        <f>Stdev!C91</f>
        <v>future_SSB</v>
      </c>
      <c r="N307">
        <f>Stdev!D91</f>
        <v>3754.6</v>
      </c>
      <c r="O307">
        <f>Stdev!E91</f>
        <v>933.82</v>
      </c>
      <c r="AN307" s="1"/>
      <c r="AO307" s="1"/>
    </row>
    <row r="308" spans="3:41" x14ac:dyDescent="0.15">
      <c r="C308">
        <f>Stdev!B444</f>
        <v>1399</v>
      </c>
      <c r="D308" t="str">
        <f>Stdev!C444</f>
        <v>future_SSB</v>
      </c>
      <c r="E308">
        <f>Stdev!D444</f>
        <v>2777.3</v>
      </c>
      <c r="F308" s="1">
        <f>Stdev!E444*2</f>
        <v>757.44</v>
      </c>
      <c r="L308">
        <f>Stdev!B92</f>
        <v>1480</v>
      </c>
      <c r="M308" t="str">
        <f>Stdev!C92</f>
        <v>future_SSB</v>
      </c>
      <c r="N308">
        <f>Stdev!D92</f>
        <v>3483.4</v>
      </c>
      <c r="O308">
        <f>Stdev!E92</f>
        <v>397.65</v>
      </c>
      <c r="AN308" s="1"/>
      <c r="AO308" s="1"/>
    </row>
    <row r="309" spans="3:41" x14ac:dyDescent="0.15">
      <c r="C309">
        <f>Stdev!B445</f>
        <v>1400</v>
      </c>
      <c r="D309" t="str">
        <f>Stdev!C445</f>
        <v>future_SSB</v>
      </c>
      <c r="E309">
        <f>Stdev!D445</f>
        <v>2873.9</v>
      </c>
      <c r="F309" s="1">
        <f>Stdev!E445*2</f>
        <v>842.52</v>
      </c>
      <c r="L309">
        <f>Stdev!B93</f>
        <v>1481</v>
      </c>
      <c r="M309" t="str">
        <f>Stdev!C93</f>
        <v>future_SSB</v>
      </c>
      <c r="N309">
        <f>Stdev!D93</f>
        <v>3593.5</v>
      </c>
      <c r="O309">
        <f>Stdev!E93</f>
        <v>446.24</v>
      </c>
      <c r="AN309" s="1"/>
      <c r="AO309" s="1"/>
    </row>
    <row r="310" spans="3:41" x14ac:dyDescent="0.15">
      <c r="C310">
        <f>Stdev!B446</f>
        <v>1401</v>
      </c>
      <c r="D310" t="str">
        <f>Stdev!C446</f>
        <v>future_SSB</v>
      </c>
      <c r="E310">
        <f>Stdev!D446</f>
        <v>3088.1</v>
      </c>
      <c r="F310" s="1">
        <f>Stdev!E446*2</f>
        <v>1200</v>
      </c>
      <c r="L310">
        <f>Stdev!B94</f>
        <v>1482</v>
      </c>
      <c r="M310" t="str">
        <f>Stdev!C94</f>
        <v>future_SSB</v>
      </c>
      <c r="N310">
        <f>Stdev!D94</f>
        <v>3610.9</v>
      </c>
      <c r="O310">
        <f>Stdev!E94</f>
        <v>508.33</v>
      </c>
      <c r="AN310" s="1"/>
      <c r="AO310" s="1"/>
    </row>
    <row r="311" spans="3:41" x14ac:dyDescent="0.15">
      <c r="C311">
        <f>Stdev!B447</f>
        <v>1402</v>
      </c>
      <c r="D311" t="str">
        <f>Stdev!C447</f>
        <v>future_SSB</v>
      </c>
      <c r="E311">
        <f>Stdev!D447</f>
        <v>3397.5</v>
      </c>
      <c r="F311" s="1">
        <f>Stdev!E447*2</f>
        <v>1725.9</v>
      </c>
      <c r="L311">
        <f>Stdev!B95</f>
        <v>1483</v>
      </c>
      <c r="M311" t="str">
        <f>Stdev!C95</f>
        <v>future_SSB</v>
      </c>
      <c r="N311">
        <f>Stdev!D95</f>
        <v>3556.3</v>
      </c>
      <c r="O311">
        <f>Stdev!E95</f>
        <v>565.98</v>
      </c>
      <c r="AN311" s="1"/>
      <c r="AO311" s="1"/>
    </row>
    <row r="312" spans="3:41" x14ac:dyDescent="0.15">
      <c r="C312">
        <f>Stdev!B448</f>
        <v>1403</v>
      </c>
      <c r="D312" t="str">
        <f>Stdev!C448</f>
        <v>future_SSB</v>
      </c>
      <c r="E312">
        <f>Stdev!D448</f>
        <v>2649.5</v>
      </c>
      <c r="F312" s="1">
        <f>Stdev!E448*2</f>
        <v>633.58000000000004</v>
      </c>
      <c r="L312">
        <f>Stdev!B96</f>
        <v>1484</v>
      </c>
      <c r="M312" t="str">
        <f>Stdev!C96</f>
        <v>future_SSB</v>
      </c>
      <c r="N312">
        <f>Stdev!D96</f>
        <v>3558.9</v>
      </c>
      <c r="O312">
        <f>Stdev!E96</f>
        <v>741.56</v>
      </c>
      <c r="AN312" s="1"/>
      <c r="AO312" s="1"/>
    </row>
    <row r="313" spans="3:41" x14ac:dyDescent="0.15">
      <c r="C313">
        <f>Stdev!B449</f>
        <v>1404</v>
      </c>
      <c r="D313" t="str">
        <f>Stdev!C449</f>
        <v>future_SSB</v>
      </c>
      <c r="E313">
        <f>Stdev!D449</f>
        <v>2687.8</v>
      </c>
      <c r="F313" s="1">
        <f>Stdev!E449*2</f>
        <v>722.28</v>
      </c>
      <c r="L313">
        <f>Stdev!B97</f>
        <v>1485</v>
      </c>
      <c r="M313" t="str">
        <f>Stdev!C97</f>
        <v>future_SSB</v>
      </c>
      <c r="N313">
        <f>Stdev!D97</f>
        <v>3595.2</v>
      </c>
      <c r="O313">
        <f>Stdev!E97</f>
        <v>923.87</v>
      </c>
      <c r="AN313" s="1"/>
      <c r="AO313" s="1"/>
    </row>
    <row r="314" spans="3:41" x14ac:dyDescent="0.15">
      <c r="C314">
        <f>Stdev!B450</f>
        <v>1405</v>
      </c>
      <c r="D314" t="str">
        <f>Stdev!C450</f>
        <v>future_SSB</v>
      </c>
      <c r="E314">
        <f>Stdev!D450</f>
        <v>2721.2</v>
      </c>
      <c r="F314" s="1">
        <f>Stdev!E450*2</f>
        <v>756.76</v>
      </c>
      <c r="AN314" s="1"/>
      <c r="AO314" s="1"/>
    </row>
    <row r="315" spans="3:41" x14ac:dyDescent="0.15">
      <c r="C315">
        <f>Stdev!B451</f>
        <v>1406</v>
      </c>
      <c r="D315" t="str">
        <f>Stdev!C451</f>
        <v>future_SSB</v>
      </c>
      <c r="E315">
        <f>Stdev!D451</f>
        <v>2786.4</v>
      </c>
      <c r="F315" s="1">
        <f>Stdev!E451*2</f>
        <v>839.22</v>
      </c>
      <c r="AN315" s="1"/>
      <c r="AO315" s="1"/>
    </row>
    <row r="316" spans="3:41" x14ac:dyDescent="0.15">
      <c r="C316">
        <f>Stdev!B452</f>
        <v>1407</v>
      </c>
      <c r="D316" t="str">
        <f>Stdev!C452</f>
        <v>future_SSB</v>
      </c>
      <c r="E316">
        <f>Stdev!D452</f>
        <v>2979.7</v>
      </c>
      <c r="F316" s="1">
        <f>Stdev!E452*2</f>
        <v>1193.6199999999999</v>
      </c>
      <c r="AN316" s="1"/>
      <c r="AO316" s="1"/>
    </row>
    <row r="317" spans="3:41" x14ac:dyDescent="0.15">
      <c r="C317">
        <f>Stdev!B453</f>
        <v>1408</v>
      </c>
      <c r="D317" t="str">
        <f>Stdev!C453</f>
        <v>future_SSB</v>
      </c>
      <c r="E317">
        <f>Stdev!D453</f>
        <v>3271.9</v>
      </c>
      <c r="F317" s="1">
        <f>Stdev!E453*2</f>
        <v>1709.04</v>
      </c>
      <c r="AN317" s="1"/>
      <c r="AO317" s="1"/>
    </row>
    <row r="318" spans="3:41" x14ac:dyDescent="0.15">
      <c r="C318">
        <f>Stdev!B454</f>
        <v>1409</v>
      </c>
      <c r="D318" t="str">
        <f>Stdev!C454</f>
        <v>future_SSB</v>
      </c>
      <c r="E318">
        <f>Stdev!D454</f>
        <v>2649.5</v>
      </c>
      <c r="F318" s="1">
        <f>Stdev!E454*2</f>
        <v>633.58000000000004</v>
      </c>
      <c r="AN318" s="1"/>
      <c r="AO318" s="1"/>
    </row>
    <row r="319" spans="3:41" x14ac:dyDescent="0.15">
      <c r="C319">
        <f>Stdev!B455</f>
        <v>1410</v>
      </c>
      <c r="D319" t="str">
        <f>Stdev!C455</f>
        <v>future_SSB</v>
      </c>
      <c r="E319">
        <f>Stdev!D455</f>
        <v>2674.3</v>
      </c>
      <c r="F319" s="1">
        <f>Stdev!E455*2</f>
        <v>722.68</v>
      </c>
      <c r="AN319" s="1"/>
      <c r="AO319" s="1"/>
    </row>
    <row r="320" spans="3:41" x14ac:dyDescent="0.15">
      <c r="C320">
        <f>Stdev!B456</f>
        <v>1411</v>
      </c>
      <c r="D320" t="str">
        <f>Stdev!C456</f>
        <v>future_SSB</v>
      </c>
      <c r="E320">
        <f>Stdev!D456</f>
        <v>2665.4</v>
      </c>
      <c r="F320" s="1">
        <f>Stdev!E456*2</f>
        <v>755.98</v>
      </c>
      <c r="AN320" s="1"/>
      <c r="AO320" s="1"/>
    </row>
    <row r="321" spans="3:41" x14ac:dyDescent="0.15">
      <c r="C321">
        <f>Stdev!B457</f>
        <v>1412</v>
      </c>
      <c r="D321" t="str">
        <f>Stdev!C457</f>
        <v>future_SSB</v>
      </c>
      <c r="E321">
        <f>Stdev!D457</f>
        <v>2701.2</v>
      </c>
      <c r="F321" s="1">
        <f>Stdev!E457*2</f>
        <v>835.5</v>
      </c>
      <c r="AN321" s="1"/>
      <c r="AO321" s="1"/>
    </row>
    <row r="322" spans="3:41" x14ac:dyDescent="0.15">
      <c r="C322">
        <f>Stdev!B458</f>
        <v>1413</v>
      </c>
      <c r="D322" t="str">
        <f>Stdev!C458</f>
        <v>future_SSB</v>
      </c>
      <c r="E322">
        <f>Stdev!D458</f>
        <v>2876</v>
      </c>
      <c r="F322" s="1">
        <f>Stdev!E458*2</f>
        <v>1186.74</v>
      </c>
      <c r="AN322" s="1"/>
      <c r="AO322" s="1"/>
    </row>
    <row r="323" spans="3:41" x14ac:dyDescent="0.15">
      <c r="C323">
        <f>Stdev!B459</f>
        <v>1414</v>
      </c>
      <c r="D323" t="str">
        <f>Stdev!C459</f>
        <v>future_SSB</v>
      </c>
      <c r="E323">
        <f>Stdev!D459</f>
        <v>3153</v>
      </c>
      <c r="F323" s="1">
        <f>Stdev!E459*2</f>
        <v>1691.7</v>
      </c>
      <c r="AN323" s="1"/>
      <c r="AO323" s="1"/>
    </row>
    <row r="324" spans="3:41" x14ac:dyDescent="0.15">
      <c r="C324">
        <f>Stdev!B538</f>
        <v>3</v>
      </c>
      <c r="D324" t="str">
        <f>Stdev!C538</f>
        <v>log_avg_F</v>
      </c>
      <c r="E324">
        <f>Stdev!D538</f>
        <v>-1.4613</v>
      </c>
      <c r="F324" s="1">
        <f>Stdev!E538*2</f>
        <v>0.168438</v>
      </c>
      <c r="AN324" s="1"/>
      <c r="AO324" s="1"/>
    </row>
    <row r="325" spans="3:41" x14ac:dyDescent="0.15">
      <c r="C325">
        <f>Stdev!B540</f>
        <v>76</v>
      </c>
      <c r="D325" t="str">
        <f>Stdev!C540</f>
        <v>log_F_devs</v>
      </c>
      <c r="E325">
        <f>Stdev!D540</f>
        <v>-0.41335</v>
      </c>
      <c r="F325" s="1">
        <f>Stdev!E540*2</f>
        <v>0.59396000000000004</v>
      </c>
      <c r="AN325" s="1"/>
      <c r="AO325" s="1"/>
    </row>
    <row r="326" spans="3:41" x14ac:dyDescent="0.15">
      <c r="C326">
        <f>Stdev!B541</f>
        <v>77</v>
      </c>
      <c r="D326" t="str">
        <f>Stdev!C541</f>
        <v>log_F_devs</v>
      </c>
      <c r="E326">
        <f>Stdev!D541</f>
        <v>-0.57767999999999997</v>
      </c>
      <c r="F326" s="1">
        <f>Stdev!E541*2</f>
        <v>0.43380000000000002</v>
      </c>
      <c r="AN326" s="1"/>
      <c r="AO326" s="1"/>
    </row>
    <row r="327" spans="3:41" x14ac:dyDescent="0.15">
      <c r="C327">
        <f>Stdev!B542</f>
        <v>78</v>
      </c>
      <c r="D327" t="str">
        <f>Stdev!C542</f>
        <v>log_F_devs</v>
      </c>
      <c r="E327">
        <f>Stdev!D542</f>
        <v>-0.67913000000000001</v>
      </c>
      <c r="F327" s="1">
        <f>Stdev!E542*2</f>
        <v>0.41192000000000001</v>
      </c>
      <c r="AN327" s="1"/>
      <c r="AO327" s="1"/>
    </row>
    <row r="328" spans="3:41" x14ac:dyDescent="0.15">
      <c r="C328">
        <f>Stdev!B543</f>
        <v>79</v>
      </c>
      <c r="D328" t="str">
        <f>Stdev!C543</f>
        <v>log_F_devs</v>
      </c>
      <c r="E328">
        <f>Stdev!D543</f>
        <v>-0.16281000000000001</v>
      </c>
      <c r="F328" s="1">
        <f>Stdev!E543*2</f>
        <v>0.40495999999999999</v>
      </c>
      <c r="AN328" s="1"/>
      <c r="AO328" s="1"/>
    </row>
    <row r="329" spans="3:41" x14ac:dyDescent="0.15">
      <c r="C329">
        <f>Stdev!B544</f>
        <v>80</v>
      </c>
      <c r="D329" t="str">
        <f>Stdev!C544</f>
        <v>log_F_devs</v>
      </c>
      <c r="E329">
        <f>Stdev!D544</f>
        <v>-0.16603000000000001</v>
      </c>
      <c r="F329" s="1">
        <f>Stdev!E544*2</f>
        <v>0.38950000000000001</v>
      </c>
      <c r="AN329" s="1"/>
      <c r="AO329" s="1"/>
    </row>
    <row r="330" spans="3:41" x14ac:dyDescent="0.15">
      <c r="C330">
        <f>Stdev!B545</f>
        <v>81</v>
      </c>
      <c r="D330" t="str">
        <f>Stdev!C545</f>
        <v>log_F_devs</v>
      </c>
      <c r="E330">
        <f>Stdev!D545</f>
        <v>-0.21243999999999999</v>
      </c>
      <c r="F330" s="1">
        <f>Stdev!E545*2</f>
        <v>0.42886000000000002</v>
      </c>
      <c r="AN330" s="1"/>
      <c r="AO330" s="1"/>
    </row>
    <row r="331" spans="3:41" x14ac:dyDescent="0.15">
      <c r="C331">
        <f>Stdev!B546</f>
        <v>82</v>
      </c>
      <c r="D331" t="str">
        <f>Stdev!C546</f>
        <v>log_F_devs</v>
      </c>
      <c r="E331">
        <f>Stdev!D546</f>
        <v>0.22145000000000001</v>
      </c>
      <c r="F331" s="1">
        <f>Stdev!E546*2</f>
        <v>0.43103999999999998</v>
      </c>
      <c r="AN331" s="1"/>
      <c r="AO331" s="1"/>
    </row>
    <row r="332" spans="3:41" x14ac:dyDescent="0.15">
      <c r="C332">
        <f>Stdev!B547</f>
        <v>83</v>
      </c>
      <c r="D332" t="str">
        <f>Stdev!C547</f>
        <v>log_F_devs</v>
      </c>
      <c r="E332">
        <f>Stdev!D547</f>
        <v>0.61212999999999995</v>
      </c>
      <c r="F332" s="1">
        <f>Stdev!E547*2</f>
        <v>0.43240000000000001</v>
      </c>
      <c r="AN332" s="1"/>
      <c r="AO332" s="1"/>
    </row>
    <row r="333" spans="3:41" x14ac:dyDescent="0.15">
      <c r="C333">
        <f>Stdev!B548</f>
        <v>84</v>
      </c>
      <c r="D333" t="str">
        <f>Stdev!C548</f>
        <v>log_F_devs</v>
      </c>
      <c r="E333">
        <f>Stdev!D548</f>
        <v>0.67147999999999997</v>
      </c>
      <c r="F333" s="1">
        <f>Stdev!E548*2</f>
        <v>0.42970000000000003</v>
      </c>
      <c r="AN333" s="1"/>
      <c r="AO333" s="1"/>
    </row>
    <row r="334" spans="3:41" x14ac:dyDescent="0.15">
      <c r="C334">
        <f>Stdev!B549</f>
        <v>85</v>
      </c>
      <c r="D334" t="str">
        <f>Stdev!C549</f>
        <v>log_F_devs</v>
      </c>
      <c r="E334">
        <f>Stdev!D549</f>
        <v>0.81952999999999998</v>
      </c>
      <c r="F334" s="1">
        <f>Stdev!E549*2</f>
        <v>0.42952000000000001</v>
      </c>
      <c r="AN334" s="1"/>
      <c r="AO334" s="1"/>
    </row>
    <row r="335" spans="3:41" x14ac:dyDescent="0.15">
      <c r="C335">
        <f>Stdev!B550</f>
        <v>86</v>
      </c>
      <c r="D335" t="str">
        <f>Stdev!C550</f>
        <v>log_F_devs</v>
      </c>
      <c r="E335">
        <f>Stdev!D550</f>
        <v>0.80508999999999997</v>
      </c>
      <c r="F335" s="1">
        <f>Stdev!E550*2</f>
        <v>0.43012</v>
      </c>
      <c r="AN335" s="1"/>
      <c r="AO335" s="1"/>
    </row>
    <row r="336" spans="3:41" x14ac:dyDescent="0.15">
      <c r="C336">
        <f>Stdev!B551</f>
        <v>87</v>
      </c>
      <c r="D336" t="str">
        <f>Stdev!C551</f>
        <v>log_F_devs</v>
      </c>
      <c r="E336">
        <f>Stdev!D551</f>
        <v>0.65749999999999997</v>
      </c>
      <c r="F336" s="1">
        <f>Stdev!E551*2</f>
        <v>0.41521999999999998</v>
      </c>
      <c r="AN336" s="1"/>
      <c r="AO336" s="1"/>
    </row>
    <row r="337" spans="3:41" x14ac:dyDescent="0.15">
      <c r="C337">
        <f>Stdev!B552</f>
        <v>88</v>
      </c>
      <c r="D337" t="str">
        <f>Stdev!C552</f>
        <v>log_F_devs</v>
      </c>
      <c r="E337">
        <f>Stdev!D552</f>
        <v>0.51036000000000004</v>
      </c>
      <c r="F337" s="1">
        <f>Stdev!E552*2</f>
        <v>0.39335999999999999</v>
      </c>
      <c r="AN337" s="1"/>
      <c r="AO337" s="1"/>
    </row>
    <row r="338" spans="3:41" x14ac:dyDescent="0.15">
      <c r="F338" s="1"/>
      <c r="AN338" s="1"/>
      <c r="AO338" s="1"/>
    </row>
    <row r="339" spans="3:41" x14ac:dyDescent="0.15">
      <c r="C339">
        <f>Stdev!B561</f>
        <v>97</v>
      </c>
      <c r="D339" t="str">
        <f>Stdev!C561</f>
        <v>log_F_devs</v>
      </c>
      <c r="E339">
        <f>Stdev!D561</f>
        <v>-0.11656</v>
      </c>
      <c r="F339" s="1">
        <f>Stdev!E561*2</f>
        <v>0.75588</v>
      </c>
      <c r="H339" s="31">
        <f>MAX(pm.rep!B854:P854)</f>
        <v>0</v>
      </c>
      <c r="I339" s="31">
        <f>$H$339*E339</f>
        <v>0</v>
      </c>
      <c r="AN339" s="1"/>
      <c r="AO339" s="1"/>
    </row>
    <row r="340" spans="3:41" x14ac:dyDescent="0.15">
      <c r="C340">
        <f>Stdev!B562</f>
        <v>98</v>
      </c>
      <c r="D340" t="str">
        <f>Stdev!C562</f>
        <v>log_F_devs</v>
      </c>
      <c r="E340">
        <f>Stdev!D562</f>
        <v>-0.25459999999999999</v>
      </c>
      <c r="F340" s="1">
        <f>Stdev!E562*2</f>
        <v>0.66981999999999997</v>
      </c>
      <c r="I340" s="31">
        <f>$H$339*E340</f>
        <v>0</v>
      </c>
      <c r="AN340" s="1"/>
      <c r="AO340" s="1"/>
    </row>
    <row r="341" spans="3:41" x14ac:dyDescent="0.15">
      <c r="F341" s="1"/>
      <c r="I341" s="31"/>
      <c r="AN341" s="1"/>
      <c r="AO341" s="1"/>
    </row>
    <row r="342" spans="3:41" x14ac:dyDescent="0.15">
      <c r="C342">
        <f>Stdev!B563</f>
        <v>99</v>
      </c>
      <c r="D342" t="str">
        <f>Stdev!C594</f>
        <v>Fmsy2</v>
      </c>
      <c r="E342" s="71" t="str">
        <f>TEXT(Stdev!D594,"0.##0")</f>
        <v>0.493</v>
      </c>
      <c r="F342" s="1">
        <f>Stdev!E594*2</f>
        <v>0.31237999999999999</v>
      </c>
      <c r="I342" s="31">
        <f>$H$339*E342</f>
        <v>0</v>
      </c>
      <c r="AN342" s="1"/>
      <c r="AO342" s="1"/>
    </row>
    <row r="343" spans="3:41" x14ac:dyDescent="0.15">
      <c r="C343">
        <f>Stdev!B568</f>
        <v>104</v>
      </c>
      <c r="D343" t="str">
        <f>Stdev!C595</f>
        <v>lnFmsy</v>
      </c>
      <c r="E343">
        <f>Stdev!D595</f>
        <v>-0.31486999999999998</v>
      </c>
      <c r="F343">
        <f>Stdev!E595</f>
        <v>0.38288</v>
      </c>
      <c r="I343" s="31"/>
      <c r="AN343" s="1"/>
      <c r="AO343" s="1"/>
    </row>
    <row r="344" spans="3:41" x14ac:dyDescent="0.15">
      <c r="C344">
        <f>Stdev!B569</f>
        <v>105</v>
      </c>
      <c r="D344" t="str">
        <f>Stdev!C596</f>
        <v>lnFmsy2</v>
      </c>
      <c r="E344">
        <f>Stdev!D596</f>
        <v>-0.70692999999999995</v>
      </c>
      <c r="F344">
        <f>Stdev!E596</f>
        <v>0.31670999999999999</v>
      </c>
      <c r="AN344" s="1"/>
      <c r="AO344" s="1"/>
    </row>
    <row r="345" spans="3:41" x14ac:dyDescent="0.15">
      <c r="C345">
        <f>Stdev!B570</f>
        <v>106</v>
      </c>
      <c r="D345" t="str">
        <f>Stdev!C597</f>
        <v>SER_Fmsy</v>
      </c>
      <c r="E345">
        <f>Stdev!D597</f>
        <v>0.69506999999999997</v>
      </c>
      <c r="F345">
        <f>Stdev!E597</f>
        <v>5.8280999999999999E-2</v>
      </c>
      <c r="AN345" s="1"/>
      <c r="AO345" s="1"/>
    </row>
    <row r="346" spans="3:41" x14ac:dyDescent="0.15">
      <c r="D346" s="1" t="str">
        <f>Stdev!C692</f>
        <v>SER_Fmsy</v>
      </c>
      <c r="F346" s="1"/>
      <c r="AN346" s="1"/>
      <c r="AO346" s="1"/>
    </row>
    <row r="347" spans="3:41" x14ac:dyDescent="0.15">
      <c r="D347" s="1" t="str">
        <f>Stdev!C693</f>
        <v>SER</v>
      </c>
      <c r="E347" s="1">
        <f>Stdev!D693</f>
        <v>9.7247E-2</v>
      </c>
      <c r="F347" s="1">
        <f>Stdev!E693</f>
        <v>2.1569000000000001E-2</v>
      </c>
      <c r="AN347" s="1"/>
      <c r="AO347" s="1"/>
    </row>
    <row r="348" spans="3:41" x14ac:dyDescent="0.15">
      <c r="D348" s="1" t="str">
        <f>Stdev!C694</f>
        <v>SER</v>
      </c>
      <c r="E348" s="1">
        <f>Stdev!D694</f>
        <v>0.10691000000000001</v>
      </c>
      <c r="F348" s="1">
        <f>Stdev!E694</f>
        <v>2.2388000000000002E-2</v>
      </c>
      <c r="AN348" s="1"/>
      <c r="AO348" s="1"/>
    </row>
    <row r="349" spans="3:41" x14ac:dyDescent="0.15">
      <c r="D349" t="str">
        <f>Stdev!C577</f>
        <v>log_F_devs</v>
      </c>
      <c r="E349" s="1">
        <f>Stdev!D695</f>
        <v>9.3106999999999995E-2</v>
      </c>
      <c r="F349" s="1">
        <f>Stdev!E695</f>
        <v>1.7646999999999999E-2</v>
      </c>
      <c r="AN349" s="1"/>
      <c r="AO349" s="1"/>
    </row>
    <row r="350" spans="3:41" x14ac:dyDescent="0.15">
      <c r="D350" t="str">
        <f>Stdev!C578</f>
        <v>log_F_devs</v>
      </c>
      <c r="E350" s="1">
        <f>Stdev!D696</f>
        <v>0.14330999999999999</v>
      </c>
      <c r="F350" s="1">
        <f>Stdev!E696</f>
        <v>2.4865000000000002E-2</v>
      </c>
      <c r="I350">
        <f>1316/1863</f>
        <v>0.70638754696725714</v>
      </c>
      <c r="J350">
        <f>(I350-0.05)/0.95</f>
        <v>0.69093425996553381</v>
      </c>
      <c r="AN350" s="1"/>
      <c r="AO350" s="1"/>
    </row>
    <row r="351" spans="3:41" x14ac:dyDescent="0.15">
      <c r="D351" t="str">
        <f>Stdev!C580</f>
        <v>log_F_devs</v>
      </c>
      <c r="E351" s="1">
        <f>Stdev!D697</f>
        <v>0.14979000000000001</v>
      </c>
      <c r="F351" s="1">
        <f>Stdev!E697</f>
        <v>2.4442999999999999E-2</v>
      </c>
      <c r="J351">
        <f>J350*0.421</f>
        <v>0.29088332344548973</v>
      </c>
      <c r="AN351" s="1"/>
      <c r="AO351" s="1"/>
    </row>
    <row r="352" spans="3:41" x14ac:dyDescent="0.15">
      <c r="D352" t="str">
        <f>Stdev!C581</f>
        <v>log_F_devs</v>
      </c>
      <c r="E352" s="1">
        <f>Stdev!D698</f>
        <v>0.15242</v>
      </c>
      <c r="F352" s="1">
        <f>Stdev!E698</f>
        <v>2.3057000000000001E-2</v>
      </c>
      <c r="AN352" s="1"/>
      <c r="AO352" s="1"/>
    </row>
    <row r="353" spans="3:42" x14ac:dyDescent="0.15">
      <c r="D353" t="str">
        <f>Stdev!C736</f>
        <v>SER</v>
      </c>
      <c r="E353" s="1">
        <f>Stdev!D699</f>
        <v>0.19228000000000001</v>
      </c>
      <c r="F353" s="1">
        <f>Stdev!E699</f>
        <v>2.6096999999999999E-2</v>
      </c>
      <c r="AN353" s="1"/>
      <c r="AO353" s="1"/>
    </row>
    <row r="354" spans="3:42" x14ac:dyDescent="0.15">
      <c r="D354" t="str">
        <f>Stdev!C737</f>
        <v>SER</v>
      </c>
      <c r="AC354" t="s">
        <v>339</v>
      </c>
      <c r="AD354" t="s">
        <v>155</v>
      </c>
      <c r="AN354" s="1"/>
      <c r="AO354" s="1"/>
    </row>
    <row r="355" spans="3:42" x14ac:dyDescent="0.15">
      <c r="E355">
        <v>2001</v>
      </c>
      <c r="F355">
        <f>$E$353</f>
        <v>0.19228000000000001</v>
      </c>
      <c r="AB355">
        <f t="shared" ref="AB355:AB399" si="76">G360</f>
        <v>1964</v>
      </c>
      <c r="AC355">
        <f t="shared" ref="AC355:AC392" si="77">AD355/H360</f>
        <v>1143.1558745497325</v>
      </c>
      <c r="AD355" s="20">
        <f t="array" ref="AD355:AD408">TRANSPOSE(pm.rep!B6:'pm.rep'!AY6)</f>
        <v>175.37</v>
      </c>
      <c r="AO355" s="1"/>
      <c r="AP355" s="1"/>
    </row>
    <row r="356" spans="3:42" x14ac:dyDescent="0.15">
      <c r="E356">
        <v>2010</v>
      </c>
      <c r="F356" s="1">
        <f>F355</f>
        <v>0.19228000000000001</v>
      </c>
      <c r="AB356">
        <f t="shared" si="76"/>
        <v>1965</v>
      </c>
      <c r="AC356">
        <f t="shared" si="77"/>
        <v>1777.7542811055932</v>
      </c>
      <c r="AD356">
        <v>231.39500000000001</v>
      </c>
      <c r="AN356" s="1"/>
      <c r="AO356" s="1"/>
    </row>
    <row r="357" spans="3:42" x14ac:dyDescent="0.15">
      <c r="F357" s="1"/>
      <c r="AB357">
        <f t="shared" si="76"/>
        <v>1966</v>
      </c>
      <c r="AC357">
        <f t="shared" si="77"/>
        <v>2235.5227168213423</v>
      </c>
      <c r="AD357">
        <v>262.90699999999998</v>
      </c>
      <c r="AN357" s="1"/>
      <c r="AO357" s="1"/>
    </row>
    <row r="358" spans="3:42" x14ac:dyDescent="0.15">
      <c r="F358" s="1"/>
      <c r="AB358">
        <f t="shared" si="76"/>
        <v>1967</v>
      </c>
      <c r="AC358">
        <f t="shared" si="77"/>
        <v>2799.1089575148162</v>
      </c>
      <c r="AD358">
        <v>551.66800000000001</v>
      </c>
      <c r="AN358" s="1"/>
      <c r="AO358" s="1"/>
    </row>
    <row r="359" spans="3:42" x14ac:dyDescent="0.15">
      <c r="Q359" t="s">
        <v>220</v>
      </c>
      <c r="R359" t="s">
        <v>312</v>
      </c>
      <c r="AB359">
        <f t="shared" si="76"/>
        <v>1968</v>
      </c>
      <c r="AC359">
        <f t="shared" si="77"/>
        <v>3584.5191874721463</v>
      </c>
      <c r="AD359">
        <v>704.19100000000003</v>
      </c>
      <c r="AN359" s="1"/>
      <c r="AO359" s="1"/>
    </row>
    <row r="360" spans="3:42" x14ac:dyDescent="0.15">
      <c r="C360" s="31">
        <f>Stdev!B229</f>
        <v>76</v>
      </c>
      <c r="D360" s="1" t="str">
        <f>Stdev!C229</f>
        <v>log_F_devs</v>
      </c>
      <c r="E360" s="31">
        <f>Stdev!D229</f>
        <v>-0.41335</v>
      </c>
      <c r="F360" s="31">
        <f>Stdev!E229</f>
        <v>0.29698000000000002</v>
      </c>
      <c r="G360">
        <v>1964</v>
      </c>
      <c r="H360" s="20">
        <f>EXP($E$2+E360)</f>
        <v>0.15340865047741187</v>
      </c>
      <c r="I360" s="20">
        <f t="shared" ref="I360:I399" si="78">ABS(O360-H360)</f>
        <v>0.17129349406556332</v>
      </c>
      <c r="J360" s="20">
        <f t="shared" ref="J360:J399" si="79">ABS(H360-P360)</f>
        <v>7.0666939498387177E-2</v>
      </c>
      <c r="O360" s="20">
        <f t="shared" ref="O360:O399" si="80">H360*EXP(2*SQRT(F360^2+$F$4^2))</f>
        <v>0.32470214454297519</v>
      </c>
      <c r="P360" s="20">
        <f t="shared" ref="P360:P399" si="81">H360*EXP(-2*SQRT(F360^2+$F$2^2))</f>
        <v>8.2741710979024691E-2</v>
      </c>
      <c r="Q360" s="135">
        <f>AVERAGE($H$360:$H$404)</f>
        <v>0.24390135472868207</v>
      </c>
      <c r="R360" s="38">
        <f>F339</f>
        <v>0.75588</v>
      </c>
      <c r="S360" s="20">
        <f t="shared" ref="S360:S397" si="82">Q360*EXP(-2*SQRT(R360^2))</f>
        <v>5.3785497070660826E-2</v>
      </c>
      <c r="T360" s="20">
        <f t="shared" ref="T360:T397" si="83">Q360*EXP(2*SQRT(R360^2))</f>
        <v>1.1060206575823606</v>
      </c>
      <c r="AB360">
        <f t="shared" si="76"/>
        <v>1969</v>
      </c>
      <c r="AC360">
        <f t="shared" si="77"/>
        <v>4615.5592644875287</v>
      </c>
      <c r="AD360">
        <v>865.62199999999996</v>
      </c>
      <c r="AN360" s="1"/>
      <c r="AO360" s="1"/>
    </row>
    <row r="361" spans="3:42" x14ac:dyDescent="0.15">
      <c r="C361" s="31">
        <f>Stdev!B230</f>
        <v>77</v>
      </c>
      <c r="D361" s="1" t="str">
        <f>Stdev!C230</f>
        <v>log_F_devs</v>
      </c>
      <c r="E361" s="31">
        <f>Stdev!D230</f>
        <v>-0.57767999999999997</v>
      </c>
      <c r="F361" s="31">
        <f>Stdev!E230</f>
        <v>0.21690000000000001</v>
      </c>
      <c r="G361">
        <v>1965</v>
      </c>
      <c r="H361" s="20">
        <f t="shared" ref="H361:H401" si="84">EXP($E$2+E361)</f>
        <v>0.13016140782746108</v>
      </c>
      <c r="I361" s="20">
        <f t="shared" si="78"/>
        <v>0.11436648997798379</v>
      </c>
      <c r="J361" s="20">
        <f t="shared" si="79"/>
        <v>4.8431347875433864E-2</v>
      </c>
      <c r="O361" s="20">
        <f t="shared" si="80"/>
        <v>0.24452789780544487</v>
      </c>
      <c r="P361" s="20">
        <f t="shared" si="81"/>
        <v>8.1730059952027215E-2</v>
      </c>
      <c r="Q361" s="20">
        <f>Q360</f>
        <v>0.24390135472868207</v>
      </c>
      <c r="R361">
        <f>R360</f>
        <v>0.75588</v>
      </c>
      <c r="S361" s="20">
        <f t="shared" si="82"/>
        <v>5.3785497070660826E-2</v>
      </c>
      <c r="T361" s="20">
        <f t="shared" si="83"/>
        <v>1.1060206575823606</v>
      </c>
      <c r="AB361">
        <f t="shared" si="76"/>
        <v>1970</v>
      </c>
      <c r="AC361">
        <f t="shared" si="77"/>
        <v>4342.087191506901</v>
      </c>
      <c r="AD361">
        <v>1256.72</v>
      </c>
      <c r="AN361" s="1"/>
      <c r="AO361" s="1"/>
    </row>
    <row r="362" spans="3:42" x14ac:dyDescent="0.15">
      <c r="C362" s="31">
        <f>Stdev!B231</f>
        <v>78</v>
      </c>
      <c r="D362" s="1" t="str">
        <f>Stdev!C231</f>
        <v>log_F_devs</v>
      </c>
      <c r="E362" s="31">
        <f>Stdev!D231</f>
        <v>-0.67913000000000001</v>
      </c>
      <c r="F362" s="31">
        <f>Stdev!E231</f>
        <v>0.20596</v>
      </c>
      <c r="G362">
        <v>1966</v>
      </c>
      <c r="H362" s="20">
        <f t="shared" si="84"/>
        <v>0.11760426231491114</v>
      </c>
      <c r="I362" s="20">
        <f t="shared" si="78"/>
        <v>0.10007691439829056</v>
      </c>
      <c r="J362" s="20">
        <f t="shared" si="79"/>
        <v>4.2242666032145257E-2</v>
      </c>
      <c r="O362" s="20">
        <f t="shared" si="80"/>
        <v>0.2176811767132017</v>
      </c>
      <c r="P362" s="20">
        <f t="shared" si="81"/>
        <v>7.5361596282765883E-2</v>
      </c>
      <c r="Q362" s="20">
        <f t="shared" ref="Q362:Q409" si="85">Q361</f>
        <v>0.24390135472868207</v>
      </c>
      <c r="R362">
        <f t="shared" ref="R362:R397" si="86">R361</f>
        <v>0.75588</v>
      </c>
      <c r="S362" s="20">
        <f t="shared" si="82"/>
        <v>5.3785497070660826E-2</v>
      </c>
      <c r="T362" s="20">
        <f t="shared" si="83"/>
        <v>1.1060206575823606</v>
      </c>
      <c r="AB362">
        <f t="shared" si="76"/>
        <v>1971</v>
      </c>
      <c r="AC362">
        <f t="shared" si="77"/>
        <v>4055.8727233622094</v>
      </c>
      <c r="AD362">
        <v>1734.98</v>
      </c>
      <c r="AN362" s="1"/>
      <c r="AO362" s="1"/>
    </row>
    <row r="363" spans="3:42" x14ac:dyDescent="0.15">
      <c r="C363" s="31">
        <f>Stdev!B232</f>
        <v>79</v>
      </c>
      <c r="D363" s="1" t="str">
        <f>Stdev!C232</f>
        <v>log_F_devs</v>
      </c>
      <c r="E363" s="31">
        <f>Stdev!D232</f>
        <v>-0.16281000000000001</v>
      </c>
      <c r="F363" s="31">
        <f>Stdev!E232</f>
        <v>0.20247999999999999</v>
      </c>
      <c r="G363">
        <v>1967</v>
      </c>
      <c r="H363" s="20">
        <f t="shared" si="84"/>
        <v>0.19708700460513601</v>
      </c>
      <c r="I363" s="20">
        <f t="shared" si="78"/>
        <v>0.16602706075303131</v>
      </c>
      <c r="J363" s="20">
        <f t="shared" si="79"/>
        <v>6.9977098154502176E-2</v>
      </c>
      <c r="O363" s="20">
        <f t="shared" si="80"/>
        <v>0.36311406535816732</v>
      </c>
      <c r="P363" s="20">
        <f t="shared" si="81"/>
        <v>0.12710990645063383</v>
      </c>
      <c r="Q363" s="20">
        <f t="shared" si="85"/>
        <v>0.24390135472868207</v>
      </c>
      <c r="R363">
        <f t="shared" si="86"/>
        <v>0.75588</v>
      </c>
      <c r="S363" s="20">
        <f t="shared" si="82"/>
        <v>5.3785497070660826E-2</v>
      </c>
      <c r="T363" s="20">
        <f t="shared" si="83"/>
        <v>1.1060206575823606</v>
      </c>
      <c r="AB363">
        <f t="shared" si="76"/>
        <v>1972</v>
      </c>
      <c r="AC363">
        <f t="shared" si="77"/>
        <v>4106.3476615066465</v>
      </c>
      <c r="AD363">
        <v>1863.98</v>
      </c>
      <c r="AN363" s="1"/>
      <c r="AO363" s="1"/>
    </row>
    <row r="364" spans="3:42" x14ac:dyDescent="0.15">
      <c r="C364" s="31">
        <f>Stdev!B233</f>
        <v>80</v>
      </c>
      <c r="D364" s="1" t="str">
        <f>Stdev!C233</f>
        <v>log_F_devs</v>
      </c>
      <c r="E364" s="31">
        <f>Stdev!D233</f>
        <v>-0.16603000000000001</v>
      </c>
      <c r="F364" s="31">
        <f>Stdev!E233</f>
        <v>0.19475000000000001</v>
      </c>
      <c r="G364">
        <v>1968</v>
      </c>
      <c r="H364" s="20">
        <f t="shared" si="84"/>
        <v>0.19645340509297302</v>
      </c>
      <c r="I364" s="20">
        <f t="shared" si="78"/>
        <v>0.16184391376403942</v>
      </c>
      <c r="J364" s="20">
        <f t="shared" si="79"/>
        <v>6.7935910077831674E-2</v>
      </c>
      <c r="O364" s="20">
        <f t="shared" si="80"/>
        <v>0.35829731885701244</v>
      </c>
      <c r="P364" s="20">
        <f t="shared" si="81"/>
        <v>0.12851749501514134</v>
      </c>
      <c r="Q364" s="20">
        <f t="shared" si="85"/>
        <v>0.24390135472868207</v>
      </c>
      <c r="R364">
        <f t="shared" si="86"/>
        <v>0.75588</v>
      </c>
      <c r="S364" s="20">
        <f t="shared" si="82"/>
        <v>5.3785497070660826E-2</v>
      </c>
      <c r="T364" s="20">
        <f t="shared" si="83"/>
        <v>1.1060206575823606</v>
      </c>
      <c r="AB364">
        <f t="shared" si="76"/>
        <v>1973</v>
      </c>
      <c r="AC364">
        <f t="shared" si="77"/>
        <v>3326.677926016936</v>
      </c>
      <c r="AD364">
        <v>1751.03</v>
      </c>
      <c r="AN364" s="1"/>
      <c r="AO364" s="1"/>
    </row>
    <row r="365" spans="3:42" x14ac:dyDescent="0.15">
      <c r="C365" s="31">
        <f>Stdev!B234</f>
        <v>81</v>
      </c>
      <c r="D365" s="1" t="str">
        <f>Stdev!C234</f>
        <v>log_F_devs</v>
      </c>
      <c r="E365" s="31">
        <f>Stdev!D234</f>
        <v>-0.21243999999999999</v>
      </c>
      <c r="F365" s="31">
        <f>Stdev!E234</f>
        <v>0.21443000000000001</v>
      </c>
      <c r="G365">
        <v>1969</v>
      </c>
      <c r="H365" s="20">
        <f t="shared" si="84"/>
        <v>0.18754433653580463</v>
      </c>
      <c r="I365" s="20">
        <f t="shared" si="78"/>
        <v>0.16359429164188891</v>
      </c>
      <c r="J365" s="20">
        <f t="shared" si="79"/>
        <v>6.9239643895835007E-2</v>
      </c>
      <c r="O365" s="20">
        <f t="shared" si="80"/>
        <v>0.35113862817769353</v>
      </c>
      <c r="P365" s="20">
        <f t="shared" si="81"/>
        <v>0.11830469263996962</v>
      </c>
      <c r="Q365" s="20">
        <f t="shared" si="85"/>
        <v>0.24390135472868207</v>
      </c>
      <c r="R365">
        <f t="shared" si="86"/>
        <v>0.75588</v>
      </c>
      <c r="S365" s="20">
        <f t="shared" si="82"/>
        <v>5.3785497070660826E-2</v>
      </c>
      <c r="T365" s="20">
        <f t="shared" si="83"/>
        <v>1.1060206575823606</v>
      </c>
      <c r="AB365">
        <f t="shared" si="76"/>
        <v>1974</v>
      </c>
      <c r="AC365">
        <f t="shared" si="77"/>
        <v>3056.9534578773141</v>
      </c>
      <c r="AD365">
        <v>1585.99</v>
      </c>
      <c r="AN365" s="1"/>
      <c r="AO365" s="1"/>
    </row>
    <row r="366" spans="3:42" x14ac:dyDescent="0.15">
      <c r="C366" s="31">
        <f>Stdev!B235</f>
        <v>82</v>
      </c>
      <c r="D366" s="1" t="str">
        <f>Stdev!C235</f>
        <v>log_F_devs</v>
      </c>
      <c r="E366" s="31">
        <f>Stdev!D235</f>
        <v>0.22145000000000001</v>
      </c>
      <c r="F366" s="31">
        <f>Stdev!E235</f>
        <v>0.21551999999999999</v>
      </c>
      <c r="G366">
        <v>1970</v>
      </c>
      <c r="H366" s="20">
        <f t="shared" si="84"/>
        <v>0.28942762882747669</v>
      </c>
      <c r="I366" s="20">
        <f t="shared" si="78"/>
        <v>0.25327623892542145</v>
      </c>
      <c r="J366" s="20">
        <f t="shared" si="79"/>
        <v>0.10722422904841358</v>
      </c>
      <c r="O366" s="20">
        <f t="shared" si="80"/>
        <v>0.54270386775289814</v>
      </c>
      <c r="P366" s="20">
        <f t="shared" si="81"/>
        <v>0.18220339977906311</v>
      </c>
      <c r="Q366" s="20">
        <f t="shared" si="85"/>
        <v>0.24390135472868207</v>
      </c>
      <c r="R366">
        <f t="shared" si="86"/>
        <v>0.75588</v>
      </c>
      <c r="S366" s="20">
        <f t="shared" si="82"/>
        <v>5.3785497070660826E-2</v>
      </c>
      <c r="T366" s="20">
        <f t="shared" si="83"/>
        <v>1.1060206575823606</v>
      </c>
      <c r="AB366">
        <f t="shared" si="76"/>
        <v>1975</v>
      </c>
      <c r="AC366">
        <f t="shared" si="77"/>
        <v>3027.2677897683425</v>
      </c>
      <c r="AD366">
        <v>1355.08</v>
      </c>
      <c r="AN366" s="1"/>
      <c r="AO366" s="1"/>
    </row>
    <row r="367" spans="3:42" x14ac:dyDescent="0.15">
      <c r="C367" s="31">
        <f>Stdev!B236</f>
        <v>83</v>
      </c>
      <c r="D367" s="1" t="str">
        <f>Stdev!C236</f>
        <v>log_F_devs</v>
      </c>
      <c r="E367" s="31">
        <f>Stdev!D236</f>
        <v>0.61212999999999995</v>
      </c>
      <c r="F367" s="31">
        <f>Stdev!E236</f>
        <v>0.2162</v>
      </c>
      <c r="G367">
        <v>1971</v>
      </c>
      <c r="H367" s="20">
        <f t="shared" si="84"/>
        <v>0.42776983360605758</v>
      </c>
      <c r="I367" s="20">
        <f t="shared" si="78"/>
        <v>0.37508753166469844</v>
      </c>
      <c r="J367" s="20">
        <f t="shared" si="79"/>
        <v>0.15881682880229847</v>
      </c>
      <c r="O367" s="20">
        <f t="shared" si="80"/>
        <v>0.80285736527075602</v>
      </c>
      <c r="P367" s="20">
        <f t="shared" si="81"/>
        <v>0.26895300480375911</v>
      </c>
      <c r="Q367" s="20">
        <f t="shared" si="85"/>
        <v>0.24390135472868207</v>
      </c>
      <c r="R367">
        <f t="shared" si="86"/>
        <v>0.75588</v>
      </c>
      <c r="S367" s="20">
        <f t="shared" si="82"/>
        <v>5.3785497070660826E-2</v>
      </c>
      <c r="T367" s="20">
        <f t="shared" si="83"/>
        <v>1.1060206575823606</v>
      </c>
      <c r="AB367">
        <f t="shared" si="76"/>
        <v>1976</v>
      </c>
      <c r="AC367">
        <f t="shared" si="77"/>
        <v>3047.4846993116016</v>
      </c>
      <c r="AD367">
        <v>1177.48</v>
      </c>
      <c r="AN367" s="1"/>
      <c r="AO367" s="1"/>
    </row>
    <row r="368" spans="3:42" x14ac:dyDescent="0.15">
      <c r="C368" s="31">
        <f>Stdev!B237</f>
        <v>84</v>
      </c>
      <c r="D368" s="1" t="str">
        <f>Stdev!C237</f>
        <v>log_F_devs</v>
      </c>
      <c r="E368" s="31">
        <f>Stdev!D237</f>
        <v>0.67147999999999997</v>
      </c>
      <c r="F368" s="31">
        <f>Stdev!E237</f>
        <v>0.21485000000000001</v>
      </c>
      <c r="G368">
        <v>1972</v>
      </c>
      <c r="H368" s="20">
        <f t="shared" si="84"/>
        <v>0.45392649469823343</v>
      </c>
      <c r="I368" s="20">
        <f t="shared" si="78"/>
        <v>0.39644711536338784</v>
      </c>
      <c r="J368" s="20">
        <f t="shared" si="79"/>
        <v>0.16780930600457405</v>
      </c>
      <c r="O368" s="20">
        <f t="shared" si="80"/>
        <v>0.85037361006162127</v>
      </c>
      <c r="P368" s="20">
        <f t="shared" si="81"/>
        <v>0.28611718869365937</v>
      </c>
      <c r="Q368" s="20">
        <f t="shared" si="85"/>
        <v>0.24390135472868207</v>
      </c>
      <c r="R368">
        <f t="shared" si="86"/>
        <v>0.75588</v>
      </c>
      <c r="S368" s="20">
        <f t="shared" si="82"/>
        <v>5.3785497070660826E-2</v>
      </c>
      <c r="T368" s="20">
        <f t="shared" si="83"/>
        <v>1.1060206575823606</v>
      </c>
      <c r="AB368">
        <f t="shared" si="76"/>
        <v>1977</v>
      </c>
      <c r="AC368">
        <f t="shared" si="77"/>
        <v>3112.3477098804451</v>
      </c>
      <c r="AD368">
        <v>978.49199999999996</v>
      </c>
      <c r="AN368" s="1"/>
      <c r="AO368" s="1"/>
    </row>
    <row r="369" spans="3:41" x14ac:dyDescent="0.15">
      <c r="C369" s="31">
        <f>Stdev!B238</f>
        <v>85</v>
      </c>
      <c r="D369" s="1" t="str">
        <f>Stdev!C238</f>
        <v>log_F_devs</v>
      </c>
      <c r="E369" s="31">
        <f>Stdev!D238</f>
        <v>0.81952999999999998</v>
      </c>
      <c r="F369" s="31">
        <f>Stdev!E238</f>
        <v>0.21476000000000001</v>
      </c>
      <c r="G369">
        <v>1973</v>
      </c>
      <c r="H369" s="20">
        <f t="shared" si="84"/>
        <v>0.52635994194259894</v>
      </c>
      <c r="I369" s="20">
        <f t="shared" si="78"/>
        <v>0.45958705206983808</v>
      </c>
      <c r="J369" s="20">
        <f t="shared" si="79"/>
        <v>0.194531180328126</v>
      </c>
      <c r="O369" s="20">
        <f t="shared" si="80"/>
        <v>0.98594699401243702</v>
      </c>
      <c r="P369" s="20">
        <f t="shared" si="81"/>
        <v>0.33182876161447294</v>
      </c>
      <c r="Q369" s="20">
        <f t="shared" si="85"/>
        <v>0.24390135472868207</v>
      </c>
      <c r="R369">
        <f t="shared" si="86"/>
        <v>0.75588</v>
      </c>
      <c r="S369" s="20">
        <f t="shared" si="82"/>
        <v>5.3785497070660826E-2</v>
      </c>
      <c r="T369" s="20">
        <f t="shared" si="83"/>
        <v>1.1060206575823606</v>
      </c>
      <c r="AB369">
        <f t="shared" si="76"/>
        <v>1978</v>
      </c>
      <c r="AC369">
        <f t="shared" si="77"/>
        <v>3021.51851460219</v>
      </c>
      <c r="AD369">
        <v>980.15899999999999</v>
      </c>
      <c r="AN369" s="1"/>
      <c r="AO369" s="1"/>
    </row>
    <row r="370" spans="3:41" x14ac:dyDescent="0.15">
      <c r="C370" s="31">
        <f>Stdev!B239</f>
        <v>86</v>
      </c>
      <c r="D370" s="1" t="str">
        <f>Stdev!C239</f>
        <v>log_F_devs</v>
      </c>
      <c r="E370" s="31">
        <f>Stdev!D239</f>
        <v>0.80508999999999997</v>
      </c>
      <c r="F370" s="31">
        <f>Stdev!E239</f>
        <v>0.21506</v>
      </c>
      <c r="G370">
        <v>1974</v>
      </c>
      <c r="H370" s="20">
        <f t="shared" si="84"/>
        <v>0.51881391779555552</v>
      </c>
      <c r="I370" s="20">
        <f t="shared" si="78"/>
        <v>0.45339757558114224</v>
      </c>
      <c r="J370" s="20">
        <f t="shared" si="79"/>
        <v>0.19192499707837302</v>
      </c>
      <c r="O370" s="20">
        <f t="shared" si="80"/>
        <v>0.97221149337669777</v>
      </c>
      <c r="P370" s="20">
        <f t="shared" si="81"/>
        <v>0.32688892071718251</v>
      </c>
      <c r="Q370" s="20">
        <f t="shared" si="85"/>
        <v>0.24390135472868207</v>
      </c>
      <c r="R370">
        <f t="shared" si="86"/>
        <v>0.75588</v>
      </c>
      <c r="S370" s="20">
        <f t="shared" si="82"/>
        <v>5.3785497070660826E-2</v>
      </c>
      <c r="T370" s="20">
        <f t="shared" si="83"/>
        <v>1.1060206575823606</v>
      </c>
      <c r="AB370">
        <f t="shared" si="76"/>
        <v>1979</v>
      </c>
      <c r="AC370">
        <f t="shared" si="77"/>
        <v>2786.6838006622206</v>
      </c>
      <c r="AD370">
        <v>936.82600000000002</v>
      </c>
      <c r="AN370" s="1"/>
      <c r="AO370" s="1"/>
    </row>
    <row r="371" spans="3:41" x14ac:dyDescent="0.15">
      <c r="C371" s="31">
        <f>Stdev!B240</f>
        <v>87</v>
      </c>
      <c r="D371" s="1" t="str">
        <f>Stdev!C240</f>
        <v>log_F_devs</v>
      </c>
      <c r="E371" s="31">
        <f>Stdev!D240</f>
        <v>0.65749999999999997</v>
      </c>
      <c r="F371" s="31">
        <f>Stdev!E240</f>
        <v>0.20760999999999999</v>
      </c>
      <c r="G371">
        <v>1975</v>
      </c>
      <c r="H371" s="20">
        <f t="shared" si="84"/>
        <v>0.44762475410333474</v>
      </c>
      <c r="I371" s="20">
        <f t="shared" si="78"/>
        <v>0.38274752987591648</v>
      </c>
      <c r="J371" s="20">
        <f t="shared" si="79"/>
        <v>0.16165914026865519</v>
      </c>
      <c r="O371" s="20">
        <f t="shared" si="80"/>
        <v>0.83037228397925122</v>
      </c>
      <c r="P371" s="20">
        <f t="shared" si="81"/>
        <v>0.28596561383467956</v>
      </c>
      <c r="Q371" s="20">
        <f t="shared" si="85"/>
        <v>0.24390135472868207</v>
      </c>
      <c r="R371">
        <f t="shared" si="86"/>
        <v>0.75588</v>
      </c>
      <c r="S371" s="20">
        <f t="shared" si="82"/>
        <v>5.3785497070660826E-2</v>
      </c>
      <c r="T371" s="20">
        <f t="shared" si="83"/>
        <v>1.1060206575823606</v>
      </c>
      <c r="AB371">
        <f t="shared" si="76"/>
        <v>1980</v>
      </c>
      <c r="AC371">
        <f t="shared" si="77"/>
        <v>2983.5773415818912</v>
      </c>
      <c r="AD371">
        <v>960.58100000000002</v>
      </c>
      <c r="AN371" s="1"/>
      <c r="AO371" s="1"/>
    </row>
    <row r="372" spans="3:41" x14ac:dyDescent="0.15">
      <c r="C372" s="31">
        <f>Stdev!B241</f>
        <v>88</v>
      </c>
      <c r="D372" s="1" t="str">
        <f>Stdev!C241</f>
        <v>log_F_devs</v>
      </c>
      <c r="E372" s="31">
        <f>Stdev!D241</f>
        <v>0.51036000000000004</v>
      </c>
      <c r="F372" s="31">
        <f>Stdev!E241</f>
        <v>0.19667999999999999</v>
      </c>
      <c r="G372">
        <v>1976</v>
      </c>
      <c r="H372" s="20">
        <f t="shared" si="84"/>
        <v>0.38637765770111387</v>
      </c>
      <c r="I372" s="20">
        <f t="shared" si="78"/>
        <v>0.32007922659668953</v>
      </c>
      <c r="J372" s="20">
        <f t="shared" si="79"/>
        <v>0.13450858733680915</v>
      </c>
      <c r="O372" s="20">
        <f t="shared" si="80"/>
        <v>0.7064568842978034</v>
      </c>
      <c r="P372" s="20">
        <f t="shared" si="81"/>
        <v>0.25186907036430473</v>
      </c>
      <c r="Q372" s="20">
        <f t="shared" si="85"/>
        <v>0.24390135472868207</v>
      </c>
      <c r="R372">
        <f t="shared" si="86"/>
        <v>0.75588</v>
      </c>
      <c r="S372" s="20">
        <f t="shared" si="82"/>
        <v>5.3785497070660826E-2</v>
      </c>
      <c r="T372" s="20">
        <f t="shared" si="83"/>
        <v>1.1060206575823606</v>
      </c>
      <c r="AB372">
        <f t="shared" si="76"/>
        <v>1981</v>
      </c>
      <c r="AC372">
        <f t="shared" si="77"/>
        <v>3794.8705658395347</v>
      </c>
      <c r="AD372">
        <v>976.61800000000005</v>
      </c>
      <c r="AN372" s="1"/>
      <c r="AO372" s="1"/>
    </row>
    <row r="373" spans="3:41" x14ac:dyDescent="0.15">
      <c r="C373" s="31">
        <f>Stdev!B242</f>
        <v>89</v>
      </c>
      <c r="D373" s="1" t="str">
        <f>Stdev!C242</f>
        <v>log_F_devs</v>
      </c>
      <c r="E373" s="31">
        <f>Stdev!D242</f>
        <v>0.30418000000000001</v>
      </c>
      <c r="F373" s="31">
        <f>Stdev!E242</f>
        <v>0.23561000000000001</v>
      </c>
      <c r="G373">
        <v>1977</v>
      </c>
      <c r="H373" s="20">
        <f t="shared" si="84"/>
        <v>0.31439032242242204</v>
      </c>
      <c r="I373" s="20">
        <f t="shared" si="78"/>
        <v>0.29198233358033188</v>
      </c>
      <c r="J373" s="20">
        <f t="shared" si="79"/>
        <v>0.12378292404929564</v>
      </c>
      <c r="O373" s="20">
        <f t="shared" si="80"/>
        <v>0.60637265600275392</v>
      </c>
      <c r="P373" s="20">
        <f t="shared" si="81"/>
        <v>0.1906073983731264</v>
      </c>
      <c r="Q373" s="20">
        <f t="shared" si="85"/>
        <v>0.24390135472868207</v>
      </c>
      <c r="R373">
        <f t="shared" si="86"/>
        <v>0.75588</v>
      </c>
      <c r="S373" s="20">
        <f t="shared" si="82"/>
        <v>5.3785497070660826E-2</v>
      </c>
      <c r="T373" s="20">
        <f t="shared" si="83"/>
        <v>1.1060206575823606</v>
      </c>
      <c r="AB373">
        <f t="shared" si="76"/>
        <v>1982</v>
      </c>
      <c r="AC373">
        <f t="shared" si="77"/>
        <v>4896.5515501051004</v>
      </c>
      <c r="AD373">
        <v>955.024</v>
      </c>
      <c r="AN373" s="1"/>
      <c r="AO373" s="1"/>
    </row>
    <row r="374" spans="3:41" x14ac:dyDescent="0.15">
      <c r="C374" s="31">
        <f>Stdev!B243</f>
        <v>90</v>
      </c>
      <c r="D374" s="1" t="str">
        <f>Stdev!C243</f>
        <v>log_F_devs</v>
      </c>
      <c r="E374" s="31">
        <f>Stdev!D243</f>
        <v>0.33550000000000002</v>
      </c>
      <c r="F374" s="31">
        <f>Stdev!E243</f>
        <v>0.26027</v>
      </c>
      <c r="G374">
        <v>1978</v>
      </c>
      <c r="H374" s="20">
        <f t="shared" si="84"/>
        <v>0.3243928492455545</v>
      </c>
      <c r="I374" s="20">
        <f t="shared" si="78"/>
        <v>0.32435772172219418</v>
      </c>
      <c r="J374" s="20">
        <f t="shared" si="79"/>
        <v>0.13669345517432138</v>
      </c>
      <c r="O374" s="20">
        <f t="shared" si="80"/>
        <v>0.64875057096774869</v>
      </c>
      <c r="P374" s="20">
        <f t="shared" si="81"/>
        <v>0.18769939407123312</v>
      </c>
      <c r="Q374" s="20">
        <f t="shared" si="85"/>
        <v>0.24390135472868207</v>
      </c>
      <c r="R374">
        <f t="shared" si="86"/>
        <v>0.75588</v>
      </c>
      <c r="S374" s="20">
        <f t="shared" si="82"/>
        <v>5.3785497070660826E-2</v>
      </c>
      <c r="T374" s="20">
        <f t="shared" si="83"/>
        <v>1.1060206575823606</v>
      </c>
      <c r="AB374">
        <f t="shared" si="76"/>
        <v>1983</v>
      </c>
      <c r="AC374">
        <f t="shared" si="77"/>
        <v>5065.8563728190366</v>
      </c>
      <c r="AD374">
        <v>980.64300000000003</v>
      </c>
      <c r="AN374" s="1"/>
      <c r="AO374" s="1"/>
    </row>
    <row r="375" spans="3:41" x14ac:dyDescent="0.15">
      <c r="C375" s="31">
        <f>Stdev!B244</f>
        <v>91</v>
      </c>
      <c r="D375" s="1" t="str">
        <f>Stdev!C244</f>
        <v>log_F_devs</v>
      </c>
      <c r="E375" s="31">
        <f>Stdev!D244</f>
        <v>0.37119000000000002</v>
      </c>
      <c r="F375" s="31">
        <f>Stdev!E244</f>
        <v>0.25902999999999998</v>
      </c>
      <c r="G375">
        <v>1979</v>
      </c>
      <c r="H375" s="20">
        <f t="shared" si="84"/>
        <v>0.33617951192646078</v>
      </c>
      <c r="I375" s="20">
        <f t="shared" si="78"/>
        <v>0.33489332235143943</v>
      </c>
      <c r="J375" s="20">
        <f t="shared" si="79"/>
        <v>0.14120073320198662</v>
      </c>
      <c r="O375" s="20">
        <f t="shared" si="80"/>
        <v>0.67107283427790021</v>
      </c>
      <c r="P375" s="20">
        <f t="shared" si="81"/>
        <v>0.19497877872447417</v>
      </c>
      <c r="Q375" s="20">
        <f t="shared" si="85"/>
        <v>0.24390135472868207</v>
      </c>
      <c r="R375">
        <f t="shared" si="86"/>
        <v>0.75588</v>
      </c>
      <c r="S375" s="20">
        <f t="shared" si="82"/>
        <v>5.3785497070660826E-2</v>
      </c>
      <c r="T375" s="20">
        <f t="shared" si="83"/>
        <v>1.1060206575823606</v>
      </c>
      <c r="AB375">
        <f t="shared" si="76"/>
        <v>1984</v>
      </c>
      <c r="AC375">
        <f t="shared" si="77"/>
        <v>5518.3628744117887</v>
      </c>
      <c r="AD375">
        <v>1097.99</v>
      </c>
      <c r="AN375" s="1"/>
      <c r="AO375" s="1"/>
    </row>
    <row r="376" spans="3:41" x14ac:dyDescent="0.15">
      <c r="C376" s="31">
        <f>Stdev!B245</f>
        <v>92</v>
      </c>
      <c r="D376" s="1" t="str">
        <f>Stdev!C245</f>
        <v>log_F_devs</v>
      </c>
      <c r="E376" s="31">
        <f>Stdev!D245</f>
        <v>0.32795999999999997</v>
      </c>
      <c r="F376" s="31">
        <f>Stdev!E245</f>
        <v>0.22509999999999999</v>
      </c>
      <c r="G376">
        <v>1980</v>
      </c>
      <c r="H376" s="20">
        <f t="shared" si="84"/>
        <v>0.32195612515635358</v>
      </c>
      <c r="I376" s="20">
        <f t="shared" si="78"/>
        <v>0.28981754775608654</v>
      </c>
      <c r="J376" s="20">
        <f t="shared" si="79"/>
        <v>0.1228700606067015</v>
      </c>
      <c r="O376" s="20">
        <f t="shared" si="80"/>
        <v>0.61177367291244011</v>
      </c>
      <c r="P376" s="20">
        <f t="shared" si="81"/>
        <v>0.19908606454965208</v>
      </c>
      <c r="Q376" s="20">
        <f t="shared" si="85"/>
        <v>0.24390135472868207</v>
      </c>
      <c r="R376">
        <f t="shared" si="86"/>
        <v>0.75588</v>
      </c>
      <c r="S376" s="20">
        <f t="shared" si="82"/>
        <v>5.3785497070660826E-2</v>
      </c>
      <c r="T376" s="20">
        <f t="shared" si="83"/>
        <v>1.1060206575823606</v>
      </c>
      <c r="AB376">
        <f t="shared" si="76"/>
        <v>1985</v>
      </c>
      <c r="AC376">
        <f t="shared" si="77"/>
        <v>5524.223066240158</v>
      </c>
      <c r="AD376">
        <v>1140.29</v>
      </c>
      <c r="AN376" s="1"/>
      <c r="AO376" s="1"/>
    </row>
    <row r="377" spans="3:41" x14ac:dyDescent="0.15">
      <c r="C377" s="31">
        <f>Stdev!B246</f>
        <v>93</v>
      </c>
      <c r="D377" s="1" t="str">
        <f>Stdev!C246</f>
        <v>log_F_devs</v>
      </c>
      <c r="E377" s="31">
        <f>Stdev!D246</f>
        <v>0.10399</v>
      </c>
      <c r="F377" s="31">
        <f>Stdev!E246</f>
        <v>0.31622</v>
      </c>
      <c r="G377">
        <v>1981</v>
      </c>
      <c r="H377" s="20">
        <f t="shared" si="84"/>
        <v>0.25735212388830025</v>
      </c>
      <c r="I377" s="20">
        <f t="shared" si="78"/>
        <v>0.30441295149043174</v>
      </c>
      <c r="J377" s="20">
        <f t="shared" si="79"/>
        <v>0.12360385537626736</v>
      </c>
      <c r="O377" s="20">
        <f t="shared" si="80"/>
        <v>0.56176507537873199</v>
      </c>
      <c r="P377" s="20">
        <f t="shared" si="81"/>
        <v>0.13374826851203289</v>
      </c>
      <c r="Q377" s="20">
        <f t="shared" si="85"/>
        <v>0.24390135472868207</v>
      </c>
      <c r="R377">
        <f t="shared" si="86"/>
        <v>0.75588</v>
      </c>
      <c r="S377" s="20">
        <f t="shared" si="82"/>
        <v>5.3785497070660826E-2</v>
      </c>
      <c r="T377" s="20">
        <f t="shared" si="83"/>
        <v>1.1060206575823606</v>
      </c>
      <c r="AB377">
        <f t="shared" si="76"/>
        <v>1986</v>
      </c>
      <c r="AC377">
        <f t="shared" si="77"/>
        <v>6309.3352486976291</v>
      </c>
      <c r="AD377">
        <v>1134.43</v>
      </c>
      <c r="AN377" s="1"/>
      <c r="AO377" s="1"/>
    </row>
    <row r="378" spans="3:41" x14ac:dyDescent="0.15">
      <c r="C378" s="31">
        <f>Stdev!B247</f>
        <v>94</v>
      </c>
      <c r="D378" s="1" t="str">
        <f>Stdev!C247</f>
        <v>log_F_devs</v>
      </c>
      <c r="E378" s="31">
        <f>Stdev!D247</f>
        <v>-0.17324999999999999</v>
      </c>
      <c r="F378" s="31">
        <f>Stdev!E247</f>
        <v>0.36257</v>
      </c>
      <c r="G378">
        <v>1982</v>
      </c>
      <c r="H378" s="20">
        <f t="shared" si="84"/>
        <v>0.1950401196081559</v>
      </c>
      <c r="I378" s="20">
        <f t="shared" si="78"/>
        <v>0.26470352040836209</v>
      </c>
      <c r="J378" s="20">
        <f t="shared" si="79"/>
        <v>0.1023965455685565</v>
      </c>
      <c r="O378" s="20">
        <f t="shared" si="80"/>
        <v>0.45974364001651802</v>
      </c>
      <c r="P378" s="20">
        <f t="shared" si="81"/>
        <v>9.26435740395994E-2</v>
      </c>
      <c r="Q378" s="20">
        <f t="shared" si="85"/>
        <v>0.24390135472868207</v>
      </c>
      <c r="R378">
        <f t="shared" si="86"/>
        <v>0.75588</v>
      </c>
      <c r="S378" s="20">
        <f t="shared" si="82"/>
        <v>5.3785497070660826E-2</v>
      </c>
      <c r="T378" s="20">
        <f t="shared" si="83"/>
        <v>1.1060206575823606</v>
      </c>
      <c r="AB378">
        <f t="shared" si="76"/>
        <v>1987</v>
      </c>
      <c r="AC378">
        <f t="shared" si="77"/>
        <v>6467.7330185562032</v>
      </c>
      <c r="AD378">
        <v>854.99099999999999</v>
      </c>
      <c r="AN378" s="1"/>
      <c r="AO378" s="1"/>
    </row>
    <row r="379" spans="3:41" x14ac:dyDescent="0.15">
      <c r="C379" s="31">
        <f>Stdev!B248</f>
        <v>95</v>
      </c>
      <c r="D379" s="1" t="str">
        <f>Stdev!C248</f>
        <v>log_F_devs</v>
      </c>
      <c r="E379" s="31">
        <f>Stdev!D248</f>
        <v>-0.18076999999999999</v>
      </c>
      <c r="F379" s="31">
        <f>Stdev!E248</f>
        <v>0.37522</v>
      </c>
      <c r="G379">
        <v>1983</v>
      </c>
      <c r="H379" s="20">
        <f t="shared" si="84"/>
        <v>0.19357891890928086</v>
      </c>
      <c r="I379" s="20">
        <f t="shared" si="78"/>
        <v>0.2726368037330103</v>
      </c>
      <c r="J379" s="20">
        <f t="shared" si="79"/>
        <v>0.10386962327364969</v>
      </c>
      <c r="O379" s="20">
        <f t="shared" si="80"/>
        <v>0.46621572264229116</v>
      </c>
      <c r="P379" s="20">
        <f t="shared" si="81"/>
        <v>8.9709295635631167E-2</v>
      </c>
      <c r="Q379" s="20">
        <f t="shared" si="85"/>
        <v>0.24390135472868207</v>
      </c>
      <c r="R379">
        <f t="shared" si="86"/>
        <v>0.75588</v>
      </c>
      <c r="S379" s="20">
        <f t="shared" si="82"/>
        <v>5.3785497070660826E-2</v>
      </c>
      <c r="T379" s="20">
        <f t="shared" si="83"/>
        <v>1.1060206575823606</v>
      </c>
      <c r="AB379">
        <f t="shared" si="76"/>
        <v>1988</v>
      </c>
      <c r="AC379">
        <f t="shared" si="77"/>
        <v>8613.775875379426</v>
      </c>
      <c r="AD379">
        <v>1215.9100000000001</v>
      </c>
      <c r="AN379" s="1"/>
      <c r="AO379" s="1"/>
    </row>
    <row r="380" spans="3:41" x14ac:dyDescent="0.15">
      <c r="C380" s="31">
        <f>Stdev!B249</f>
        <v>96</v>
      </c>
      <c r="D380" s="1" t="str">
        <f>Stdev!C249</f>
        <v>log_F_devs</v>
      </c>
      <c r="E380" s="31">
        <f>Stdev!D249</f>
        <v>-0.15329999999999999</v>
      </c>
      <c r="F380" s="31">
        <f>Stdev!E249</f>
        <v>0.36976999999999999</v>
      </c>
      <c r="G380">
        <v>1984</v>
      </c>
      <c r="H380" s="20">
        <f t="shared" si="84"/>
        <v>0.19897024262237131</v>
      </c>
      <c r="I380" s="20">
        <f t="shared" si="78"/>
        <v>0.2757999013012753</v>
      </c>
      <c r="J380" s="20">
        <f t="shared" si="79"/>
        <v>0.10577692406740975</v>
      </c>
      <c r="O380" s="20">
        <f t="shared" si="80"/>
        <v>0.47477014392364658</v>
      </c>
      <c r="P380" s="20">
        <f t="shared" si="81"/>
        <v>9.319331855496156E-2</v>
      </c>
      <c r="Q380" s="20">
        <f t="shared" si="85"/>
        <v>0.24390135472868207</v>
      </c>
      <c r="R380">
        <f t="shared" si="86"/>
        <v>0.75588</v>
      </c>
      <c r="S380" s="20">
        <f t="shared" si="82"/>
        <v>5.3785497070660826E-2</v>
      </c>
      <c r="T380" s="20">
        <f t="shared" si="83"/>
        <v>1.1060206575823606</v>
      </c>
      <c r="AB380">
        <f t="shared" si="76"/>
        <v>1989</v>
      </c>
      <c r="AC380">
        <f t="shared" si="77"/>
        <v>8219.0018137637526</v>
      </c>
      <c r="AD380">
        <v>1215.03</v>
      </c>
      <c r="AN380" s="1"/>
      <c r="AO380" s="1"/>
    </row>
    <row r="381" spans="3:41" x14ac:dyDescent="0.15">
      <c r="C381" s="31">
        <f>Stdev!B250</f>
        <v>97</v>
      </c>
      <c r="D381" s="1" t="str">
        <f>Stdev!C250</f>
        <v>log_F_devs</v>
      </c>
      <c r="E381" s="31">
        <f>Stdev!D250</f>
        <v>-0.11656</v>
      </c>
      <c r="F381" s="31">
        <f>Stdev!E250</f>
        <v>0.37794</v>
      </c>
      <c r="G381">
        <v>1985</v>
      </c>
      <c r="H381" s="20">
        <f t="shared" si="84"/>
        <v>0.20641635689343965</v>
      </c>
      <c r="I381" s="20">
        <f t="shared" si="78"/>
        <v>0.29303366969445777</v>
      </c>
      <c r="J381" s="20">
        <f t="shared" si="79"/>
        <v>0.11126436396630211</v>
      </c>
      <c r="O381" s="20">
        <f t="shared" si="80"/>
        <v>0.49945002658789744</v>
      </c>
      <c r="P381" s="20">
        <f t="shared" si="81"/>
        <v>9.5151992927137538E-2</v>
      </c>
      <c r="Q381" s="20">
        <f t="shared" si="85"/>
        <v>0.24390135472868207</v>
      </c>
      <c r="R381">
        <f t="shared" si="86"/>
        <v>0.75588</v>
      </c>
      <c r="S381" s="20">
        <f t="shared" si="82"/>
        <v>5.3785497070660826E-2</v>
      </c>
      <c r="T381" s="20">
        <f t="shared" si="83"/>
        <v>1.1060206575823606</v>
      </c>
      <c r="AB381">
        <f t="shared" si="76"/>
        <v>1990</v>
      </c>
      <c r="AC381">
        <f t="shared" si="77"/>
        <v>7107.8990298698482</v>
      </c>
      <c r="AD381">
        <v>1438.12</v>
      </c>
      <c r="AN381" s="1"/>
      <c r="AO381" s="1"/>
    </row>
    <row r="382" spans="3:41" x14ac:dyDescent="0.15">
      <c r="C382" s="31">
        <f>Stdev!B251</f>
        <v>98</v>
      </c>
      <c r="D382" s="1" t="str">
        <f>Stdev!C251</f>
        <v>log_F_devs</v>
      </c>
      <c r="E382" s="31">
        <f>Stdev!D251</f>
        <v>-0.25459999999999999</v>
      </c>
      <c r="F382" s="31">
        <f>Stdev!E251</f>
        <v>0.33490999999999999</v>
      </c>
      <c r="G382">
        <v>1986</v>
      </c>
      <c r="H382" s="20">
        <f t="shared" si="84"/>
        <v>0.1798018262279166</v>
      </c>
      <c r="I382" s="20">
        <f t="shared" si="78"/>
        <v>0.22486878682367892</v>
      </c>
      <c r="J382" s="20">
        <f t="shared" si="79"/>
        <v>8.9678271826576172E-2</v>
      </c>
      <c r="O382" s="20">
        <f t="shared" si="80"/>
        <v>0.40467061305159552</v>
      </c>
      <c r="P382" s="20">
        <f t="shared" si="81"/>
        <v>9.0123554401340428E-2</v>
      </c>
      <c r="Q382" s="20">
        <f t="shared" si="85"/>
        <v>0.24390135472868207</v>
      </c>
      <c r="R382">
        <f t="shared" si="86"/>
        <v>0.75588</v>
      </c>
      <c r="S382" s="20">
        <f t="shared" si="82"/>
        <v>5.3785497070660826E-2</v>
      </c>
      <c r="T382" s="20">
        <f t="shared" si="83"/>
        <v>1.1060206575823606</v>
      </c>
      <c r="AB382">
        <f t="shared" si="76"/>
        <v>1991</v>
      </c>
      <c r="AC382">
        <f t="shared" si="77"/>
        <v>5095.3549457923591</v>
      </c>
      <c r="AD382">
        <v>1189.47</v>
      </c>
      <c r="AN382" s="1"/>
      <c r="AO382" s="1"/>
    </row>
    <row r="383" spans="3:41" x14ac:dyDescent="0.15">
      <c r="C383" s="31">
        <f>Stdev!B252</f>
        <v>99</v>
      </c>
      <c r="D383" s="1" t="str">
        <f>Stdev!C252</f>
        <v>log_F_devs</v>
      </c>
      <c r="E383" s="31">
        <f>Stdev!D252</f>
        <v>-0.56218999999999997</v>
      </c>
      <c r="F383" s="31">
        <f>Stdev!E252</f>
        <v>0.30309000000000003</v>
      </c>
      <c r="G383">
        <v>1987</v>
      </c>
      <c r="H383" s="20">
        <f t="shared" si="84"/>
        <v>0.13219330444639477</v>
      </c>
      <c r="I383" s="20">
        <f t="shared" si="78"/>
        <v>0.15033677844757642</v>
      </c>
      <c r="J383" s="20">
        <f t="shared" si="79"/>
        <v>6.172813106381364E-2</v>
      </c>
      <c r="O383" s="20">
        <f t="shared" si="80"/>
        <v>0.28253008289397119</v>
      </c>
      <c r="P383" s="20">
        <f t="shared" si="81"/>
        <v>7.0465173382581126E-2</v>
      </c>
      <c r="Q383" s="20">
        <f t="shared" si="85"/>
        <v>0.24390135472868207</v>
      </c>
      <c r="R383">
        <f t="shared" si="86"/>
        <v>0.75588</v>
      </c>
      <c r="S383" s="20">
        <f t="shared" si="82"/>
        <v>5.3785497070660826E-2</v>
      </c>
      <c r="T383" s="20">
        <f t="shared" si="83"/>
        <v>1.1060206575823606</v>
      </c>
      <c r="AB383">
        <f t="shared" si="76"/>
        <v>1992</v>
      </c>
      <c r="AC383">
        <f t="shared" si="77"/>
        <v>4262.4244474597126</v>
      </c>
      <c r="AD383">
        <v>1390.59</v>
      </c>
      <c r="AN383" s="1"/>
      <c r="AO383" s="1"/>
    </row>
    <row r="384" spans="3:41" x14ac:dyDescent="0.15">
      <c r="C384" s="31">
        <f>Stdev!B253</f>
        <v>100</v>
      </c>
      <c r="D384" s="1" t="str">
        <f>Stdev!C253</f>
        <v>log_F_devs</v>
      </c>
      <c r="E384" s="31">
        <f>Stdev!D253</f>
        <v>-0.49657000000000001</v>
      </c>
      <c r="F384" s="31">
        <f>Stdev!E253</f>
        <v>0.15026</v>
      </c>
      <c r="G384">
        <v>1988</v>
      </c>
      <c r="H384" s="20">
        <f t="shared" si="84"/>
        <v>0.14115876911487912</v>
      </c>
      <c r="I384" s="20">
        <f t="shared" si="78"/>
        <v>0.10288797594415411</v>
      </c>
      <c r="J384" s="20">
        <f t="shared" si="79"/>
        <v>4.1137748204348831E-2</v>
      </c>
      <c r="O384" s="20">
        <f t="shared" si="80"/>
        <v>0.24404674505903323</v>
      </c>
      <c r="P384" s="20">
        <f t="shared" si="81"/>
        <v>0.10002102091053029</v>
      </c>
      <c r="Q384" s="20">
        <f t="shared" si="85"/>
        <v>0.24390135472868207</v>
      </c>
      <c r="R384">
        <f t="shared" si="86"/>
        <v>0.75588</v>
      </c>
      <c r="S384" s="20">
        <f t="shared" si="82"/>
        <v>5.3785497070660826E-2</v>
      </c>
      <c r="T384" s="20">
        <f t="shared" si="83"/>
        <v>1.1060206575823606</v>
      </c>
      <c r="AB384">
        <f t="shared" si="76"/>
        <v>1993</v>
      </c>
      <c r="AC384">
        <f t="shared" si="77"/>
        <v>6862.0956068156729</v>
      </c>
      <c r="AD384">
        <v>1335.79</v>
      </c>
      <c r="AN384" s="1"/>
      <c r="AO384" s="1"/>
    </row>
    <row r="385" spans="3:41" x14ac:dyDescent="0.15">
      <c r="C385" s="31">
        <f>Stdev!B254</f>
        <v>101</v>
      </c>
      <c r="D385" s="1" t="str">
        <f>Stdev!C254</f>
        <v>log_F_devs</v>
      </c>
      <c r="E385" s="31">
        <f>Stdev!D254</f>
        <v>-0.45038</v>
      </c>
      <c r="F385" s="31">
        <f>Stdev!E254</f>
        <v>0.13704</v>
      </c>
      <c r="G385">
        <v>1989</v>
      </c>
      <c r="H385" s="20">
        <f t="shared" si="84"/>
        <v>0.147831820400049</v>
      </c>
      <c r="I385" s="20">
        <f t="shared" si="78"/>
        <v>0.10418462757695524</v>
      </c>
      <c r="J385" s="20">
        <f t="shared" si="79"/>
        <v>4.0666275499642301E-2</v>
      </c>
      <c r="O385" s="20">
        <f t="shared" si="80"/>
        <v>0.25201644797700423</v>
      </c>
      <c r="P385" s="20">
        <f t="shared" si="81"/>
        <v>0.1071655449004067</v>
      </c>
      <c r="Q385" s="20">
        <f t="shared" si="85"/>
        <v>0.24390135472868207</v>
      </c>
      <c r="R385">
        <f t="shared" si="86"/>
        <v>0.75588</v>
      </c>
      <c r="S385" s="20">
        <f t="shared" si="82"/>
        <v>5.3785497070660826E-2</v>
      </c>
      <c r="T385" s="20">
        <f t="shared" si="83"/>
        <v>1.1060206575823606</v>
      </c>
      <c r="AB385">
        <f t="shared" si="76"/>
        <v>1994</v>
      </c>
      <c r="AC385">
        <f t="shared" si="77"/>
        <v>8296.2595821057021</v>
      </c>
      <c r="AD385">
        <v>1342.26</v>
      </c>
      <c r="AN385" s="1"/>
      <c r="AO385" s="1"/>
    </row>
    <row r="386" spans="3:41" x14ac:dyDescent="0.15">
      <c r="C386" s="31">
        <f>Stdev!B255</f>
        <v>102</v>
      </c>
      <c r="D386" s="1" t="str">
        <f>Stdev!C255</f>
        <v>log_F_devs</v>
      </c>
      <c r="E386" s="31">
        <f>Stdev!D255</f>
        <v>-0.13657</v>
      </c>
      <c r="F386" s="31">
        <f>Stdev!E255</f>
        <v>0.12447999999999999</v>
      </c>
      <c r="G386">
        <v>1990</v>
      </c>
      <c r="H386" s="20">
        <f t="shared" si="84"/>
        <v>0.2023270158954879</v>
      </c>
      <c r="I386" s="20">
        <f t="shared" si="78"/>
        <v>0.13831877154708938</v>
      </c>
      <c r="J386" s="20">
        <f t="shared" si="79"/>
        <v>5.2527408455098012E-2</v>
      </c>
      <c r="O386" s="20">
        <f t="shared" si="80"/>
        <v>0.34064578744257729</v>
      </c>
      <c r="P386" s="20">
        <f t="shared" si="81"/>
        <v>0.14979960744038989</v>
      </c>
      <c r="Q386" s="20">
        <f t="shared" si="85"/>
        <v>0.24390135472868207</v>
      </c>
      <c r="R386">
        <f t="shared" si="86"/>
        <v>0.75588</v>
      </c>
      <c r="S386" s="20">
        <f t="shared" si="82"/>
        <v>5.3785497070660826E-2</v>
      </c>
      <c r="T386" s="20">
        <f t="shared" si="83"/>
        <v>1.1060206575823606</v>
      </c>
      <c r="AB386">
        <f t="shared" si="76"/>
        <v>1995</v>
      </c>
      <c r="AC386">
        <f t="shared" si="77"/>
        <v>7344.8862233094123</v>
      </c>
      <c r="AD386">
        <v>1282.94</v>
      </c>
      <c r="AN386" s="1"/>
      <c r="AO386" s="1"/>
    </row>
    <row r="387" spans="3:41" x14ac:dyDescent="0.15">
      <c r="C387" s="31">
        <f>Stdev!B256</f>
        <v>103</v>
      </c>
      <c r="D387" s="1" t="str">
        <f>Stdev!C256</f>
        <v>log_F_devs</v>
      </c>
      <c r="E387" s="31">
        <f>Stdev!D256</f>
        <v>6.4784999999999999E-3</v>
      </c>
      <c r="F387" s="31">
        <f>Stdev!E256</f>
        <v>0.11592</v>
      </c>
      <c r="G387">
        <v>1991</v>
      </c>
      <c r="H387" s="20">
        <f t="shared" si="84"/>
        <v>0.23344202958465932</v>
      </c>
      <c r="I387" s="20">
        <f t="shared" si="78"/>
        <v>0.1564737276879497</v>
      </c>
      <c r="J387" s="20">
        <f t="shared" si="79"/>
        <v>5.8165322823309218E-2</v>
      </c>
      <c r="O387" s="20">
        <f t="shared" si="80"/>
        <v>0.38991575727260902</v>
      </c>
      <c r="P387" s="20">
        <f t="shared" si="81"/>
        <v>0.1752767067613501</v>
      </c>
      <c r="Q387" s="20">
        <f t="shared" si="85"/>
        <v>0.24390135472868207</v>
      </c>
      <c r="R387">
        <f t="shared" si="86"/>
        <v>0.75588</v>
      </c>
      <c r="S387" s="20">
        <f t="shared" si="82"/>
        <v>5.3785497070660826E-2</v>
      </c>
      <c r="T387" s="20">
        <f t="shared" si="83"/>
        <v>1.1060206575823606</v>
      </c>
      <c r="AB387">
        <f t="shared" si="76"/>
        <v>1996</v>
      </c>
      <c r="AC387">
        <f t="shared" si="77"/>
        <v>5454.1026619912836</v>
      </c>
      <c r="AD387">
        <v>1218.3800000000001</v>
      </c>
      <c r="AN387" s="1"/>
      <c r="AO387" s="1"/>
    </row>
    <row r="388" spans="3:41" x14ac:dyDescent="0.15">
      <c r="C388" s="31">
        <f>Stdev!B257</f>
        <v>104</v>
      </c>
      <c r="D388" s="1" t="str">
        <f>Stdev!C257</f>
        <v>log_F_devs</v>
      </c>
      <c r="E388" s="31">
        <f>Stdev!D257</f>
        <v>0.34118999999999999</v>
      </c>
      <c r="F388" s="31">
        <f>Stdev!E257</f>
        <v>0.12157</v>
      </c>
      <c r="G388">
        <v>1992</v>
      </c>
      <c r="H388" s="20">
        <f t="shared" si="84"/>
        <v>0.32624390581955137</v>
      </c>
      <c r="I388" s="20">
        <f t="shared" si="78"/>
        <v>0.22152149621461453</v>
      </c>
      <c r="J388" s="20">
        <f t="shared" si="79"/>
        <v>8.3535471252243088E-2</v>
      </c>
      <c r="O388" s="20">
        <f t="shared" si="80"/>
        <v>0.5477654020341659</v>
      </c>
      <c r="P388" s="20">
        <f t="shared" si="81"/>
        <v>0.24270843456730828</v>
      </c>
      <c r="Q388" s="20">
        <f t="shared" si="85"/>
        <v>0.24390135472868207</v>
      </c>
      <c r="R388">
        <f t="shared" si="86"/>
        <v>0.75588</v>
      </c>
      <c r="S388" s="20">
        <f t="shared" si="82"/>
        <v>5.3785497070660826E-2</v>
      </c>
      <c r="T388" s="20">
        <f t="shared" si="83"/>
        <v>1.1060206575823606</v>
      </c>
      <c r="AB388">
        <f t="shared" si="76"/>
        <v>1997</v>
      </c>
      <c r="AC388">
        <f t="shared" si="77"/>
        <v>5117.7881877462323</v>
      </c>
      <c r="AD388">
        <v>1138.28</v>
      </c>
      <c r="AN388" s="1"/>
      <c r="AO388" s="1"/>
    </row>
    <row r="389" spans="3:41" x14ac:dyDescent="0.15">
      <c r="C389" s="31">
        <f>Stdev!B258</f>
        <v>105</v>
      </c>
      <c r="D389" s="1" t="str">
        <f>Stdev!C258</f>
        <v>log_F_devs</v>
      </c>
      <c r="E389" s="31">
        <f>Stdev!D258</f>
        <v>-0.17519000000000001</v>
      </c>
      <c r="F389" s="31">
        <f>Stdev!E258</f>
        <v>0.13583000000000001</v>
      </c>
      <c r="G389">
        <v>1993</v>
      </c>
      <c r="H389" s="20">
        <f t="shared" si="84"/>
        <v>0.19466210856538441</v>
      </c>
      <c r="I389" s="20">
        <f t="shared" si="78"/>
        <v>0.13677728453954668</v>
      </c>
      <c r="J389" s="20">
        <f t="shared" si="79"/>
        <v>5.3257683205275297E-2</v>
      </c>
      <c r="O389" s="20">
        <f t="shared" si="80"/>
        <v>0.33143939310493109</v>
      </c>
      <c r="P389" s="20">
        <f t="shared" si="81"/>
        <v>0.14140442536010911</v>
      </c>
      <c r="Q389" s="20">
        <f t="shared" si="85"/>
        <v>0.24390135472868207</v>
      </c>
      <c r="R389">
        <f t="shared" si="86"/>
        <v>0.75588</v>
      </c>
      <c r="S389" s="20">
        <f t="shared" si="82"/>
        <v>5.3785497070660826E-2</v>
      </c>
      <c r="T389" s="20">
        <f t="shared" si="83"/>
        <v>1.1060206575823606</v>
      </c>
      <c r="AB389">
        <f t="shared" si="76"/>
        <v>1998</v>
      </c>
      <c r="AC389">
        <f t="shared" si="77"/>
        <v>5460.4635181174508</v>
      </c>
      <c r="AD389">
        <v>1098.4100000000001</v>
      </c>
      <c r="AN389" s="1"/>
      <c r="AO389" s="1"/>
    </row>
    <row r="390" spans="3:41" x14ac:dyDescent="0.15">
      <c r="C390" s="31">
        <f>Stdev!B259</f>
        <v>106</v>
      </c>
      <c r="D390" s="1" t="str">
        <f>Stdev!C259</f>
        <v>log_F_devs</v>
      </c>
      <c r="E390" s="31">
        <f>Stdev!D259</f>
        <v>-0.36015000000000003</v>
      </c>
      <c r="F390" s="31">
        <f>Stdev!E259</f>
        <v>0.15112</v>
      </c>
      <c r="G390">
        <v>1994</v>
      </c>
      <c r="H390" s="20">
        <f t="shared" si="84"/>
        <v>0.16179098384230117</v>
      </c>
      <c r="I390" s="20">
        <f t="shared" si="78"/>
        <v>0.11819115544617637</v>
      </c>
      <c r="J390" s="20">
        <f t="shared" si="79"/>
        <v>4.7322566571023905E-2</v>
      </c>
      <c r="O390" s="20">
        <f t="shared" si="80"/>
        <v>0.27998213928847754</v>
      </c>
      <c r="P390" s="20">
        <f t="shared" si="81"/>
        <v>0.11446841727127727</v>
      </c>
      <c r="Q390" s="20">
        <f t="shared" si="85"/>
        <v>0.24390135472868207</v>
      </c>
      <c r="R390">
        <f t="shared" si="86"/>
        <v>0.75588</v>
      </c>
      <c r="S390" s="20">
        <f t="shared" si="82"/>
        <v>5.3785497070660826E-2</v>
      </c>
      <c r="T390" s="20">
        <f t="shared" si="83"/>
        <v>1.1060206575823606</v>
      </c>
      <c r="AB390">
        <f t="shared" si="76"/>
        <v>1999</v>
      </c>
      <c r="AC390">
        <f t="shared" si="77"/>
        <v>7049.2200031552875</v>
      </c>
      <c r="AD390">
        <v>980.78399999999999</v>
      </c>
      <c r="AN390" s="1"/>
      <c r="AO390" s="1"/>
    </row>
    <row r="391" spans="3:41" x14ac:dyDescent="0.15">
      <c r="C391" s="31">
        <f>Stdev!B260</f>
        <v>107</v>
      </c>
      <c r="D391" s="1" t="str">
        <f>Stdev!C260</f>
        <v>log_F_devs</v>
      </c>
      <c r="E391" s="31">
        <f>Stdev!D260</f>
        <v>-0.28355000000000002</v>
      </c>
      <c r="F391" s="31">
        <f>Stdev!E260</f>
        <v>0.15039</v>
      </c>
      <c r="G391">
        <v>1995</v>
      </c>
      <c r="H391" s="20">
        <f t="shared" si="84"/>
        <v>0.17467118768001025</v>
      </c>
      <c r="I391" s="20">
        <f t="shared" si="78"/>
        <v>0.12735766380165039</v>
      </c>
      <c r="J391" s="20">
        <f t="shared" si="79"/>
        <v>5.0932306885404705E-2</v>
      </c>
      <c r="O391" s="20">
        <f t="shared" si="80"/>
        <v>0.30202885148166064</v>
      </c>
      <c r="P391" s="20">
        <f t="shared" si="81"/>
        <v>0.12373888079460554</v>
      </c>
      <c r="Q391" s="20">
        <f t="shared" si="85"/>
        <v>0.24390135472868207</v>
      </c>
      <c r="R391">
        <f t="shared" si="86"/>
        <v>0.75588</v>
      </c>
      <c r="S391" s="20">
        <f t="shared" si="82"/>
        <v>5.3785497070660826E-2</v>
      </c>
      <c r="T391" s="20">
        <f t="shared" si="83"/>
        <v>1.1060206575823606</v>
      </c>
      <c r="AB391">
        <f t="shared" si="76"/>
        <v>2000</v>
      </c>
      <c r="AC391">
        <f t="shared" si="77"/>
        <v>7021.3087498542454</v>
      </c>
      <c r="AD391">
        <v>1126.73</v>
      </c>
      <c r="AN391" s="1"/>
      <c r="AO391" s="1"/>
    </row>
    <row r="392" spans="3:41" x14ac:dyDescent="0.15">
      <c r="C392" s="31">
        <f>Stdev!B261</f>
        <v>108</v>
      </c>
      <c r="D392" s="1" t="str">
        <f>Stdev!C261</f>
        <v>log_F_devs</v>
      </c>
      <c r="E392" s="31">
        <f>Stdev!D261</f>
        <v>-3.7546000000000003E-2</v>
      </c>
      <c r="F392" s="31">
        <f>Stdev!E261</f>
        <v>0.15271000000000001</v>
      </c>
      <c r="G392">
        <v>1996</v>
      </c>
      <c r="H392" s="20">
        <f t="shared" si="84"/>
        <v>0.22338780098341085</v>
      </c>
      <c r="I392" s="20">
        <f t="shared" si="78"/>
        <v>0.16386927105718793</v>
      </c>
      <c r="J392" s="20">
        <f t="shared" si="79"/>
        <v>6.5778095913638146E-2</v>
      </c>
      <c r="O392" s="20">
        <f t="shared" si="80"/>
        <v>0.38725707204059878</v>
      </c>
      <c r="P392" s="20">
        <f t="shared" si="81"/>
        <v>0.1576097050697727</v>
      </c>
      <c r="Q392" s="20">
        <f t="shared" si="85"/>
        <v>0.24390135472868207</v>
      </c>
      <c r="R392">
        <f t="shared" si="86"/>
        <v>0.75588</v>
      </c>
      <c r="S392" s="20">
        <f t="shared" si="82"/>
        <v>5.3785497070660826E-2</v>
      </c>
      <c r="T392" s="20">
        <f t="shared" si="83"/>
        <v>1.1060206575823606</v>
      </c>
      <c r="AB392">
        <f t="shared" si="76"/>
        <v>2001</v>
      </c>
      <c r="AC392">
        <f t="shared" si="77"/>
        <v>7392.1129361236617</v>
      </c>
      <c r="AD392">
        <v>1388.43</v>
      </c>
      <c r="AN392" s="1"/>
      <c r="AO392" s="1"/>
    </row>
    <row r="393" spans="3:41" x14ac:dyDescent="0.15">
      <c r="C393" s="31">
        <f>Stdev!B262</f>
        <v>109</v>
      </c>
      <c r="D393" s="1" t="str">
        <f>Stdev!C262</f>
        <v>log_F_devs</v>
      </c>
      <c r="E393" s="31">
        <f>Stdev!D262</f>
        <v>-4.1903999999999997E-2</v>
      </c>
      <c r="F393" s="31">
        <f>Stdev!E262</f>
        <v>0.18526000000000001</v>
      </c>
      <c r="G393">
        <v>1997</v>
      </c>
      <c r="H393" s="20">
        <f t="shared" si="84"/>
        <v>0.22241639517740083</v>
      </c>
      <c r="I393" s="20">
        <f t="shared" si="78"/>
        <v>0.178344351128811</v>
      </c>
      <c r="J393" s="20">
        <f t="shared" si="79"/>
        <v>7.4367565289947229E-2</v>
      </c>
      <c r="O393" s="20">
        <f t="shared" si="80"/>
        <v>0.40076074630621183</v>
      </c>
      <c r="P393" s="20">
        <f t="shared" si="81"/>
        <v>0.1480488298874536</v>
      </c>
      <c r="Q393" s="20">
        <f t="shared" si="85"/>
        <v>0.24390135472868207</v>
      </c>
      <c r="R393">
        <f t="shared" si="86"/>
        <v>0.75588</v>
      </c>
      <c r="S393" s="20">
        <f t="shared" si="82"/>
        <v>5.3785497070660826E-2</v>
      </c>
      <c r="T393" s="20">
        <f t="shared" si="83"/>
        <v>1.1060206575823606</v>
      </c>
      <c r="AB393">
        <f t="shared" si="76"/>
        <v>2002</v>
      </c>
      <c r="AC393">
        <f t="shared" ref="AC393:AC404" si="87">AD393/H398</f>
        <v>6844.7883939963967</v>
      </c>
      <c r="AD393">
        <v>1481.92</v>
      </c>
      <c r="AN393" s="1"/>
      <c r="AO393" s="1"/>
    </row>
    <row r="394" spans="3:41" x14ac:dyDescent="0.15">
      <c r="C394" s="31">
        <f>Stdev!B263</f>
        <v>110</v>
      </c>
      <c r="D394" s="1" t="str">
        <f>Stdev!C263</f>
        <v>log_F_devs</v>
      </c>
      <c r="E394" s="31">
        <f>Stdev!D263</f>
        <v>-0.14237</v>
      </c>
      <c r="F394" s="31">
        <f>Stdev!E263</f>
        <v>0.16336999999999999</v>
      </c>
      <c r="G394">
        <v>1998</v>
      </c>
      <c r="H394" s="20">
        <f t="shared" si="84"/>
        <v>0.20115691577382572</v>
      </c>
      <c r="I394" s="20">
        <f t="shared" si="78"/>
        <v>0.15181191948926159</v>
      </c>
      <c r="J394" s="20">
        <f t="shared" si="79"/>
        <v>6.1877176214631069E-2</v>
      </c>
      <c r="O394" s="20">
        <f t="shared" si="80"/>
        <v>0.35296883526308731</v>
      </c>
      <c r="P394" s="20">
        <f t="shared" si="81"/>
        <v>0.13927973955919465</v>
      </c>
      <c r="Q394" s="20">
        <f t="shared" si="85"/>
        <v>0.24390135472868207</v>
      </c>
      <c r="R394">
        <f t="shared" si="86"/>
        <v>0.75588</v>
      </c>
      <c r="S394" s="20">
        <f t="shared" si="82"/>
        <v>5.3785497070660826E-2</v>
      </c>
      <c r="T394" s="20">
        <f t="shared" si="83"/>
        <v>1.1060206575823606</v>
      </c>
      <c r="AB394">
        <f t="shared" si="76"/>
        <v>2003</v>
      </c>
      <c r="AC394">
        <f t="shared" si="87"/>
        <v>6864.0966038979905</v>
      </c>
      <c r="AD394">
        <v>1493.3</v>
      </c>
      <c r="AN394" s="1"/>
      <c r="AO394" s="1"/>
    </row>
    <row r="395" spans="3:41" x14ac:dyDescent="0.15">
      <c r="C395" s="31">
        <f>Stdev!B264</f>
        <v>111</v>
      </c>
      <c r="D395" s="1" t="str">
        <f>Stdev!C264</f>
        <v>log_F_devs</v>
      </c>
      <c r="E395" s="31">
        <f>Stdev!D264</f>
        <v>-0.51102000000000003</v>
      </c>
      <c r="F395" s="31">
        <f>Stdev!E264</f>
        <v>0.12783</v>
      </c>
      <c r="G395">
        <v>1999</v>
      </c>
      <c r="H395" s="20">
        <f t="shared" si="84"/>
        <v>0.13913369132485484</v>
      </c>
      <c r="I395" s="20">
        <f t="shared" si="78"/>
        <v>9.5876313514243028E-2</v>
      </c>
      <c r="J395" s="20">
        <f t="shared" si="79"/>
        <v>3.6693802356432256E-2</v>
      </c>
      <c r="O395" s="20">
        <f t="shared" si="80"/>
        <v>0.23501000483909787</v>
      </c>
      <c r="P395" s="20">
        <f t="shared" si="81"/>
        <v>0.10243988896842258</v>
      </c>
      <c r="Q395" s="20">
        <f t="shared" si="85"/>
        <v>0.24390135472868207</v>
      </c>
      <c r="R395">
        <f t="shared" si="86"/>
        <v>0.75588</v>
      </c>
      <c r="S395" s="20">
        <f t="shared" si="82"/>
        <v>5.3785497070660826E-2</v>
      </c>
      <c r="T395" s="20">
        <f t="shared" si="83"/>
        <v>1.1060206575823606</v>
      </c>
      <c r="AB395">
        <f t="shared" si="76"/>
        <v>2004</v>
      </c>
      <c r="AC395">
        <f t="shared" si="87"/>
        <v>7268.3297635871468</v>
      </c>
      <c r="AD395">
        <v>1487.44</v>
      </c>
      <c r="AN395" s="1"/>
      <c r="AO395" s="1"/>
    </row>
    <row r="396" spans="3:41" x14ac:dyDescent="0.15">
      <c r="C396" s="31">
        <f>Stdev!B265</f>
        <v>112</v>
      </c>
      <c r="D396" s="1" t="str">
        <f>Stdev!C265</f>
        <v>log_F_devs</v>
      </c>
      <c r="E396" s="31">
        <f>Stdev!D265</f>
        <v>-0.36832999999999999</v>
      </c>
      <c r="F396" s="31">
        <f>Stdev!E265</f>
        <v>0.12005</v>
      </c>
      <c r="G396">
        <v>2000</v>
      </c>
      <c r="H396" s="20">
        <f t="shared" si="84"/>
        <v>0.16047293177691263</v>
      </c>
      <c r="I396" s="20">
        <f t="shared" si="78"/>
        <v>0.10857988456456391</v>
      </c>
      <c r="J396" s="20">
        <f t="shared" si="79"/>
        <v>4.0791354942656649E-2</v>
      </c>
      <c r="O396" s="20">
        <f t="shared" si="80"/>
        <v>0.26905281634147654</v>
      </c>
      <c r="P396" s="20">
        <f t="shared" si="81"/>
        <v>0.11968157683425598</v>
      </c>
      <c r="Q396" s="20">
        <f t="shared" si="85"/>
        <v>0.24390135472868207</v>
      </c>
      <c r="R396">
        <f t="shared" si="86"/>
        <v>0.75588</v>
      </c>
      <c r="S396" s="20">
        <f t="shared" si="82"/>
        <v>5.3785497070660826E-2</v>
      </c>
      <c r="T396" s="20">
        <f t="shared" si="83"/>
        <v>1.1060206575823606</v>
      </c>
      <c r="AB396">
        <f t="shared" si="76"/>
        <v>2005</v>
      </c>
      <c r="AC396">
        <f t="shared" si="87"/>
        <v>8117.279875162697</v>
      </c>
      <c r="AD396">
        <v>1499.94</v>
      </c>
      <c r="AN396" s="1"/>
      <c r="AO396" s="1"/>
    </row>
    <row r="397" spans="3:41" x14ac:dyDescent="0.15">
      <c r="C397" s="31">
        <f>Stdev!B266</f>
        <v>113</v>
      </c>
      <c r="D397" s="1" t="str">
        <f>Stdev!C266</f>
        <v>log_F_devs</v>
      </c>
      <c r="E397" s="31">
        <f>Stdev!D266</f>
        <v>-0.21093999999999999</v>
      </c>
      <c r="F397" s="31">
        <f>Stdev!E266</f>
        <v>0.11917</v>
      </c>
      <c r="G397">
        <v>2001</v>
      </c>
      <c r="H397" s="20">
        <f t="shared" si="84"/>
        <v>0.1878258641335202</v>
      </c>
      <c r="I397" s="20">
        <f t="shared" si="78"/>
        <v>0.12683088253888181</v>
      </c>
      <c r="J397" s="20">
        <f t="shared" si="79"/>
        <v>4.7542592216621271E-2</v>
      </c>
      <c r="O397" s="20">
        <f t="shared" si="80"/>
        <v>0.31465674667240201</v>
      </c>
      <c r="P397" s="20">
        <f t="shared" si="81"/>
        <v>0.14028327191689893</v>
      </c>
      <c r="Q397" s="20">
        <f t="shared" si="85"/>
        <v>0.24390135472868207</v>
      </c>
      <c r="R397">
        <f t="shared" si="86"/>
        <v>0.75588</v>
      </c>
      <c r="S397" s="20">
        <f t="shared" si="82"/>
        <v>5.3785497070660826E-2</v>
      </c>
      <c r="T397" s="20">
        <f t="shared" si="83"/>
        <v>1.1060206575823606</v>
      </c>
      <c r="AB397">
        <f t="shared" si="76"/>
        <v>2006</v>
      </c>
      <c r="AC397">
        <f t="shared" si="87"/>
        <v>6450.1446209273336</v>
      </c>
      <c r="AD397">
        <v>1487.41</v>
      </c>
      <c r="AN397" s="1"/>
      <c r="AO397" s="1"/>
    </row>
    <row r="398" spans="3:41" x14ac:dyDescent="0.15">
      <c r="C398" s="31">
        <f>Stdev!B267</f>
        <v>114</v>
      </c>
      <c r="D398" s="1" t="str">
        <f>Stdev!C267</f>
        <v>log_F_devs</v>
      </c>
      <c r="E398" s="31">
        <f>Stdev!D267</f>
        <v>-6.8848999999999994E-2</v>
      </c>
      <c r="F398" s="31">
        <f>Stdev!E267</f>
        <v>0.1089</v>
      </c>
      <c r="G398">
        <v>2002</v>
      </c>
      <c r="H398" s="20">
        <f t="shared" si="84"/>
        <v>0.21650340590511177</v>
      </c>
      <c r="I398" s="20">
        <f t="shared" si="78"/>
        <v>0.14288828470851164</v>
      </c>
      <c r="J398" s="20">
        <f t="shared" si="79"/>
        <v>5.2108188689105245E-2</v>
      </c>
      <c r="O398" s="20">
        <f t="shared" si="80"/>
        <v>0.35939169061362342</v>
      </c>
      <c r="P398" s="20">
        <f t="shared" si="81"/>
        <v>0.16439521721600653</v>
      </c>
      <c r="Q398" s="20">
        <f t="shared" si="85"/>
        <v>0.24390135472868207</v>
      </c>
      <c r="R398">
        <f t="shared" ref="R398:R409" si="88">R397</f>
        <v>0.75588</v>
      </c>
      <c r="S398" s="20">
        <f t="shared" ref="S398:S403" si="89">Q398*EXP(-2*SQRT(R398^2))</f>
        <v>5.3785497070660826E-2</v>
      </c>
      <c r="T398" s="20">
        <f t="shared" ref="T398:T403" si="90">Q398*EXP(2*SQRT(R398^2))</f>
        <v>1.1060206575823606</v>
      </c>
      <c r="AB398">
        <f t="shared" si="76"/>
        <v>2007</v>
      </c>
      <c r="AC398">
        <f t="shared" si="87"/>
        <v>5450.1153612289045</v>
      </c>
      <c r="AD398">
        <v>1336.76</v>
      </c>
      <c r="AN398" s="1"/>
      <c r="AO398" s="1"/>
    </row>
    <row r="399" spans="3:41" x14ac:dyDescent="0.15">
      <c r="C399" s="31">
        <f>Stdev!B268</f>
        <v>115</v>
      </c>
      <c r="D399" s="1" t="str">
        <f>Stdev!C268</f>
        <v>log_F_devs</v>
      </c>
      <c r="E399" s="31">
        <f>Stdev!D268</f>
        <v>-6.4016000000000003E-2</v>
      </c>
      <c r="F399" s="31">
        <f>Stdev!E268</f>
        <v>0.1143</v>
      </c>
      <c r="G399">
        <v>2003</v>
      </c>
      <c r="H399" s="20">
        <f t="shared" si="84"/>
        <v>0.21755229947550317</v>
      </c>
      <c r="I399" s="20">
        <f t="shared" si="78"/>
        <v>0.14529428496774308</v>
      </c>
      <c r="J399" s="20">
        <f t="shared" si="79"/>
        <v>5.3778491695032932E-2</v>
      </c>
      <c r="O399" s="20">
        <f t="shared" si="80"/>
        <v>0.36284658444324625</v>
      </c>
      <c r="P399" s="20">
        <f t="shared" si="81"/>
        <v>0.16377380778047024</v>
      </c>
      <c r="Q399" s="20">
        <f t="shared" si="85"/>
        <v>0.24390135472868207</v>
      </c>
      <c r="R399">
        <f t="shared" si="88"/>
        <v>0.75588</v>
      </c>
      <c r="S399" s="20">
        <f t="shared" si="89"/>
        <v>5.3785497070660826E-2</v>
      </c>
      <c r="T399" s="20">
        <f t="shared" si="90"/>
        <v>1.1060206575823606</v>
      </c>
      <c r="AB399">
        <f t="shared" si="76"/>
        <v>2008</v>
      </c>
      <c r="AC399">
        <f t="shared" si="87"/>
        <v>3683.4940959617702</v>
      </c>
      <c r="AD399">
        <v>982.93899999999996</v>
      </c>
      <c r="AN399" s="1"/>
      <c r="AO399" s="1"/>
    </row>
    <row r="400" spans="3:41" x14ac:dyDescent="0.15">
      <c r="C400" s="31">
        <f>Stdev!B269</f>
        <v>116</v>
      </c>
      <c r="D400" s="1" t="str">
        <f>Stdev!C269</f>
        <v>log_F_devs</v>
      </c>
      <c r="E400" s="31">
        <f>Stdev!D269</f>
        <v>-0.12517</v>
      </c>
      <c r="F400" s="31">
        <f>Stdev!E269</f>
        <v>0.12670000000000001</v>
      </c>
      <c r="G400">
        <v>2004</v>
      </c>
      <c r="H400" s="20">
        <f t="shared" si="84"/>
        <v>0.20464674118829498</v>
      </c>
      <c r="I400" s="20">
        <f t="shared" ref="I400:I405" si="91">ABS(O400-H400)</f>
        <v>0.14064150267869394</v>
      </c>
      <c r="J400" s="20">
        <f t="shared" ref="J400:J405" si="92">ABS(H400-P400)</f>
        <v>5.3687350679058859E-2</v>
      </c>
      <c r="O400" s="20">
        <f t="shared" ref="O400:O405" si="93">H400*EXP(2*SQRT(F400^2+$F$4^2))</f>
        <v>0.34528824386698892</v>
      </c>
      <c r="P400" s="20">
        <f t="shared" ref="P400:P405" si="94">H400*EXP(-2*SQRT(F400^2+$F$2^2))</f>
        <v>0.15095939050923612</v>
      </c>
      <c r="Q400" s="20">
        <f t="shared" si="85"/>
        <v>0.24390135472868207</v>
      </c>
      <c r="R400">
        <f t="shared" si="88"/>
        <v>0.75588</v>
      </c>
      <c r="S400" s="20">
        <f t="shared" si="89"/>
        <v>5.3785497070660826E-2</v>
      </c>
      <c r="T400" s="20">
        <f t="shared" si="90"/>
        <v>1.1060206575823606</v>
      </c>
      <c r="AB400">
        <v>2009</v>
      </c>
      <c r="AC400">
        <f t="shared" si="87"/>
        <v>2994.3397731134382</v>
      </c>
      <c r="AD400">
        <v>800.48599999999999</v>
      </c>
      <c r="AN400" s="1"/>
      <c r="AO400" s="1"/>
    </row>
    <row r="401" spans="2:41" x14ac:dyDescent="0.15">
      <c r="C401" s="31">
        <f>Stdev!B270</f>
        <v>117</v>
      </c>
      <c r="D401" s="1" t="str">
        <f>Stdev!C270</f>
        <v>log_F_devs</v>
      </c>
      <c r="E401" s="31">
        <f>Stdev!D270</f>
        <v>-0.22727</v>
      </c>
      <c r="F401" s="31">
        <f>Stdev!E270</f>
        <v>0.122</v>
      </c>
      <c r="G401">
        <v>2005</v>
      </c>
      <c r="H401" s="20">
        <f t="shared" si="84"/>
        <v>0.18478357566424755</v>
      </c>
      <c r="I401" s="20">
        <f t="shared" si="91"/>
        <v>0.12559450345143627</v>
      </c>
      <c r="J401" s="20">
        <f t="shared" si="92"/>
        <v>4.7411445007634057E-2</v>
      </c>
      <c r="O401" s="20">
        <f t="shared" si="93"/>
        <v>0.31037807911568382</v>
      </c>
      <c r="P401" s="20">
        <f t="shared" si="94"/>
        <v>0.13737213065661349</v>
      </c>
      <c r="Q401" s="20">
        <f t="shared" si="85"/>
        <v>0.24390135472868207</v>
      </c>
      <c r="R401">
        <f t="shared" si="88"/>
        <v>0.75588</v>
      </c>
      <c r="S401" s="20">
        <f t="shared" si="89"/>
        <v>5.3785497070660826E-2</v>
      </c>
      <c r="T401" s="20">
        <f t="shared" si="90"/>
        <v>1.1060206575823606</v>
      </c>
      <c r="AB401">
        <v>2010</v>
      </c>
      <c r="AC401">
        <f t="shared" si="87"/>
        <v>3603.1390113301704</v>
      </c>
      <c r="AD401">
        <v>804.71299999999997</v>
      </c>
      <c r="AN401" s="1"/>
      <c r="AO401" s="1"/>
    </row>
    <row r="402" spans="2:41" x14ac:dyDescent="0.15">
      <c r="C402" s="31">
        <f>Stdev!B271</f>
        <v>118</v>
      </c>
      <c r="D402" s="1" t="str">
        <f>Stdev!C271</f>
        <v>log_F_devs</v>
      </c>
      <c r="E402" s="31">
        <f>Stdev!D271</f>
        <v>-5.7662E-3</v>
      </c>
      <c r="F402" s="31">
        <f>Stdev!E271</f>
        <v>0.1197</v>
      </c>
      <c r="G402">
        <v>2006</v>
      </c>
      <c r="H402" s="20">
        <f t="shared" ref="H402:H407" si="95">EXP($E$2+E402)</f>
        <v>0.2306010310488443</v>
      </c>
      <c r="I402" s="20">
        <f t="shared" si="91"/>
        <v>0.15590468287622658</v>
      </c>
      <c r="J402" s="20">
        <f t="shared" si="92"/>
        <v>5.8519004286582299E-2</v>
      </c>
      <c r="O402" s="20">
        <f t="shared" si="93"/>
        <v>0.38650571392507088</v>
      </c>
      <c r="P402" s="20">
        <f t="shared" si="94"/>
        <v>0.172082026762262</v>
      </c>
      <c r="Q402" s="20">
        <f t="shared" si="85"/>
        <v>0.24390135472868207</v>
      </c>
      <c r="R402">
        <f t="shared" si="88"/>
        <v>0.75588</v>
      </c>
      <c r="S402" s="20">
        <f t="shared" si="89"/>
        <v>5.3785497070660826E-2</v>
      </c>
      <c r="T402" s="20">
        <f t="shared" si="90"/>
        <v>1.1060206575823606</v>
      </c>
      <c r="AB402">
        <v>2011</v>
      </c>
      <c r="AC402">
        <f t="shared" si="87"/>
        <v>3707.8180303941185</v>
      </c>
      <c r="AD402">
        <v>1209</v>
      </c>
      <c r="AN402" s="1"/>
      <c r="AO402" s="1"/>
    </row>
    <row r="403" spans="2:41" x14ac:dyDescent="0.15">
      <c r="C403" s="31">
        <f>Stdev!B272</f>
        <v>119</v>
      </c>
      <c r="D403" s="1" t="str">
        <f>Stdev!C272</f>
        <v>log_F_devs</v>
      </c>
      <c r="E403" s="31">
        <f>Stdev!D272</f>
        <v>5.5912000000000003E-2</v>
      </c>
      <c r="F403" s="31">
        <f>Stdev!E272</f>
        <v>0.11422</v>
      </c>
      <c r="G403">
        <v>2007</v>
      </c>
      <c r="H403" s="20">
        <f t="shared" si="95"/>
        <v>0.24527187250190322</v>
      </c>
      <c r="I403" s="20">
        <f t="shared" si="91"/>
        <v>0.16377781375192643</v>
      </c>
      <c r="J403" s="20">
        <f t="shared" si="92"/>
        <v>6.0606932264118341E-2</v>
      </c>
      <c r="O403" s="20">
        <f t="shared" si="93"/>
        <v>0.40904968625382965</v>
      </c>
      <c r="P403" s="20">
        <f t="shared" si="94"/>
        <v>0.18466494023778487</v>
      </c>
      <c r="Q403" s="20">
        <f t="shared" si="85"/>
        <v>0.24390135472868207</v>
      </c>
      <c r="R403">
        <f t="shared" si="88"/>
        <v>0.75588</v>
      </c>
      <c r="S403" s="20">
        <f t="shared" si="89"/>
        <v>5.3785497070660826E-2</v>
      </c>
      <c r="T403" s="20">
        <f t="shared" si="90"/>
        <v>1.1060206575823606</v>
      </c>
      <c r="AB403">
        <v>2012</v>
      </c>
      <c r="AC403">
        <f t="shared" si="87"/>
        <v>3579.3231800641302</v>
      </c>
      <c r="AD403">
        <v>1209.75</v>
      </c>
      <c r="AN403" s="1"/>
      <c r="AO403" s="1"/>
    </row>
    <row r="404" spans="2:41" x14ac:dyDescent="0.15">
      <c r="C404" s="31">
        <f>Stdev!B273</f>
        <v>120</v>
      </c>
      <c r="D404" s="1" t="str">
        <f>Stdev!C273</f>
        <v>log_F_devs</v>
      </c>
      <c r="E404" s="31">
        <f>Stdev!D273</f>
        <v>0.14022999999999999</v>
      </c>
      <c r="F404" s="31">
        <f>Stdev!E273</f>
        <v>0.11226</v>
      </c>
      <c r="G404">
        <v>2008</v>
      </c>
      <c r="H404" s="20">
        <f t="shared" si="95"/>
        <v>0.2668496200598231</v>
      </c>
      <c r="I404" s="20">
        <f t="shared" si="91"/>
        <v>0.17741300658238451</v>
      </c>
      <c r="J404" s="20">
        <f t="shared" si="92"/>
        <v>6.5305870674931377E-2</v>
      </c>
      <c r="O404" s="20">
        <f t="shared" si="93"/>
        <v>0.44426262664220761</v>
      </c>
      <c r="P404" s="20">
        <f t="shared" si="94"/>
        <v>0.20154374938489172</v>
      </c>
      <c r="Q404" s="20">
        <f t="shared" si="85"/>
        <v>0.24390135472868207</v>
      </c>
      <c r="R404">
        <f t="shared" si="88"/>
        <v>0.75588</v>
      </c>
      <c r="S404" s="20">
        <f t="shared" ref="S404:S409" si="96">Q404*EXP(-2*SQRT(R404^2))</f>
        <v>5.3785497070660826E-2</v>
      </c>
      <c r="T404" s="20">
        <f t="shared" ref="T404:T409" si="97">Q404*EXP(2*SQRT(R404^2))</f>
        <v>1.1060206575823606</v>
      </c>
      <c r="AB404">
        <v>2013</v>
      </c>
      <c r="AC404">
        <f t="shared" si="87"/>
        <v>4195.5654184338246</v>
      </c>
      <c r="AD404">
        <v>1252.1199999999999</v>
      </c>
      <c r="AN404" s="1"/>
      <c r="AO404" s="1"/>
    </row>
    <row r="405" spans="2:41" x14ac:dyDescent="0.15">
      <c r="C405" s="31">
        <f>Stdev!B274</f>
        <v>121</v>
      </c>
      <c r="D405" s="1" t="str">
        <f>Stdev!C274</f>
        <v>log_F_devs</v>
      </c>
      <c r="E405" s="31">
        <f>Stdev!D274</f>
        <v>0.14204</v>
      </c>
      <c r="F405" s="31">
        <f>Stdev!E274</f>
        <v>0.12936</v>
      </c>
      <c r="G405">
        <v>2009</v>
      </c>
      <c r="H405" s="20">
        <f t="shared" si="95"/>
        <v>0.2673330552489957</v>
      </c>
      <c r="I405" s="20">
        <f t="shared" si="91"/>
        <v>0.18489531753026817</v>
      </c>
      <c r="J405" s="20">
        <f t="shared" si="92"/>
        <v>7.1007099828396453E-2</v>
      </c>
      <c r="O405" s="20">
        <f t="shared" si="93"/>
        <v>0.45222837277926387</v>
      </c>
      <c r="P405" s="20">
        <f t="shared" si="94"/>
        <v>0.19632595542059925</v>
      </c>
      <c r="Q405" s="20">
        <f t="shared" si="85"/>
        <v>0.24390135472868207</v>
      </c>
      <c r="R405">
        <f t="shared" si="88"/>
        <v>0.75588</v>
      </c>
      <c r="S405" s="20">
        <f t="shared" si="96"/>
        <v>5.3785497070660826E-2</v>
      </c>
      <c r="T405" s="20">
        <f t="shared" si="97"/>
        <v>1.1060206575823606</v>
      </c>
      <c r="AD405" t="e">
        <v>#N/A</v>
      </c>
      <c r="AN405" s="1"/>
      <c r="AO405" s="1"/>
    </row>
    <row r="406" spans="2:41" x14ac:dyDescent="0.15">
      <c r="C406" s="31">
        <f>Stdev!B275</f>
        <v>122</v>
      </c>
      <c r="D406" s="1" t="str">
        <f>Stdev!C275</f>
        <v>log_F_devs</v>
      </c>
      <c r="E406" s="31">
        <f>Stdev!D275</f>
        <v>-3.7775000000000003E-2</v>
      </c>
      <c r="F406" s="31">
        <f>Stdev!E275</f>
        <v>0.13094</v>
      </c>
      <c r="G406">
        <v>2010</v>
      </c>
      <c r="H406" s="20">
        <f t="shared" si="95"/>
        <v>0.22333665103387842</v>
      </c>
      <c r="I406" s="20">
        <f>ABS(O406-H406)</f>
        <v>0.155056855097747</v>
      </c>
      <c r="J406" s="20">
        <f>ABS(H406-P406)</f>
        <v>5.9755643891223398E-2</v>
      </c>
      <c r="O406" s="20">
        <f>H406*EXP(2*SQRT(F406^2+$F$4^2))</f>
        <v>0.37839350613162542</v>
      </c>
      <c r="P406" s="20">
        <f>H406*EXP(-2*SQRT(F406^2+$F$2^2))</f>
        <v>0.16358100714265503</v>
      </c>
      <c r="Q406" s="20">
        <f t="shared" si="85"/>
        <v>0.24390135472868207</v>
      </c>
      <c r="R406">
        <f t="shared" si="88"/>
        <v>0.75588</v>
      </c>
      <c r="S406" s="20">
        <f t="shared" si="96"/>
        <v>5.3785497070660826E-2</v>
      </c>
      <c r="T406" s="20">
        <f t="shared" si="97"/>
        <v>1.1060206575823606</v>
      </c>
      <c r="AD406" t="e">
        <v>#N/A</v>
      </c>
      <c r="AN406" s="1"/>
      <c r="AO406" s="1"/>
    </row>
    <row r="407" spans="2:41" x14ac:dyDescent="0.15">
      <c r="C407" s="31">
        <f>Stdev!B276</f>
        <v>123</v>
      </c>
      <c r="D407" s="1" t="str">
        <f>Stdev!C276</f>
        <v>log_F_devs</v>
      </c>
      <c r="E407" s="31">
        <f>Stdev!D276</f>
        <v>0.34065000000000001</v>
      </c>
      <c r="F407" s="31">
        <f>Stdev!E276</f>
        <v>0.14782999999999999</v>
      </c>
      <c r="G407">
        <v>2011</v>
      </c>
      <c r="H407" s="20">
        <f t="shared" si="95"/>
        <v>0.32606778166820949</v>
      </c>
      <c r="I407" s="20">
        <f>ABS(O407-H407)</f>
        <v>0.23617130271768727</v>
      </c>
      <c r="J407" s="20">
        <f>ABS(H407-P407)</f>
        <v>9.4045926086622378E-2</v>
      </c>
      <c r="O407" s="20">
        <f>H407*EXP(2*SQRT(F407^2+$F$4^2))</f>
        <v>0.56223908438589676</v>
      </c>
      <c r="P407" s="20">
        <f>H407*EXP(-2*SQRT(F407^2+$F$2^2))</f>
        <v>0.23202185558158711</v>
      </c>
      <c r="Q407" s="20">
        <f t="shared" si="85"/>
        <v>0.24390135472868207</v>
      </c>
      <c r="R407">
        <f t="shared" si="88"/>
        <v>0.75588</v>
      </c>
      <c r="S407" s="20">
        <f t="shared" si="96"/>
        <v>5.3785497070660826E-2</v>
      </c>
      <c r="T407" s="20">
        <f t="shared" si="97"/>
        <v>1.1060206575823606</v>
      </c>
      <c r="AD407" t="e">
        <v>#N/A</v>
      </c>
      <c r="AN407" s="1"/>
      <c r="AO407" s="1"/>
    </row>
    <row r="408" spans="2:41" x14ac:dyDescent="0.15">
      <c r="C408" s="31">
        <f>Stdev!B277</f>
        <v>124</v>
      </c>
      <c r="D408" s="1" t="str">
        <f>Stdev!C277</f>
        <v>log_F_devs</v>
      </c>
      <c r="E408" s="31">
        <f>Stdev!D277</f>
        <v>0.37653999999999999</v>
      </c>
      <c r="F408" s="31">
        <f>Stdev!E277</f>
        <v>0.19225999999999999</v>
      </c>
      <c r="G408">
        <v>2011</v>
      </c>
      <c r="H408" s="20">
        <f>EXP($E$2+E408)</f>
        <v>0.33798289205567772</v>
      </c>
      <c r="I408" s="20">
        <f>ABS(O408-H408)</f>
        <v>0.27646084581928027</v>
      </c>
      <c r="J408" s="20">
        <f>ABS(H408-P408)</f>
        <v>0.11586655320055808</v>
      </c>
      <c r="O408" s="20">
        <f>H408*EXP(2*SQRT(F408^2+$F$4^2))</f>
        <v>0.61444373787495798</v>
      </c>
      <c r="P408" s="20">
        <f>H408*EXP(-2*SQRT(F408^2+$F$2^2))</f>
        <v>0.22211633885511964</v>
      </c>
      <c r="Q408" s="20">
        <f t="shared" si="85"/>
        <v>0.24390135472868207</v>
      </c>
      <c r="R408">
        <f t="shared" si="88"/>
        <v>0.75588</v>
      </c>
      <c r="S408" s="20">
        <f t="shared" si="96"/>
        <v>5.3785497070660826E-2</v>
      </c>
      <c r="T408" s="20">
        <f t="shared" si="97"/>
        <v>1.1060206575823606</v>
      </c>
      <c r="AD408" t="e">
        <v>#N/A</v>
      </c>
      <c r="AN408" s="1"/>
      <c r="AO408" s="1"/>
    </row>
    <row r="409" spans="2:41" x14ac:dyDescent="0.15">
      <c r="C409" s="31">
        <f>Stdev!B278</f>
        <v>125</v>
      </c>
      <c r="D409" s="1" t="str">
        <f>Stdev!C278</f>
        <v>log_F_devs</v>
      </c>
      <c r="E409" s="31">
        <f>Stdev!D278</f>
        <v>0.25211</v>
      </c>
      <c r="F409" s="31">
        <f>Stdev!E278</f>
        <v>0.36270999999999998</v>
      </c>
      <c r="G409">
        <v>2011</v>
      </c>
      <c r="H409" s="20">
        <f>EXP($E$2+E409)</f>
        <v>0.29843891707626086</v>
      </c>
      <c r="I409" s="20">
        <f>ABS(O409-H409)</f>
        <v>0.40520035924747616</v>
      </c>
      <c r="J409" s="20">
        <f>ABS(H409-P409)</f>
        <v>0.15671982812115831</v>
      </c>
      <c r="O409" s="20">
        <f>H409*EXP(2*SQRT(F409^2+$F$4^2))</f>
        <v>0.70363927632373702</v>
      </c>
      <c r="P409" s="20">
        <f>H409*EXP(-2*SQRT(F409^2+$F$2^2))</f>
        <v>0.14171908895510255</v>
      </c>
      <c r="Q409" s="20">
        <f t="shared" si="85"/>
        <v>0.24390135472868207</v>
      </c>
      <c r="R409">
        <f t="shared" si="88"/>
        <v>0.75588</v>
      </c>
      <c r="S409" s="20">
        <f t="shared" si="96"/>
        <v>5.3785497070660826E-2</v>
      </c>
      <c r="T409" s="20">
        <f t="shared" si="97"/>
        <v>1.1060206575823606</v>
      </c>
      <c r="AN409" s="1"/>
      <c r="AO409" s="1"/>
    </row>
    <row r="410" spans="2:41" x14ac:dyDescent="0.15">
      <c r="C410" s="31"/>
      <c r="D410" s="1"/>
      <c r="E410" s="20"/>
      <c r="F410" s="20"/>
      <c r="AN410" s="1"/>
      <c r="AO410" s="1"/>
    </row>
    <row r="411" spans="2:41" x14ac:dyDescent="0.15">
      <c r="E411" s="20"/>
      <c r="F411" s="20"/>
      <c r="AN411" s="1"/>
      <c r="AO411" s="1"/>
    </row>
    <row r="412" spans="2:41" x14ac:dyDescent="0.15">
      <c r="E412" s="20"/>
      <c r="F412" s="20"/>
      <c r="AB412">
        <v>1</v>
      </c>
      <c r="AN412" s="1"/>
      <c r="AO412" s="1"/>
    </row>
    <row r="413" spans="2:41" x14ac:dyDescent="0.15">
      <c r="E413" s="20"/>
      <c r="F413" s="20"/>
      <c r="AN413" s="1"/>
      <c r="AO413" s="1"/>
    </row>
    <row r="414" spans="2:41" x14ac:dyDescent="0.15">
      <c r="E414" s="20"/>
      <c r="F414" s="20"/>
      <c r="AB414" s="61">
        <v>1.3120000000000001</v>
      </c>
      <c r="AN414" s="1"/>
      <c r="AO414" s="1"/>
    </row>
    <row r="415" spans="2:41" x14ac:dyDescent="0.15">
      <c r="B415" t="s">
        <v>229</v>
      </c>
      <c r="E415" s="20"/>
      <c r="F415" s="20"/>
      <c r="AB415" s="61">
        <v>1.3120000000000001</v>
      </c>
      <c r="AN415" s="1"/>
      <c r="AO415" s="1"/>
    </row>
    <row r="416" spans="2:41" x14ac:dyDescent="0.15">
      <c r="E416" s="20"/>
      <c r="F416" s="20"/>
      <c r="AB416" s="61">
        <v>1.3120000000000001</v>
      </c>
      <c r="AN416" s="1"/>
      <c r="AO416" s="1"/>
    </row>
    <row r="417" spans="2:41" x14ac:dyDescent="0.15">
      <c r="B417" t="s">
        <v>135</v>
      </c>
      <c r="C417">
        <v>0</v>
      </c>
      <c r="D417">
        <v>8.0000000000000002E-3</v>
      </c>
      <c r="E417">
        <v>0.28899999999999998</v>
      </c>
      <c r="F417">
        <v>0.64100000000000001</v>
      </c>
      <c r="G417">
        <v>0.84199999999999997</v>
      </c>
      <c r="H417">
        <v>0.90100000000000002</v>
      </c>
      <c r="I417">
        <v>0.94699999999999995</v>
      </c>
      <c r="J417">
        <v>0.96299999999999997</v>
      </c>
      <c r="K417">
        <v>0.97</v>
      </c>
      <c r="L417">
        <v>1</v>
      </c>
      <c r="M417">
        <v>1</v>
      </c>
      <c r="N417">
        <v>1</v>
      </c>
      <c r="O417">
        <v>1</v>
      </c>
      <c r="P417">
        <v>1</v>
      </c>
      <c r="AB417" s="61">
        <v>1.3120000000000001</v>
      </c>
      <c r="AN417" s="1"/>
      <c r="AO417" s="1"/>
    </row>
    <row r="418" spans="2:41" x14ac:dyDescent="0.15">
      <c r="B418" s="25"/>
      <c r="C418" s="25" t="s">
        <v>72</v>
      </c>
      <c r="D418" s="25">
        <v>2</v>
      </c>
      <c r="E418" s="25">
        <v>3</v>
      </c>
      <c r="F418" s="25">
        <v>4</v>
      </c>
      <c r="G418" s="25">
        <v>5</v>
      </c>
      <c r="H418" s="25">
        <v>6</v>
      </c>
      <c r="I418" s="25">
        <v>7</v>
      </c>
      <c r="J418" s="25">
        <v>8</v>
      </c>
      <c r="K418" s="25">
        <v>9</v>
      </c>
      <c r="L418" s="25">
        <v>10</v>
      </c>
      <c r="M418" s="25">
        <v>11</v>
      </c>
      <c r="N418" s="25">
        <v>12</v>
      </c>
      <c r="O418" s="25">
        <v>13</v>
      </c>
      <c r="P418" s="25">
        <v>14</v>
      </c>
      <c r="Q418" s="25">
        <v>15</v>
      </c>
      <c r="R418" s="25"/>
      <c r="S418" s="25"/>
      <c r="T418" s="25"/>
      <c r="U418" s="25"/>
      <c r="AB418" s="61">
        <v>1.3120000000000001</v>
      </c>
      <c r="AN418" s="1"/>
      <c r="AO418" s="1"/>
    </row>
    <row r="419" spans="2:41" x14ac:dyDescent="0.15">
      <c r="B419" s="25">
        <v>1964</v>
      </c>
      <c r="C419" s="31">
        <v>6.6E-3</v>
      </c>
      <c r="D419" s="31">
        <v>0.17</v>
      </c>
      <c r="E419" s="31">
        <v>0.30299999999999999</v>
      </c>
      <c r="F419" s="31">
        <v>0.44700000000000001</v>
      </c>
      <c r="G419" s="31">
        <v>0.58899999999999997</v>
      </c>
      <c r="H419" s="31">
        <v>0.72199999999999998</v>
      </c>
      <c r="I419" s="31">
        <v>0.84</v>
      </c>
      <c r="J419" s="31">
        <v>0.94199999999999995</v>
      </c>
      <c r="K419" s="31">
        <v>1.0289999999999999</v>
      </c>
      <c r="L419" s="31">
        <v>1.1020000000000001</v>
      </c>
      <c r="M419" s="31">
        <v>1.163</v>
      </c>
      <c r="N419" s="31">
        <v>1.212</v>
      </c>
      <c r="O419" s="31">
        <v>1.2529999999999999</v>
      </c>
      <c r="P419" s="31">
        <v>1.286</v>
      </c>
      <c r="Q419" s="31">
        <v>1.3120000000000001</v>
      </c>
      <c r="R419" s="31"/>
      <c r="S419" s="31"/>
      <c r="T419" s="31"/>
      <c r="U419" s="31"/>
      <c r="AB419" s="61">
        <v>1.3120000000000001</v>
      </c>
      <c r="AN419" s="1"/>
      <c r="AO419" s="1"/>
    </row>
    <row r="420" spans="2:41" x14ac:dyDescent="0.15">
      <c r="B420" s="25">
        <v>1965</v>
      </c>
      <c r="C420" s="31">
        <v>6.6E-3</v>
      </c>
      <c r="D420" s="31">
        <v>0.17</v>
      </c>
      <c r="E420" s="31">
        <v>0.30299999999999999</v>
      </c>
      <c r="F420" s="31">
        <v>0.44700000000000001</v>
      </c>
      <c r="G420" s="31">
        <v>0.58899999999999997</v>
      </c>
      <c r="H420" s="31">
        <v>0.72199999999999998</v>
      </c>
      <c r="I420" s="31">
        <v>0.84</v>
      </c>
      <c r="J420" s="31">
        <v>0.94199999999999995</v>
      </c>
      <c r="K420" s="31">
        <v>1.0289999999999999</v>
      </c>
      <c r="L420" s="31">
        <v>1.1020000000000001</v>
      </c>
      <c r="M420" s="31">
        <v>1.163</v>
      </c>
      <c r="N420" s="31">
        <v>1.212</v>
      </c>
      <c r="O420" s="31">
        <v>1.2529999999999999</v>
      </c>
      <c r="P420" s="31">
        <v>1.286</v>
      </c>
      <c r="Q420" s="31">
        <v>1.3120000000000001</v>
      </c>
      <c r="R420" s="31"/>
      <c r="S420" s="31"/>
      <c r="T420" s="31"/>
      <c r="U420" s="31"/>
      <c r="AB420" s="61">
        <v>1.3120000000000001</v>
      </c>
      <c r="AN420" s="1"/>
      <c r="AO420" s="1"/>
    </row>
    <row r="421" spans="2:41" x14ac:dyDescent="0.15">
      <c r="B421" s="25">
        <v>1966</v>
      </c>
      <c r="C421" s="31">
        <v>6.6E-3</v>
      </c>
      <c r="D421" s="31">
        <v>0.17</v>
      </c>
      <c r="E421" s="31">
        <v>0.30299999999999999</v>
      </c>
      <c r="F421" s="31">
        <v>0.44700000000000001</v>
      </c>
      <c r="G421" s="31">
        <v>0.58899999999999997</v>
      </c>
      <c r="H421" s="31">
        <v>0.72199999999999998</v>
      </c>
      <c r="I421" s="31">
        <v>0.84</v>
      </c>
      <c r="J421" s="31">
        <v>0.94199999999999995</v>
      </c>
      <c r="K421" s="31">
        <v>1.0289999999999999</v>
      </c>
      <c r="L421" s="31">
        <v>1.1020000000000001</v>
      </c>
      <c r="M421" s="31">
        <v>1.163</v>
      </c>
      <c r="N421" s="31">
        <v>1.212</v>
      </c>
      <c r="O421" s="31">
        <v>1.2529999999999999</v>
      </c>
      <c r="P421" s="31">
        <v>1.286</v>
      </c>
      <c r="Q421" s="31">
        <v>1.3120000000000001</v>
      </c>
      <c r="R421" s="31"/>
      <c r="S421" s="31"/>
      <c r="T421" s="31"/>
      <c r="U421" s="31"/>
      <c r="AB421" s="61">
        <v>1.3120000000000001</v>
      </c>
      <c r="AN421" s="1"/>
      <c r="AO421" s="1"/>
    </row>
    <row r="422" spans="2:41" x14ac:dyDescent="0.15">
      <c r="B422" s="25">
        <v>1967</v>
      </c>
      <c r="C422" s="31">
        <v>6.6E-3</v>
      </c>
      <c r="D422" s="31">
        <v>0.17</v>
      </c>
      <c r="E422" s="31">
        <v>0.30299999999999999</v>
      </c>
      <c r="F422" s="31">
        <v>0.44700000000000001</v>
      </c>
      <c r="G422" s="31">
        <v>0.58899999999999997</v>
      </c>
      <c r="H422" s="31">
        <v>0.72199999999999998</v>
      </c>
      <c r="I422" s="31">
        <v>0.84</v>
      </c>
      <c r="J422" s="31">
        <v>0.94199999999999995</v>
      </c>
      <c r="K422" s="31">
        <v>1.0289999999999999</v>
      </c>
      <c r="L422" s="31">
        <v>1.1020000000000001</v>
      </c>
      <c r="M422" s="31">
        <v>1.163</v>
      </c>
      <c r="N422" s="31">
        <v>1.212</v>
      </c>
      <c r="O422" s="31">
        <v>1.2529999999999999</v>
      </c>
      <c r="P422" s="31">
        <v>1.286</v>
      </c>
      <c r="Q422" s="31">
        <v>1.3120000000000001</v>
      </c>
      <c r="R422" s="31"/>
      <c r="S422" s="31"/>
      <c r="T422" s="31"/>
      <c r="U422" s="31"/>
      <c r="AB422" s="61">
        <v>1.3120000000000001</v>
      </c>
      <c r="AN422" s="1"/>
      <c r="AO422" s="1"/>
    </row>
    <row r="423" spans="2:41" x14ac:dyDescent="0.15">
      <c r="B423" s="25">
        <v>1968</v>
      </c>
      <c r="C423" s="31">
        <v>6.6E-3</v>
      </c>
      <c r="D423" s="31">
        <v>0.17</v>
      </c>
      <c r="E423" s="31">
        <v>0.30299999999999999</v>
      </c>
      <c r="F423" s="31">
        <v>0.44700000000000001</v>
      </c>
      <c r="G423" s="31">
        <v>0.58899999999999997</v>
      </c>
      <c r="H423" s="31">
        <v>0.72199999999999998</v>
      </c>
      <c r="I423" s="31">
        <v>0.84</v>
      </c>
      <c r="J423" s="31">
        <v>0.94199999999999995</v>
      </c>
      <c r="K423" s="31">
        <v>1.0289999999999999</v>
      </c>
      <c r="L423" s="31">
        <v>1.1020000000000001</v>
      </c>
      <c r="M423" s="31">
        <v>1.163</v>
      </c>
      <c r="N423" s="31">
        <v>1.212</v>
      </c>
      <c r="O423" s="31">
        <v>1.2529999999999999</v>
      </c>
      <c r="P423" s="31">
        <v>1.286</v>
      </c>
      <c r="Q423" s="31">
        <v>1.3120000000000001</v>
      </c>
      <c r="R423" s="31"/>
      <c r="S423" s="31"/>
      <c r="T423" s="31"/>
      <c r="U423" s="31"/>
      <c r="AB423" s="61">
        <v>1.3120000000000001</v>
      </c>
      <c r="AN423" s="1"/>
      <c r="AO423" s="1"/>
    </row>
    <row r="424" spans="2:41" x14ac:dyDescent="0.15">
      <c r="B424" s="25">
        <v>1969</v>
      </c>
      <c r="C424" s="31">
        <v>6.6E-3</v>
      </c>
      <c r="D424" s="31">
        <v>0.17</v>
      </c>
      <c r="E424" s="31">
        <v>0.30299999999999999</v>
      </c>
      <c r="F424" s="31">
        <v>0.44700000000000001</v>
      </c>
      <c r="G424" s="31">
        <v>0.58899999999999997</v>
      </c>
      <c r="H424" s="31">
        <v>0.72199999999999998</v>
      </c>
      <c r="I424" s="31">
        <v>0.84</v>
      </c>
      <c r="J424" s="31">
        <v>0.94199999999999995</v>
      </c>
      <c r="K424" s="31">
        <v>1.0289999999999999</v>
      </c>
      <c r="L424" s="31">
        <v>1.1020000000000001</v>
      </c>
      <c r="M424" s="31">
        <v>1.163</v>
      </c>
      <c r="N424" s="31">
        <v>1.212</v>
      </c>
      <c r="O424" s="31">
        <v>1.2529999999999999</v>
      </c>
      <c r="P424" s="31">
        <v>1.286</v>
      </c>
      <c r="Q424" s="31">
        <v>1.3120000000000001</v>
      </c>
      <c r="R424" s="31"/>
      <c r="S424" s="31"/>
      <c r="T424" s="31"/>
      <c r="U424" s="31"/>
      <c r="AB424" s="61">
        <v>1.3120000000000001</v>
      </c>
      <c r="AN424" s="1"/>
      <c r="AO424" s="1"/>
    </row>
    <row r="425" spans="2:41" x14ac:dyDescent="0.15">
      <c r="B425" s="25">
        <v>1970</v>
      </c>
      <c r="C425" s="31">
        <v>6.6E-3</v>
      </c>
      <c r="D425" s="31">
        <v>0.17</v>
      </c>
      <c r="E425" s="31">
        <v>0.30299999999999999</v>
      </c>
      <c r="F425" s="31">
        <v>0.44700000000000001</v>
      </c>
      <c r="G425" s="31">
        <v>0.58899999999999997</v>
      </c>
      <c r="H425" s="31">
        <v>0.72199999999999998</v>
      </c>
      <c r="I425" s="31">
        <v>0.84</v>
      </c>
      <c r="J425" s="31">
        <v>0.94199999999999995</v>
      </c>
      <c r="K425" s="31">
        <v>1.0289999999999999</v>
      </c>
      <c r="L425" s="31">
        <v>1.1020000000000001</v>
      </c>
      <c r="M425" s="31">
        <v>1.163</v>
      </c>
      <c r="N425" s="31">
        <v>1.212</v>
      </c>
      <c r="O425" s="31">
        <v>1.2529999999999999</v>
      </c>
      <c r="P425" s="31">
        <v>1.286</v>
      </c>
      <c r="Q425" s="31">
        <v>1.3120000000000001</v>
      </c>
      <c r="R425" s="31"/>
      <c r="S425" s="31"/>
      <c r="T425" s="31"/>
      <c r="U425" s="31"/>
      <c r="AB425" s="61">
        <v>1.3120000000000001</v>
      </c>
      <c r="AN425" s="1"/>
      <c r="AO425" s="1"/>
    </row>
    <row r="426" spans="2:41" x14ac:dyDescent="0.15">
      <c r="B426" s="25">
        <v>1971</v>
      </c>
      <c r="C426" s="31">
        <v>6.6E-3</v>
      </c>
      <c r="D426" s="31">
        <v>0.17</v>
      </c>
      <c r="E426" s="31">
        <v>0.30299999999999999</v>
      </c>
      <c r="F426" s="31">
        <v>0.44700000000000001</v>
      </c>
      <c r="G426" s="31">
        <v>0.58899999999999997</v>
      </c>
      <c r="H426" s="31">
        <v>0.72199999999999998</v>
      </c>
      <c r="I426" s="31">
        <v>0.84</v>
      </c>
      <c r="J426" s="31">
        <v>0.94199999999999995</v>
      </c>
      <c r="K426" s="31">
        <v>1.0289999999999999</v>
      </c>
      <c r="L426" s="31">
        <v>1.1020000000000001</v>
      </c>
      <c r="M426" s="31">
        <v>1.163</v>
      </c>
      <c r="N426" s="31">
        <v>1.212</v>
      </c>
      <c r="O426" s="31">
        <v>1.2529999999999999</v>
      </c>
      <c r="P426" s="31">
        <v>1.286</v>
      </c>
      <c r="Q426" s="31">
        <v>1.3120000000000001</v>
      </c>
      <c r="R426" s="31"/>
      <c r="S426" s="31"/>
      <c r="T426" s="31"/>
      <c r="U426" s="31"/>
      <c r="AB426" s="61">
        <v>1.3120000000000001</v>
      </c>
      <c r="AN426" s="1"/>
      <c r="AO426" s="1"/>
    </row>
    <row r="427" spans="2:41" x14ac:dyDescent="0.15">
      <c r="B427" s="25">
        <v>1972</v>
      </c>
      <c r="C427" s="31">
        <v>6.6E-3</v>
      </c>
      <c r="D427" s="31">
        <v>0.17</v>
      </c>
      <c r="E427" s="31">
        <v>0.30299999999999999</v>
      </c>
      <c r="F427" s="31">
        <v>0.44700000000000001</v>
      </c>
      <c r="G427" s="31">
        <v>0.58899999999999997</v>
      </c>
      <c r="H427" s="31">
        <v>0.72199999999999998</v>
      </c>
      <c r="I427" s="31">
        <v>0.84</v>
      </c>
      <c r="J427" s="31">
        <v>0.94199999999999995</v>
      </c>
      <c r="K427" s="31">
        <v>1.0289999999999999</v>
      </c>
      <c r="L427" s="31">
        <v>1.1020000000000001</v>
      </c>
      <c r="M427" s="31">
        <v>1.163</v>
      </c>
      <c r="N427" s="31">
        <v>1.212</v>
      </c>
      <c r="O427" s="31">
        <v>1.2529999999999999</v>
      </c>
      <c r="P427" s="31">
        <v>1.286</v>
      </c>
      <c r="Q427" s="31">
        <v>1.3120000000000001</v>
      </c>
      <c r="R427" s="31"/>
      <c r="S427" s="31"/>
      <c r="T427" s="31"/>
      <c r="U427" s="31"/>
      <c r="AB427" s="61">
        <v>1.3120000000000001</v>
      </c>
      <c r="AN427" s="1"/>
      <c r="AO427" s="1"/>
    </row>
    <row r="428" spans="2:41" x14ac:dyDescent="0.15">
      <c r="B428" s="25">
        <v>1973</v>
      </c>
      <c r="C428" s="31">
        <v>6.6E-3</v>
      </c>
      <c r="D428" s="31">
        <v>0.17</v>
      </c>
      <c r="E428" s="31">
        <v>0.30299999999999999</v>
      </c>
      <c r="F428" s="31">
        <v>0.44700000000000001</v>
      </c>
      <c r="G428" s="31">
        <v>0.58899999999999997</v>
      </c>
      <c r="H428" s="31">
        <v>0.72199999999999998</v>
      </c>
      <c r="I428" s="31">
        <v>0.84</v>
      </c>
      <c r="J428" s="31">
        <v>0.94199999999999995</v>
      </c>
      <c r="K428" s="31">
        <v>1.0289999999999999</v>
      </c>
      <c r="L428" s="31">
        <v>1.1020000000000001</v>
      </c>
      <c r="M428" s="31">
        <v>1.163</v>
      </c>
      <c r="N428" s="31">
        <v>1.212</v>
      </c>
      <c r="O428" s="31">
        <v>1.2529999999999999</v>
      </c>
      <c r="P428" s="31">
        <v>1.286</v>
      </c>
      <c r="Q428" s="31">
        <v>1.3120000000000001</v>
      </c>
      <c r="R428" s="31"/>
      <c r="S428" s="31"/>
      <c r="T428" s="31"/>
      <c r="U428" s="31"/>
      <c r="AB428" s="61">
        <v>1.3120000000000001</v>
      </c>
      <c r="AN428" s="1"/>
      <c r="AO428" s="1"/>
    </row>
    <row r="429" spans="2:41" x14ac:dyDescent="0.15">
      <c r="B429" s="25">
        <v>1974</v>
      </c>
      <c r="C429" s="31">
        <v>6.6E-3</v>
      </c>
      <c r="D429" s="31">
        <v>0.17</v>
      </c>
      <c r="E429" s="31">
        <v>0.30299999999999999</v>
      </c>
      <c r="F429" s="31">
        <v>0.44700000000000001</v>
      </c>
      <c r="G429" s="31">
        <v>0.58899999999999997</v>
      </c>
      <c r="H429" s="31">
        <v>0.72199999999999998</v>
      </c>
      <c r="I429" s="31">
        <v>0.84</v>
      </c>
      <c r="J429" s="31">
        <v>0.94199999999999995</v>
      </c>
      <c r="K429" s="31">
        <v>1.0289999999999999</v>
      </c>
      <c r="L429" s="31">
        <v>1.1020000000000001</v>
      </c>
      <c r="M429" s="31">
        <v>1.163</v>
      </c>
      <c r="N429" s="31">
        <v>1.212</v>
      </c>
      <c r="O429" s="31">
        <v>1.2529999999999999</v>
      </c>
      <c r="P429" s="31">
        <v>1.286</v>
      </c>
      <c r="Q429" s="31">
        <v>1.3120000000000001</v>
      </c>
      <c r="R429" s="31"/>
      <c r="S429" s="31"/>
      <c r="T429" s="31"/>
      <c r="U429" s="31"/>
      <c r="AB429" s="61">
        <v>1.3120000000000001</v>
      </c>
      <c r="AN429" s="1"/>
      <c r="AO429" s="1"/>
    </row>
    <row r="430" spans="2:41" x14ac:dyDescent="0.15">
      <c r="B430" s="25">
        <v>1975</v>
      </c>
      <c r="C430" s="31">
        <v>6.6E-3</v>
      </c>
      <c r="D430" s="31">
        <v>0.17</v>
      </c>
      <c r="E430" s="31">
        <v>0.30299999999999999</v>
      </c>
      <c r="F430" s="31">
        <v>0.44700000000000001</v>
      </c>
      <c r="G430" s="31">
        <v>0.58899999999999997</v>
      </c>
      <c r="H430" s="31">
        <v>0.72199999999999998</v>
      </c>
      <c r="I430" s="31">
        <v>0.84</v>
      </c>
      <c r="J430" s="31">
        <v>0.94199999999999995</v>
      </c>
      <c r="K430" s="31">
        <v>1.0289999999999999</v>
      </c>
      <c r="L430" s="31">
        <v>1.1020000000000001</v>
      </c>
      <c r="M430" s="31">
        <v>1.163</v>
      </c>
      <c r="N430" s="31">
        <v>1.212</v>
      </c>
      <c r="O430" s="31">
        <v>1.2529999999999999</v>
      </c>
      <c r="P430" s="31">
        <v>1.286</v>
      </c>
      <c r="Q430" s="31">
        <v>1.3120000000000001</v>
      </c>
      <c r="R430" s="31"/>
      <c r="S430" s="31"/>
      <c r="T430" s="31"/>
      <c r="U430" s="31"/>
      <c r="AB430" s="61">
        <v>1.3120000000000001</v>
      </c>
      <c r="AN430" s="1"/>
      <c r="AO430" s="1"/>
    </row>
    <row r="431" spans="2:41" x14ac:dyDescent="0.15">
      <c r="B431" s="25">
        <v>1976</v>
      </c>
      <c r="C431" s="31">
        <v>6.6E-3</v>
      </c>
      <c r="D431" s="31">
        <v>0.17</v>
      </c>
      <c r="E431" s="31">
        <v>0.30299999999999999</v>
      </c>
      <c r="F431" s="31">
        <v>0.44700000000000001</v>
      </c>
      <c r="G431" s="31">
        <v>0.58899999999999997</v>
      </c>
      <c r="H431" s="31">
        <v>0.72199999999999998</v>
      </c>
      <c r="I431" s="31">
        <v>0.84</v>
      </c>
      <c r="J431" s="31">
        <v>0.94199999999999995</v>
      </c>
      <c r="K431" s="31">
        <v>1.0289999999999999</v>
      </c>
      <c r="L431" s="31">
        <v>1.1020000000000001</v>
      </c>
      <c r="M431" s="31">
        <v>1.163</v>
      </c>
      <c r="N431" s="31">
        <v>1.212</v>
      </c>
      <c r="O431" s="31">
        <v>1.2529999999999999</v>
      </c>
      <c r="P431" s="31">
        <v>1.286</v>
      </c>
      <c r="Q431" s="31">
        <v>1.3120000000000001</v>
      </c>
      <c r="R431" s="31"/>
      <c r="S431" s="31"/>
      <c r="T431" s="31"/>
      <c r="U431" s="31"/>
      <c r="AB431" s="61">
        <v>1.3120000000000001</v>
      </c>
      <c r="AN431" s="1"/>
      <c r="AO431" s="1"/>
    </row>
    <row r="432" spans="2:41" x14ac:dyDescent="0.15">
      <c r="B432" s="25">
        <v>1977</v>
      </c>
      <c r="C432" s="31">
        <v>6.6E-3</v>
      </c>
      <c r="D432" s="31">
        <v>0.17</v>
      </c>
      <c r="E432" s="31">
        <v>0.30299999999999999</v>
      </c>
      <c r="F432" s="31">
        <v>0.44700000000000001</v>
      </c>
      <c r="G432" s="31">
        <v>0.58899999999999997</v>
      </c>
      <c r="H432" s="31">
        <v>0.72199999999999998</v>
      </c>
      <c r="I432" s="31">
        <v>0.84</v>
      </c>
      <c r="J432" s="31">
        <v>0.94199999999999995</v>
      </c>
      <c r="K432" s="31">
        <v>1.0289999999999999</v>
      </c>
      <c r="L432" s="31">
        <v>1.1020000000000001</v>
      </c>
      <c r="M432" s="31">
        <v>1.163</v>
      </c>
      <c r="N432" s="31">
        <v>1.212</v>
      </c>
      <c r="O432" s="31">
        <v>1.2529999999999999</v>
      </c>
      <c r="P432" s="31">
        <v>1.286</v>
      </c>
      <c r="Q432" s="31">
        <v>1.3120000000000001</v>
      </c>
      <c r="R432" s="31"/>
      <c r="S432" s="31"/>
      <c r="T432" s="31"/>
      <c r="U432" s="31"/>
      <c r="AB432" s="61">
        <v>1.3120000000000001</v>
      </c>
      <c r="AN432" s="1"/>
      <c r="AO432" s="1"/>
    </row>
    <row r="433" spans="1:41" x14ac:dyDescent="0.15">
      <c r="B433" s="25">
        <v>1978</v>
      </c>
      <c r="C433" s="31">
        <v>6.6E-3</v>
      </c>
      <c r="D433" s="31">
        <v>0.17</v>
      </c>
      <c r="E433" s="31">
        <v>0.30299999999999999</v>
      </c>
      <c r="F433" s="31">
        <v>0.44700000000000001</v>
      </c>
      <c r="G433" s="31">
        <v>0.58899999999999997</v>
      </c>
      <c r="H433" s="31">
        <v>0.72199999999999998</v>
      </c>
      <c r="I433" s="31">
        <v>0.84</v>
      </c>
      <c r="J433" s="31">
        <v>0.94199999999999995</v>
      </c>
      <c r="K433" s="31">
        <v>1.0289999999999999</v>
      </c>
      <c r="L433" s="31">
        <v>1.1020000000000001</v>
      </c>
      <c r="M433" s="31">
        <v>1.163</v>
      </c>
      <c r="N433" s="31">
        <v>1.212</v>
      </c>
      <c r="O433" s="31">
        <v>1.2529999999999999</v>
      </c>
      <c r="P433" s="31">
        <v>1.286</v>
      </c>
      <c r="Q433" s="31">
        <v>1.3120000000000001</v>
      </c>
      <c r="R433" s="31"/>
      <c r="S433" s="31"/>
      <c r="T433" s="31"/>
      <c r="U433" s="31"/>
      <c r="AB433" s="61">
        <v>1.3120000000000001</v>
      </c>
      <c r="AN433" s="1"/>
      <c r="AO433" s="1"/>
    </row>
    <row r="434" spans="1:41" x14ac:dyDescent="0.15">
      <c r="B434" s="25">
        <v>1979</v>
      </c>
      <c r="C434" s="31">
        <v>6.6E-3</v>
      </c>
      <c r="D434" s="31">
        <v>0.17</v>
      </c>
      <c r="E434" s="31">
        <v>0.30299999999999999</v>
      </c>
      <c r="F434" s="31">
        <v>0.44700000000000001</v>
      </c>
      <c r="G434" s="31">
        <v>0.58899999999999997</v>
      </c>
      <c r="H434" s="31">
        <v>0.72199999999999998</v>
      </c>
      <c r="I434" s="31">
        <v>0.84</v>
      </c>
      <c r="J434" s="31">
        <v>0.94199999999999995</v>
      </c>
      <c r="K434" s="31">
        <v>1.0289999999999999</v>
      </c>
      <c r="L434" s="31">
        <v>1.1020000000000001</v>
      </c>
      <c r="M434" s="31">
        <v>1.163</v>
      </c>
      <c r="N434" s="31">
        <v>1.212</v>
      </c>
      <c r="O434" s="31">
        <v>1.2529999999999999</v>
      </c>
      <c r="P434" s="31">
        <v>1.286</v>
      </c>
      <c r="Q434" s="31">
        <v>1.3120000000000001</v>
      </c>
      <c r="R434" s="31"/>
      <c r="S434" s="31"/>
      <c r="T434" s="31"/>
      <c r="U434" s="31"/>
      <c r="AB434" s="61">
        <v>1.3120000000000001</v>
      </c>
      <c r="AN434" s="1"/>
      <c r="AO434" s="1"/>
    </row>
    <row r="435" spans="1:41" x14ac:dyDescent="0.15">
      <c r="B435" s="25">
        <v>1980</v>
      </c>
      <c r="C435" s="31">
        <v>6.6E-3</v>
      </c>
      <c r="D435" s="31">
        <v>0.17</v>
      </c>
      <c r="E435" s="31">
        <v>0.30299999999999999</v>
      </c>
      <c r="F435" s="31">
        <v>0.44700000000000001</v>
      </c>
      <c r="G435" s="31">
        <v>0.58899999999999997</v>
      </c>
      <c r="H435" s="31">
        <v>0.72199999999999998</v>
      </c>
      <c r="I435" s="31">
        <v>0.84</v>
      </c>
      <c r="J435" s="31">
        <v>0.94199999999999995</v>
      </c>
      <c r="K435" s="31">
        <v>1.0289999999999999</v>
      </c>
      <c r="L435" s="31">
        <v>1.1020000000000001</v>
      </c>
      <c r="M435" s="31">
        <v>1.163</v>
      </c>
      <c r="N435" s="31">
        <v>1.212</v>
      </c>
      <c r="O435" s="31">
        <v>1.2529999999999999</v>
      </c>
      <c r="P435" s="31">
        <v>1.286</v>
      </c>
      <c r="Q435" s="31">
        <v>1.3120000000000001</v>
      </c>
      <c r="R435" s="31"/>
      <c r="S435" s="31"/>
      <c r="T435" s="31"/>
      <c r="U435" s="31"/>
      <c r="AB435" s="61">
        <v>1.3120000000000001</v>
      </c>
    </row>
    <row r="436" spans="1:41" x14ac:dyDescent="0.15">
      <c r="B436" s="25">
        <v>1981</v>
      </c>
      <c r="C436" s="31">
        <v>6.6E-3</v>
      </c>
      <c r="D436" s="31">
        <v>0.17</v>
      </c>
      <c r="E436" s="31">
        <v>0.30299999999999999</v>
      </c>
      <c r="F436" s="31">
        <v>0.44700000000000001</v>
      </c>
      <c r="G436" s="31">
        <v>0.58899999999999997</v>
      </c>
      <c r="H436" s="31">
        <v>0.72199999999999998</v>
      </c>
      <c r="I436" s="31">
        <v>0.84</v>
      </c>
      <c r="J436" s="31">
        <v>0.94199999999999995</v>
      </c>
      <c r="K436" s="31">
        <v>1.0289999999999999</v>
      </c>
      <c r="L436" s="31">
        <v>1.1020000000000001</v>
      </c>
      <c r="M436" s="31">
        <v>1.163</v>
      </c>
      <c r="N436" s="31">
        <v>1.212</v>
      </c>
      <c r="O436" s="31">
        <v>1.2529999999999999</v>
      </c>
      <c r="P436" s="31">
        <v>1.286</v>
      </c>
      <c r="Q436" s="31">
        <v>1.3120000000000001</v>
      </c>
      <c r="R436" s="31"/>
      <c r="S436" s="31"/>
      <c r="T436" s="31"/>
      <c r="U436" s="31"/>
      <c r="AB436" s="61">
        <v>1.3120000000000001</v>
      </c>
    </row>
    <row r="437" spans="1:41" x14ac:dyDescent="0.15">
      <c r="B437" s="25">
        <v>1982</v>
      </c>
      <c r="C437" s="31">
        <v>6.6E-3</v>
      </c>
      <c r="D437" s="31">
        <v>0.17</v>
      </c>
      <c r="E437" s="31">
        <v>0.30299999999999999</v>
      </c>
      <c r="F437" s="31">
        <v>0.44700000000000001</v>
      </c>
      <c r="G437" s="31">
        <v>0.58899999999999997</v>
      </c>
      <c r="H437" s="31">
        <v>0.72199999999999998</v>
      </c>
      <c r="I437" s="31">
        <v>0.84</v>
      </c>
      <c r="J437" s="31">
        <v>0.94199999999999995</v>
      </c>
      <c r="K437" s="31">
        <v>1.0289999999999999</v>
      </c>
      <c r="L437" s="31">
        <v>1.1020000000000001</v>
      </c>
      <c r="M437" s="31">
        <v>1.163</v>
      </c>
      <c r="N437" s="31">
        <v>1.212</v>
      </c>
      <c r="O437" s="31">
        <v>1.2529999999999999</v>
      </c>
      <c r="P437" s="31">
        <v>1.286</v>
      </c>
      <c r="Q437" s="31">
        <v>1.3120000000000001</v>
      </c>
      <c r="R437" s="31"/>
      <c r="S437" s="31"/>
      <c r="T437" s="31"/>
      <c r="U437" s="31"/>
      <c r="AB437" s="61">
        <v>1.3120000000000001</v>
      </c>
    </row>
    <row r="438" spans="1:41" x14ac:dyDescent="0.15">
      <c r="B438" s="25">
        <v>1983</v>
      </c>
      <c r="C438" s="31">
        <v>6.6E-3</v>
      </c>
      <c r="D438" s="31">
        <v>0.17</v>
      </c>
      <c r="E438" s="31">
        <v>0.30299999999999999</v>
      </c>
      <c r="F438" s="31">
        <v>0.44700000000000001</v>
      </c>
      <c r="G438" s="31">
        <v>0.58899999999999997</v>
      </c>
      <c r="H438" s="31">
        <v>0.72199999999999998</v>
      </c>
      <c r="I438" s="31">
        <v>0.84</v>
      </c>
      <c r="J438" s="31">
        <v>0.94199999999999995</v>
      </c>
      <c r="K438" s="31">
        <v>1.0289999999999999</v>
      </c>
      <c r="L438" s="31">
        <v>1.1020000000000001</v>
      </c>
      <c r="M438" s="31">
        <v>1.163</v>
      </c>
      <c r="N438" s="31">
        <v>1.212</v>
      </c>
      <c r="O438" s="31">
        <v>1.2529999999999999</v>
      </c>
      <c r="P438" s="31">
        <v>1.286</v>
      </c>
      <c r="Q438" s="31">
        <v>1.3120000000000001</v>
      </c>
      <c r="R438" s="31"/>
      <c r="S438" s="31"/>
      <c r="T438" s="31"/>
      <c r="U438" s="31"/>
      <c r="AB438" s="61">
        <v>1.3120000000000001</v>
      </c>
    </row>
    <row r="439" spans="1:41" x14ac:dyDescent="0.15">
      <c r="B439" s="25">
        <v>1984</v>
      </c>
      <c r="C439" s="31">
        <v>6.6E-3</v>
      </c>
      <c r="D439" s="31">
        <v>0.17</v>
      </c>
      <c r="E439" s="31">
        <v>0.30299999999999999</v>
      </c>
      <c r="F439" s="31">
        <v>0.44700000000000001</v>
      </c>
      <c r="G439" s="31">
        <v>0.58899999999999997</v>
      </c>
      <c r="H439" s="31">
        <v>0.72199999999999998</v>
      </c>
      <c r="I439" s="31">
        <v>0.84</v>
      </c>
      <c r="J439" s="31">
        <v>0.94199999999999995</v>
      </c>
      <c r="K439" s="31">
        <v>1.0289999999999999</v>
      </c>
      <c r="L439" s="31">
        <v>1.1020000000000001</v>
      </c>
      <c r="M439" s="31">
        <v>1.163</v>
      </c>
      <c r="N439" s="31">
        <v>1.212</v>
      </c>
      <c r="O439" s="31">
        <v>1.2529999999999999</v>
      </c>
      <c r="P439" s="31">
        <v>1.286</v>
      </c>
      <c r="Q439" s="31">
        <v>1.3120000000000001</v>
      </c>
      <c r="R439" s="31"/>
      <c r="S439" s="31"/>
      <c r="T439" s="31"/>
      <c r="U439" s="31"/>
      <c r="AB439" s="61">
        <v>1.3120000000000001</v>
      </c>
    </row>
    <row r="440" spans="1:41" x14ac:dyDescent="0.15">
      <c r="B440" s="25">
        <v>1985</v>
      </c>
      <c r="C440" s="31">
        <v>6.6E-3</v>
      </c>
      <c r="D440" s="31">
        <v>0.17</v>
      </c>
      <c r="E440" s="31">
        <v>0.30299999999999999</v>
      </c>
      <c r="F440" s="31">
        <v>0.44700000000000001</v>
      </c>
      <c r="G440" s="31">
        <v>0.58899999999999997</v>
      </c>
      <c r="H440" s="31">
        <v>0.72199999999999998</v>
      </c>
      <c r="I440" s="31">
        <v>0.84</v>
      </c>
      <c r="J440" s="31">
        <v>0.94199999999999995</v>
      </c>
      <c r="K440" s="31">
        <v>1.0289999999999999</v>
      </c>
      <c r="L440" s="31">
        <v>1.1020000000000001</v>
      </c>
      <c r="M440" s="31">
        <v>1.163</v>
      </c>
      <c r="N440" s="31">
        <v>1.212</v>
      </c>
      <c r="O440" s="31">
        <v>1.2529999999999999</v>
      </c>
      <c r="P440" s="31">
        <v>1.286</v>
      </c>
      <c r="Q440" s="31">
        <v>1.3120000000000001</v>
      </c>
      <c r="R440" s="31"/>
      <c r="S440" s="31"/>
      <c r="T440" s="31"/>
      <c r="U440" s="31"/>
      <c r="AB440" s="61">
        <v>1.3120000000000001</v>
      </c>
    </row>
    <row r="441" spans="1:41" x14ac:dyDescent="0.15">
      <c r="B441" s="25">
        <v>1986</v>
      </c>
      <c r="C441" s="31">
        <v>6.6E-3</v>
      </c>
      <c r="D441" s="31">
        <v>0.17</v>
      </c>
      <c r="E441" s="31">
        <v>0.30299999999999999</v>
      </c>
      <c r="F441" s="31">
        <v>0.44700000000000001</v>
      </c>
      <c r="G441" s="31">
        <v>0.58899999999999997</v>
      </c>
      <c r="H441" s="31">
        <v>0.72199999999999998</v>
      </c>
      <c r="I441" s="31">
        <v>0.84</v>
      </c>
      <c r="J441" s="31">
        <v>0.94199999999999995</v>
      </c>
      <c r="K441" s="31">
        <v>1.0289999999999999</v>
      </c>
      <c r="L441" s="31">
        <v>1.1020000000000001</v>
      </c>
      <c r="M441" s="31">
        <v>1.163</v>
      </c>
      <c r="N441" s="31">
        <v>1.212</v>
      </c>
      <c r="O441" s="31">
        <v>1.2529999999999999</v>
      </c>
      <c r="P441" s="31">
        <v>1.286</v>
      </c>
      <c r="Q441" s="31">
        <v>1.3120000000000001</v>
      </c>
      <c r="R441" s="31"/>
      <c r="S441" s="31"/>
      <c r="T441" s="31"/>
      <c r="U441" s="31"/>
      <c r="AB441" s="61">
        <v>1.24409353</v>
      </c>
    </row>
    <row r="442" spans="1:41" x14ac:dyDescent="0.15">
      <c r="B442" s="25">
        <v>1987</v>
      </c>
      <c r="C442" s="31">
        <v>6.6E-3</v>
      </c>
      <c r="D442" s="31">
        <v>0.17</v>
      </c>
      <c r="E442" s="31">
        <v>0.30299999999999999</v>
      </c>
      <c r="F442" s="31">
        <v>0.44700000000000001</v>
      </c>
      <c r="G442" s="31">
        <v>0.58899999999999997</v>
      </c>
      <c r="H442" s="31">
        <v>0.72199999999999998</v>
      </c>
      <c r="I442" s="31">
        <v>0.84</v>
      </c>
      <c r="J442" s="31">
        <v>0.94199999999999995</v>
      </c>
      <c r="K442" s="31">
        <v>1.0289999999999999</v>
      </c>
      <c r="L442" s="31">
        <v>1.1020000000000001</v>
      </c>
      <c r="M442" s="31">
        <v>1.163</v>
      </c>
      <c r="N442" s="31">
        <v>1.212</v>
      </c>
      <c r="O442" s="31">
        <v>1.2529999999999999</v>
      </c>
      <c r="P442" s="31">
        <v>1.286</v>
      </c>
      <c r="Q442" s="31">
        <v>1.3120000000000001</v>
      </c>
      <c r="R442" s="31"/>
      <c r="S442" s="31"/>
      <c r="T442" s="31"/>
      <c r="U442" s="31"/>
      <c r="AB442" s="61">
        <v>1.30405422</v>
      </c>
    </row>
    <row r="443" spans="1:41" x14ac:dyDescent="0.15">
      <c r="B443" s="25">
        <v>1988</v>
      </c>
      <c r="C443" s="31">
        <v>6.6E-3</v>
      </c>
      <c r="D443" s="31">
        <v>0.17</v>
      </c>
      <c r="E443" s="31">
        <v>0.30299999999999999</v>
      </c>
      <c r="F443" s="31">
        <v>0.44700000000000001</v>
      </c>
      <c r="G443" s="31">
        <v>0.58899999999999997</v>
      </c>
      <c r="H443" s="31">
        <v>0.72199999999999998</v>
      </c>
      <c r="I443" s="31">
        <v>0.84</v>
      </c>
      <c r="J443" s="31">
        <v>0.94199999999999995</v>
      </c>
      <c r="K443" s="31">
        <v>1.0289999999999999</v>
      </c>
      <c r="L443" s="31">
        <v>1.1020000000000001</v>
      </c>
      <c r="M443" s="31">
        <v>1.163</v>
      </c>
      <c r="N443" s="31">
        <v>1.212</v>
      </c>
      <c r="O443" s="31">
        <v>1.2529999999999999</v>
      </c>
      <c r="P443" s="31">
        <v>1.286</v>
      </c>
      <c r="Q443" s="31">
        <v>1.3120000000000001</v>
      </c>
      <c r="R443" s="31"/>
      <c r="S443" s="31"/>
      <c r="T443" s="31"/>
      <c r="U443" s="31"/>
      <c r="AB443" s="61">
        <v>1.4648591200000001</v>
      </c>
    </row>
    <row r="444" spans="1:41" x14ac:dyDescent="0.15">
      <c r="B444" s="25">
        <v>1989</v>
      </c>
      <c r="C444" s="31">
        <v>6.6E-3</v>
      </c>
      <c r="D444" s="31">
        <v>0.17</v>
      </c>
      <c r="E444" s="31">
        <v>0.30299999999999999</v>
      </c>
      <c r="F444" s="31">
        <v>0.44700000000000001</v>
      </c>
      <c r="G444" s="31">
        <v>0.58899999999999997</v>
      </c>
      <c r="H444" s="31">
        <v>0.72199999999999998</v>
      </c>
      <c r="I444" s="31">
        <v>0.84</v>
      </c>
      <c r="J444" s="31">
        <v>0.94199999999999995</v>
      </c>
      <c r="K444" s="31">
        <v>1.0289999999999999</v>
      </c>
      <c r="L444" s="31">
        <v>1.1020000000000001</v>
      </c>
      <c r="M444" s="31">
        <v>1.163</v>
      </c>
      <c r="N444" s="31">
        <v>1.212</v>
      </c>
      <c r="O444" s="31">
        <v>1.2529999999999999</v>
      </c>
      <c r="P444" s="31">
        <v>1.286</v>
      </c>
      <c r="Q444" s="31">
        <v>1.3120000000000001</v>
      </c>
      <c r="R444" s="31"/>
      <c r="S444" s="31"/>
      <c r="T444" s="31"/>
      <c r="U444" s="31"/>
      <c r="AB444" s="61">
        <v>1.28170158</v>
      </c>
    </row>
    <row r="445" spans="1:41" x14ac:dyDescent="0.15">
      <c r="A445" s="31"/>
      <c r="B445" s="25">
        <v>1990</v>
      </c>
      <c r="C445" s="31">
        <v>6.6E-3</v>
      </c>
      <c r="D445" s="31">
        <v>0.17</v>
      </c>
      <c r="E445" s="31">
        <v>0.30299999999999999</v>
      </c>
      <c r="F445" s="31">
        <v>0.44700000000000001</v>
      </c>
      <c r="G445" s="31">
        <v>0.58899999999999997</v>
      </c>
      <c r="H445" s="31">
        <v>0.72199999999999998</v>
      </c>
      <c r="I445" s="31">
        <v>0.84</v>
      </c>
      <c r="J445" s="31">
        <v>0.94199999999999995</v>
      </c>
      <c r="K445" s="31">
        <v>1.0289999999999999</v>
      </c>
      <c r="L445" s="31">
        <v>1.1020000000000001</v>
      </c>
      <c r="M445" s="31">
        <v>1.163</v>
      </c>
      <c r="N445" s="31">
        <v>1.212</v>
      </c>
      <c r="O445" s="31">
        <v>1.2529999999999999</v>
      </c>
      <c r="P445" s="31">
        <v>1.286</v>
      </c>
      <c r="Q445" s="31">
        <v>1.3120000000000001</v>
      </c>
      <c r="R445" s="31"/>
      <c r="S445" s="31"/>
      <c r="T445" s="31"/>
      <c r="U445" s="31"/>
      <c r="AB445" s="61">
        <v>1.49065819</v>
      </c>
    </row>
    <row r="446" spans="1:41" x14ac:dyDescent="0.15">
      <c r="B446" s="25">
        <v>1991</v>
      </c>
      <c r="C446" s="31">
        <v>6.6E-3</v>
      </c>
      <c r="D446" s="31">
        <v>0.149613</v>
      </c>
      <c r="E446" s="31">
        <v>0.287074</v>
      </c>
      <c r="F446" s="31">
        <v>0.478518</v>
      </c>
      <c r="G446" s="31">
        <v>0.60778399999999999</v>
      </c>
      <c r="H446" s="31">
        <v>0.72699899999999995</v>
      </c>
      <c r="I446" s="31">
        <v>0.84816499999999995</v>
      </c>
      <c r="J446" s="31">
        <v>0.88670800000000005</v>
      </c>
      <c r="K446" s="31">
        <v>1.00604</v>
      </c>
      <c r="L446" s="31">
        <v>1.1265099999999999</v>
      </c>
      <c r="M446" s="31">
        <v>1.1247199999999999</v>
      </c>
      <c r="N446" s="31">
        <v>1.2372799999999999</v>
      </c>
      <c r="O446" s="31">
        <v>1.24166</v>
      </c>
      <c r="P446" s="31">
        <v>1.2786599999999999</v>
      </c>
      <c r="Q446" s="31">
        <v>1.24356</v>
      </c>
      <c r="R446" s="31"/>
      <c r="S446" s="31"/>
      <c r="T446" s="31"/>
      <c r="U446" s="31"/>
      <c r="AB446" s="61">
        <v>1.4595185500000001</v>
      </c>
    </row>
    <row r="447" spans="1:41" x14ac:dyDescent="0.15">
      <c r="B447" s="25">
        <v>1992</v>
      </c>
      <c r="C447" s="31">
        <v>6.6E-3</v>
      </c>
      <c r="D447" s="31">
        <v>0.179094</v>
      </c>
      <c r="E447" s="31">
        <v>0.39792499999999997</v>
      </c>
      <c r="F447" s="31">
        <v>0.468366</v>
      </c>
      <c r="G447" s="31">
        <v>0.64540299999999995</v>
      </c>
      <c r="H447" s="31">
        <v>0.71234399999999998</v>
      </c>
      <c r="I447" s="31">
        <v>0.81445299999999998</v>
      </c>
      <c r="J447" s="31">
        <v>0.98301400000000005</v>
      </c>
      <c r="K447" s="31">
        <v>1.02772</v>
      </c>
      <c r="L447" s="31">
        <v>1.22445</v>
      </c>
      <c r="M447" s="31">
        <v>1.2338499999999999</v>
      </c>
      <c r="N447" s="31">
        <v>1.2698100000000001</v>
      </c>
      <c r="O447" s="31">
        <v>1.1751799999999999</v>
      </c>
      <c r="P447" s="31">
        <v>1.3525799999999999</v>
      </c>
      <c r="Q447" s="31">
        <v>1.44129</v>
      </c>
      <c r="R447" s="31"/>
      <c r="S447" s="31"/>
      <c r="T447" s="31"/>
      <c r="U447" s="31"/>
      <c r="AB447" s="61">
        <v>1.418061104</v>
      </c>
    </row>
    <row r="448" spans="1:41" x14ac:dyDescent="0.15">
      <c r="B448" s="25">
        <v>1993</v>
      </c>
      <c r="C448" s="31">
        <v>6.6E-3</v>
      </c>
      <c r="D448" s="31">
        <v>0.33130999999999999</v>
      </c>
      <c r="E448" s="31">
        <v>0.49458600000000003</v>
      </c>
      <c r="F448" s="31">
        <v>0.61287400000000003</v>
      </c>
      <c r="G448" s="31">
        <v>0.65636799999999995</v>
      </c>
      <c r="H448" s="31">
        <v>0.77230600000000005</v>
      </c>
      <c r="I448" s="31">
        <v>0.92993099999999995</v>
      </c>
      <c r="J448" s="31">
        <v>1.04311</v>
      </c>
      <c r="K448" s="31">
        <v>1.19617</v>
      </c>
      <c r="L448" s="31">
        <v>1.2296199999999999</v>
      </c>
      <c r="M448" s="31">
        <v>1.40652</v>
      </c>
      <c r="N448" s="31">
        <v>1.5479400000000001</v>
      </c>
      <c r="O448" s="31">
        <v>1.6496200000000001</v>
      </c>
      <c r="P448" s="31">
        <v>1.6883900000000001</v>
      </c>
      <c r="Q448" s="31">
        <v>1.6352899999999999</v>
      </c>
      <c r="R448" s="31"/>
      <c r="S448" s="31"/>
      <c r="T448" s="31"/>
      <c r="U448" s="31"/>
      <c r="AB448" s="61">
        <v>1.709053229</v>
      </c>
    </row>
    <row r="449" spans="2:28" x14ac:dyDescent="0.15">
      <c r="B449" s="25">
        <v>1994</v>
      </c>
      <c r="C449" s="31">
        <v>6.6E-3</v>
      </c>
      <c r="D449" s="31">
        <v>0.23309099999999999</v>
      </c>
      <c r="E449" s="31">
        <v>0.39446700000000001</v>
      </c>
      <c r="F449" s="31">
        <v>0.64872200000000002</v>
      </c>
      <c r="G449" s="31">
        <v>0.72995699999999997</v>
      </c>
      <c r="H449" s="31">
        <v>0.74609199999999998</v>
      </c>
      <c r="I449" s="31">
        <v>0.70564199999999999</v>
      </c>
      <c r="J449" s="31">
        <v>1.00956</v>
      </c>
      <c r="K449" s="31">
        <v>1.3921399999999999</v>
      </c>
      <c r="L449" s="31">
        <v>1.31978</v>
      </c>
      <c r="M449" s="31">
        <v>1.3386100000000001</v>
      </c>
      <c r="N449" s="31">
        <v>1.4170799999999999</v>
      </c>
      <c r="O449" s="31">
        <v>1.37351</v>
      </c>
      <c r="P449" s="31">
        <v>1.30966</v>
      </c>
      <c r="Q449" s="31">
        <v>1.38611</v>
      </c>
      <c r="R449" s="31"/>
      <c r="S449" s="31"/>
      <c r="T449" s="31"/>
      <c r="U449" s="31"/>
      <c r="AB449" s="61">
        <v>1.52887763</v>
      </c>
    </row>
    <row r="450" spans="2:28" x14ac:dyDescent="0.15">
      <c r="B450" s="25">
        <v>1995</v>
      </c>
      <c r="C450" s="31">
        <v>6.6E-3</v>
      </c>
      <c r="D450" s="31">
        <v>0.15348000000000001</v>
      </c>
      <c r="E450" s="31">
        <v>0.37541200000000002</v>
      </c>
      <c r="F450" s="31">
        <v>0.50150799999999995</v>
      </c>
      <c r="G450" s="31">
        <v>0.72955400000000004</v>
      </c>
      <c r="H450" s="31">
        <v>0.84345899999999996</v>
      </c>
      <c r="I450" s="31">
        <v>0.855931</v>
      </c>
      <c r="J450" s="31">
        <v>0.97250499999999995</v>
      </c>
      <c r="K450" s="31">
        <v>1.2243900000000001</v>
      </c>
      <c r="L450" s="31">
        <v>1.3377300000000001</v>
      </c>
      <c r="M450" s="31">
        <v>1.41273</v>
      </c>
      <c r="N450" s="31">
        <v>1.49661</v>
      </c>
      <c r="O450" s="31">
        <v>1.3947400000000001</v>
      </c>
      <c r="P450" s="31">
        <v>1.2119200000000001</v>
      </c>
      <c r="Q450" s="31">
        <v>1.36327</v>
      </c>
      <c r="R450" s="31"/>
      <c r="S450" s="31"/>
      <c r="T450" s="31"/>
      <c r="U450" s="31"/>
      <c r="AB450" s="61">
        <v>1.5519973199999999</v>
      </c>
    </row>
    <row r="451" spans="2:28" x14ac:dyDescent="0.15">
      <c r="B451" s="25">
        <v>1996</v>
      </c>
      <c r="C451" s="31">
        <v>6.6E-3</v>
      </c>
      <c r="D451" s="31">
        <v>0.29288900000000001</v>
      </c>
      <c r="E451" s="31">
        <v>0.32219199999999998</v>
      </c>
      <c r="F451" s="31">
        <v>0.42813099999999998</v>
      </c>
      <c r="G451" s="31">
        <v>0.67965100000000001</v>
      </c>
      <c r="H451" s="31">
        <v>0.78992200000000001</v>
      </c>
      <c r="I451" s="31">
        <v>0.94608199999999998</v>
      </c>
      <c r="J451" s="31">
        <v>0.948793</v>
      </c>
      <c r="K451" s="31">
        <v>1.02125</v>
      </c>
      <c r="L451" s="31">
        <v>1.08996</v>
      </c>
      <c r="M451" s="31">
        <v>1.40326</v>
      </c>
      <c r="N451" s="31">
        <v>1.49709</v>
      </c>
      <c r="O451" s="31">
        <v>1.53918</v>
      </c>
      <c r="P451" s="31">
        <v>1.7504299999999999</v>
      </c>
      <c r="Q451" s="31">
        <v>1.53592</v>
      </c>
      <c r="R451" s="31"/>
      <c r="S451" s="31"/>
      <c r="T451" s="31"/>
      <c r="U451" s="31"/>
      <c r="AB451" s="62">
        <v>1.596642726</v>
      </c>
    </row>
    <row r="452" spans="2:28" x14ac:dyDescent="0.15">
      <c r="B452" s="25">
        <v>1997</v>
      </c>
      <c r="C452" s="31">
        <v>6.6E-3</v>
      </c>
      <c r="D452" s="31">
        <v>0.18718399999999999</v>
      </c>
      <c r="E452" s="31">
        <v>0.32349600000000001</v>
      </c>
      <c r="F452" s="31">
        <v>0.46641100000000002</v>
      </c>
      <c r="G452" s="31">
        <v>0.55365799999999998</v>
      </c>
      <c r="H452" s="31">
        <v>0.74188600000000005</v>
      </c>
      <c r="I452" s="31">
        <v>0.88836700000000002</v>
      </c>
      <c r="J452" s="31">
        <v>1.07108</v>
      </c>
      <c r="K452" s="31">
        <v>1.0880799999999999</v>
      </c>
      <c r="L452" s="31">
        <v>1.2395</v>
      </c>
      <c r="M452" s="31">
        <v>1.41048</v>
      </c>
      <c r="N452" s="31">
        <v>1.4733799999999999</v>
      </c>
      <c r="O452" s="31">
        <v>1.7236899999999999</v>
      </c>
      <c r="P452" s="31">
        <v>1.45773</v>
      </c>
      <c r="Q452" s="31">
        <v>1.4233899999999999</v>
      </c>
      <c r="R452" s="31"/>
      <c r="S452" s="31"/>
      <c r="T452" s="31"/>
      <c r="U452" s="31"/>
    </row>
    <row r="453" spans="2:28" x14ac:dyDescent="0.15">
      <c r="B453" s="25">
        <v>1998</v>
      </c>
      <c r="C453" s="31">
        <v>6.6E-3</v>
      </c>
      <c r="D453" s="31">
        <v>0.19053600000000001</v>
      </c>
      <c r="E453" s="31">
        <v>0.37151099999999998</v>
      </c>
      <c r="F453" s="31">
        <v>0.58762999999999999</v>
      </c>
      <c r="G453" s="31">
        <v>0.62681600000000004</v>
      </c>
      <c r="H453" s="31">
        <v>0.62314400000000003</v>
      </c>
      <c r="I453" s="31">
        <v>0.778748</v>
      </c>
      <c r="J453" s="31">
        <v>1.03409</v>
      </c>
      <c r="K453" s="31">
        <v>1.17723</v>
      </c>
      <c r="L453" s="31">
        <v>1.24278</v>
      </c>
      <c r="M453" s="31">
        <v>1.2938000000000001</v>
      </c>
      <c r="N453" s="31">
        <v>1.4166300000000001</v>
      </c>
      <c r="O453" s="31">
        <v>1.55921</v>
      </c>
      <c r="P453" s="31">
        <v>1.55589</v>
      </c>
      <c r="Q453" s="31">
        <v>1.7198899999999999</v>
      </c>
      <c r="R453" s="31"/>
      <c r="S453" s="31"/>
      <c r="T453" s="31"/>
      <c r="U453" s="31"/>
    </row>
    <row r="454" spans="2:28" x14ac:dyDescent="0.15">
      <c r="B454" s="25">
        <v>1999</v>
      </c>
      <c r="C454" s="31">
        <v>6.6E-3</v>
      </c>
      <c r="D454" s="31">
        <v>0.187805</v>
      </c>
      <c r="E454" s="31">
        <v>0.40021499999999999</v>
      </c>
      <c r="F454" s="31">
        <v>0.50220799999999999</v>
      </c>
      <c r="G454" s="31">
        <v>0.637934</v>
      </c>
      <c r="H454" s="31">
        <v>0.70107200000000003</v>
      </c>
      <c r="I454" s="31">
        <v>0.72666799999999998</v>
      </c>
      <c r="J454" s="31">
        <v>0.90118399999999999</v>
      </c>
      <c r="K454" s="31">
        <v>1.0393699999999999</v>
      </c>
      <c r="L454" s="31">
        <v>1.2723100000000001</v>
      </c>
      <c r="M454" s="31">
        <v>1.2072799999999999</v>
      </c>
      <c r="N454" s="31">
        <v>1.41536</v>
      </c>
      <c r="O454" s="31">
        <v>1.16415</v>
      </c>
      <c r="P454" s="31">
        <v>1.14116</v>
      </c>
      <c r="Q454" s="31">
        <v>1.3188800000000001</v>
      </c>
      <c r="R454" s="31"/>
      <c r="S454" s="31"/>
      <c r="T454" s="31"/>
      <c r="U454" s="31"/>
    </row>
    <row r="455" spans="2:28" x14ac:dyDescent="0.15">
      <c r="B455" s="25">
        <v>2000</v>
      </c>
      <c r="C455" s="31">
        <v>6.6E-3</v>
      </c>
      <c r="D455" s="31">
        <v>0.21770800000000001</v>
      </c>
      <c r="E455" s="31">
        <v>0.351379</v>
      </c>
      <c r="F455" s="31">
        <v>0.52383599999999997</v>
      </c>
      <c r="G455" s="31">
        <v>0.62977499999999997</v>
      </c>
      <c r="H455" s="31">
        <v>0.73165100000000005</v>
      </c>
      <c r="I455" s="31">
        <v>0.78234000000000004</v>
      </c>
      <c r="J455" s="31">
        <v>0.80487399999999998</v>
      </c>
      <c r="K455" s="31">
        <v>0.97153299999999998</v>
      </c>
      <c r="L455" s="31">
        <v>1.0181899999999999</v>
      </c>
      <c r="M455" s="31">
        <v>1.2680100000000001</v>
      </c>
      <c r="N455" s="31">
        <v>1.31717</v>
      </c>
      <c r="O455" s="31">
        <v>1.3195300000000001</v>
      </c>
      <c r="P455" s="31">
        <v>1.6654</v>
      </c>
      <c r="Q455" s="31">
        <v>1.73756</v>
      </c>
      <c r="R455" s="31"/>
      <c r="S455" s="31"/>
      <c r="T455" s="31"/>
      <c r="U455" s="31"/>
    </row>
    <row r="456" spans="2:28" x14ac:dyDescent="0.15">
      <c r="B456" s="25">
        <v>2001</v>
      </c>
      <c r="C456" s="31">
        <v>6.4999999999999997E-3</v>
      </c>
      <c r="D456" s="31">
        <v>0.22672500000000001</v>
      </c>
      <c r="E456" s="31">
        <v>0.32352399999999998</v>
      </c>
      <c r="F456" s="31">
        <v>0.496699</v>
      </c>
      <c r="G456" s="31">
        <v>0.66917099999999996</v>
      </c>
      <c r="H456" s="31">
        <v>0.78697399999999995</v>
      </c>
      <c r="I456" s="31">
        <v>0.96277699999999999</v>
      </c>
      <c r="J456" s="31">
        <v>0.99509300000000001</v>
      </c>
      <c r="K456" s="31">
        <v>1.0618300000000001</v>
      </c>
      <c r="L456" s="31">
        <v>1.1370800000000001</v>
      </c>
      <c r="M456" s="31">
        <v>1.32711</v>
      </c>
      <c r="N456" s="31">
        <v>1.45139</v>
      </c>
      <c r="O456" s="31">
        <v>1.5847899999999999</v>
      </c>
      <c r="P456" s="31">
        <v>1.46591</v>
      </c>
      <c r="Q456" s="31">
        <v>1.6649400000000001</v>
      </c>
      <c r="R456" s="31"/>
      <c r="S456" s="31"/>
      <c r="T456" s="31"/>
      <c r="U456" s="31"/>
    </row>
    <row r="457" spans="2:28" x14ac:dyDescent="0.15">
      <c r="B457" s="25">
        <v>2002</v>
      </c>
      <c r="C457" s="31">
        <v>6.7000000000000002E-3</v>
      </c>
      <c r="D457" s="31">
        <v>0.231265</v>
      </c>
      <c r="E457" s="31">
        <v>0.38042700000000002</v>
      </c>
      <c r="F457" s="31">
        <v>0.50819800000000004</v>
      </c>
      <c r="G457" s="31">
        <v>0.66937800000000003</v>
      </c>
      <c r="H457" s="31">
        <v>0.79546799999999995</v>
      </c>
      <c r="I457" s="31">
        <v>0.90825199999999995</v>
      </c>
      <c r="J457" s="31">
        <v>1.02397</v>
      </c>
      <c r="K457" s="31">
        <v>1.11656</v>
      </c>
      <c r="L457" s="31">
        <v>1.09582</v>
      </c>
      <c r="M457" s="31">
        <v>1.3001</v>
      </c>
      <c r="N457" s="31">
        <v>1.4300600000000001</v>
      </c>
      <c r="O457" s="31">
        <v>1.61124</v>
      </c>
      <c r="P457" s="31">
        <v>1.3192999999999999</v>
      </c>
      <c r="Q457" s="31">
        <v>1.6358900000000001</v>
      </c>
      <c r="R457" s="31"/>
      <c r="S457" s="31"/>
      <c r="T457" s="31"/>
      <c r="U457" s="31"/>
    </row>
    <row r="458" spans="2:28" x14ac:dyDescent="0.15">
      <c r="B458" s="25">
        <v>2003</v>
      </c>
      <c r="C458" s="31">
        <v>6.4999999999999997E-3</v>
      </c>
      <c r="D458" s="31">
        <v>0.27606999999999998</v>
      </c>
      <c r="E458" s="31">
        <v>0.484263</v>
      </c>
      <c r="F458" s="31">
        <v>0.55035599999999996</v>
      </c>
      <c r="G458" s="31">
        <v>0.64982300000000004</v>
      </c>
      <c r="H458" s="31">
        <v>0.76750799999999997</v>
      </c>
      <c r="I458" s="31">
        <v>0.86199400000000004</v>
      </c>
      <c r="J458" s="31">
        <v>0.95434300000000005</v>
      </c>
      <c r="K458" s="31">
        <v>1.08514</v>
      </c>
      <c r="L458" s="31">
        <v>1.2244699999999999</v>
      </c>
      <c r="M458" s="31">
        <v>1.2133799999999999</v>
      </c>
      <c r="N458" s="31">
        <v>1.2264999999999999</v>
      </c>
      <c r="O458" s="31">
        <v>1.44509</v>
      </c>
      <c r="P458" s="31">
        <v>1.3402700000000001</v>
      </c>
      <c r="Q458" s="31">
        <v>1.7206600000000001</v>
      </c>
      <c r="R458" s="31"/>
      <c r="S458" s="31"/>
      <c r="T458" s="31"/>
      <c r="U458" s="31"/>
    </row>
    <row r="459" spans="2:28" x14ac:dyDescent="0.15">
      <c r="B459" s="25">
        <v>2004</v>
      </c>
      <c r="C459" s="31">
        <v>6.7000000000000002E-3</v>
      </c>
      <c r="D459" s="31">
        <v>0.13478499999999999</v>
      </c>
      <c r="E459" s="31">
        <v>0.403671</v>
      </c>
      <c r="F459" s="31">
        <v>0.58042899999999997</v>
      </c>
      <c r="G459" s="31">
        <v>0.63982899999999998</v>
      </c>
      <c r="H459" s="31">
        <v>0.76985400000000004</v>
      </c>
      <c r="I459" s="31">
        <v>0.89041800000000004</v>
      </c>
      <c r="J459" s="31">
        <v>0.92849599999999999</v>
      </c>
      <c r="K459" s="31">
        <v>1.0258499999999999</v>
      </c>
      <c r="L459" s="31">
        <v>1.20669</v>
      </c>
      <c r="M459" s="31">
        <v>1.1588499999999999</v>
      </c>
      <c r="N459" s="31">
        <v>1.17852</v>
      </c>
      <c r="O459" s="31">
        <v>1.3511500000000001</v>
      </c>
      <c r="P459" s="31">
        <v>1.29176</v>
      </c>
      <c r="Q459" s="31">
        <v>1.23231</v>
      </c>
      <c r="R459" s="31"/>
      <c r="S459" s="31"/>
      <c r="T459" s="31"/>
      <c r="U459" s="31"/>
    </row>
    <row r="460" spans="2:28" x14ac:dyDescent="0.15">
      <c r="B460" s="25">
        <v>2005</v>
      </c>
      <c r="C460" s="31">
        <v>6.6E-3</v>
      </c>
      <c r="D460" s="31">
        <v>0.28263899999999997</v>
      </c>
      <c r="E460" s="31">
        <v>0.35266399999999998</v>
      </c>
      <c r="F460" s="31">
        <v>0.50690999999999997</v>
      </c>
      <c r="G460" s="31">
        <v>0.63878400000000002</v>
      </c>
      <c r="H460" s="31">
        <v>0.73880500000000005</v>
      </c>
      <c r="I460" s="31">
        <v>0.87975199999999998</v>
      </c>
      <c r="J460" s="31">
        <v>0.948492</v>
      </c>
      <c r="K460" s="31">
        <v>1.0628599999999999</v>
      </c>
      <c r="L460" s="31">
        <v>1.0940700000000001</v>
      </c>
      <c r="M460" s="31">
        <v>1.2672300000000001</v>
      </c>
      <c r="N460" s="31">
        <v>1.3117300000000001</v>
      </c>
      <c r="O460" s="31">
        <v>1.31338</v>
      </c>
      <c r="P460" s="31">
        <v>1.16394</v>
      </c>
      <c r="Q460" s="31">
        <v>1.4193199999999999</v>
      </c>
      <c r="R460" s="31"/>
      <c r="S460" s="31"/>
      <c r="T460" s="31"/>
      <c r="U460" s="31"/>
    </row>
    <row r="461" spans="2:28" x14ac:dyDescent="0.15">
      <c r="B461" s="25">
        <v>2006</v>
      </c>
      <c r="C461" s="121">
        <v>6.5999999999999991E-3</v>
      </c>
      <c r="D461" s="121">
        <v>0.174065</v>
      </c>
      <c r="E461" s="121">
        <v>0.30482799999999999</v>
      </c>
      <c r="F461" s="121">
        <v>0.44803500000000002</v>
      </c>
      <c r="G461" s="121">
        <v>0.60378100000000001</v>
      </c>
      <c r="H461" s="121">
        <v>0.75378599999999996</v>
      </c>
      <c r="I461" s="121">
        <v>0.85452899999999998</v>
      </c>
      <c r="J461" s="121">
        <v>0.95787900000000004</v>
      </c>
      <c r="K461" s="121">
        <v>1.05549</v>
      </c>
      <c r="L461" s="121">
        <v>1.1262799999999999</v>
      </c>
      <c r="M461" s="121">
        <v>1.21862</v>
      </c>
      <c r="N461" s="121">
        <v>1.2830900000000001</v>
      </c>
      <c r="O461" s="121">
        <v>1.3057799999999999</v>
      </c>
      <c r="P461" s="121">
        <v>1.3988799999999999</v>
      </c>
      <c r="Q461" s="121">
        <v>1.45343</v>
      </c>
      <c r="R461" s="31"/>
      <c r="S461" s="31"/>
      <c r="T461" s="31"/>
      <c r="U461" s="31"/>
    </row>
    <row r="462" spans="2:28" ht="16.5" customHeight="1" x14ac:dyDescent="0.3">
      <c r="B462" s="25">
        <v>2007</v>
      </c>
      <c r="C462" s="121">
        <v>6.6333333333333322E-3</v>
      </c>
      <c r="D462" s="121">
        <v>0.154728</v>
      </c>
      <c r="E462" s="121">
        <v>0.33827400000000002</v>
      </c>
      <c r="F462" s="121">
        <v>0.50944599999999995</v>
      </c>
      <c r="G462" s="121">
        <v>0.64180700000000002</v>
      </c>
      <c r="H462" s="121">
        <v>0.781609</v>
      </c>
      <c r="I462" s="121">
        <v>0.95975100000000002</v>
      </c>
      <c r="J462" s="121">
        <v>1.10354</v>
      </c>
      <c r="K462" s="121">
        <v>1.1958500000000001</v>
      </c>
      <c r="L462" s="121">
        <v>1.2762899999999999</v>
      </c>
      <c r="M462" s="121">
        <v>1.3284100000000001</v>
      </c>
      <c r="N462" s="121">
        <v>1.51617</v>
      </c>
      <c r="O462" s="121">
        <v>1.4155199999999999</v>
      </c>
      <c r="P462" s="121">
        <v>1.76814</v>
      </c>
      <c r="Q462" s="121">
        <v>1.5319700000000001</v>
      </c>
      <c r="R462" s="31"/>
      <c r="S462" s="81"/>
      <c r="T462" s="31"/>
      <c r="U462" s="31"/>
    </row>
    <row r="463" spans="2:28" ht="16.5" customHeight="1" x14ac:dyDescent="0.3">
      <c r="B463" s="25">
        <v>2008</v>
      </c>
      <c r="C463" s="121">
        <v>6.6111111111111101E-3</v>
      </c>
      <c r="D463" s="121">
        <v>0.20763260000000003</v>
      </c>
      <c r="E463" s="121">
        <v>0.32889499999999999</v>
      </c>
      <c r="F463" s="121">
        <v>0.52090199999999998</v>
      </c>
      <c r="G463" s="121">
        <v>0.65186900000000003</v>
      </c>
      <c r="H463" s="121">
        <v>0.77220100000000003</v>
      </c>
      <c r="I463" s="121">
        <v>0.89939199999999997</v>
      </c>
      <c r="J463" s="121">
        <v>1.0418099999999999</v>
      </c>
      <c r="K463" s="121">
        <v>1.11391</v>
      </c>
      <c r="L463" s="121">
        <v>1.2041299999999999</v>
      </c>
      <c r="M463" s="121">
        <v>1.3090599999999999</v>
      </c>
      <c r="N463" s="121">
        <v>1.4044000000000001</v>
      </c>
      <c r="O463" s="121">
        <v>1.51342</v>
      </c>
      <c r="P463" s="121">
        <v>1.59903</v>
      </c>
      <c r="Q463" s="121">
        <v>1.5056700000000001</v>
      </c>
      <c r="R463" s="31"/>
      <c r="S463" s="81"/>
      <c r="T463" s="31"/>
      <c r="U463" s="31"/>
    </row>
    <row r="464" spans="2:28" ht="16.5" customHeight="1" x14ac:dyDescent="0.15">
      <c r="B464" s="25">
        <v>2009</v>
      </c>
      <c r="C464">
        <v>6.6044444444444449E-3</v>
      </c>
      <c r="D464">
        <v>0.135797</v>
      </c>
      <c r="E464">
        <v>0.34501500000000002</v>
      </c>
      <c r="F464">
        <v>0.54806699999999997</v>
      </c>
      <c r="G464">
        <v>0.68665299999999996</v>
      </c>
      <c r="H464">
        <v>0.89198599999999995</v>
      </c>
      <c r="I464">
        <v>1.0199100000000001</v>
      </c>
      <c r="J464">
        <v>1.1527700000000001</v>
      </c>
      <c r="K464">
        <v>1.40716</v>
      </c>
      <c r="L464">
        <v>1.48603</v>
      </c>
      <c r="M464">
        <v>1.6355200000000001</v>
      </c>
      <c r="N464">
        <v>1.6374299999999999</v>
      </c>
      <c r="O464">
        <v>1.8168299999999999</v>
      </c>
      <c r="P464">
        <v>2.1764399999999999</v>
      </c>
      <c r="Q464">
        <v>2.2922600000000002</v>
      </c>
    </row>
    <row r="465" spans="2:30" ht="16.5" customHeight="1" x14ac:dyDescent="0.15">
      <c r="C465">
        <v>6.6048888888888893E-3</v>
      </c>
      <c r="D465">
        <v>0.20414146</v>
      </c>
      <c r="E465">
        <v>0.36129400000000006</v>
      </c>
      <c r="F465">
        <v>0.51928779999999986</v>
      </c>
      <c r="G465">
        <v>0.64808699999999997</v>
      </c>
      <c r="H465">
        <v>0.77898420000000002</v>
      </c>
      <c r="I465">
        <v>0.90191149999999998</v>
      </c>
      <c r="J465">
        <v>0.99112669999999992</v>
      </c>
      <c r="K465">
        <v>1.1096182999999999</v>
      </c>
      <c r="L465">
        <v>1.1869049999999999</v>
      </c>
      <c r="M465">
        <v>1.302629</v>
      </c>
      <c r="N465">
        <v>1.3756460000000001</v>
      </c>
      <c r="O465">
        <v>1.4676730000000002</v>
      </c>
      <c r="P465">
        <v>1.518907</v>
      </c>
      <c r="Q465">
        <v>1.6194009999999999</v>
      </c>
    </row>
    <row r="466" spans="2:30" ht="16.5" customHeight="1" x14ac:dyDescent="0.15"/>
    <row r="467" spans="2:30" ht="16.5" customHeight="1" x14ac:dyDescent="0.15"/>
    <row r="468" spans="2:30" x14ac:dyDescent="0.15">
      <c r="E468" s="90">
        <f>AVERAGE(E469:E515)</f>
        <v>0.16636080851063828</v>
      </c>
      <c r="F468" s="21" t="s">
        <v>312</v>
      </c>
      <c r="G468" s="21" t="s">
        <v>505</v>
      </c>
      <c r="H468" s="21" t="s">
        <v>504</v>
      </c>
      <c r="I468" s="21" t="s">
        <v>506</v>
      </c>
      <c r="L468" t="s">
        <v>314</v>
      </c>
    </row>
    <row r="469" spans="2:30" x14ac:dyDescent="0.15">
      <c r="B469">
        <f t="shared" ref="B469:B476" si="98">B470-1</f>
        <v>1964</v>
      </c>
      <c r="C469">
        <v>1964</v>
      </c>
      <c r="D469" t="str">
        <f>Stdev!C693</f>
        <v>SER</v>
      </c>
      <c r="E469">
        <f>Stdev!D693</f>
        <v>9.7247E-2</v>
      </c>
      <c r="F469">
        <f>Stdev!E693</f>
        <v>2.1569000000000001E-2</v>
      </c>
      <c r="G469" s="31">
        <f>E469-E469/EXP(2*SQRT(LN(1+F469^2/E469^2)))</f>
        <v>3.4508406905845126E-2</v>
      </c>
      <c r="H469">
        <f>E469*EXP(2*SQRT(LN(1+F469^2/E469^2)))-E469</f>
        <v>5.348923016709109E-2</v>
      </c>
      <c r="I469" s="1">
        <f>Stdev!E694*2</f>
        <v>4.4776000000000003E-2</v>
      </c>
      <c r="K469">
        <f>AVERAGE(E469:E503)</f>
        <v>0.16887079999999999</v>
      </c>
      <c r="L469" s="31">
        <v>0.72199999999999998</v>
      </c>
      <c r="S469" s="1"/>
    </row>
    <row r="470" spans="2:30" x14ac:dyDescent="0.15">
      <c r="B470">
        <f t="shared" si="98"/>
        <v>1965</v>
      </c>
      <c r="C470">
        <v>1965</v>
      </c>
      <c r="D470" t="str">
        <f>Stdev!C694</f>
        <v>SER</v>
      </c>
      <c r="E470">
        <f>Stdev!D694</f>
        <v>0.10691000000000001</v>
      </c>
      <c r="F470">
        <f>Stdev!E694</f>
        <v>2.2388000000000002E-2</v>
      </c>
      <c r="G470" s="31">
        <f t="shared" ref="G470:G515" si="99">E470-E470/EXP(2*SQRT(LN(1+F470^2/E470^2)))</f>
        <v>3.6265983744289229E-2</v>
      </c>
      <c r="H470">
        <f t="shared" ref="H470:H515" si="100">E470*EXP(2*SQRT(LN(1+F470^2/E470^2)))-E470</f>
        <v>5.4883577231334635E-2</v>
      </c>
      <c r="I470" s="1">
        <f>Stdev!E695*2</f>
        <v>3.5293999999999999E-2</v>
      </c>
      <c r="L470">
        <f>L469</f>
        <v>0.72199999999999998</v>
      </c>
      <c r="P470">
        <f>Stdev!B736</f>
        <v>1435</v>
      </c>
      <c r="R470" s="23">
        <f>AVERAGE(E469:E511)</f>
        <v>0.16583297674418601</v>
      </c>
    </row>
    <row r="471" spans="2:30" x14ac:dyDescent="0.15">
      <c r="B471">
        <f t="shared" si="98"/>
        <v>1966</v>
      </c>
      <c r="C471">
        <v>1966</v>
      </c>
      <c r="D471" t="str">
        <f>Stdev!C695</f>
        <v>SER</v>
      </c>
      <c r="E471">
        <f>Stdev!D695</f>
        <v>9.3106999999999995E-2</v>
      </c>
      <c r="F471">
        <f>Stdev!E695</f>
        <v>1.7646999999999999E-2</v>
      </c>
      <c r="G471" s="31">
        <f t="shared" si="99"/>
        <v>2.916222602844111E-2</v>
      </c>
      <c r="H471">
        <f t="shared" si="100"/>
        <v>4.2461755827579051E-2</v>
      </c>
      <c r="I471" s="1">
        <f>Stdev!E696*2</f>
        <v>4.9730000000000003E-2</v>
      </c>
      <c r="L471">
        <f t="shared" ref="L471:L506" si="101">L470</f>
        <v>0.72199999999999998</v>
      </c>
      <c r="P471">
        <v>1</v>
      </c>
      <c r="R471" t="s">
        <v>220</v>
      </c>
      <c r="T471" t="s">
        <v>221</v>
      </c>
      <c r="U471" s="31"/>
      <c r="V471" t="s">
        <v>499</v>
      </c>
      <c r="X471" s="31"/>
      <c r="Y471" t="s">
        <v>806</v>
      </c>
      <c r="Z471" s="31"/>
      <c r="AA471" t="s">
        <v>572</v>
      </c>
      <c r="AB471" s="31"/>
      <c r="AC471" t="s">
        <v>503</v>
      </c>
      <c r="AD471" t="s">
        <v>504</v>
      </c>
    </row>
    <row r="472" spans="2:30" x14ac:dyDescent="0.15">
      <c r="B472">
        <f t="shared" si="98"/>
        <v>1967</v>
      </c>
      <c r="C472">
        <v>1967</v>
      </c>
      <c r="D472" t="str">
        <f>Stdev!C696</f>
        <v>SER</v>
      </c>
      <c r="E472">
        <f>Stdev!D696</f>
        <v>0.14330999999999999</v>
      </c>
      <c r="F472">
        <f>Stdev!E696</f>
        <v>2.4865000000000002E-2</v>
      </c>
      <c r="G472" s="31">
        <f t="shared" si="99"/>
        <v>4.1758100634954928E-2</v>
      </c>
      <c r="H472">
        <f t="shared" si="100"/>
        <v>5.8929015010183577E-2</v>
      </c>
      <c r="I472" s="1">
        <f>Stdev!E697*2</f>
        <v>4.8885999999999999E-2</v>
      </c>
      <c r="L472">
        <f t="shared" si="101"/>
        <v>0.72199999999999998</v>
      </c>
      <c r="P472" t="str">
        <f>Stdev!C711</f>
        <v>SER</v>
      </c>
      <c r="Q472">
        <v>2012</v>
      </c>
      <c r="R472">
        <f>Stdev!D711</f>
        <v>0.10019</v>
      </c>
      <c r="S472" s="31">
        <f>Stdev!E711*2</f>
        <v>1.32462E-2</v>
      </c>
      <c r="T472">
        <f>Stdev!D716</f>
        <v>7.9047999999999993E-2</v>
      </c>
      <c r="U472" s="31">
        <f>Stdev!E716*2</f>
        <v>9.2116000000000003E-3</v>
      </c>
      <c r="V472">
        <f>Stdev!D721</f>
        <v>0.16933999999999999</v>
      </c>
      <c r="X472" s="31">
        <f>Stdev!E721*2</f>
        <v>1.7439E-2</v>
      </c>
      <c r="Y472" s="31">
        <f>Stdev!D726</f>
        <v>0.12045</v>
      </c>
      <c r="Z472" s="31">
        <f>Stdev!E726*2</f>
        <v>1.3157200000000001E-2</v>
      </c>
      <c r="AA472">
        <f>Stdev!D731</f>
        <v>0.15193000000000001</v>
      </c>
      <c r="AB472" s="31">
        <f>Stdev!E731</f>
        <v>7.6134000000000002E-3</v>
      </c>
      <c r="AC472" s="31">
        <f>AA472-AA472/EXP(2*SQRT(LN(1+AB472^2/AA472^2)))</f>
        <v>1.4479995107526261E-2</v>
      </c>
      <c r="AD472">
        <f>AA472*EXP(2*SQRT(LN(1+AB472^2/AA472^2)))-AA472</f>
        <v>1.6005424360715531E-2</v>
      </c>
    </row>
    <row r="473" spans="2:30" x14ac:dyDescent="0.15">
      <c r="B473">
        <f t="shared" si="98"/>
        <v>1968</v>
      </c>
      <c r="C473">
        <v>1968</v>
      </c>
      <c r="D473" t="str">
        <f>Stdev!C697</f>
        <v>SER</v>
      </c>
      <c r="E473">
        <f>Stdev!D697</f>
        <v>0.14979000000000001</v>
      </c>
      <c r="F473">
        <f>Stdev!E697</f>
        <v>2.4442999999999999E-2</v>
      </c>
      <c r="G473" s="31">
        <f t="shared" si="99"/>
        <v>4.1478365414514565E-2</v>
      </c>
      <c r="H473">
        <f t="shared" si="100"/>
        <v>5.736266818627378E-2</v>
      </c>
      <c r="I473" s="1">
        <f>Stdev!E698*2</f>
        <v>4.6114000000000002E-2</v>
      </c>
      <c r="L473">
        <f t="shared" si="101"/>
        <v>0.72199999999999998</v>
      </c>
      <c r="P473" t="str">
        <f>Stdev!C712</f>
        <v>SER</v>
      </c>
      <c r="Q473">
        <f>((Q472+1))</f>
        <v>2013</v>
      </c>
      <c r="R473">
        <f>Stdev!D712</f>
        <v>9.7086000000000006E-2</v>
      </c>
      <c r="S473" s="31">
        <f>Stdev!E712*2</f>
        <v>1.2602E-2</v>
      </c>
      <c r="T473">
        <f>Stdev!D717</f>
        <v>0.12096999999999999</v>
      </c>
      <c r="U473" s="31">
        <f>Stdev!E717*2</f>
        <v>1.3556800000000001E-2</v>
      </c>
      <c r="V473">
        <f>Stdev!D722</f>
        <v>0.12346</v>
      </c>
      <c r="X473" s="31">
        <f>Stdev!E722*2</f>
        <v>1.30758E-2</v>
      </c>
      <c r="Y473" s="31">
        <f>Stdev!D727</f>
        <v>0.1182</v>
      </c>
      <c r="Z473" s="31">
        <f>Stdev!E727*2</f>
        <v>1.2633200000000001E-2</v>
      </c>
      <c r="AA473">
        <f>Stdev!D732</f>
        <v>0.13858000000000001</v>
      </c>
      <c r="AB473" s="31">
        <f>Stdev!E732</f>
        <v>6.9236000000000002E-3</v>
      </c>
      <c r="AC473" s="31">
        <f>AA473-AA473/EXP(2*SQRT(LN(1+AB473^2/AA473^2)))</f>
        <v>1.3170048971203524E-2</v>
      </c>
      <c r="AD473">
        <f>AA473*EXP(2*SQRT(LN(1+AB473^2/AA473^2)))-AA473</f>
        <v>1.455311457709052E-2</v>
      </c>
    </row>
    <row r="474" spans="2:30" x14ac:dyDescent="0.15">
      <c r="B474">
        <f t="shared" si="98"/>
        <v>1969</v>
      </c>
      <c r="C474">
        <v>1969</v>
      </c>
      <c r="D474" t="str">
        <f>Stdev!C698</f>
        <v>SER</v>
      </c>
      <c r="E474">
        <f>Stdev!D698</f>
        <v>0.15242</v>
      </c>
      <c r="F474">
        <f>Stdev!E698</f>
        <v>2.3057000000000001E-2</v>
      </c>
      <c r="G474" s="31">
        <f t="shared" si="99"/>
        <v>3.9598833917678447E-2</v>
      </c>
      <c r="H474">
        <f t="shared" si="100"/>
        <v>5.3497534862638696E-2</v>
      </c>
      <c r="I474" s="1">
        <f>Stdev!E699*2</f>
        <v>5.2193999999999997E-2</v>
      </c>
      <c r="L474">
        <f t="shared" si="101"/>
        <v>0.72199999999999998</v>
      </c>
      <c r="P474" t="str">
        <f>Stdev!C713</f>
        <v>SER</v>
      </c>
      <c r="Q474">
        <f>((Q473+1))</f>
        <v>2014</v>
      </c>
      <c r="R474">
        <f>Stdev!D713</f>
        <v>0.1018</v>
      </c>
      <c r="S474" s="31">
        <f>Stdev!E713*2</f>
        <v>1.26246E-2</v>
      </c>
      <c r="T474">
        <f>Stdev!D718</f>
        <v>0.14451</v>
      </c>
      <c r="U474" s="31">
        <f>Stdev!E718*2</f>
        <v>1.6321800000000001E-2</v>
      </c>
      <c r="V474">
        <f>Stdev!D723</f>
        <v>0.11292000000000001</v>
      </c>
      <c r="X474" s="31">
        <f>Stdev!E723*2</f>
        <v>1.20202E-2</v>
      </c>
      <c r="Y474" s="31">
        <f>Stdev!D728</f>
        <v>0.10513</v>
      </c>
      <c r="Z474" s="31">
        <f>Stdev!E728*2</f>
        <v>1.1261E-2</v>
      </c>
      <c r="AA474">
        <f>Stdev!D733</f>
        <v>0.14516000000000001</v>
      </c>
      <c r="AB474" s="31">
        <f>Stdev!E733</f>
        <v>7.2803E-3</v>
      </c>
      <c r="AC474" s="31">
        <f>AA474-AA474/EXP(2*SQRT(LN(1+AB474^2/AA474^2)))</f>
        <v>1.3845878461035799E-2</v>
      </c>
      <c r="AD474">
        <f>AA474*EXP(2*SQRT(LN(1+AB474^2/AA474^2)))-AA474</f>
        <v>1.5305800273792941E-2</v>
      </c>
    </row>
    <row r="475" spans="2:30" x14ac:dyDescent="0.15">
      <c r="B475">
        <f t="shared" si="98"/>
        <v>1970</v>
      </c>
      <c r="C475">
        <v>1970</v>
      </c>
      <c r="D475" t="str">
        <f>Stdev!C699</f>
        <v>SER</v>
      </c>
      <c r="E475">
        <f>Stdev!D699</f>
        <v>0.19228000000000001</v>
      </c>
      <c r="F475">
        <f>Stdev!E699</f>
        <v>2.6096999999999999E-2</v>
      </c>
      <c r="G475" s="31">
        <f t="shared" si="99"/>
        <v>4.5528230237838724E-2</v>
      </c>
      <c r="H475">
        <f t="shared" si="100"/>
        <v>5.9652896345436912E-2</v>
      </c>
      <c r="I475" s="1">
        <f>Stdev!E700*2</f>
        <v>6.3242000000000007E-2</v>
      </c>
      <c r="L475">
        <f t="shared" si="101"/>
        <v>0.72199999999999998</v>
      </c>
      <c r="P475" t="str">
        <f>Stdev!C714</f>
        <v>SER</v>
      </c>
      <c r="Q475">
        <f>((Q474+1))</f>
        <v>2015</v>
      </c>
      <c r="R475">
        <f>Stdev!D714</f>
        <v>0.10125000000000001</v>
      </c>
      <c r="S475" s="31">
        <f>Stdev!E714*2</f>
        <v>1.2153199999999999E-2</v>
      </c>
      <c r="T475">
        <f>Stdev!D719</f>
        <v>0.20985999999999999</v>
      </c>
      <c r="U475" s="31">
        <f>Stdev!E719*2</f>
        <v>2.3414000000000001E-2</v>
      </c>
      <c r="V475">
        <f>Stdev!D724</f>
        <v>0.10832</v>
      </c>
      <c r="X475" s="31">
        <f>Stdev!E724*2</f>
        <v>1.1620999999999999E-2</v>
      </c>
      <c r="Y475" s="31">
        <f>Stdev!D729</f>
        <v>0.12414</v>
      </c>
      <c r="Z475" s="31">
        <f>Stdev!E729*2</f>
        <v>1.30218E-2</v>
      </c>
      <c r="AA475">
        <f>Stdev!D734</f>
        <v>0.17796000000000001</v>
      </c>
      <c r="AB475" s="31">
        <f>Stdev!E734</f>
        <v>8.8456999999999997E-3</v>
      </c>
      <c r="AC475" s="31">
        <f>AA475-AA475/EXP(2*SQRT(LN(1+AB475^2/AA475^2)))</f>
        <v>1.6830578739853358E-2</v>
      </c>
      <c r="AD475">
        <f>AA475*EXP(2*SQRT(LN(1+AB475^2/AA475^2)))-AA475</f>
        <v>1.858859647803579E-2</v>
      </c>
    </row>
    <row r="476" spans="2:30" x14ac:dyDescent="0.15">
      <c r="B476">
        <f t="shared" si="98"/>
        <v>1971</v>
      </c>
      <c r="C476">
        <v>1971</v>
      </c>
      <c r="D476" t="str">
        <f>Stdev!C700</f>
        <v>SER</v>
      </c>
      <c r="E476">
        <f>Stdev!D700</f>
        <v>0.25808999999999999</v>
      </c>
      <c r="F476">
        <f>Stdev!E700</f>
        <v>3.1621000000000003E-2</v>
      </c>
      <c r="G476" s="31">
        <f t="shared" si="99"/>
        <v>5.5905231797319183E-2</v>
      </c>
      <c r="H476">
        <f t="shared" si="100"/>
        <v>7.1363344542879348E-2</v>
      </c>
      <c r="I476" s="1">
        <f>Stdev!E701*2</f>
        <v>7.3431999999999997E-2</v>
      </c>
      <c r="L476">
        <f t="shared" si="101"/>
        <v>0.72199999999999998</v>
      </c>
      <c r="P476" t="str">
        <f>Stdev!C715</f>
        <v>SER</v>
      </c>
      <c r="Q476">
        <f>((Q475+1))</f>
        <v>2016</v>
      </c>
      <c r="R476">
        <f>Stdev!D715</f>
        <v>0.10192</v>
      </c>
      <c r="S476" s="31">
        <f>Stdev!E715*2</f>
        <v>1.19176E-2</v>
      </c>
      <c r="T476">
        <f>Stdev!D720</f>
        <v>0.18426000000000001</v>
      </c>
      <c r="U476" s="31">
        <f>Stdev!E720*2</f>
        <v>2.0317999999999999E-2</v>
      </c>
      <c r="V476">
        <f>Stdev!D725</f>
        <v>0.11022</v>
      </c>
      <c r="X476" s="31">
        <f>Stdev!E725*2</f>
        <v>1.2005E-2</v>
      </c>
      <c r="Y476" s="31">
        <f>Stdev!D730</f>
        <v>0.14976999999999999</v>
      </c>
      <c r="Z476" s="31">
        <f>Stdev!E730*2</f>
        <v>1.5381199999999999E-2</v>
      </c>
      <c r="AA476">
        <f>Stdev!D735</f>
        <v>0.22767000000000001</v>
      </c>
      <c r="AB476" s="31">
        <f>Stdev!E735</f>
        <v>1.1164E-2</v>
      </c>
      <c r="AC476" s="31">
        <f>AA476-AA476/EXP(2*SQRT(LN(1+AB476^2/AA476^2)))</f>
        <v>2.1255905472758879E-2</v>
      </c>
      <c r="AD476">
        <f>AA476*EXP(2*SQRT(LN(1+AB476^2/AA476^2)))-AA476</f>
        <v>2.3444774980442812E-2</v>
      </c>
    </row>
    <row r="477" spans="2:30" x14ac:dyDescent="0.15">
      <c r="B477">
        <f>B478-1</f>
        <v>1972</v>
      </c>
      <c r="C477">
        <v>1972</v>
      </c>
      <c r="D477" t="str">
        <f>Stdev!C701</f>
        <v>SER</v>
      </c>
      <c r="E477">
        <f>Stdev!D701</f>
        <v>0.30501</v>
      </c>
      <c r="F477">
        <f>Stdev!E701</f>
        <v>3.6715999999999999E-2</v>
      </c>
      <c r="G477" s="31">
        <f t="shared" si="99"/>
        <v>6.5053615252680608E-2</v>
      </c>
      <c r="H477">
        <f t="shared" si="100"/>
        <v>8.2690040563472733E-2</v>
      </c>
      <c r="I477" s="1">
        <f>Stdev!E702*2</f>
        <v>9.0518000000000001E-2</v>
      </c>
      <c r="J477" s="23" t="s">
        <v>281</v>
      </c>
      <c r="L477">
        <f t="shared" si="101"/>
        <v>0.72199999999999998</v>
      </c>
      <c r="S477" t="s">
        <v>503</v>
      </c>
      <c r="T477" t="s">
        <v>504</v>
      </c>
    </row>
    <row r="478" spans="2:30" x14ac:dyDescent="0.15">
      <c r="B478">
        <v>1973</v>
      </c>
      <c r="C478">
        <v>1973</v>
      </c>
      <c r="D478" t="str">
        <f>Stdev!C702</f>
        <v>SER</v>
      </c>
      <c r="E478">
        <f>Stdev!D702</f>
        <v>0.35371999999999998</v>
      </c>
      <c r="F478">
        <f>Stdev!E702</f>
        <v>4.5259000000000001E-2</v>
      </c>
      <c r="G478" s="31">
        <f t="shared" si="99"/>
        <v>7.9579468724045144E-2</v>
      </c>
      <c r="H478">
        <f t="shared" si="100"/>
        <v>0.10268036450521828</v>
      </c>
      <c r="I478" s="1">
        <f>Stdev!E703*2</f>
        <v>8.4456000000000003E-2</v>
      </c>
      <c r="J478" s="23">
        <f t="shared" ref="J478:J512" si="102">AVERAGE(E469:E478)</f>
        <v>0.1851884</v>
      </c>
      <c r="L478">
        <f t="shared" si="101"/>
        <v>0.72199999999999998</v>
      </c>
      <c r="P478">
        <f>Q472</f>
        <v>2012</v>
      </c>
      <c r="Q478">
        <f>R472</f>
        <v>0.10019</v>
      </c>
      <c r="R478" s="31">
        <f>Stdev!E711</f>
        <v>6.6230999999999998E-3</v>
      </c>
      <c r="S478" s="31">
        <f>Q478-Q478/EXP(2*SQRT(LN(1+R478^2/Q478^2)))</f>
        <v>1.2395252035097545E-2</v>
      </c>
      <c r="T478">
        <f>Q478*EXP(2*SQRT(LN(1+R478^2/Q478^2)))-Q478</f>
        <v>1.4145268711209094E-2</v>
      </c>
    </row>
    <row r="479" spans="2:30" x14ac:dyDescent="0.15">
      <c r="B479">
        <v>1974</v>
      </c>
      <c r="C479">
        <v>1974</v>
      </c>
      <c r="D479" t="str">
        <f>Stdev!C703</f>
        <v>SER</v>
      </c>
      <c r="E479">
        <f>Stdev!D703</f>
        <v>0.35247000000000001</v>
      </c>
      <c r="F479">
        <f>Stdev!E703</f>
        <v>4.2228000000000002E-2</v>
      </c>
      <c r="G479" s="31">
        <f t="shared" si="99"/>
        <v>7.4862894496700805E-2</v>
      </c>
      <c r="H479">
        <f t="shared" si="100"/>
        <v>9.5051329379386262E-2</v>
      </c>
      <c r="I479" s="1">
        <f>Stdev!E704*2</f>
        <v>6.6154000000000004E-2</v>
      </c>
      <c r="J479" s="23">
        <f t="shared" si="102"/>
        <v>0.2107107</v>
      </c>
      <c r="L479">
        <f t="shared" si="101"/>
        <v>0.72199999999999998</v>
      </c>
      <c r="P479">
        <f t="shared" ref="P479:Q482" si="103">Q473</f>
        <v>2013</v>
      </c>
      <c r="Q479">
        <f t="shared" si="103"/>
        <v>9.7086000000000006E-2</v>
      </c>
      <c r="R479" s="31">
        <f>Stdev!E712</f>
        <v>6.3010000000000002E-3</v>
      </c>
      <c r="S479" s="31">
        <f>Q479-Q479/EXP(2*SQRT(LN(1+R479^2/Q479^2)))</f>
        <v>1.1806754170964967E-2</v>
      </c>
      <c r="T479">
        <f>Q479*EXP(2*SQRT(LN(1+R479^2/Q479^2)))-Q479</f>
        <v>1.3441377492248344E-2</v>
      </c>
    </row>
    <row r="480" spans="2:30" x14ac:dyDescent="0.15">
      <c r="B480">
        <v>1975</v>
      </c>
      <c r="C480">
        <v>1975</v>
      </c>
      <c r="D480" t="str">
        <f>Stdev!C704</f>
        <v>SER</v>
      </c>
      <c r="E480">
        <f>Stdev!D704</f>
        <v>0.32506000000000002</v>
      </c>
      <c r="F480">
        <f>Stdev!E704</f>
        <v>3.3077000000000002E-2</v>
      </c>
      <c r="G480" s="31">
        <f t="shared" si="99"/>
        <v>5.9717760286448596E-2</v>
      </c>
      <c r="H480">
        <f t="shared" si="100"/>
        <v>7.3157802465483535E-2</v>
      </c>
      <c r="I480" s="1">
        <f>Stdev!E705*2</f>
        <v>5.5169999999999997E-2</v>
      </c>
      <c r="J480" s="23">
        <f t="shared" si="102"/>
        <v>0.2325257</v>
      </c>
      <c r="L480">
        <f t="shared" si="101"/>
        <v>0.72199999999999998</v>
      </c>
      <c r="P480">
        <f t="shared" si="103"/>
        <v>2014</v>
      </c>
      <c r="Q480">
        <f t="shared" si="103"/>
        <v>0.1018</v>
      </c>
      <c r="R480" s="31">
        <f>Stdev!E713</f>
        <v>6.3122999999999999E-3</v>
      </c>
      <c r="S480" s="31">
        <f>Q480-Q480/EXP(2*SQRT(LN(1+R480^2/Q480^2)))</f>
        <v>1.1862470945734588E-2</v>
      </c>
      <c r="T480">
        <f>Q480*EXP(2*SQRT(LN(1+R480^2/Q480^2)))-Q480</f>
        <v>1.3427092727299125E-2</v>
      </c>
    </row>
    <row r="481" spans="2:20" x14ac:dyDescent="0.15">
      <c r="B481">
        <v>1976</v>
      </c>
      <c r="C481">
        <v>1976</v>
      </c>
      <c r="D481" t="str">
        <f>Stdev!C705</f>
        <v>SER</v>
      </c>
      <c r="E481">
        <f>Stdev!D705</f>
        <v>0.29113</v>
      </c>
      <c r="F481">
        <f>Stdev!E705</f>
        <v>2.7584999999999998E-2</v>
      </c>
      <c r="G481" s="31">
        <f t="shared" si="99"/>
        <v>5.0155719546771588E-2</v>
      </c>
      <c r="H481">
        <f t="shared" si="100"/>
        <v>6.059499214683095E-2</v>
      </c>
      <c r="I481" s="1">
        <f>Stdev!E706*2</f>
        <v>4.6483999999999998E-2</v>
      </c>
      <c r="J481" s="23">
        <f t="shared" si="102"/>
        <v>0.252328</v>
      </c>
      <c r="L481">
        <f t="shared" si="101"/>
        <v>0.72199999999999998</v>
      </c>
      <c r="P481">
        <f t="shared" si="103"/>
        <v>2015</v>
      </c>
      <c r="Q481">
        <f t="shared" si="103"/>
        <v>0.10125000000000001</v>
      </c>
      <c r="R481" s="31">
        <f>Stdev!E714</f>
        <v>6.0765999999999997E-3</v>
      </c>
      <c r="S481" s="31">
        <f>Q481-Q481/EXP(2*SQRT(LN(1+R481^2/Q481^2)))</f>
        <v>1.1442456417758678E-2</v>
      </c>
      <c r="T481">
        <f>Q481*EXP(2*SQRT(LN(1+R481^2/Q481^2)))-Q481</f>
        <v>1.2900349637523761E-2</v>
      </c>
    </row>
    <row r="482" spans="2:20" x14ac:dyDescent="0.15">
      <c r="B482">
        <v>1977</v>
      </c>
      <c r="C482">
        <v>1977</v>
      </c>
      <c r="D482" t="str">
        <f>Stdev!C706</f>
        <v>SER</v>
      </c>
      <c r="E482">
        <f>Stdev!D706</f>
        <v>0.24668999999999999</v>
      </c>
      <c r="F482">
        <f>Stdev!E706</f>
        <v>2.3241999999999999E-2</v>
      </c>
      <c r="G482" s="31">
        <f t="shared" si="99"/>
        <v>4.2282036374623466E-2</v>
      </c>
      <c r="H482">
        <f t="shared" si="100"/>
        <v>5.1028127125086947E-2</v>
      </c>
      <c r="I482" s="1">
        <f>Stdev!E707*2</f>
        <v>4.5421999999999997E-2</v>
      </c>
      <c r="J482" s="23">
        <f t="shared" si="102"/>
        <v>0.26266600000000001</v>
      </c>
      <c r="L482">
        <f t="shared" si="101"/>
        <v>0.72199999999999998</v>
      </c>
      <c r="P482">
        <f t="shared" si="103"/>
        <v>2016</v>
      </c>
      <c r="Q482">
        <f t="shared" si="103"/>
        <v>0.10192</v>
      </c>
      <c r="R482" s="31">
        <f>Stdev!E715</f>
        <v>5.9588000000000002E-3</v>
      </c>
      <c r="S482" s="31">
        <f>Q482-Q482/EXP(2*SQRT(LN(1+R482^2/Q482^2)))</f>
        <v>1.1238170149170557E-2</v>
      </c>
      <c r="T482">
        <f>Q482*EXP(2*SQRT(LN(1+R482^2/Q482^2)))-Q482</f>
        <v>1.2630912978792139E-2</v>
      </c>
    </row>
    <row r="483" spans="2:20" x14ac:dyDescent="0.15">
      <c r="B483">
        <v>1978</v>
      </c>
      <c r="C483">
        <v>1978</v>
      </c>
      <c r="D483" t="str">
        <f>Stdev!C707</f>
        <v>SER</v>
      </c>
      <c r="E483">
        <f>Stdev!D707</f>
        <v>0.24895</v>
      </c>
      <c r="F483">
        <f>Stdev!E707</f>
        <v>2.2710999999999999E-2</v>
      </c>
      <c r="G483" s="31">
        <f t="shared" si="99"/>
        <v>4.1440799721889743E-2</v>
      </c>
      <c r="H483">
        <f t="shared" si="100"/>
        <v>4.9716769554977336E-2</v>
      </c>
      <c r="I483" s="1">
        <f>Stdev!E708*2</f>
        <v>3.7552000000000002E-2</v>
      </c>
      <c r="J483" s="23">
        <f t="shared" si="102"/>
        <v>0.27258199999999999</v>
      </c>
      <c r="L483">
        <f t="shared" si="101"/>
        <v>0.72199999999999998</v>
      </c>
    </row>
    <row r="484" spans="2:20" x14ac:dyDescent="0.15">
      <c r="B484">
        <v>1979</v>
      </c>
      <c r="C484">
        <v>1979</v>
      </c>
      <c r="D484" t="str">
        <f>Stdev!C708</f>
        <v>SER</v>
      </c>
      <c r="E484">
        <f>Stdev!D708</f>
        <v>0.21851000000000001</v>
      </c>
      <c r="F484">
        <f>Stdev!E708</f>
        <v>1.8776000000000001E-2</v>
      </c>
      <c r="G484" s="31">
        <f t="shared" si="99"/>
        <v>3.4444272946017068E-2</v>
      </c>
      <c r="H484">
        <f t="shared" si="100"/>
        <v>4.0889839743098039E-2</v>
      </c>
      <c r="I484" s="1">
        <f>Stdev!E709*2</f>
        <v>2.2769999999999999E-2</v>
      </c>
      <c r="J484" s="23">
        <f t="shared" si="102"/>
        <v>0.27919100000000008</v>
      </c>
      <c r="L484">
        <f t="shared" si="101"/>
        <v>0.72199999999999998</v>
      </c>
    </row>
    <row r="485" spans="2:20" x14ac:dyDescent="0.15">
      <c r="B485">
        <v>1980</v>
      </c>
      <c r="C485">
        <v>1980</v>
      </c>
      <c r="D485" t="str">
        <f>Stdev!C709</f>
        <v>SER</v>
      </c>
      <c r="E485">
        <f>Stdev!D709</f>
        <v>0.15548000000000001</v>
      </c>
      <c r="F485">
        <f>Stdev!E709</f>
        <v>1.1384999999999999E-2</v>
      </c>
      <c r="G485" s="31">
        <f t="shared" si="99"/>
        <v>2.1154877963500879E-2</v>
      </c>
      <c r="H485">
        <f t="shared" si="100"/>
        <v>2.4486561976629934E-2</v>
      </c>
      <c r="I485" s="1">
        <f>Stdev!E710*2</f>
        <v>1.58522E-2</v>
      </c>
      <c r="J485" s="23">
        <f t="shared" si="102"/>
        <v>0.27551100000000001</v>
      </c>
      <c r="L485">
        <f t="shared" si="101"/>
        <v>0.72199999999999998</v>
      </c>
    </row>
    <row r="486" spans="2:20" x14ac:dyDescent="0.15">
      <c r="B486">
        <v>1981</v>
      </c>
      <c r="C486">
        <v>1981</v>
      </c>
      <c r="D486" t="str">
        <f>Stdev!C710</f>
        <v>SER</v>
      </c>
      <c r="E486">
        <f>Stdev!D710</f>
        <v>0.11650000000000001</v>
      </c>
      <c r="F486">
        <f>Stdev!E710</f>
        <v>7.9261000000000002E-3</v>
      </c>
      <c r="G486" s="31">
        <f t="shared" si="99"/>
        <v>1.4805018736267495E-2</v>
      </c>
      <c r="H486">
        <f t="shared" si="100"/>
        <v>1.6960371705090946E-2</v>
      </c>
      <c r="I486" s="1">
        <f>Stdev!E711*2</f>
        <v>1.32462E-2</v>
      </c>
      <c r="J486" s="23">
        <f t="shared" si="102"/>
        <v>0.26135199999999997</v>
      </c>
      <c r="L486">
        <f t="shared" si="101"/>
        <v>0.72199999999999998</v>
      </c>
    </row>
    <row r="487" spans="2:20" x14ac:dyDescent="0.15">
      <c r="B487">
        <v>1982</v>
      </c>
      <c r="C487">
        <v>1982</v>
      </c>
      <c r="D487" t="str">
        <f>Stdev!C711</f>
        <v>SER</v>
      </c>
      <c r="E487">
        <f>Stdev!D711</f>
        <v>0.10019</v>
      </c>
      <c r="F487">
        <f>Stdev!E711</f>
        <v>6.6230999999999998E-3</v>
      </c>
      <c r="G487" s="31">
        <f t="shared" si="99"/>
        <v>1.2395252035097545E-2</v>
      </c>
      <c r="H487">
        <f t="shared" si="100"/>
        <v>1.4145268711209094E-2</v>
      </c>
      <c r="I487" s="1">
        <f>Stdev!E712*2</f>
        <v>1.2602E-2</v>
      </c>
      <c r="J487" s="23">
        <f t="shared" si="102"/>
        <v>0.24086999999999997</v>
      </c>
      <c r="L487">
        <f t="shared" si="101"/>
        <v>0.72199999999999998</v>
      </c>
    </row>
    <row r="488" spans="2:20" x14ac:dyDescent="0.15">
      <c r="B488">
        <v>1983</v>
      </c>
      <c r="C488">
        <v>1983</v>
      </c>
      <c r="D488" t="str">
        <f>Stdev!C712</f>
        <v>SER</v>
      </c>
      <c r="E488">
        <f>Stdev!D712</f>
        <v>9.7086000000000006E-2</v>
      </c>
      <c r="F488">
        <f>Stdev!E712</f>
        <v>6.3010000000000002E-3</v>
      </c>
      <c r="G488" s="31">
        <f t="shared" si="99"/>
        <v>1.1806754170964967E-2</v>
      </c>
      <c r="H488">
        <f t="shared" si="100"/>
        <v>1.3441377492248344E-2</v>
      </c>
      <c r="I488" s="1">
        <f>Stdev!E713*2</f>
        <v>1.26246E-2</v>
      </c>
      <c r="J488" s="23">
        <f t="shared" si="102"/>
        <v>0.2152066</v>
      </c>
      <c r="L488">
        <f t="shared" si="101"/>
        <v>0.72199999999999998</v>
      </c>
    </row>
    <row r="489" spans="2:20" x14ac:dyDescent="0.15">
      <c r="B489">
        <v>1984</v>
      </c>
      <c r="C489">
        <v>1984</v>
      </c>
      <c r="D489" t="str">
        <f>Stdev!C713</f>
        <v>SER</v>
      </c>
      <c r="E489">
        <f>Stdev!D713</f>
        <v>0.1018</v>
      </c>
      <c r="F489">
        <f>Stdev!E713</f>
        <v>6.3122999999999999E-3</v>
      </c>
      <c r="G489" s="31">
        <f t="shared" si="99"/>
        <v>1.1862470945734588E-2</v>
      </c>
      <c r="H489">
        <f t="shared" si="100"/>
        <v>1.3427092727299125E-2</v>
      </c>
      <c r="I489" s="1">
        <f>Stdev!E714*2</f>
        <v>1.2153199999999999E-2</v>
      </c>
      <c r="J489" s="23">
        <f t="shared" si="102"/>
        <v>0.19013960000000002</v>
      </c>
      <c r="L489">
        <f t="shared" si="101"/>
        <v>0.72199999999999998</v>
      </c>
    </row>
    <row r="490" spans="2:20" x14ac:dyDescent="0.15">
      <c r="B490">
        <v>1985</v>
      </c>
      <c r="C490">
        <v>1985</v>
      </c>
      <c r="D490" t="str">
        <f>Stdev!C714</f>
        <v>SER</v>
      </c>
      <c r="E490">
        <f>Stdev!D714</f>
        <v>0.10125000000000001</v>
      </c>
      <c r="F490">
        <f>Stdev!E714</f>
        <v>6.0765999999999997E-3</v>
      </c>
      <c r="G490" s="31">
        <f t="shared" si="99"/>
        <v>1.1442456417758678E-2</v>
      </c>
      <c r="H490">
        <f t="shared" si="100"/>
        <v>1.2900349637523761E-2</v>
      </c>
      <c r="I490" s="1">
        <f>Stdev!E715*2</f>
        <v>1.19176E-2</v>
      </c>
      <c r="J490" s="23">
        <f t="shared" si="102"/>
        <v>0.16775860000000001</v>
      </c>
      <c r="L490">
        <f t="shared" si="101"/>
        <v>0.72199999999999998</v>
      </c>
    </row>
    <row r="491" spans="2:20" x14ac:dyDescent="0.15">
      <c r="B491">
        <v>1986</v>
      </c>
      <c r="C491">
        <v>1986</v>
      </c>
      <c r="D491" t="str">
        <f>Stdev!C715</f>
        <v>SER</v>
      </c>
      <c r="E491">
        <f>Stdev!D715</f>
        <v>0.10192</v>
      </c>
      <c r="F491">
        <f>Stdev!E715</f>
        <v>5.9588000000000002E-3</v>
      </c>
      <c r="G491" s="31">
        <f t="shared" si="99"/>
        <v>1.1238170149170557E-2</v>
      </c>
      <c r="H491">
        <f t="shared" si="100"/>
        <v>1.2630912978792139E-2</v>
      </c>
      <c r="I491" s="1">
        <f>Stdev!E716*2</f>
        <v>9.2116000000000003E-3</v>
      </c>
      <c r="J491" s="23">
        <f t="shared" si="102"/>
        <v>0.14883760000000001</v>
      </c>
      <c r="L491">
        <f t="shared" si="101"/>
        <v>0.72199999999999998</v>
      </c>
    </row>
    <row r="492" spans="2:20" x14ac:dyDescent="0.15">
      <c r="B492">
        <v>1987</v>
      </c>
      <c r="C492">
        <v>1987</v>
      </c>
      <c r="D492" t="str">
        <f>Stdev!C716</f>
        <v>SER</v>
      </c>
      <c r="E492">
        <f>Stdev!D716</f>
        <v>7.9047999999999993E-2</v>
      </c>
      <c r="F492">
        <f>Stdev!E716</f>
        <v>4.6058000000000002E-3</v>
      </c>
      <c r="G492" s="31">
        <f t="shared" si="99"/>
        <v>8.6881873183077413E-3</v>
      </c>
      <c r="H492">
        <f t="shared" si="100"/>
        <v>9.7610241551466248E-3</v>
      </c>
      <c r="I492" s="1">
        <f>Stdev!E717*2</f>
        <v>1.3556800000000001E-2</v>
      </c>
      <c r="J492" s="23">
        <f t="shared" si="102"/>
        <v>0.13207340000000001</v>
      </c>
      <c r="L492">
        <f t="shared" si="101"/>
        <v>0.72199999999999998</v>
      </c>
    </row>
    <row r="493" spans="2:20" x14ac:dyDescent="0.15">
      <c r="B493">
        <v>1988</v>
      </c>
      <c r="C493">
        <v>1988</v>
      </c>
      <c r="D493" t="str">
        <f>Stdev!C717</f>
        <v>SER</v>
      </c>
      <c r="E493">
        <f>Stdev!D717</f>
        <v>0.12096999999999999</v>
      </c>
      <c r="F493">
        <f>Stdev!E717</f>
        <v>6.7784000000000004E-3</v>
      </c>
      <c r="G493" s="31">
        <f t="shared" si="99"/>
        <v>1.2815263868268825E-2</v>
      </c>
      <c r="H493">
        <f t="shared" si="100"/>
        <v>1.4333745572235296E-2</v>
      </c>
      <c r="I493" s="1">
        <f>Stdev!E718*2</f>
        <v>1.6321800000000001E-2</v>
      </c>
      <c r="J493" s="23">
        <f t="shared" si="102"/>
        <v>0.1192754</v>
      </c>
      <c r="L493">
        <f t="shared" si="101"/>
        <v>0.72199999999999998</v>
      </c>
    </row>
    <row r="494" spans="2:20" x14ac:dyDescent="0.15">
      <c r="B494">
        <v>1989</v>
      </c>
      <c r="C494">
        <v>1989</v>
      </c>
      <c r="D494" t="str">
        <f>Stdev!C718</f>
        <v>SER</v>
      </c>
      <c r="E494">
        <f>Stdev!D718</f>
        <v>0.14451</v>
      </c>
      <c r="F494">
        <f>Stdev!E718</f>
        <v>8.1609000000000004E-3</v>
      </c>
      <c r="G494" s="31">
        <f t="shared" si="99"/>
        <v>1.5422200570124084E-2</v>
      </c>
      <c r="H494">
        <f t="shared" si="100"/>
        <v>1.7264700569934982E-2</v>
      </c>
      <c r="I494" s="1">
        <f>Stdev!E719*2</f>
        <v>2.3414000000000001E-2</v>
      </c>
      <c r="J494" s="23">
        <f t="shared" si="102"/>
        <v>0.1118754</v>
      </c>
      <c r="L494">
        <f t="shared" si="101"/>
        <v>0.72199999999999998</v>
      </c>
    </row>
    <row r="495" spans="2:20" x14ac:dyDescent="0.15">
      <c r="B495">
        <v>1990</v>
      </c>
      <c r="C495">
        <v>1990</v>
      </c>
      <c r="D495" t="str">
        <f>Stdev!C719</f>
        <v>SER</v>
      </c>
      <c r="E495">
        <f>Stdev!D719</f>
        <v>0.20985999999999999</v>
      </c>
      <c r="F495">
        <f>Stdev!E719</f>
        <v>1.1707E-2</v>
      </c>
      <c r="G495" s="31">
        <f t="shared" si="99"/>
        <v>2.2138838651202086E-2</v>
      </c>
      <c r="H495">
        <f t="shared" si="100"/>
        <v>2.4749775922750655E-2</v>
      </c>
      <c r="I495" s="1">
        <f>Stdev!E720*2</f>
        <v>2.0317999999999999E-2</v>
      </c>
      <c r="J495" s="23">
        <f t="shared" si="102"/>
        <v>0.11731340000000001</v>
      </c>
      <c r="L495">
        <f t="shared" si="101"/>
        <v>0.72199999999999998</v>
      </c>
    </row>
    <row r="496" spans="2:20" x14ac:dyDescent="0.15">
      <c r="B496">
        <v>1991</v>
      </c>
      <c r="C496">
        <v>1991</v>
      </c>
      <c r="D496" t="str">
        <f>Stdev!C720</f>
        <v>SER</v>
      </c>
      <c r="E496">
        <f>Stdev!D720</f>
        <v>0.18426000000000001</v>
      </c>
      <c r="F496">
        <f>Stdev!E720</f>
        <v>1.0159E-2</v>
      </c>
      <c r="G496" s="31">
        <f t="shared" si="99"/>
        <v>1.9224044250103933E-2</v>
      </c>
      <c r="H496">
        <f t="shared" si="100"/>
        <v>2.1463337352329526E-2</v>
      </c>
      <c r="I496" s="1">
        <f>Stdev!E721*2</f>
        <v>1.7439E-2</v>
      </c>
      <c r="J496" s="23">
        <f t="shared" si="102"/>
        <v>0.12408940000000002</v>
      </c>
      <c r="L496">
        <f t="shared" si="101"/>
        <v>0.72199999999999998</v>
      </c>
    </row>
    <row r="497" spans="2:12" x14ac:dyDescent="0.15">
      <c r="B497">
        <v>1992</v>
      </c>
      <c r="C497">
        <v>1992</v>
      </c>
      <c r="D497" t="str">
        <f>Stdev!C721</f>
        <v>SER</v>
      </c>
      <c r="E497">
        <f>Stdev!D721</f>
        <v>0.16933999999999999</v>
      </c>
      <c r="F497">
        <f>Stdev!E721</f>
        <v>8.7194999999999998E-3</v>
      </c>
      <c r="G497" s="31">
        <f t="shared" si="99"/>
        <v>1.6560680456632088E-2</v>
      </c>
      <c r="H497">
        <f t="shared" si="100"/>
        <v>1.8355793420915339E-2</v>
      </c>
      <c r="I497" s="1">
        <f>Stdev!E722*2</f>
        <v>1.30758E-2</v>
      </c>
      <c r="J497" s="23">
        <f t="shared" si="102"/>
        <v>0.13100440000000002</v>
      </c>
      <c r="L497">
        <f t="shared" si="101"/>
        <v>0.72199999999999998</v>
      </c>
    </row>
    <row r="498" spans="2:12" x14ac:dyDescent="0.15">
      <c r="B498">
        <v>1993</v>
      </c>
      <c r="C498">
        <v>1993</v>
      </c>
      <c r="D498" t="str">
        <f>Stdev!C722</f>
        <v>SER</v>
      </c>
      <c r="E498">
        <f>Stdev!D722</f>
        <v>0.12346</v>
      </c>
      <c r="F498">
        <f>Stdev!E722</f>
        <v>6.5379000000000001E-3</v>
      </c>
      <c r="G498" s="31">
        <f t="shared" si="99"/>
        <v>1.2398941159860108E-2</v>
      </c>
      <c r="H498">
        <f t="shared" si="100"/>
        <v>1.3783168390278974E-2</v>
      </c>
      <c r="I498" s="1">
        <f>Stdev!E723*2</f>
        <v>1.20202E-2</v>
      </c>
      <c r="J498" s="23">
        <f t="shared" si="102"/>
        <v>0.13364180000000001</v>
      </c>
      <c r="L498">
        <f t="shared" si="101"/>
        <v>0.72199999999999998</v>
      </c>
    </row>
    <row r="499" spans="2:12" x14ac:dyDescent="0.15">
      <c r="B499">
        <v>1994</v>
      </c>
      <c r="C499">
        <v>1994</v>
      </c>
      <c r="D499" t="str">
        <f>Stdev!C723</f>
        <v>SER</v>
      </c>
      <c r="E499">
        <f>Stdev!D723</f>
        <v>0.11292000000000001</v>
      </c>
      <c r="F499">
        <f>Stdev!E723</f>
        <v>6.0101E-3</v>
      </c>
      <c r="G499" s="31">
        <f t="shared" si="99"/>
        <v>1.1394899583501442E-2</v>
      </c>
      <c r="H499">
        <f t="shared" si="100"/>
        <v>1.2673831945896649E-2</v>
      </c>
      <c r="I499" s="1">
        <f>Stdev!E724*2</f>
        <v>1.1620999999999999E-2</v>
      </c>
      <c r="J499" s="23">
        <f t="shared" si="102"/>
        <v>0.13475379999999998</v>
      </c>
      <c r="L499">
        <f t="shared" si="101"/>
        <v>0.72199999999999998</v>
      </c>
    </row>
    <row r="500" spans="2:12" x14ac:dyDescent="0.15">
      <c r="B500">
        <v>1995</v>
      </c>
      <c r="C500">
        <v>1995</v>
      </c>
      <c r="D500" t="str">
        <f>Stdev!C724</f>
        <v>SER</v>
      </c>
      <c r="E500">
        <f>Stdev!D724</f>
        <v>0.10832</v>
      </c>
      <c r="F500">
        <f>Stdev!E724</f>
        <v>5.8104999999999997E-3</v>
      </c>
      <c r="G500" s="31">
        <f t="shared" si="99"/>
        <v>1.1011835904152445E-2</v>
      </c>
      <c r="H500">
        <f t="shared" si="100"/>
        <v>1.2257985506364033E-2</v>
      </c>
      <c r="I500" s="1">
        <f>Stdev!E725*2</f>
        <v>1.2005E-2</v>
      </c>
      <c r="J500" s="23">
        <f t="shared" si="102"/>
        <v>0.13546079999999996</v>
      </c>
      <c r="L500">
        <f t="shared" si="101"/>
        <v>0.72199999999999998</v>
      </c>
    </row>
    <row r="501" spans="2:12" x14ac:dyDescent="0.15">
      <c r="B501">
        <v>1996</v>
      </c>
      <c r="C501">
        <v>1996</v>
      </c>
      <c r="D501" t="str">
        <f>Stdev!C725</f>
        <v>SER</v>
      </c>
      <c r="E501">
        <f>Stdev!D725</f>
        <v>0.11022</v>
      </c>
      <c r="F501">
        <f>Stdev!E725</f>
        <v>6.0025E-3</v>
      </c>
      <c r="G501" s="31">
        <f t="shared" si="99"/>
        <v>1.1366350318626789E-2</v>
      </c>
      <c r="H501">
        <f t="shared" si="100"/>
        <v>1.2673271408360623E-2</v>
      </c>
      <c r="I501" s="1">
        <f>Stdev!E726*2</f>
        <v>1.3157200000000001E-2</v>
      </c>
      <c r="J501" s="23">
        <f t="shared" si="102"/>
        <v>0.13629079999999996</v>
      </c>
      <c r="L501">
        <f t="shared" si="101"/>
        <v>0.72199999999999998</v>
      </c>
    </row>
    <row r="502" spans="2:12" x14ac:dyDescent="0.15">
      <c r="B502">
        <v>1997</v>
      </c>
      <c r="C502">
        <v>1997</v>
      </c>
      <c r="D502" t="str">
        <f>Stdev!C726</f>
        <v>SER</v>
      </c>
      <c r="E502">
        <f>Stdev!D726</f>
        <v>0.12045</v>
      </c>
      <c r="F502">
        <f>Stdev!E726</f>
        <v>6.5786000000000004E-3</v>
      </c>
      <c r="G502" s="31">
        <f t="shared" si="99"/>
        <v>1.2455278403464401E-2</v>
      </c>
      <c r="H502">
        <f t="shared" si="100"/>
        <v>1.3891774167464621E-2</v>
      </c>
      <c r="I502" s="1">
        <f>Stdev!E727*2</f>
        <v>1.2633200000000001E-2</v>
      </c>
      <c r="J502" s="23">
        <f t="shared" si="102"/>
        <v>0.140431</v>
      </c>
      <c r="L502">
        <f t="shared" si="101"/>
        <v>0.72199999999999998</v>
      </c>
    </row>
    <row r="503" spans="2:12" x14ac:dyDescent="0.15">
      <c r="B503">
        <v>1998</v>
      </c>
      <c r="C503">
        <v>1998</v>
      </c>
      <c r="D503" t="str">
        <f>Stdev!C727</f>
        <v>SER</v>
      </c>
      <c r="E503">
        <f>Stdev!D727</f>
        <v>0.1182</v>
      </c>
      <c r="F503">
        <f>Stdev!E727</f>
        <v>6.3166000000000003E-3</v>
      </c>
      <c r="G503" s="31">
        <f t="shared" si="99"/>
        <v>1.1973412550634513E-2</v>
      </c>
      <c r="H503">
        <f t="shared" si="100"/>
        <v>1.3323005073090616E-2</v>
      </c>
      <c r="I503" s="1">
        <f>Stdev!E728*2</f>
        <v>1.1261E-2</v>
      </c>
      <c r="J503" s="23">
        <f t="shared" si="102"/>
        <v>0.140154</v>
      </c>
      <c r="L503">
        <f t="shared" si="101"/>
        <v>0.72199999999999998</v>
      </c>
    </row>
    <row r="504" spans="2:12" x14ac:dyDescent="0.15">
      <c r="B504">
        <v>1999</v>
      </c>
      <c r="C504">
        <v>1999</v>
      </c>
      <c r="D504" t="str">
        <f>Stdev!C728</f>
        <v>SER</v>
      </c>
      <c r="E504">
        <f>Stdev!D728</f>
        <v>0.10513</v>
      </c>
      <c r="F504">
        <f>Stdev!E728</f>
        <v>5.6305000000000001E-3</v>
      </c>
      <c r="G504" s="31">
        <f t="shared" si="99"/>
        <v>1.0671614510477226E-2</v>
      </c>
      <c r="H504">
        <f t="shared" si="100"/>
        <v>1.1877260315982338E-2</v>
      </c>
      <c r="I504" s="1">
        <f>Stdev!E729*2</f>
        <v>1.30218E-2</v>
      </c>
      <c r="J504" s="23">
        <f t="shared" si="102"/>
        <v>0.136216</v>
      </c>
      <c r="L504">
        <f t="shared" si="101"/>
        <v>0.72199999999999998</v>
      </c>
    </row>
    <row r="505" spans="2:12" x14ac:dyDescent="0.15">
      <c r="B505">
        <v>2000</v>
      </c>
      <c r="C505">
        <v>2000</v>
      </c>
      <c r="D505" t="str">
        <f>Stdev!C729</f>
        <v>SER</v>
      </c>
      <c r="E505">
        <f>Stdev!D729</f>
        <v>0.12414</v>
      </c>
      <c r="F505">
        <f>Stdev!E729</f>
        <v>6.5109E-3</v>
      </c>
      <c r="G505" s="31">
        <f t="shared" si="99"/>
        <v>1.2354047360276774E-2</v>
      </c>
      <c r="H505">
        <f t="shared" si="100"/>
        <v>1.3719357424519379E-2</v>
      </c>
      <c r="I505" s="1">
        <f>Stdev!E730*2</f>
        <v>1.5381199999999999E-2</v>
      </c>
      <c r="J505" s="23">
        <f t="shared" si="102"/>
        <v>0.12764400000000001</v>
      </c>
      <c r="L505">
        <f t="shared" si="101"/>
        <v>0.72199999999999998</v>
      </c>
    </row>
    <row r="506" spans="2:12" x14ac:dyDescent="0.15">
      <c r="B506">
        <v>2001</v>
      </c>
      <c r="C506">
        <v>2001</v>
      </c>
      <c r="D506" t="str">
        <f>Stdev!C730</f>
        <v>SER</v>
      </c>
      <c r="E506">
        <f>Stdev!D730</f>
        <v>0.14976999999999999</v>
      </c>
      <c r="F506">
        <f>Stdev!E730</f>
        <v>7.6905999999999997E-3</v>
      </c>
      <c r="G506" s="31">
        <f t="shared" si="99"/>
        <v>1.460860529567537E-2</v>
      </c>
      <c r="H506">
        <f t="shared" si="100"/>
        <v>1.6187542455592119E-2</v>
      </c>
      <c r="I506" s="1">
        <f>Stdev!E731*2</f>
        <v>1.52268E-2</v>
      </c>
      <c r="J506" s="23">
        <f t="shared" si="102"/>
        <v>0.12419499999999999</v>
      </c>
      <c r="L506">
        <f t="shared" si="101"/>
        <v>0.72199999999999998</v>
      </c>
    </row>
    <row r="507" spans="2:12" x14ac:dyDescent="0.15">
      <c r="B507">
        <v>2002</v>
      </c>
      <c r="C507">
        <v>2002</v>
      </c>
      <c r="D507" t="str">
        <f>Stdev!C731</f>
        <v>SER</v>
      </c>
      <c r="E507">
        <f>Stdev!D731</f>
        <v>0.15193000000000001</v>
      </c>
      <c r="F507">
        <f>Stdev!E731</f>
        <v>7.6134000000000002E-3</v>
      </c>
      <c r="G507" s="31">
        <f t="shared" si="99"/>
        <v>1.4479995107526261E-2</v>
      </c>
      <c r="H507">
        <f t="shared" si="100"/>
        <v>1.6005424360715531E-2</v>
      </c>
      <c r="I507" s="1">
        <f>Stdev!E732*2</f>
        <v>1.38472E-2</v>
      </c>
      <c r="J507" s="23">
        <f t="shared" si="102"/>
        <v>0.12245400000000002</v>
      </c>
      <c r="L507">
        <f t="shared" ref="L507:L520" si="104">L506</f>
        <v>0.72199999999999998</v>
      </c>
    </row>
    <row r="508" spans="2:12" x14ac:dyDescent="0.15">
      <c r="B508">
        <v>2003</v>
      </c>
      <c r="C508">
        <v>2003</v>
      </c>
      <c r="D508" t="str">
        <f>Stdev!C732</f>
        <v>SER</v>
      </c>
      <c r="E508">
        <f>Stdev!D732</f>
        <v>0.13858000000000001</v>
      </c>
      <c r="F508">
        <f>Stdev!E732</f>
        <v>6.9236000000000002E-3</v>
      </c>
      <c r="G508" s="31">
        <f t="shared" si="99"/>
        <v>1.3170048971203524E-2</v>
      </c>
      <c r="H508">
        <f t="shared" si="100"/>
        <v>1.455311457709052E-2</v>
      </c>
      <c r="I508" s="1">
        <f>Stdev!E733*2</f>
        <v>1.45606E-2</v>
      </c>
      <c r="J508" s="23">
        <f t="shared" si="102"/>
        <v>0.12396599999999999</v>
      </c>
      <c r="L508">
        <f t="shared" si="104"/>
        <v>0.72199999999999998</v>
      </c>
    </row>
    <row r="509" spans="2:12" x14ac:dyDescent="0.15">
      <c r="B509">
        <v>2004</v>
      </c>
      <c r="C509">
        <v>2004</v>
      </c>
      <c r="D509" t="str">
        <f>Stdev!C733</f>
        <v>SER</v>
      </c>
      <c r="E509">
        <f>Stdev!D733</f>
        <v>0.14516000000000001</v>
      </c>
      <c r="F509">
        <f>Stdev!E733</f>
        <v>7.2803E-3</v>
      </c>
      <c r="G509" s="31">
        <f t="shared" si="99"/>
        <v>1.3845878461035799E-2</v>
      </c>
      <c r="H509">
        <f t="shared" si="100"/>
        <v>1.5305800273792941E-2</v>
      </c>
      <c r="I509" s="1">
        <f>Stdev!E734*2</f>
        <v>1.7691399999999999E-2</v>
      </c>
      <c r="J509" s="23">
        <f t="shared" si="102"/>
        <v>0.12718999999999997</v>
      </c>
      <c r="L509">
        <f t="shared" si="104"/>
        <v>0.72199999999999998</v>
      </c>
    </row>
    <row r="510" spans="2:12" x14ac:dyDescent="0.15">
      <c r="B510">
        <v>2005</v>
      </c>
      <c r="C510">
        <v>2005</v>
      </c>
      <c r="D510" t="str">
        <f>Stdev!C734</f>
        <v>SER</v>
      </c>
      <c r="E510">
        <f>Stdev!D734</f>
        <v>0.17796000000000001</v>
      </c>
      <c r="F510">
        <f>Stdev!E734</f>
        <v>8.8456999999999997E-3</v>
      </c>
      <c r="G510" s="31">
        <f t="shared" si="99"/>
        <v>1.6830578739853358E-2</v>
      </c>
      <c r="H510">
        <f t="shared" si="100"/>
        <v>1.858859647803579E-2</v>
      </c>
      <c r="I510" s="1">
        <f>Stdev!E735*2</f>
        <v>2.2328000000000001E-2</v>
      </c>
      <c r="J510" s="23">
        <f t="shared" si="102"/>
        <v>0.13415399999999997</v>
      </c>
      <c r="L510">
        <f t="shared" si="104"/>
        <v>0.72199999999999998</v>
      </c>
    </row>
    <row r="511" spans="2:12" x14ac:dyDescent="0.15">
      <c r="B511">
        <v>2006</v>
      </c>
      <c r="C511">
        <v>2006</v>
      </c>
      <c r="D511" t="str">
        <f>Stdev!C735</f>
        <v>SER</v>
      </c>
      <c r="E511">
        <f>Stdev!D735</f>
        <v>0.22767000000000001</v>
      </c>
      <c r="F511">
        <f>Stdev!E735</f>
        <v>1.1164E-2</v>
      </c>
      <c r="G511" s="31">
        <f t="shared" si="99"/>
        <v>2.1255905472758879E-2</v>
      </c>
      <c r="H511">
        <f t="shared" si="100"/>
        <v>2.3444774980442812E-2</v>
      </c>
      <c r="I511" s="1">
        <f>Stdev!E736*2</f>
        <v>2.4924000000000002E-2</v>
      </c>
      <c r="J511" s="23">
        <f t="shared" si="102"/>
        <v>0.14589900000000003</v>
      </c>
      <c r="L511">
        <f t="shared" si="104"/>
        <v>0.72199999999999998</v>
      </c>
    </row>
    <row r="512" spans="2:12" x14ac:dyDescent="0.15">
      <c r="B512">
        <v>2007</v>
      </c>
      <c r="C512">
        <v>2007</v>
      </c>
      <c r="D512" t="str">
        <f>Stdev!C736</f>
        <v>SER</v>
      </c>
      <c r="E512">
        <f>Stdev!D736</f>
        <v>0.24268000000000001</v>
      </c>
      <c r="F512">
        <f>Stdev!E736</f>
        <v>1.2462000000000001E-2</v>
      </c>
      <c r="G512" s="31">
        <f t="shared" si="99"/>
        <v>2.3672020549314721E-2</v>
      </c>
      <c r="H512">
        <f t="shared" si="100"/>
        <v>2.6230669591658651E-2</v>
      </c>
      <c r="I512" s="1">
        <f>Stdev!E737*2</f>
        <v>2.2072000000000001E-2</v>
      </c>
      <c r="J512" s="23">
        <f t="shared" si="102"/>
        <v>0.15812200000000004</v>
      </c>
      <c r="L512">
        <f t="shared" si="104"/>
        <v>0.72199999999999998</v>
      </c>
    </row>
    <row r="513" spans="2:12" x14ac:dyDescent="0.15">
      <c r="B513">
        <v>2008</v>
      </c>
      <c r="C513">
        <v>2009</v>
      </c>
      <c r="D513" t="str">
        <f>Stdev!C737</f>
        <v>SER</v>
      </c>
      <c r="E513">
        <f>Stdev!D737</f>
        <v>0.19861000000000001</v>
      </c>
      <c r="F513">
        <f>Stdev!E737</f>
        <v>1.1036000000000001E-2</v>
      </c>
      <c r="G513" s="31">
        <f t="shared" si="99"/>
        <v>2.0874520855327178E-2</v>
      </c>
      <c r="H513">
        <f t="shared" si="100"/>
        <v>2.3326173294313773E-2</v>
      </c>
      <c r="I513" s="1">
        <f>Stdev!E738*2</f>
        <v>1.7029599999999999E-2</v>
      </c>
      <c r="J513" s="23">
        <f t="shared" ref="J513:J518" si="105">AVERAGE(E504:E513)</f>
        <v>0.16616300000000001</v>
      </c>
      <c r="L513">
        <f t="shared" si="104"/>
        <v>0.72199999999999998</v>
      </c>
    </row>
    <row r="514" spans="2:12" x14ac:dyDescent="0.15">
      <c r="B514">
        <v>2009</v>
      </c>
      <c r="C514">
        <v>2009</v>
      </c>
      <c r="D514" t="str">
        <f>Stdev!C738</f>
        <v>SER</v>
      </c>
      <c r="E514">
        <f>Stdev!D738</f>
        <v>0.13714999999999999</v>
      </c>
      <c r="F514">
        <f>Stdev!E738</f>
        <v>8.5147999999999995E-3</v>
      </c>
      <c r="G514" s="31">
        <f t="shared" si="99"/>
        <v>1.6000306569838862E-2</v>
      </c>
      <c r="H514">
        <f t="shared" si="100"/>
        <v>1.8113475848937438E-2</v>
      </c>
      <c r="I514" s="1">
        <f>Stdev!E739*2</f>
        <v>1.51594E-2</v>
      </c>
      <c r="J514" s="23">
        <f t="shared" si="105"/>
        <v>0.16936499999999999</v>
      </c>
      <c r="L514">
        <f t="shared" si="104"/>
        <v>0.72199999999999998</v>
      </c>
    </row>
    <row r="515" spans="2:12" x14ac:dyDescent="0.15">
      <c r="B515">
        <v>2010</v>
      </c>
      <c r="C515">
        <v>2010</v>
      </c>
      <c r="D515" t="str">
        <f>Stdev!C739</f>
        <v>SER</v>
      </c>
      <c r="E515">
        <f>Stdev!D739</f>
        <v>0.10970000000000001</v>
      </c>
      <c r="F515">
        <f>Stdev!E739</f>
        <v>7.5797E-3</v>
      </c>
      <c r="G515" s="31">
        <f t="shared" si="99"/>
        <v>1.4142872095678591E-2</v>
      </c>
      <c r="H515">
        <f t="shared" si="100"/>
        <v>1.6236078908204402E-2</v>
      </c>
      <c r="I515" s="1">
        <f>Stdev!E740*2</f>
        <v>1.9674400000000002E-2</v>
      </c>
      <c r="J515" s="23">
        <f t="shared" si="105"/>
        <v>0.16792100000000001</v>
      </c>
      <c r="L515">
        <f t="shared" si="104"/>
        <v>0.72199999999999998</v>
      </c>
    </row>
    <row r="516" spans="2:12" x14ac:dyDescent="0.15">
      <c r="B516">
        <v>2011</v>
      </c>
      <c r="C516">
        <v>2011</v>
      </c>
      <c r="D516" t="str">
        <f>Stdev!C740</f>
        <v>SER</v>
      </c>
      <c r="E516">
        <f>Stdev!D740</f>
        <v>0.12723000000000001</v>
      </c>
      <c r="F516">
        <f>Stdev!E740</f>
        <v>9.8372000000000008E-3</v>
      </c>
      <c r="G516" s="31">
        <f>E516-E516/EXP(2*SQRT(LN(1+F516^2/E516^2)))</f>
        <v>1.8203567788111455E-2</v>
      </c>
      <c r="H516">
        <f>E516*EXP(2*SQRT(LN(1+F516^2/E516^2)))-E516</f>
        <v>2.1242921397081838E-2</v>
      </c>
      <c r="I516" s="1">
        <f>Stdev!E741*2</f>
        <v>2.2412000000000001E-2</v>
      </c>
      <c r="J516" s="23">
        <f t="shared" si="105"/>
        <v>0.16566699999999998</v>
      </c>
      <c r="L516">
        <f t="shared" si="104"/>
        <v>0.72199999999999998</v>
      </c>
    </row>
    <row r="517" spans="2:12" x14ac:dyDescent="0.15">
      <c r="B517">
        <v>2012</v>
      </c>
      <c r="C517">
        <v>2012</v>
      </c>
      <c r="D517" t="str">
        <f>Stdev!C741</f>
        <v>SER</v>
      </c>
      <c r="E517">
        <f>Stdev!D741</f>
        <v>0.12953000000000001</v>
      </c>
      <c r="F517">
        <f>Stdev!E741</f>
        <v>1.1206000000000001E-2</v>
      </c>
      <c r="G517" s="31">
        <f>E517-E517/EXP(2*SQRT(LN(1+F517^2/E517^2)))</f>
        <v>2.0545092927850866E-2</v>
      </c>
      <c r="H517">
        <f>E517*EXP(2*SQRT(LN(1+F517^2/E517^2)))-E517</f>
        <v>2.4418114016308501E-2</v>
      </c>
      <c r="I517" s="1">
        <f>Stdev!E742*2</f>
        <v>2.6262000000000001E-2</v>
      </c>
      <c r="J517" s="23">
        <f t="shared" si="105"/>
        <v>0.16342699999999996</v>
      </c>
      <c r="L517">
        <f t="shared" si="104"/>
        <v>0.72199999999999998</v>
      </c>
    </row>
    <row r="518" spans="2:12" x14ac:dyDescent="0.15">
      <c r="B518">
        <v>2013</v>
      </c>
      <c r="C518">
        <v>2013</v>
      </c>
      <c r="D518" t="str">
        <f>Stdev!C742</f>
        <v>SER</v>
      </c>
      <c r="E518">
        <f>Stdev!D742</f>
        <v>0.13805999999999999</v>
      </c>
      <c r="F518">
        <f>Stdev!E742</f>
        <v>1.3131E-2</v>
      </c>
      <c r="G518" s="31">
        <f>E518-E518/EXP(2*SQRT(LN(1+F518^2/E518^2)))</f>
        <v>2.3866448963197381E-2</v>
      </c>
      <c r="H518">
        <f>E518*EXP(2*SQRT(LN(1+F518^2/E518^2)))-E518</f>
        <v>2.8854536126975389E-2</v>
      </c>
      <c r="I518" s="1">
        <f>Stdev!E747*2</f>
        <v>702.6</v>
      </c>
      <c r="J518" s="23">
        <f t="shared" si="105"/>
        <v>0.16337499999999999</v>
      </c>
      <c r="L518">
        <f t="shared" si="104"/>
        <v>0.72199999999999998</v>
      </c>
    </row>
    <row r="519" spans="2:12" x14ac:dyDescent="0.15">
      <c r="B519">
        <v>2014</v>
      </c>
      <c r="C519">
        <v>2014</v>
      </c>
      <c r="D519" t="str">
        <f>Stdev!C743</f>
        <v>SER</v>
      </c>
      <c r="E519">
        <f>Stdev!D743</f>
        <v>0.13599</v>
      </c>
      <c r="F519">
        <f>Stdev!E743</f>
        <v>1.3995E-2</v>
      </c>
      <c r="G519" s="31">
        <f>E519-E519/EXP(2*SQRT(LN(1+F519^2/E519^2)))</f>
        <v>2.5237358932483009E-2</v>
      </c>
      <c r="H519">
        <f>E519*EXP(2*SQRT(LN(1+F519^2/E519^2)))-E519</f>
        <v>3.0988231144177703E-2</v>
      </c>
      <c r="I519" s="1">
        <f>Stdev!E748*2</f>
        <v>0.19836999999999999</v>
      </c>
      <c r="J519" s="23">
        <f>AVERAGE(E510:E519)</f>
        <v>0.16245800000000002</v>
      </c>
      <c r="L519">
        <f t="shared" si="104"/>
        <v>0.72199999999999998</v>
      </c>
    </row>
    <row r="520" spans="2:12" x14ac:dyDescent="0.15">
      <c r="B520">
        <v>2015</v>
      </c>
      <c r="C520">
        <v>2015</v>
      </c>
      <c r="D520" t="str">
        <f>Stdev!C744</f>
        <v>SER</v>
      </c>
      <c r="E520">
        <f>Stdev!D744</f>
        <v>0.13106999999999999</v>
      </c>
      <c r="F520">
        <f>Stdev!E744</f>
        <v>1.4744999999999999E-2</v>
      </c>
      <c r="G520" s="31">
        <f>E520-E520/EXP(2*SQRT(LN(1+F520^2/E520^2)))</f>
        <v>2.6333855831932845E-2</v>
      </c>
      <c r="H520">
        <f>E520*EXP(2*SQRT(LN(1+F520^2/E520^2)))-E520</f>
        <v>3.2954989047074223E-2</v>
      </c>
      <c r="I520" s="1">
        <f>Stdev!E749*2</f>
        <v>0</v>
      </c>
      <c r="J520" s="23">
        <f>AVERAGE(E511:E520)</f>
        <v>0.15776899999999999</v>
      </c>
      <c r="L520">
        <f t="shared" si="104"/>
        <v>0.72199999999999998</v>
      </c>
    </row>
    <row r="521" spans="2:12" x14ac:dyDescent="0.15">
      <c r="D521">
        <f>Stdev!C745</f>
        <v>0</v>
      </c>
      <c r="E521">
        <f>Stdev!D745</f>
        <v>0</v>
      </c>
    </row>
    <row r="522" spans="2:12" x14ac:dyDescent="0.15">
      <c r="D522" t="e">
        <f>Stdev!#REF!</f>
        <v>#REF!</v>
      </c>
      <c r="E522" t="e">
        <f>Stdev!#REF!</f>
        <v>#REF!</v>
      </c>
    </row>
    <row r="527" spans="2:12" x14ac:dyDescent="0.15">
      <c r="F527">
        <f t="array" ref="F527">SLOPE(LN(E501:E504),C501:C504)</f>
        <v>-1.6069869069093155E-2</v>
      </c>
    </row>
    <row r="528" spans="2:12" x14ac:dyDescent="0.15">
      <c r="F528">
        <f t="array" ref="F528">SLOPE(LN(E502:E505),C502:C505)</f>
        <v>-2.665472961038029E-3</v>
      </c>
    </row>
    <row r="529" spans="1:11" x14ac:dyDescent="0.15">
      <c r="F529">
        <f t="array" ref="F529">SLOPE(LN(E503:E506),C503:C506)</f>
        <v>8.7638031849468584E-2</v>
      </c>
    </row>
    <row r="530" spans="1:11" x14ac:dyDescent="0.15">
      <c r="B530" t="s">
        <v>640</v>
      </c>
      <c r="C530" t="s">
        <v>43</v>
      </c>
      <c r="D530" t="s">
        <v>641</v>
      </c>
      <c r="E530" t="s">
        <v>664</v>
      </c>
      <c r="F530">
        <f t="array" ref="F530">SLOPE(LN(E504:E507),C504:C507)</f>
        <v>0.12923574496226045</v>
      </c>
      <c r="G530" t="s">
        <v>642</v>
      </c>
      <c r="H530" t="s">
        <v>643</v>
      </c>
      <c r="I530" t="s">
        <v>645</v>
      </c>
      <c r="J530" t="s">
        <v>644</v>
      </c>
    </row>
    <row r="531" spans="1:11" x14ac:dyDescent="0.15">
      <c r="A531" s="27">
        <f>B531</f>
        <v>2017</v>
      </c>
      <c r="B531" s="27">
        <f>Stdev!A797</f>
        <v>2017</v>
      </c>
      <c r="C531" s="27" t="str">
        <f>Stdev!B798</f>
        <v>styr_fut)</v>
      </c>
      <c r="D531" s="23">
        <f>Stdev!C798</f>
        <v>3695.84</v>
      </c>
      <c r="E531" s="27">
        <f>Stdev!D798</f>
        <v>0</v>
      </c>
      <c r="F531">
        <f t="array" ref="F531">SLOPE(LN(E505:E508),C505:C508)</f>
        <v>3.4443255009255713E-2</v>
      </c>
      <c r="G531" s="27">
        <f>Stdev!F798</f>
        <v>0</v>
      </c>
      <c r="H531" s="23">
        <f>Stdev!G798</f>
        <v>0</v>
      </c>
      <c r="I531" s="27">
        <f>Stdev!H798</f>
        <v>0</v>
      </c>
      <c r="J531" s="27">
        <f>Stdev!I798</f>
        <v>0</v>
      </c>
    </row>
    <row r="532" spans="1:11" x14ac:dyDescent="0.15">
      <c r="A532" s="27" t="str">
        <f t="shared" ref="A532:A540" si="106">B532</f>
        <v>future_SSB(1</v>
      </c>
      <c r="B532" s="27" t="str">
        <f>Stdev!A798</f>
        <v>future_SSB(1</v>
      </c>
      <c r="C532" s="27" t="str">
        <f>Stdev!B799</f>
        <v>styr_fut)</v>
      </c>
      <c r="D532" s="23">
        <f>Stdev!C799</f>
        <v>3679.34</v>
      </c>
      <c r="E532" s="27">
        <f>Stdev!D799</f>
        <v>0</v>
      </c>
      <c r="F532">
        <f t="array" ref="F532">SLOPE(LN(E506:E509),C506:C509)</f>
        <v>-1.8576471723474319E-2</v>
      </c>
      <c r="G532" s="27">
        <f>Stdev!F799</f>
        <v>0</v>
      </c>
      <c r="H532" s="23">
        <f>Stdev!G799</f>
        <v>0</v>
      </c>
      <c r="I532" s="27">
        <f>Stdev!H799</f>
        <v>0</v>
      </c>
      <c r="J532" s="27">
        <f>Stdev!I799</f>
        <v>0</v>
      </c>
    </row>
    <row r="533" spans="1:11" x14ac:dyDescent="0.15">
      <c r="A533" s="27" t="str">
        <f t="shared" si="106"/>
        <v>future_SSB(2</v>
      </c>
      <c r="B533" s="27" t="str">
        <f>Stdev!A799</f>
        <v>future_SSB(2</v>
      </c>
      <c r="C533" s="27" t="str">
        <f>Stdev!B800</f>
        <v>styr_fut)</v>
      </c>
      <c r="D533" s="23">
        <f>Stdev!C800</f>
        <v>667.85799999999995</v>
      </c>
      <c r="E533" s="27">
        <f>Stdev!D800</f>
        <v>0</v>
      </c>
      <c r="F533">
        <f t="array" ref="F533">SLOPE(LN(E507:E510),C507:C510)</f>
        <v>5.2080555859213208E-2</v>
      </c>
      <c r="G533" s="27">
        <f>Stdev!F800</f>
        <v>0</v>
      </c>
      <c r="H533" s="23">
        <f>Stdev!G800</f>
        <v>0</v>
      </c>
      <c r="I533" s="27">
        <f>Stdev!H800</f>
        <v>0</v>
      </c>
      <c r="J533" s="27">
        <f>Stdev!I800</f>
        <v>0</v>
      </c>
    </row>
    <row r="534" spans="1:11" x14ac:dyDescent="0.15">
      <c r="A534" s="27" t="str">
        <f t="shared" si="106"/>
        <v>catch_future(1</v>
      </c>
      <c r="B534" s="27" t="str">
        <f>Stdev!A800</f>
        <v>catch_future(1</v>
      </c>
      <c r="C534" s="27" t="str">
        <f>Stdev!B801</f>
        <v>styr_fut)</v>
      </c>
      <c r="D534" s="23">
        <f>Stdev!C801</f>
        <v>800.99199999999996</v>
      </c>
      <c r="E534" s="27">
        <f>Stdev!D801</f>
        <v>0</v>
      </c>
      <c r="F534">
        <f t="array" ref="F534">SLOPE(LN(E508:E511),C508:C511)</f>
        <v>0.16930705312470595</v>
      </c>
      <c r="G534" s="27">
        <f>Stdev!F801</f>
        <v>0</v>
      </c>
      <c r="H534" s="23">
        <f>Stdev!G801</f>
        <v>0</v>
      </c>
      <c r="I534" s="27">
        <f>Stdev!H801</f>
        <v>0</v>
      </c>
      <c r="J534" s="27">
        <f>Stdev!I801</f>
        <v>0</v>
      </c>
    </row>
    <row r="535" spans="1:11" x14ac:dyDescent="0.15">
      <c r="A535" s="27" t="str">
        <f t="shared" si="106"/>
        <v>catch_future(2</v>
      </c>
      <c r="B535" s="27" t="str">
        <f>Stdev!A801</f>
        <v>catch_future(2</v>
      </c>
      <c r="C535" s="27">
        <f>Stdev!B802</f>
        <v>0.38874500000000001</v>
      </c>
      <c r="D535" s="23">
        <f>Stdev!C802</f>
        <v>0</v>
      </c>
      <c r="E535" s="27">
        <f>Stdev!D802</f>
        <v>0</v>
      </c>
      <c r="F535" s="27">
        <f>Stdev!E802</f>
        <v>0</v>
      </c>
      <c r="G535" s="27">
        <f>Stdev!F802</f>
        <v>0</v>
      </c>
      <c r="H535" s="23">
        <f>Stdev!G802</f>
        <v>0</v>
      </c>
      <c r="I535" s="27">
        <f>Stdev!H802</f>
        <v>0</v>
      </c>
      <c r="J535" s="27">
        <f>Stdev!I802</f>
        <v>0</v>
      </c>
    </row>
    <row r="536" spans="1:11" x14ac:dyDescent="0.15">
      <c r="A536" s="27" t="str">
        <f t="shared" si="106"/>
        <v>hm_f</v>
      </c>
      <c r="B536" s="27" t="str">
        <f>Stdev!A802</f>
        <v>hm_f</v>
      </c>
      <c r="C536" s="27">
        <f>Stdev!B803</f>
        <v>0.47306300000000001</v>
      </c>
      <c r="D536" s="23">
        <f>Stdev!C803</f>
        <v>0</v>
      </c>
      <c r="E536" s="27">
        <f>Stdev!D803</f>
        <v>0</v>
      </c>
      <c r="F536" s="27">
        <f>Stdev!E803</f>
        <v>0</v>
      </c>
      <c r="G536" s="27">
        <f>Stdev!F803</f>
        <v>0</v>
      </c>
      <c r="H536" s="23">
        <f>Stdev!G803</f>
        <v>0</v>
      </c>
      <c r="I536" s="27">
        <f>Stdev!H803</f>
        <v>0</v>
      </c>
      <c r="J536" s="27">
        <f>Stdev!I803</f>
        <v>0</v>
      </c>
    </row>
    <row r="537" spans="1:11" x14ac:dyDescent="0.15">
      <c r="A537" s="27" t="str">
        <f t="shared" si="106"/>
        <v>am_f</v>
      </c>
      <c r="B537" s="27" t="str">
        <f>Stdev!A803</f>
        <v>am_f</v>
      </c>
      <c r="C537" s="27">
        <f>Stdev!B804</f>
        <v>6191.71</v>
      </c>
      <c r="D537" s="23">
        <f>Stdev!C804</f>
        <v>0</v>
      </c>
      <c r="E537" s="27">
        <f>Stdev!D804</f>
        <v>0</v>
      </c>
      <c r="F537" s="27">
        <f>Stdev!E804</f>
        <v>0</v>
      </c>
      <c r="G537" s="27">
        <f>Stdev!F804</f>
        <v>0</v>
      </c>
      <c r="H537" s="23">
        <f>Stdev!G804</f>
        <v>0</v>
      </c>
      <c r="I537" s="27">
        <f>Stdev!H804</f>
        <v>0</v>
      </c>
      <c r="J537" s="27">
        <f>Stdev!I804</f>
        <v>0</v>
      </c>
    </row>
    <row r="538" spans="1:11" x14ac:dyDescent="0.15">
      <c r="A538" s="27" t="str">
        <f t="shared" si="106"/>
        <v>gm_b(1)</v>
      </c>
      <c r="B538" s="27" t="str">
        <f>Stdev!A804</f>
        <v>gm_b(1)</v>
      </c>
      <c r="C538" s="27">
        <f>Stdev!B805</f>
        <v>6064.11</v>
      </c>
      <c r="D538" s="23">
        <f>Stdev!C805</f>
        <v>0</v>
      </c>
      <c r="E538" s="27">
        <f>Stdev!D805</f>
        <v>0</v>
      </c>
      <c r="F538" s="27">
        <f>Stdev!E805</f>
        <v>0</v>
      </c>
      <c r="G538" s="27">
        <f>Stdev!F805</f>
        <v>0</v>
      </c>
      <c r="H538" s="23">
        <f>Stdev!G805</f>
        <v>0</v>
      </c>
      <c r="I538" s="27">
        <f>Stdev!H805</f>
        <v>0</v>
      </c>
      <c r="J538" s="27">
        <f>Stdev!I805</f>
        <v>0</v>
      </c>
    </row>
    <row r="539" spans="1:11" x14ac:dyDescent="0.15">
      <c r="A539" s="27" t="str">
        <f t="shared" si="106"/>
        <v>gm_b2(1)</v>
      </c>
      <c r="B539" s="27" t="str">
        <f>Stdev!A805</f>
        <v>gm_b2(1)</v>
      </c>
      <c r="C539" s="27">
        <f>Stdev!B806</f>
        <v>1</v>
      </c>
      <c r="D539" s="23">
        <f>Stdev!C806</f>
        <v>0</v>
      </c>
      <c r="E539" s="27">
        <f>Stdev!D806</f>
        <v>0</v>
      </c>
      <c r="F539" s="27">
        <f>Stdev!E806</f>
        <v>0</v>
      </c>
      <c r="G539" s="27">
        <f>Stdev!F806</f>
        <v>0</v>
      </c>
      <c r="H539" s="23">
        <f>Stdev!G806</f>
        <v>0</v>
      </c>
      <c r="I539" s="27">
        <f>Stdev!H806</f>
        <v>0</v>
      </c>
      <c r="J539" s="27">
        <f>Stdev!I806</f>
        <v>0</v>
      </c>
    </row>
    <row r="540" spans="1:11" x14ac:dyDescent="0.15">
      <c r="A540" s="27" t="str">
        <f t="shared" si="106"/>
        <v>adj_1(1)</v>
      </c>
      <c r="B540" s="27" t="str">
        <f>Stdev!A806</f>
        <v>adj_1(1)</v>
      </c>
      <c r="C540" s="27">
        <f>Stdev!B807</f>
        <v>1</v>
      </c>
      <c r="D540" s="23">
        <f>Stdev!C807</f>
        <v>0</v>
      </c>
      <c r="E540" s="27">
        <f>Stdev!D807</f>
        <v>0</v>
      </c>
      <c r="F540" s="27">
        <f>Stdev!E807</f>
        <v>0</v>
      </c>
      <c r="G540" s="27">
        <f>Stdev!F807</f>
        <v>0</v>
      </c>
      <c r="H540" s="23">
        <f>Stdev!G807</f>
        <v>0</v>
      </c>
      <c r="I540" s="27">
        <f>Stdev!H807</f>
        <v>0</v>
      </c>
      <c r="J540" s="27">
        <f>Stdev!I807</f>
        <v>0</v>
      </c>
    </row>
    <row r="541" spans="1:11" x14ac:dyDescent="0.15">
      <c r="F541" s="4" t="s">
        <v>639</v>
      </c>
      <c r="J541" s="4" t="s">
        <v>639</v>
      </c>
    </row>
    <row r="542" spans="1:11" x14ac:dyDescent="0.15">
      <c r="B542" s="27">
        <v>0</v>
      </c>
      <c r="C542" s="27">
        <v>0</v>
      </c>
      <c r="F542" t="e">
        <f t="array" ref="F542:G542">LINEST(E531:E540,B531:B540)</f>
        <v>#VALUE!</v>
      </c>
      <c r="G542" t="e">
        <v>#VALUE!</v>
      </c>
      <c r="I542" s="4" t="s">
        <v>657</v>
      </c>
      <c r="J542" s="145" t="e">
        <f>G542/((1-F542))</f>
        <v>#VALUE!</v>
      </c>
      <c r="K542" s="27">
        <f>Stdev!J785</f>
        <v>784</v>
      </c>
    </row>
    <row r="543" spans="1:11" x14ac:dyDescent="0.15">
      <c r="F543" t="e">
        <f t="array" ref="F543:G543">LINEST(D531:D540,B531:B540)</f>
        <v>#VALUE!</v>
      </c>
      <c r="G543" t="e">
        <v>#VALUE!</v>
      </c>
      <c r="I543" s="4" t="s">
        <v>687</v>
      </c>
      <c r="J543" s="23" t="e">
        <f>G543+F543*J542</f>
        <v>#VALUE!</v>
      </c>
      <c r="K543" t="e">
        <f>C531/E350</f>
        <v>#VALUE!</v>
      </c>
    </row>
    <row r="544" spans="1:11" x14ac:dyDescent="0.15">
      <c r="I544" s="4"/>
      <c r="J544" s="23"/>
    </row>
    <row r="545" spans="2:22" x14ac:dyDescent="0.15">
      <c r="F545" t="e">
        <f t="array" ref="F545:G545">LINEST(F535:F540,B531:B540)</f>
        <v>#REF!</v>
      </c>
      <c r="G545" t="e">
        <v>#REF!</v>
      </c>
      <c r="I545" s="4" t="s">
        <v>656</v>
      </c>
      <c r="J545" s="145" t="e">
        <f>G545+F545*$J$542</f>
        <v>#REF!</v>
      </c>
      <c r="K545" s="31">
        <v>1400</v>
      </c>
    </row>
    <row r="546" spans="2:22" x14ac:dyDescent="0.15">
      <c r="F546" t="e">
        <f t="array" ref="F546:G546">LINEST(C531:C540,B531:B540)</f>
        <v>#VALUE!</v>
      </c>
      <c r="G546" t="e">
        <v>#VALUE!</v>
      </c>
      <c r="J546" s="27" t="e">
        <f>$G$546+$F$546*J542</f>
        <v>#VALUE!</v>
      </c>
      <c r="K546" s="27" t="e">
        <f>$G$546+$F$546*K545</f>
        <v>#VALUE!</v>
      </c>
    </row>
    <row r="547" spans="2:22" x14ac:dyDescent="0.15">
      <c r="F547" t="e">
        <f t="array" ref="F547:G547">LINEST(I531:I540,B531:B540)</f>
        <v>#VALUE!</v>
      </c>
      <c r="G547" t="e">
        <v>#VALUE!</v>
      </c>
      <c r="J547" s="27" t="e">
        <f>G547+F547*$J$542</f>
        <v>#VALUE!</v>
      </c>
      <c r="K547" s="23" t="e">
        <f>((J546-K546)/J546)/((J545-K545)/J545)</f>
        <v>#VALUE!</v>
      </c>
    </row>
    <row r="548" spans="2:22" x14ac:dyDescent="0.15">
      <c r="J548" s="27" t="e">
        <f>G547/((1-F547))</f>
        <v>#VALUE!</v>
      </c>
      <c r="K548" s="23" t="e">
        <f>((J545-K545)/J545)</f>
        <v>#REF!</v>
      </c>
    </row>
    <row r="549" spans="2:22" x14ac:dyDescent="0.15">
      <c r="I549" s="4" t="s">
        <v>657</v>
      </c>
      <c r="J549" s="27" t="e">
        <f>AVERAGE(J547:J548)</f>
        <v>#VALUE!</v>
      </c>
      <c r="K549" s="23" t="e">
        <f>((J546-K546)/J546)</f>
        <v>#VALUE!</v>
      </c>
    </row>
    <row r="550" spans="2:22" x14ac:dyDescent="0.15">
      <c r="F550" t="e">
        <f t="array" ref="F550:G550">LINEST(J531:J540,B531:B540)</f>
        <v>#VALUE!</v>
      </c>
      <c r="G550" t="e">
        <v>#VALUE!</v>
      </c>
      <c r="J550" s="27" t="e">
        <f>G550+F550*$J$542</f>
        <v>#VALUE!</v>
      </c>
    </row>
    <row r="551" spans="2:22" x14ac:dyDescent="0.15">
      <c r="J551" s="27" t="e">
        <f>G550/((1-F550))</f>
        <v>#VALUE!</v>
      </c>
    </row>
    <row r="552" spans="2:22" x14ac:dyDescent="0.15">
      <c r="I552" s="4" t="s">
        <v>658</v>
      </c>
      <c r="J552" s="27" t="e">
        <f>AVERAGE(J550:J551)</f>
        <v>#VALUE!</v>
      </c>
    </row>
    <row r="553" spans="2:22" x14ac:dyDescent="0.15">
      <c r="F553" t="e">
        <f t="array" ref="F553:G553">LINEST(H531:H540,B531:B540)</f>
        <v>#VALUE!</v>
      </c>
      <c r="G553" t="e">
        <v>#VALUE!</v>
      </c>
      <c r="I553" s="4" t="s">
        <v>659</v>
      </c>
      <c r="J553" s="23" t="e">
        <f>G553+F553*$J$549</f>
        <v>#VALUE!</v>
      </c>
    </row>
    <row r="554" spans="2:22" x14ac:dyDescent="0.15">
      <c r="B554" s="27"/>
    </row>
    <row r="555" spans="2:22" x14ac:dyDescent="0.15">
      <c r="B555">
        <v>1964</v>
      </c>
      <c r="C555" s="27">
        <f>Stdev!D4</f>
        <v>545.08000000000004</v>
      </c>
      <c r="D555" s="27">
        <f>Stdev!E4</f>
        <v>158.85</v>
      </c>
      <c r="E555" s="27">
        <f>C555/EXP(2*SQRT(LN(1+D555^2/C555^2)))</f>
        <v>307.9442705425962</v>
      </c>
      <c r="F555" s="27">
        <f>C555*EXP(2*SQRT(LN(1+D555^2/C555^2)))</f>
        <v>964.82459594552563</v>
      </c>
      <c r="L555">
        <v>1964</v>
      </c>
      <c r="M555">
        <v>436.75</v>
      </c>
    </row>
    <row r="556" spans="2:22" x14ac:dyDescent="0.15">
      <c r="B556">
        <f>B555+1</f>
        <v>1965</v>
      </c>
      <c r="C556" s="27">
        <f>Stdev!D5</f>
        <v>664.08</v>
      </c>
      <c r="D556" s="27">
        <f>Stdev!E5</f>
        <v>164.46</v>
      </c>
      <c r="E556" s="27">
        <f t="shared" ref="E556:E601" si="107">C556/EXP(2*SQRT(LN(1+D556^2/C556^2)))</f>
        <v>407.66789321628329</v>
      </c>
      <c r="F556" s="27">
        <f t="shared" ref="F556:F601" si="108">C556*EXP(2*SQRT(LN(1+D556^2/C556^2)))</f>
        <v>1081.7684044743539</v>
      </c>
      <c r="L556">
        <v>1965</v>
      </c>
      <c r="M556">
        <v>551.44000000000005</v>
      </c>
      <c r="V556" t="s">
        <v>287</v>
      </c>
    </row>
    <row r="557" spans="2:22" x14ac:dyDescent="0.15">
      <c r="B557">
        <f t="shared" ref="B557:B607" si="109">B556+1</f>
        <v>1966</v>
      </c>
      <c r="C557" s="27">
        <f>Stdev!D6</f>
        <v>794.27</v>
      </c>
      <c r="D557" s="27">
        <f>Stdev!E6</f>
        <v>188.03</v>
      </c>
      <c r="E557" s="27">
        <f t="shared" si="107"/>
        <v>497.89874712833023</v>
      </c>
      <c r="F557" s="27">
        <f t="shared" si="108"/>
        <v>1267.0544694851353</v>
      </c>
      <c r="L557">
        <v>1966</v>
      </c>
      <c r="M557">
        <v>635.16999999999996</v>
      </c>
    </row>
    <row r="558" spans="2:22" x14ac:dyDescent="0.15">
      <c r="B558">
        <f t="shared" si="109"/>
        <v>1967</v>
      </c>
      <c r="C558" s="27">
        <f>Stdev!D7</f>
        <v>1014.8</v>
      </c>
      <c r="D558" s="27">
        <f>Stdev!E7</f>
        <v>216.05</v>
      </c>
      <c r="E558" s="27">
        <f t="shared" si="107"/>
        <v>666.04591636728389</v>
      </c>
      <c r="F558" s="27">
        <f t="shared" si="108"/>
        <v>1546.1682365936422</v>
      </c>
      <c r="L558">
        <v>1967</v>
      </c>
      <c r="M558">
        <v>783.98</v>
      </c>
    </row>
    <row r="559" spans="2:22" x14ac:dyDescent="0.15">
      <c r="B559">
        <f t="shared" si="109"/>
        <v>1968</v>
      </c>
      <c r="C559" s="27">
        <f>Stdev!D8</f>
        <v>1267.5</v>
      </c>
      <c r="D559" s="27">
        <f>Stdev!E8</f>
        <v>262.04000000000002</v>
      </c>
      <c r="E559" s="27">
        <f t="shared" si="107"/>
        <v>841.88631879594868</v>
      </c>
      <c r="F559" s="27">
        <f t="shared" si="108"/>
        <v>1908.2816933023321</v>
      </c>
      <c r="L559">
        <v>1968</v>
      </c>
      <c r="M559">
        <v>963.39</v>
      </c>
    </row>
    <row r="560" spans="2:22" x14ac:dyDescent="0.15">
      <c r="B560">
        <f t="shared" si="109"/>
        <v>1969</v>
      </c>
      <c r="C560" s="27">
        <f>Stdev!D9</f>
        <v>1559.4</v>
      </c>
      <c r="D560" s="27">
        <f>Stdev!E9</f>
        <v>303.05</v>
      </c>
      <c r="E560" s="27">
        <f t="shared" si="107"/>
        <v>1061.0113587869055</v>
      </c>
      <c r="F560" s="27">
        <f t="shared" si="108"/>
        <v>2291.8966322663005</v>
      </c>
      <c r="L560">
        <v>1969</v>
      </c>
      <c r="M560">
        <v>1248.0999999999999</v>
      </c>
    </row>
    <row r="561" spans="2:13" x14ac:dyDescent="0.15">
      <c r="B561">
        <f t="shared" si="109"/>
        <v>1970</v>
      </c>
      <c r="C561" s="27">
        <f>Stdev!D10</f>
        <v>1831.6</v>
      </c>
      <c r="D561" s="27">
        <f>Stdev!E10</f>
        <v>332.1</v>
      </c>
      <c r="E561" s="27">
        <f t="shared" si="107"/>
        <v>1278.2407004461561</v>
      </c>
      <c r="F561" s="27">
        <f t="shared" si="108"/>
        <v>2624.5123933458367</v>
      </c>
      <c r="L561">
        <v>1970</v>
      </c>
      <c r="M561">
        <v>1618.1</v>
      </c>
    </row>
    <row r="562" spans="2:13" x14ac:dyDescent="0.15">
      <c r="B562">
        <f t="shared" si="109"/>
        <v>1971</v>
      </c>
      <c r="C562" s="27">
        <f>Stdev!D11</f>
        <v>1942.5</v>
      </c>
      <c r="D562" s="27">
        <f>Stdev!E11</f>
        <v>340.21</v>
      </c>
      <c r="E562" s="27">
        <f t="shared" si="107"/>
        <v>1372.0934568011562</v>
      </c>
      <c r="F562" s="27">
        <f t="shared" si="108"/>
        <v>2750.0358895354948</v>
      </c>
      <c r="L562">
        <v>1971</v>
      </c>
      <c r="M562">
        <v>1871</v>
      </c>
    </row>
    <row r="563" spans="2:13" x14ac:dyDescent="0.15">
      <c r="B563">
        <f t="shared" si="109"/>
        <v>1972</v>
      </c>
      <c r="C563" s="27">
        <f>Stdev!D12</f>
        <v>1836.1</v>
      </c>
      <c r="D563" s="27">
        <f>Stdev!E12</f>
        <v>319.27999999999997</v>
      </c>
      <c r="E563" s="27">
        <f t="shared" si="107"/>
        <v>1300.111415811032</v>
      </c>
      <c r="F563" s="27">
        <f t="shared" si="108"/>
        <v>2593.057155718418</v>
      </c>
      <c r="L563">
        <v>1972</v>
      </c>
      <c r="M563">
        <v>1832.1</v>
      </c>
    </row>
    <row r="564" spans="2:13" x14ac:dyDescent="0.15">
      <c r="B564">
        <f t="shared" si="109"/>
        <v>1973</v>
      </c>
      <c r="C564" s="27">
        <f>Stdev!D13</f>
        <v>1538.5</v>
      </c>
      <c r="D564" s="27">
        <f>Stdev!E13</f>
        <v>289.22000000000003</v>
      </c>
      <c r="E564" s="27">
        <f t="shared" si="107"/>
        <v>1059.8113487158178</v>
      </c>
      <c r="F564" s="27">
        <f t="shared" si="108"/>
        <v>2233.3996072679279</v>
      </c>
      <c r="L564">
        <v>1973</v>
      </c>
      <c r="M564">
        <v>1457.2</v>
      </c>
    </row>
    <row r="565" spans="2:13" x14ac:dyDescent="0.15">
      <c r="B565">
        <f t="shared" si="109"/>
        <v>1974</v>
      </c>
      <c r="C565" s="27">
        <f>Stdev!D14</f>
        <v>1158.5999999999999</v>
      </c>
      <c r="D565" s="27">
        <f>Stdev!E14</f>
        <v>248.53</v>
      </c>
      <c r="E565" s="27">
        <f t="shared" si="107"/>
        <v>758.06244854656416</v>
      </c>
      <c r="F565" s="27">
        <f t="shared" si="108"/>
        <v>1770.7696279821007</v>
      </c>
      <c r="L565">
        <v>1974</v>
      </c>
      <c r="M565">
        <v>960.1</v>
      </c>
    </row>
    <row r="566" spans="2:13" x14ac:dyDescent="0.15">
      <c r="B566">
        <f t="shared" si="109"/>
        <v>1975</v>
      </c>
      <c r="C566" s="27">
        <f>Stdev!D15</f>
        <v>980.86</v>
      </c>
      <c r="D566" s="27">
        <f>Stdev!E15</f>
        <v>194.38</v>
      </c>
      <c r="E566" s="27">
        <f t="shared" si="107"/>
        <v>662.4164259880605</v>
      </c>
      <c r="F566" s="27">
        <f t="shared" si="108"/>
        <v>1452.3890137007877</v>
      </c>
      <c r="L566">
        <v>1975</v>
      </c>
      <c r="M566">
        <v>764.7</v>
      </c>
    </row>
    <row r="567" spans="2:13" x14ac:dyDescent="0.15">
      <c r="B567">
        <f t="shared" si="109"/>
        <v>1976</v>
      </c>
      <c r="C567" s="27">
        <f>Stdev!D16</f>
        <v>976.89</v>
      </c>
      <c r="D567" s="27">
        <f>Stdev!E16</f>
        <v>156.63</v>
      </c>
      <c r="E567" s="27">
        <f t="shared" si="107"/>
        <v>710.33454566841999</v>
      </c>
      <c r="F567" s="27">
        <f t="shared" si="108"/>
        <v>1343.4712952078053</v>
      </c>
      <c r="L567">
        <v>1976</v>
      </c>
      <c r="M567">
        <v>793.57</v>
      </c>
    </row>
    <row r="568" spans="2:13" ht="14" x14ac:dyDescent="0.15">
      <c r="B568">
        <f t="shared" si="109"/>
        <v>1977</v>
      </c>
      <c r="C568" s="27">
        <f>Stdev!D17</f>
        <v>1039.2</v>
      </c>
      <c r="D568" s="27">
        <f>Stdev!E17</f>
        <v>139.43</v>
      </c>
      <c r="E568" s="27">
        <f t="shared" si="107"/>
        <v>795.57207683999502</v>
      </c>
      <c r="F568" s="27">
        <f t="shared" si="108"/>
        <v>1357.4340671803095</v>
      </c>
      <c r="G568" s="190">
        <v>950</v>
      </c>
      <c r="H568" s="168">
        <v>950</v>
      </c>
      <c r="L568">
        <v>1977</v>
      </c>
      <c r="M568">
        <v>862.23</v>
      </c>
    </row>
    <row r="569" spans="2:13" ht="14" x14ac:dyDescent="0.15">
      <c r="B569">
        <f t="shared" si="109"/>
        <v>1978</v>
      </c>
      <c r="C569" s="27">
        <f>Stdev!D18</f>
        <v>1095.3</v>
      </c>
      <c r="D569" s="27">
        <f>Stdev!E18</f>
        <v>134.6</v>
      </c>
      <c r="E569" s="27">
        <f t="shared" si="107"/>
        <v>857.41886872272039</v>
      </c>
      <c r="F569" s="27">
        <f t="shared" si="108"/>
        <v>1399.1785506040264</v>
      </c>
      <c r="G569" s="190">
        <v>950</v>
      </c>
      <c r="H569" s="168">
        <v>950</v>
      </c>
      <c r="L569">
        <v>1978</v>
      </c>
      <c r="M569">
        <v>899.19</v>
      </c>
    </row>
    <row r="570" spans="2:13" ht="14" x14ac:dyDescent="0.15">
      <c r="B570">
        <f t="shared" si="109"/>
        <v>1979</v>
      </c>
      <c r="C570" s="27">
        <f>Stdev!D19</f>
        <v>1100.7</v>
      </c>
      <c r="D570" s="27">
        <f>Stdev!E19</f>
        <v>131.86000000000001</v>
      </c>
      <c r="E570" s="27">
        <f t="shared" si="107"/>
        <v>866.93294038984402</v>
      </c>
      <c r="F570" s="27">
        <f t="shared" si="108"/>
        <v>1397.5019676322281</v>
      </c>
      <c r="G570" s="190">
        <v>1100</v>
      </c>
      <c r="H570" s="168">
        <v>950</v>
      </c>
      <c r="L570">
        <v>1979</v>
      </c>
      <c r="M570">
        <v>876.89</v>
      </c>
    </row>
    <row r="571" spans="2:13" ht="14" x14ac:dyDescent="0.15">
      <c r="B571">
        <f t="shared" si="109"/>
        <v>1980</v>
      </c>
      <c r="C571" s="27">
        <f>Stdev!D20</f>
        <v>1251.5</v>
      </c>
      <c r="D571" s="27">
        <f>Stdev!E20</f>
        <v>130.57</v>
      </c>
      <c r="E571" s="27">
        <f t="shared" si="107"/>
        <v>1016.3783975414922</v>
      </c>
      <c r="F571" s="27">
        <f t="shared" si="108"/>
        <v>1541.0129276542991</v>
      </c>
      <c r="G571" s="190">
        <v>1300</v>
      </c>
      <c r="H571" s="168">
        <v>1000</v>
      </c>
      <c r="L571">
        <v>1980</v>
      </c>
      <c r="M571">
        <v>994.22</v>
      </c>
    </row>
    <row r="572" spans="2:13" ht="14" x14ac:dyDescent="0.15">
      <c r="B572">
        <f t="shared" si="109"/>
        <v>1981</v>
      </c>
      <c r="C572" s="27">
        <f>Stdev!D21</f>
        <v>1985.8</v>
      </c>
      <c r="D572" s="27">
        <f>Stdev!E21</f>
        <v>144.44999999999999</v>
      </c>
      <c r="E572" s="27">
        <f t="shared" si="107"/>
        <v>1717.2614236813235</v>
      </c>
      <c r="F572" s="27">
        <f t="shared" si="108"/>
        <v>2296.3315809811065</v>
      </c>
      <c r="G572" s="190">
        <v>1300</v>
      </c>
      <c r="H572" s="168">
        <v>1000</v>
      </c>
      <c r="L572">
        <v>1981</v>
      </c>
      <c r="M572">
        <v>1669.5</v>
      </c>
    </row>
    <row r="573" spans="2:13" ht="14" x14ac:dyDescent="0.15">
      <c r="B573">
        <f t="shared" si="109"/>
        <v>1982</v>
      </c>
      <c r="C573" s="27">
        <f>Stdev!D22</f>
        <v>2946</v>
      </c>
      <c r="D573" s="27">
        <f>Stdev!E22</f>
        <v>177.29</v>
      </c>
      <c r="E573" s="27">
        <f t="shared" si="107"/>
        <v>2612.211731712729</v>
      </c>
      <c r="F573" s="27">
        <f t="shared" si="108"/>
        <v>3322.4397144520753</v>
      </c>
      <c r="G573" s="190">
        <v>1300</v>
      </c>
      <c r="H573" s="168">
        <v>1000</v>
      </c>
      <c r="L573">
        <v>1982</v>
      </c>
      <c r="M573">
        <v>2559</v>
      </c>
    </row>
    <row r="574" spans="2:13" ht="14" x14ac:dyDescent="0.15">
      <c r="B574">
        <f t="shared" si="109"/>
        <v>1983</v>
      </c>
      <c r="C574" s="27">
        <f>Stdev!D23</f>
        <v>3594.3</v>
      </c>
      <c r="D574" s="27">
        <f>Stdev!E23</f>
        <v>199.29</v>
      </c>
      <c r="E574" s="27">
        <f t="shared" si="107"/>
        <v>3217.2987111406933</v>
      </c>
      <c r="F574" s="27">
        <f t="shared" si="108"/>
        <v>4015.4780919983564</v>
      </c>
      <c r="G574" s="190">
        <v>1300</v>
      </c>
      <c r="H574" s="168">
        <v>1000</v>
      </c>
      <c r="L574">
        <v>1983</v>
      </c>
      <c r="M574">
        <v>3155</v>
      </c>
    </row>
    <row r="575" spans="2:13" ht="14" x14ac:dyDescent="0.15">
      <c r="B575">
        <f t="shared" si="109"/>
        <v>1984</v>
      </c>
      <c r="C575" s="27">
        <f>Stdev!D24</f>
        <v>3812.4</v>
      </c>
      <c r="D575" s="27">
        <f>Stdev!E24</f>
        <v>203</v>
      </c>
      <c r="E575" s="27">
        <f t="shared" si="107"/>
        <v>3427.5293145066103</v>
      </c>
      <c r="F575" s="27">
        <f t="shared" si="108"/>
        <v>4240.4870757734752</v>
      </c>
      <c r="G575" s="190">
        <v>1300</v>
      </c>
      <c r="H575" s="168">
        <v>1200</v>
      </c>
      <c r="L575">
        <v>1984</v>
      </c>
      <c r="M575">
        <v>3352.1</v>
      </c>
    </row>
    <row r="576" spans="2:13" ht="14" x14ac:dyDescent="0.15">
      <c r="B576">
        <f t="shared" si="109"/>
        <v>1985</v>
      </c>
      <c r="C576" s="27">
        <f>Stdev!D25</f>
        <v>4029.6</v>
      </c>
      <c r="D576" s="27">
        <f>Stdev!E25</f>
        <v>196.62</v>
      </c>
      <c r="E576" s="27">
        <f t="shared" si="107"/>
        <v>3655.1505269131494</v>
      </c>
      <c r="F576" s="27">
        <f t="shared" si="108"/>
        <v>4442.4097011712001</v>
      </c>
      <c r="G576" s="190">
        <v>1300</v>
      </c>
      <c r="H576" s="168">
        <v>1200</v>
      </c>
      <c r="L576">
        <v>1985</v>
      </c>
      <c r="M576">
        <v>3603.4</v>
      </c>
    </row>
    <row r="577" spans="2:13" ht="14" x14ac:dyDescent="0.15">
      <c r="B577">
        <f t="shared" si="109"/>
        <v>1986</v>
      </c>
      <c r="C577" s="27">
        <f>Stdev!D26</f>
        <v>4183.3</v>
      </c>
      <c r="D577" s="27">
        <f>Stdev!E26</f>
        <v>189.2</v>
      </c>
      <c r="E577" s="27">
        <f t="shared" si="107"/>
        <v>3821.6860914345457</v>
      </c>
      <c r="F577" s="27">
        <f t="shared" si="108"/>
        <v>4579.1303815408419</v>
      </c>
      <c r="G577" s="190">
        <v>1300</v>
      </c>
      <c r="H577" s="168">
        <v>1200</v>
      </c>
      <c r="L577">
        <v>1986</v>
      </c>
      <c r="M577">
        <v>3832.2</v>
      </c>
    </row>
    <row r="578" spans="2:13" ht="14" x14ac:dyDescent="0.15">
      <c r="B578">
        <f t="shared" si="109"/>
        <v>1987</v>
      </c>
      <c r="C578" s="27">
        <f>Stdev!D27</f>
        <v>4216.2</v>
      </c>
      <c r="D578" s="27">
        <f>Stdev!E27</f>
        <v>178.8</v>
      </c>
      <c r="E578" s="27">
        <f t="shared" si="107"/>
        <v>3873.4928073851015</v>
      </c>
      <c r="F578" s="27">
        <f t="shared" si="108"/>
        <v>4589.2282040922037</v>
      </c>
      <c r="G578" s="190">
        <v>1300</v>
      </c>
      <c r="H578" s="168">
        <v>1200</v>
      </c>
      <c r="L578">
        <v>1987</v>
      </c>
      <c r="M578">
        <v>3964</v>
      </c>
    </row>
    <row r="579" spans="2:13" ht="14" x14ac:dyDescent="0.15">
      <c r="B579">
        <f t="shared" si="109"/>
        <v>1988</v>
      </c>
      <c r="C579" s="27">
        <f>Stdev!D28</f>
        <v>4129.6000000000004</v>
      </c>
      <c r="D579" s="27">
        <f>Stdev!E28</f>
        <v>164.51</v>
      </c>
      <c r="E579" s="27">
        <f t="shared" si="107"/>
        <v>3813.4662658180232</v>
      </c>
      <c r="F579" s="27">
        <f t="shared" si="108"/>
        <v>4471.9410036112777</v>
      </c>
      <c r="G579" s="190">
        <v>1500</v>
      </c>
      <c r="H579" s="168">
        <v>1300</v>
      </c>
      <c r="L579">
        <v>1988</v>
      </c>
      <c r="M579">
        <v>3961.4</v>
      </c>
    </row>
    <row r="580" spans="2:13" ht="14" x14ac:dyDescent="0.15">
      <c r="B580">
        <f t="shared" si="109"/>
        <v>1989</v>
      </c>
      <c r="C580" s="27">
        <f>Stdev!D29</f>
        <v>3668.5</v>
      </c>
      <c r="D580" s="27">
        <f>Stdev!E29</f>
        <v>150.16999999999999</v>
      </c>
      <c r="E580" s="27">
        <f t="shared" si="107"/>
        <v>3380.2414802471503</v>
      </c>
      <c r="F580" s="27">
        <f t="shared" si="108"/>
        <v>3981.3404837029602</v>
      </c>
      <c r="G580" s="190">
        <v>1340</v>
      </c>
      <c r="H580" s="168">
        <v>1340</v>
      </c>
      <c r="L580">
        <v>1989</v>
      </c>
      <c r="M580">
        <v>3564</v>
      </c>
    </row>
    <row r="581" spans="2:13" ht="14" x14ac:dyDescent="0.15">
      <c r="B581">
        <f t="shared" si="109"/>
        <v>1990</v>
      </c>
      <c r="C581" s="27">
        <f>Stdev!D30</f>
        <v>2927.9</v>
      </c>
      <c r="D581" s="27">
        <f>Stdev!E30</f>
        <v>132.56</v>
      </c>
      <c r="E581" s="27">
        <f t="shared" si="107"/>
        <v>2674.5529707789738</v>
      </c>
      <c r="F581" s="27">
        <f t="shared" si="108"/>
        <v>3205.2453264753244</v>
      </c>
      <c r="G581" s="190">
        <v>1450</v>
      </c>
      <c r="H581" s="168">
        <v>1280</v>
      </c>
      <c r="L581">
        <v>1990</v>
      </c>
      <c r="M581">
        <v>2862.3</v>
      </c>
    </row>
    <row r="582" spans="2:13" ht="14" x14ac:dyDescent="0.15">
      <c r="B582">
        <f t="shared" si="109"/>
        <v>1991</v>
      </c>
      <c r="C582" s="27">
        <f>Stdev!D31</f>
        <v>2179.4</v>
      </c>
      <c r="D582" s="27">
        <f>Stdev!E31</f>
        <v>114.64</v>
      </c>
      <c r="E582" s="27">
        <f t="shared" si="107"/>
        <v>1961.9110158318963</v>
      </c>
      <c r="F582" s="27">
        <f t="shared" si="108"/>
        <v>2420.998873889283</v>
      </c>
      <c r="G582" s="190">
        <v>1676</v>
      </c>
      <c r="H582" s="168">
        <v>1300</v>
      </c>
      <c r="L582">
        <v>1991</v>
      </c>
      <c r="M582">
        <v>2119.1</v>
      </c>
    </row>
    <row r="583" spans="2:13" ht="14" x14ac:dyDescent="0.15">
      <c r="B583">
        <f t="shared" si="109"/>
        <v>1992</v>
      </c>
      <c r="C583" s="27">
        <f>Stdev!D32</f>
        <v>2303.1</v>
      </c>
      <c r="D583" s="27">
        <f>Stdev!E32</f>
        <v>106.28</v>
      </c>
      <c r="E583" s="27">
        <f t="shared" si="107"/>
        <v>2100.1570402333505</v>
      </c>
      <c r="F583" s="27">
        <f t="shared" si="108"/>
        <v>2525.6538003513474</v>
      </c>
      <c r="G583" s="190">
        <v>1490</v>
      </c>
      <c r="H583" s="168">
        <v>1300</v>
      </c>
      <c r="L583">
        <v>1992</v>
      </c>
      <c r="M583">
        <v>2216.5</v>
      </c>
    </row>
    <row r="584" spans="2:13" ht="14" x14ac:dyDescent="0.15">
      <c r="B584">
        <f t="shared" si="109"/>
        <v>1993</v>
      </c>
      <c r="C584" s="27">
        <f>Stdev!D33</f>
        <v>3202.4</v>
      </c>
      <c r="D584" s="27">
        <f>Stdev!E33</f>
        <v>119.23</v>
      </c>
      <c r="E584" s="27">
        <f t="shared" si="107"/>
        <v>2972.678538758737</v>
      </c>
      <c r="F584" s="27">
        <f t="shared" si="108"/>
        <v>3449.8737842949549</v>
      </c>
      <c r="G584" s="190">
        <v>1340</v>
      </c>
      <c r="H584" s="168">
        <v>1300</v>
      </c>
      <c r="L584">
        <v>1993</v>
      </c>
      <c r="M584">
        <v>3090.1</v>
      </c>
    </row>
    <row r="585" spans="2:13" ht="14" x14ac:dyDescent="0.15">
      <c r="B585">
        <f t="shared" si="109"/>
        <v>1994</v>
      </c>
      <c r="C585" s="27">
        <f>Stdev!D34</f>
        <v>3522.5</v>
      </c>
      <c r="D585" s="27">
        <f>Stdev!E34</f>
        <v>124.43</v>
      </c>
      <c r="E585" s="27">
        <f t="shared" si="107"/>
        <v>3282.2996906350345</v>
      </c>
      <c r="F585" s="27">
        <f t="shared" si="108"/>
        <v>3780.2782864106457</v>
      </c>
      <c r="G585" s="190">
        <v>1330</v>
      </c>
      <c r="H585" s="168">
        <v>1330</v>
      </c>
      <c r="L585">
        <v>1994</v>
      </c>
      <c r="M585">
        <v>3398.9</v>
      </c>
    </row>
    <row r="586" spans="2:13" ht="14" x14ac:dyDescent="0.15">
      <c r="B586">
        <f t="shared" si="109"/>
        <v>1995</v>
      </c>
      <c r="C586" s="27">
        <f>Stdev!D35</f>
        <v>3749.1</v>
      </c>
      <c r="D586" s="27">
        <f>Stdev!E35</f>
        <v>129.1</v>
      </c>
      <c r="E586" s="27">
        <f t="shared" si="107"/>
        <v>3499.6618580206937</v>
      </c>
      <c r="F586" s="27">
        <f t="shared" si="108"/>
        <v>4016.3168272347093</v>
      </c>
      <c r="G586" s="190">
        <v>1250</v>
      </c>
      <c r="H586" s="168">
        <v>1250</v>
      </c>
      <c r="L586">
        <v>1995</v>
      </c>
      <c r="M586">
        <v>3596</v>
      </c>
    </row>
    <row r="587" spans="2:13" ht="14" x14ac:dyDescent="0.15">
      <c r="B587">
        <f t="shared" si="109"/>
        <v>1996</v>
      </c>
      <c r="C587" s="27">
        <f>Stdev!D36</f>
        <v>3764.9</v>
      </c>
      <c r="D587" s="27">
        <f>Stdev!E36</f>
        <v>133.97</v>
      </c>
      <c r="E587" s="27">
        <f t="shared" si="107"/>
        <v>3506.3510878532015</v>
      </c>
      <c r="F587" s="27">
        <f t="shared" si="108"/>
        <v>4042.5136145389433</v>
      </c>
      <c r="G587" s="190">
        <v>1190</v>
      </c>
      <c r="H587" s="168">
        <v>1190</v>
      </c>
      <c r="L587">
        <v>1996</v>
      </c>
      <c r="M587">
        <v>3588.6</v>
      </c>
    </row>
    <row r="588" spans="2:13" ht="14" x14ac:dyDescent="0.15">
      <c r="B588">
        <f t="shared" si="109"/>
        <v>1997</v>
      </c>
      <c r="C588" s="27">
        <f>Stdev!D37</f>
        <v>3564.7</v>
      </c>
      <c r="D588" s="27">
        <f>Stdev!E37</f>
        <v>132.72999999999999</v>
      </c>
      <c r="E588" s="27">
        <f t="shared" si="107"/>
        <v>3308.9687697116169</v>
      </c>
      <c r="F588" s="27">
        <f t="shared" si="108"/>
        <v>3840.1952313099182</v>
      </c>
      <c r="G588" s="190">
        <v>1130</v>
      </c>
      <c r="H588" s="168">
        <v>1130</v>
      </c>
      <c r="L588">
        <v>1997</v>
      </c>
      <c r="M588">
        <v>3377.6</v>
      </c>
    </row>
    <row r="589" spans="2:13" ht="14" x14ac:dyDescent="0.15">
      <c r="B589">
        <f t="shared" si="109"/>
        <v>1998</v>
      </c>
      <c r="C589" s="27">
        <f>Stdev!D38</f>
        <v>3317.4</v>
      </c>
      <c r="D589" s="27">
        <f>Stdev!E38</f>
        <v>125.34</v>
      </c>
      <c r="E589" s="27">
        <f t="shared" si="107"/>
        <v>3076.0401028486663</v>
      </c>
      <c r="F589" s="27">
        <f t="shared" si="108"/>
        <v>3577.698076760551</v>
      </c>
      <c r="G589" s="190">
        <v>1110</v>
      </c>
      <c r="H589" s="168">
        <v>1110</v>
      </c>
      <c r="L589">
        <v>1998</v>
      </c>
      <c r="M589">
        <v>3134.3</v>
      </c>
    </row>
    <row r="590" spans="2:13" ht="14" x14ac:dyDescent="0.15">
      <c r="B590">
        <f t="shared" si="109"/>
        <v>1999</v>
      </c>
      <c r="C590" s="27">
        <f>Stdev!D39</f>
        <v>3317.8</v>
      </c>
      <c r="D590" s="27">
        <f>Stdev!E39</f>
        <v>118.63</v>
      </c>
      <c r="E590" s="27">
        <f t="shared" si="107"/>
        <v>3088.8952744228613</v>
      </c>
      <c r="F590" s="27">
        <f t="shared" si="108"/>
        <v>3563.6678689460364</v>
      </c>
      <c r="G590" s="190">
        <v>992</v>
      </c>
      <c r="H590" s="168">
        <v>992</v>
      </c>
      <c r="L590">
        <v>1999</v>
      </c>
      <c r="M590">
        <v>3148.6</v>
      </c>
    </row>
    <row r="591" spans="2:13" ht="14" x14ac:dyDescent="0.15">
      <c r="B591">
        <f t="shared" si="109"/>
        <v>2000</v>
      </c>
      <c r="C591" s="27">
        <f>Stdev!D40</f>
        <v>3345.5</v>
      </c>
      <c r="D591" s="27">
        <f>Stdev!E40</f>
        <v>115.34</v>
      </c>
      <c r="E591" s="27">
        <f t="shared" si="107"/>
        <v>3122.6572165461048</v>
      </c>
      <c r="F591" s="27">
        <f t="shared" si="108"/>
        <v>3584.2455555783381</v>
      </c>
      <c r="G591" s="190">
        <v>1139</v>
      </c>
      <c r="H591" s="168">
        <v>1139</v>
      </c>
      <c r="L591">
        <v>2000</v>
      </c>
      <c r="M591">
        <v>3185</v>
      </c>
    </row>
    <row r="592" spans="2:13" ht="14" x14ac:dyDescent="0.15">
      <c r="B592">
        <f t="shared" si="109"/>
        <v>2001</v>
      </c>
      <c r="C592" s="27">
        <f>Stdev!D41</f>
        <v>3382.3</v>
      </c>
      <c r="D592" s="27">
        <f>Stdev!E41</f>
        <v>120.58</v>
      </c>
      <c r="E592" s="27">
        <f t="shared" si="107"/>
        <v>3149.6079864832923</v>
      </c>
      <c r="F592" s="27">
        <f t="shared" si="108"/>
        <v>3632.1832237837725</v>
      </c>
      <c r="G592" s="190">
        <v>1842</v>
      </c>
      <c r="H592" s="168">
        <v>1400</v>
      </c>
      <c r="L592">
        <v>2001</v>
      </c>
      <c r="M592">
        <v>3198.5</v>
      </c>
    </row>
    <row r="593" spans="2:13" ht="14" x14ac:dyDescent="0.15">
      <c r="B593">
        <f t="shared" si="109"/>
        <v>2002</v>
      </c>
      <c r="C593" s="27">
        <f>Stdev!D42</f>
        <v>3215.9</v>
      </c>
      <c r="D593" s="27">
        <f>Stdev!E42</f>
        <v>114.17</v>
      </c>
      <c r="E593" s="27">
        <f t="shared" si="107"/>
        <v>2995.5449316487734</v>
      </c>
      <c r="F593" s="27">
        <f t="shared" si="108"/>
        <v>3452.4645919123868</v>
      </c>
      <c r="G593" s="190">
        <v>2110</v>
      </c>
      <c r="H593" s="168">
        <v>1485</v>
      </c>
      <c r="L593">
        <v>2002</v>
      </c>
      <c r="M593">
        <v>2998.5</v>
      </c>
    </row>
    <row r="594" spans="2:13" ht="14" x14ac:dyDescent="0.15">
      <c r="B594">
        <f t="shared" si="109"/>
        <v>2003</v>
      </c>
      <c r="C594" s="27">
        <f>Stdev!D43</f>
        <v>3417.9</v>
      </c>
      <c r="D594" s="27">
        <f>Stdev!E43</f>
        <v>110.7</v>
      </c>
      <c r="E594" s="27">
        <f t="shared" si="107"/>
        <v>3203.5728040011995</v>
      </c>
      <c r="F594" s="27">
        <f t="shared" si="108"/>
        <v>3646.5662323669876</v>
      </c>
      <c r="G594" s="190">
        <v>2330</v>
      </c>
      <c r="H594" s="168">
        <v>1491.76</v>
      </c>
      <c r="L594">
        <v>2003</v>
      </c>
      <c r="M594">
        <v>3139.2</v>
      </c>
    </row>
    <row r="595" spans="2:13" ht="14" x14ac:dyDescent="0.15">
      <c r="B595">
        <f t="shared" si="109"/>
        <v>2004</v>
      </c>
      <c r="C595" s="27">
        <f>Stdev!D44</f>
        <v>3520.4</v>
      </c>
      <c r="D595" s="27">
        <f>Stdev!E44</f>
        <v>109.57</v>
      </c>
      <c r="E595" s="27">
        <f t="shared" si="107"/>
        <v>3307.9910741740182</v>
      </c>
      <c r="F595" s="27">
        <f t="shared" si="108"/>
        <v>3746.44788396066</v>
      </c>
      <c r="G595" s="190">
        <v>2560</v>
      </c>
      <c r="H595" s="168">
        <v>1492</v>
      </c>
      <c r="L595">
        <v>2004</v>
      </c>
      <c r="M595">
        <v>3194.6</v>
      </c>
    </row>
    <row r="596" spans="2:13" ht="14" x14ac:dyDescent="0.15">
      <c r="B596">
        <f t="shared" si="109"/>
        <v>2005</v>
      </c>
      <c r="C596" s="27">
        <f>Stdev!D45</f>
        <v>3223</v>
      </c>
      <c r="D596" s="27">
        <f>Stdev!E45</f>
        <v>104.64</v>
      </c>
      <c r="E596" s="27">
        <f t="shared" si="107"/>
        <v>3020.4215640133025</v>
      </c>
      <c r="F596" s="27">
        <f t="shared" si="108"/>
        <v>3439.1652886352686</v>
      </c>
      <c r="G596" s="190">
        <v>1960</v>
      </c>
      <c r="H596" s="168">
        <v>1478.5</v>
      </c>
      <c r="L596">
        <v>2005</v>
      </c>
      <c r="M596">
        <v>2873.8</v>
      </c>
    </row>
    <row r="597" spans="2:13" ht="14" x14ac:dyDescent="0.15">
      <c r="B597">
        <f t="shared" si="109"/>
        <v>2006</v>
      </c>
      <c r="C597" s="27">
        <f>Stdev!D46</f>
        <v>2651</v>
      </c>
      <c r="D597" s="27">
        <f>Stdev!E46</f>
        <v>95.847999999999999</v>
      </c>
      <c r="E597" s="27">
        <f t="shared" si="107"/>
        <v>2466.1290027252599</v>
      </c>
      <c r="F597" s="27">
        <f t="shared" si="108"/>
        <v>2849.7296744143337</v>
      </c>
      <c r="G597" s="190">
        <v>1930</v>
      </c>
      <c r="H597" s="168">
        <v>1485</v>
      </c>
      <c r="L597">
        <v>2006</v>
      </c>
      <c r="M597">
        <v>2297.3000000000002</v>
      </c>
    </row>
    <row r="598" spans="2:13" ht="14" x14ac:dyDescent="0.15">
      <c r="B598">
        <f t="shared" si="109"/>
        <v>2007</v>
      </c>
      <c r="C598" s="27">
        <f>Stdev!D47</f>
        <v>2215.1999999999998</v>
      </c>
      <c r="D598" s="27">
        <f>Stdev!E47</f>
        <v>94.554000000000002</v>
      </c>
      <c r="E598" s="27">
        <f t="shared" si="107"/>
        <v>2034.0180556688695</v>
      </c>
      <c r="F598" s="27">
        <f t="shared" si="108"/>
        <v>2412.5208851139414</v>
      </c>
      <c r="G598" s="190">
        <v>1394</v>
      </c>
      <c r="H598" s="190">
        <v>1394</v>
      </c>
      <c r="L598">
        <v>2007</v>
      </c>
      <c r="M598">
        <v>1831.8</v>
      </c>
    </row>
    <row r="599" spans="2:13" ht="14" x14ac:dyDescent="0.15">
      <c r="B599">
        <f t="shared" si="109"/>
        <v>2008</v>
      </c>
      <c r="C599" s="27">
        <f>Stdev!D48</f>
        <v>1629.7</v>
      </c>
      <c r="D599" s="27">
        <f>Stdev!E48</f>
        <v>81.932000000000002</v>
      </c>
      <c r="E599" s="27">
        <f t="shared" si="107"/>
        <v>1473.8983493799462</v>
      </c>
      <c r="F599" s="27">
        <f t="shared" si="108"/>
        <v>1801.9710050678318</v>
      </c>
      <c r="G599" s="190">
        <v>1000</v>
      </c>
      <c r="H599" s="190">
        <v>1000</v>
      </c>
      <c r="L599">
        <v>2008</v>
      </c>
      <c r="M599">
        <v>1253.7</v>
      </c>
    </row>
    <row r="600" spans="2:13" ht="14" x14ac:dyDescent="0.15">
      <c r="B600">
        <f t="shared" si="109"/>
        <v>2009</v>
      </c>
      <c r="C600" s="27">
        <f>Stdev!D49</f>
        <v>1775.3</v>
      </c>
      <c r="D600" s="27">
        <f>Stdev!E49</f>
        <v>95.245000000000005</v>
      </c>
      <c r="E600" s="27">
        <f t="shared" si="107"/>
        <v>1594.7968148972138</v>
      </c>
      <c r="F600" s="27">
        <f t="shared" si="108"/>
        <v>1976.2329975578295</v>
      </c>
      <c r="G600" s="190">
        <v>815</v>
      </c>
      <c r="H600" s="190">
        <v>815</v>
      </c>
      <c r="L600">
        <v>2009</v>
      </c>
      <c r="M600">
        <v>1161.2</v>
      </c>
    </row>
    <row r="601" spans="2:13" ht="15" thickBot="1" x14ac:dyDescent="0.2">
      <c r="B601">
        <f t="shared" si="109"/>
        <v>2010</v>
      </c>
      <c r="C601" s="27">
        <f>Stdev!D50</f>
        <v>2017.6</v>
      </c>
      <c r="D601" s="27">
        <f>Stdev!E50</f>
        <v>113.53</v>
      </c>
      <c r="E601" s="27">
        <f t="shared" si="107"/>
        <v>1803.0108574493304</v>
      </c>
      <c r="F601" s="27">
        <f t="shared" si="108"/>
        <v>2257.7289222532581</v>
      </c>
      <c r="G601" s="192">
        <v>813</v>
      </c>
      <c r="H601" s="192">
        <v>813</v>
      </c>
      <c r="L601">
        <v>2010</v>
      </c>
      <c r="M601">
        <v>1315.8</v>
      </c>
    </row>
    <row r="602" spans="2:13" x14ac:dyDescent="0.15">
      <c r="B602">
        <f t="shared" si="109"/>
        <v>2011</v>
      </c>
      <c r="C602" s="27">
        <f>Stdev!D51</f>
        <v>2538.1</v>
      </c>
      <c r="D602" s="27">
        <f>Stdev!E51</f>
        <v>162.08000000000001</v>
      </c>
      <c r="E602" s="27">
        <f t="shared" ref="E602:E608" si="110">C602/EXP(2*SQRT(LN(1+D602^2/C602^2)))</f>
        <v>2234.0768608847739</v>
      </c>
      <c r="F602" s="27">
        <f t="shared" ref="F602:F608" si="111">C602*EXP(2*SQRT(LN(1+D602^2/C602^2)))</f>
        <v>2883.4959632717196</v>
      </c>
      <c r="L602">
        <v>2011</v>
      </c>
      <c r="M602">
        <v>1587.8</v>
      </c>
    </row>
    <row r="603" spans="2:13" x14ac:dyDescent="0.15">
      <c r="B603">
        <f t="shared" si="109"/>
        <v>2012</v>
      </c>
      <c r="C603" s="27">
        <f>Stdev!D52</f>
        <v>3053</v>
      </c>
      <c r="D603" s="27">
        <f>Stdev!E52</f>
        <v>235.34</v>
      </c>
      <c r="E603" s="27">
        <f t="shared" si="110"/>
        <v>2617.4049038188305</v>
      </c>
      <c r="F603" s="27">
        <f t="shared" si="111"/>
        <v>3561.0879258309665</v>
      </c>
      <c r="L603">
        <v>2012</v>
      </c>
      <c r="M603">
        <v>1987.2</v>
      </c>
    </row>
    <row r="604" spans="2:13" x14ac:dyDescent="0.15">
      <c r="B604">
        <f t="shared" si="109"/>
        <v>2013</v>
      </c>
      <c r="C604" s="27">
        <f>Stdev!D53</f>
        <v>3490.3</v>
      </c>
      <c r="D604" s="27">
        <f>Stdev!E53</f>
        <v>314.02</v>
      </c>
      <c r="E604" s="27">
        <f t="shared" si="110"/>
        <v>2916.5795566451447</v>
      </c>
      <c r="F604" s="27">
        <f t="shared" si="111"/>
        <v>4176.8770072614852</v>
      </c>
      <c r="L604">
        <v>2013</v>
      </c>
      <c r="M604">
        <v>2380</v>
      </c>
    </row>
    <row r="605" spans="2:13" x14ac:dyDescent="0.15">
      <c r="B605">
        <f t="shared" si="109"/>
        <v>2014</v>
      </c>
      <c r="C605" s="27">
        <f>Stdev!D54</f>
        <v>3467.5</v>
      </c>
      <c r="D605" s="27">
        <f>Stdev!E105</f>
        <v>447.16</v>
      </c>
      <c r="E605" s="27">
        <f t="shared" si="110"/>
        <v>2682.0506764170536</v>
      </c>
      <c r="F605" s="27">
        <f t="shared" si="111"/>
        <v>4482.9713158374198</v>
      </c>
      <c r="G605" s="27"/>
      <c r="L605">
        <v>2014</v>
      </c>
      <c r="M605">
        <v>2722.4</v>
      </c>
    </row>
    <row r="606" spans="2:13" x14ac:dyDescent="0.15">
      <c r="B606">
        <f t="shared" si="109"/>
        <v>2015</v>
      </c>
      <c r="C606" s="27">
        <f>Stdev!D55</f>
        <v>3483.4</v>
      </c>
      <c r="D606" s="27">
        <f>Stdev!E106</f>
        <v>509.88</v>
      </c>
      <c r="E606" s="27">
        <f t="shared" si="110"/>
        <v>2603.3797085370456</v>
      </c>
      <c r="F606" s="27">
        <f t="shared" si="111"/>
        <v>4660.8934994037709</v>
      </c>
      <c r="G606" s="27"/>
      <c r="L606">
        <v>2015</v>
      </c>
    </row>
    <row r="607" spans="2:13" x14ac:dyDescent="0.15">
      <c r="B607">
        <f t="shared" si="109"/>
        <v>2016</v>
      </c>
      <c r="C607" s="27">
        <f>Stdev!D105</f>
        <v>3557.5</v>
      </c>
      <c r="D607" s="27">
        <f>Stdev!E107</f>
        <v>563.03</v>
      </c>
      <c r="E607" s="27">
        <f t="shared" si="110"/>
        <v>2597.3259917540249</v>
      </c>
      <c r="F607" s="27">
        <f t="shared" si="111"/>
        <v>4872.6291155517556</v>
      </c>
      <c r="G607" s="27"/>
      <c r="L607">
        <v>2016</v>
      </c>
    </row>
    <row r="608" spans="2:13" x14ac:dyDescent="0.15">
      <c r="B608">
        <v>2017</v>
      </c>
      <c r="C608" s="27">
        <f>Stdev!D106</f>
        <v>3466.2</v>
      </c>
      <c r="D608" s="27">
        <f>Stdev!E108</f>
        <v>732.59</v>
      </c>
      <c r="E608" s="27">
        <f t="shared" si="110"/>
        <v>2281.7976208923033</v>
      </c>
      <c r="F608" s="27">
        <f t="shared" si="111"/>
        <v>5265.3847694440492</v>
      </c>
      <c r="G608" s="27"/>
      <c r="L608">
        <v>2017</v>
      </c>
    </row>
    <row r="609" spans="1:16" x14ac:dyDescent="0.15">
      <c r="B609">
        <v>2018</v>
      </c>
      <c r="C609" s="27">
        <f>Stdev!D107</f>
        <v>3333.1</v>
      </c>
      <c r="D609" s="27">
        <f>Stdev!E109</f>
        <v>903.04</v>
      </c>
      <c r="E609" s="27">
        <f>C609/EXP(2*SQRT(LN(1+D609^2/C609^2)))</f>
        <v>1957.3816423176431</v>
      </c>
      <c r="F609" s="27">
        <f>C609*EXP(2*SQRT(LN(1+D609^2/C609^2)))</f>
        <v>5675.7227971371494</v>
      </c>
      <c r="G609" s="27"/>
      <c r="L609">
        <v>2018</v>
      </c>
    </row>
    <row r="610" spans="1:16" x14ac:dyDescent="0.15">
      <c r="B610">
        <v>2019</v>
      </c>
      <c r="C610" s="27">
        <f>Stdev!D108</f>
        <v>3289.3</v>
      </c>
      <c r="D610" s="27"/>
      <c r="E610" s="27"/>
      <c r="F610" s="27"/>
      <c r="G610" s="27"/>
    </row>
    <row r="611" spans="1:16" x14ac:dyDescent="0.15">
      <c r="B611">
        <v>2020</v>
      </c>
      <c r="C611" s="27">
        <f>Stdev!D109</f>
        <v>3303</v>
      </c>
      <c r="D611" s="27"/>
      <c r="E611" s="27"/>
      <c r="F611" s="27"/>
      <c r="G611" s="27"/>
    </row>
    <row r="612" spans="1:16" x14ac:dyDescent="0.15">
      <c r="C612" s="27"/>
      <c r="D612" s="27"/>
      <c r="E612" s="27"/>
      <c r="F612" s="27"/>
      <c r="G612" s="27"/>
    </row>
    <row r="613" spans="1:16" x14ac:dyDescent="0.15">
      <c r="C613" s="27"/>
      <c r="D613" s="27"/>
      <c r="E613" s="27"/>
      <c r="F613" s="27"/>
      <c r="G613" s="27"/>
    </row>
    <row r="614" spans="1:16" x14ac:dyDescent="0.15">
      <c r="C614" s="27"/>
      <c r="D614">
        <f>STDEV(C571:C604)/AVERAGE(C568:C601)</f>
        <v>0.26632360151308843</v>
      </c>
      <c r="G614" s="27"/>
    </row>
    <row r="615" spans="1:16" x14ac:dyDescent="0.15">
      <c r="B615">
        <f t="shared" ref="B615:B620" si="112">B599</f>
        <v>2008</v>
      </c>
      <c r="C615" s="27" t="e">
        <f>pm.rep!#REF!</f>
        <v>#REF!</v>
      </c>
      <c r="D615" s="27" t="e">
        <f>pm.rep!#REF!</f>
        <v>#REF!</v>
      </c>
      <c r="E615" s="27" t="e">
        <f>pm.rep!#REF!</f>
        <v>#REF!</v>
      </c>
      <c r="F615" s="27" t="e">
        <f>pm.rep!#REF!</f>
        <v>#REF!</v>
      </c>
    </row>
    <row r="616" spans="1:16" x14ac:dyDescent="0.15">
      <c r="B616">
        <f t="shared" si="112"/>
        <v>2009</v>
      </c>
      <c r="C616" s="27" t="e">
        <f>pm.rep!#REF!</f>
        <v>#REF!</v>
      </c>
      <c r="D616" s="27" t="e">
        <f>pm.rep!#REF!</f>
        <v>#REF!</v>
      </c>
      <c r="E616" s="27" t="e">
        <f>pm.rep!#REF!</f>
        <v>#REF!</v>
      </c>
      <c r="F616" s="27" t="e">
        <f>pm.rep!#REF!</f>
        <v>#REF!</v>
      </c>
    </row>
    <row r="617" spans="1:16" x14ac:dyDescent="0.15">
      <c r="B617">
        <f t="shared" si="112"/>
        <v>2010</v>
      </c>
      <c r="C617" s="27" t="e">
        <f>pm.rep!#REF!</f>
        <v>#REF!</v>
      </c>
      <c r="D617" s="27" t="e">
        <f>pm.rep!#REF!</f>
        <v>#REF!</v>
      </c>
      <c r="E617" s="27" t="e">
        <f>pm.rep!#REF!</f>
        <v>#REF!</v>
      </c>
      <c r="F617" s="27" t="e">
        <f>pm.rep!#REF!</f>
        <v>#REF!</v>
      </c>
    </row>
    <row r="618" spans="1:16" x14ac:dyDescent="0.15">
      <c r="B618">
        <f t="shared" si="112"/>
        <v>2011</v>
      </c>
      <c r="C618" s="27" t="e">
        <f>pm.rep!#REF!</f>
        <v>#REF!</v>
      </c>
      <c r="D618" s="27" t="e">
        <f>pm.rep!#REF!</f>
        <v>#REF!</v>
      </c>
      <c r="E618" s="27" t="e">
        <f>pm.rep!#REF!</f>
        <v>#REF!</v>
      </c>
      <c r="F618" s="27" t="e">
        <f>pm.rep!#REF!</f>
        <v>#REF!</v>
      </c>
    </row>
    <row r="619" spans="1:16" x14ac:dyDescent="0.15">
      <c r="B619">
        <f t="shared" si="112"/>
        <v>2012</v>
      </c>
      <c r="C619" s="27" t="e">
        <f>pm.rep!#REF!</f>
        <v>#REF!</v>
      </c>
      <c r="D619" s="27" t="e">
        <f>pm.rep!#REF!</f>
        <v>#REF!</v>
      </c>
      <c r="E619" s="27" t="e">
        <f>pm.rep!#REF!</f>
        <v>#REF!</v>
      </c>
      <c r="F619" s="27" t="e">
        <f>pm.rep!#REF!</f>
        <v>#REF!</v>
      </c>
    </row>
    <row r="620" spans="1:16" x14ac:dyDescent="0.15">
      <c r="B620">
        <f t="shared" si="112"/>
        <v>2013</v>
      </c>
      <c r="C620" s="27" t="e">
        <f>pm.rep!#REF!</f>
        <v>#REF!</v>
      </c>
      <c r="D620" s="27" t="e">
        <f>pm.rep!#REF!</f>
        <v>#REF!</v>
      </c>
      <c r="E620" s="27" t="e">
        <f>pm.rep!#REF!</f>
        <v>#REF!</v>
      </c>
      <c r="F620" s="27" t="e">
        <f>pm.rep!#REF!</f>
        <v>#REF!</v>
      </c>
    </row>
    <row r="623" spans="1:16" x14ac:dyDescent="0.15">
      <c r="B623">
        <v>1</v>
      </c>
      <c r="C623">
        <v>2</v>
      </c>
      <c r="D623">
        <v>3</v>
      </c>
      <c r="E623">
        <v>4</v>
      </c>
      <c r="F623">
        <v>5</v>
      </c>
      <c r="G623">
        <v>6</v>
      </c>
      <c r="H623">
        <v>7</v>
      </c>
      <c r="I623">
        <v>8</v>
      </c>
      <c r="J623">
        <v>9</v>
      </c>
      <c r="K623">
        <v>10</v>
      </c>
      <c r="L623">
        <v>11</v>
      </c>
      <c r="M623">
        <v>12</v>
      </c>
      <c r="N623">
        <v>13</v>
      </c>
      <c r="O623">
        <v>14</v>
      </c>
      <c r="P623">
        <v>15</v>
      </c>
    </row>
    <row r="624" spans="1:16" x14ac:dyDescent="0.15">
      <c r="A624">
        <v>2009</v>
      </c>
      <c r="B624" s="27">
        <v>25417.9</v>
      </c>
      <c r="C624" s="27">
        <v>11541</v>
      </c>
      <c r="D624" s="27">
        <v>10875.8</v>
      </c>
      <c r="E624" s="27">
        <v>2070.58</v>
      </c>
      <c r="F624" s="27">
        <v>457.81599999999997</v>
      </c>
      <c r="G624" s="27">
        <v>213.863</v>
      </c>
      <c r="H624" s="27">
        <v>307.92599999999999</v>
      </c>
      <c r="I624" s="27">
        <v>272.86900000000003</v>
      </c>
      <c r="J624" s="27">
        <v>282.19499999999999</v>
      </c>
      <c r="K624" s="27">
        <v>103.80800000000001</v>
      </c>
      <c r="L624" s="27">
        <v>43.072000000000003</v>
      </c>
      <c r="M624" s="27">
        <v>23.668199999999999</v>
      </c>
      <c r="N624" s="27">
        <v>32.265700000000002</v>
      </c>
      <c r="O624" s="27">
        <v>16.771799999999999</v>
      </c>
      <c r="P624" s="27">
        <v>31.1219</v>
      </c>
    </row>
    <row r="625" spans="1:26" x14ac:dyDescent="0.15">
      <c r="A625" t="s">
        <v>653</v>
      </c>
      <c r="B625" s="31">
        <v>6.6E-3</v>
      </c>
      <c r="C625" s="31">
        <v>0.17</v>
      </c>
      <c r="D625" s="31">
        <v>0.35327199999999997</v>
      </c>
      <c r="E625" s="31">
        <v>0.51214000000000004</v>
      </c>
      <c r="F625" s="31">
        <v>0.62741800000000003</v>
      </c>
      <c r="G625" s="31">
        <v>0.75448599999999999</v>
      </c>
      <c r="H625" s="31">
        <v>0.87458100000000005</v>
      </c>
      <c r="I625" s="31">
        <v>0.94472999999999996</v>
      </c>
      <c r="J625" s="31">
        <v>1.0483100000000001</v>
      </c>
      <c r="K625" s="31">
        <v>1.14672</v>
      </c>
      <c r="L625" s="31">
        <v>1.2195499999999999</v>
      </c>
      <c r="M625" s="31">
        <v>1.2719499999999999</v>
      </c>
      <c r="N625" s="31">
        <v>1.3344800000000001</v>
      </c>
      <c r="O625" s="31">
        <v>1.2822800000000001</v>
      </c>
      <c r="P625" s="31">
        <v>1.3786700000000001</v>
      </c>
    </row>
    <row r="626" spans="1:26" x14ac:dyDescent="0.15">
      <c r="A626" t="s">
        <v>346</v>
      </c>
      <c r="B626" s="27">
        <f>pm.rep!B857</f>
        <v>26543.8</v>
      </c>
      <c r="C626" s="27">
        <f>pm.rep!C857</f>
        <v>7704.57</v>
      </c>
      <c r="D626" s="27">
        <f>pm.rep!D857</f>
        <v>4705.41</v>
      </c>
      <c r="E626" s="27">
        <f>pm.rep!E857</f>
        <v>5901</v>
      </c>
      <c r="F626" s="27">
        <f>pm.rep!F857</f>
        <v>7948.58</v>
      </c>
      <c r="G626" s="27">
        <f>pm.rep!G857</f>
        <v>918.82899999999995</v>
      </c>
      <c r="H626" s="27">
        <f>pm.rep!H857</f>
        <v>640.16700000000003</v>
      </c>
      <c r="I626" s="27">
        <f>pm.rep!I857</f>
        <v>590.76099999999997</v>
      </c>
      <c r="J626" s="27">
        <f>pm.rep!J857</f>
        <v>913.03800000000001</v>
      </c>
      <c r="K626" s="27">
        <f>pm.rep!K857</f>
        <v>143.898</v>
      </c>
      <c r="L626" s="27">
        <f>pm.rep!L857</f>
        <v>82.614099999999993</v>
      </c>
      <c r="M626" s="27">
        <f>pm.rep!M857</f>
        <v>19.774100000000001</v>
      </c>
      <c r="N626" s="27">
        <f>pm.rep!N857</f>
        <v>4.5867000000000004</v>
      </c>
      <c r="O626" s="27">
        <f>pm.rep!O857</f>
        <v>3.1293299999999999</v>
      </c>
      <c r="P626" s="27">
        <f>pm.rep!P857</f>
        <v>10.3065</v>
      </c>
    </row>
    <row r="627" spans="1:26" x14ac:dyDescent="0.15">
      <c r="A627" t="s">
        <v>654</v>
      </c>
      <c r="B627">
        <f>Stdev!B780</f>
        <v>4371.1899999999996</v>
      </c>
      <c r="C627">
        <f>Stdev!C780</f>
        <v>11248.7</v>
      </c>
      <c r="D627">
        <f>Stdev!D780</f>
        <v>0</v>
      </c>
      <c r="E627">
        <f>Stdev!E780</f>
        <v>0</v>
      </c>
      <c r="F627">
        <f>Stdev!F780</f>
        <v>0</v>
      </c>
      <c r="G627">
        <f>Stdev!G780</f>
        <v>0</v>
      </c>
      <c r="H627">
        <f>Stdev!H780</f>
        <v>0</v>
      </c>
      <c r="I627">
        <f>Stdev!I780</f>
        <v>0</v>
      </c>
      <c r="J627">
        <f>Stdev!J773</f>
        <v>772</v>
      </c>
      <c r="K627" t="str">
        <f>Stdev!K773</f>
        <v>endyr_N</v>
      </c>
      <c r="L627">
        <f>Stdev!L773</f>
        <v>13.000999999999999</v>
      </c>
      <c r="M627">
        <f>Stdev!M773</f>
        <v>5.1711999999999998</v>
      </c>
      <c r="N627">
        <f>Stdev!N773</f>
        <v>0</v>
      </c>
      <c r="O627">
        <f>Stdev!O773</f>
        <v>0</v>
      </c>
      <c r="P627">
        <f>Stdev!P773</f>
        <v>0</v>
      </c>
    </row>
    <row r="629" spans="1:26" x14ac:dyDescent="0.15">
      <c r="A629" s="4" t="s">
        <v>575</v>
      </c>
      <c r="C629" t="s">
        <v>655</v>
      </c>
      <c r="D629">
        <f>C631/D631</f>
        <v>0.81060414891135113</v>
      </c>
    </row>
    <row r="630" spans="1:26" x14ac:dyDescent="0.15">
      <c r="A630" s="103" t="s">
        <v>477</v>
      </c>
      <c r="B630" s="103" t="s">
        <v>494</v>
      </c>
      <c r="C630" s="103" t="s">
        <v>478</v>
      </c>
      <c r="D630" s="103" t="s">
        <v>479</v>
      </c>
      <c r="E630" s="103" t="s">
        <v>498</v>
      </c>
      <c r="F630" s="103" t="s">
        <v>480</v>
      </c>
      <c r="G630" s="103" t="s">
        <v>481</v>
      </c>
      <c r="H630" s="103" t="s">
        <v>482</v>
      </c>
      <c r="I630" s="103" t="s">
        <v>483</v>
      </c>
      <c r="J630" s="103" t="s">
        <v>484</v>
      </c>
      <c r="K630" s="103" t="s">
        <v>485</v>
      </c>
      <c r="L630" s="103" t="s">
        <v>495</v>
      </c>
      <c r="M630" s="103" t="s">
        <v>496</v>
      </c>
      <c r="N630" s="103" t="s">
        <v>500</v>
      </c>
      <c r="O630" s="103" t="s">
        <v>501</v>
      </c>
      <c r="P630" s="103" t="s">
        <v>7</v>
      </c>
      <c r="Q630" s="103" t="s">
        <v>8</v>
      </c>
      <c r="R630" s="103" t="s">
        <v>486</v>
      </c>
      <c r="S630" s="103" t="s">
        <v>487</v>
      </c>
      <c r="T630" s="103" t="s">
        <v>488</v>
      </c>
      <c r="U630" s="103" t="s">
        <v>489</v>
      </c>
      <c r="V630" s="103" t="s">
        <v>490</v>
      </c>
      <c r="W630" s="103" t="s">
        <v>491</v>
      </c>
      <c r="X630" s="103" t="s">
        <v>492</v>
      </c>
      <c r="Y630" s="31" t="s">
        <v>493</v>
      </c>
      <c r="Z630" s="31" t="s">
        <v>514</v>
      </c>
    </row>
    <row r="631" spans="1:26" x14ac:dyDescent="0.15">
      <c r="A631" s="27">
        <v>4766.5200000000004</v>
      </c>
      <c r="B631" s="27">
        <v>3729.86</v>
      </c>
      <c r="C631" s="137">
        <v>0.34050399999999997</v>
      </c>
      <c r="D631" s="31">
        <v>0.42006199999999999</v>
      </c>
      <c r="E631" s="31">
        <v>1450.16</v>
      </c>
      <c r="F631" s="31">
        <v>586.44600000000003</v>
      </c>
      <c r="G631" s="31">
        <v>714.78200000000004</v>
      </c>
      <c r="H631" s="31">
        <v>1460.22</v>
      </c>
      <c r="I631" s="31">
        <v>1441.87</v>
      </c>
      <c r="J631" s="31">
        <v>1169.55</v>
      </c>
      <c r="K631" s="31">
        <v>1442.82</v>
      </c>
      <c r="L631" s="31">
        <v>976.28499999999997</v>
      </c>
      <c r="M631" s="31">
        <v>1204.3900000000001</v>
      </c>
      <c r="N631" s="31">
        <v>0.72060400000000002</v>
      </c>
      <c r="O631" s="31">
        <v>0.76870899999999998</v>
      </c>
      <c r="P631" s="31">
        <v>0.32038800000000001</v>
      </c>
      <c r="Q631" s="31">
        <v>0.25970799999999999</v>
      </c>
      <c r="R631" s="31">
        <v>50836.3</v>
      </c>
      <c r="S631" s="31">
        <v>2031.05</v>
      </c>
      <c r="T631" s="31">
        <v>51771.8</v>
      </c>
      <c r="U631" s="31">
        <v>2583.65</v>
      </c>
      <c r="V631" s="31">
        <v>32159.8</v>
      </c>
      <c r="W631" s="31">
        <v>1562.01</v>
      </c>
      <c r="X631" s="31">
        <v>41060.5</v>
      </c>
      <c r="Y631" s="31">
        <v>3297.48</v>
      </c>
      <c r="Z631" s="31">
        <v>1125</v>
      </c>
    </row>
    <row r="632" spans="1:26" x14ac:dyDescent="0.15">
      <c r="A632" s="4" t="s">
        <v>651</v>
      </c>
      <c r="D632" t="e">
        <f>C637/D634</f>
        <v>#DIV/0!</v>
      </c>
    </row>
    <row r="633" spans="1:26" x14ac:dyDescent="0.15">
      <c r="A633" t="str">
        <f>Stdev!A787</f>
        <v>N_Endyr</v>
      </c>
      <c r="B633">
        <f>Stdev!B788</f>
        <v>18522.7</v>
      </c>
      <c r="C633">
        <f>Stdev!C788</f>
        <v>6273.66</v>
      </c>
      <c r="D633">
        <f>Stdev!D788</f>
        <v>4530.6899999999996</v>
      </c>
      <c r="E633">
        <f>Stdev!E788</f>
        <v>3568.83</v>
      </c>
      <c r="F633">
        <f>Stdev!F788</f>
        <v>6678.47</v>
      </c>
      <c r="G633">
        <f>Stdev!G788</f>
        <v>760.13800000000003</v>
      </c>
      <c r="H633">
        <f>Stdev!H788</f>
        <v>1567.59</v>
      </c>
      <c r="I633">
        <f>Stdev!I788</f>
        <v>0</v>
      </c>
      <c r="J633">
        <f>Stdev!J779</f>
        <v>778</v>
      </c>
      <c r="K633" t="str">
        <f>Stdev!K779</f>
        <v>Percent_Bzero_1</v>
      </c>
      <c r="L633">
        <f>Stdev!L779</f>
        <v>0.56530999999999998</v>
      </c>
      <c r="M633">
        <f>Stdev!M779</f>
        <v>0.10344</v>
      </c>
      <c r="N633">
        <f>Stdev!N779</f>
        <v>381.9</v>
      </c>
      <c r="O633">
        <f>Stdev!O779</f>
        <v>207.84700000000001</v>
      </c>
      <c r="P633">
        <f>Stdev!P779</f>
        <v>448.51</v>
      </c>
      <c r="Q633">
        <f>Stdev!Q779</f>
        <v>0</v>
      </c>
      <c r="R633">
        <f>Stdev!R779</f>
        <v>0</v>
      </c>
      <c r="S633">
        <f>Stdev!S779</f>
        <v>0</v>
      </c>
      <c r="T633">
        <f>Stdev!T779</f>
        <v>0</v>
      </c>
      <c r="U633">
        <f>Stdev!U779</f>
        <v>0</v>
      </c>
      <c r="V633">
        <f>Stdev!V779</f>
        <v>0</v>
      </c>
      <c r="W633">
        <f>Stdev!W779</f>
        <v>0</v>
      </c>
      <c r="X633">
        <f>Stdev!X779</f>
        <v>0</v>
      </c>
      <c r="Y633">
        <f>Stdev!Y779</f>
        <v>0</v>
      </c>
      <c r="Z633">
        <f>Stdev!Z779</f>
        <v>0</v>
      </c>
    </row>
    <row r="634" spans="1:26" x14ac:dyDescent="0.15">
      <c r="A634" s="27">
        <f>Stdev!A788</f>
        <v>0</v>
      </c>
      <c r="B634" s="27">
        <f>Stdev!B789</f>
        <v>0</v>
      </c>
      <c r="D634">
        <f>Stdev!D789</f>
        <v>0</v>
      </c>
      <c r="E634" s="27">
        <f>Stdev!E789</f>
        <v>0</v>
      </c>
      <c r="F634" s="27">
        <f>Stdev!F789</f>
        <v>0</v>
      </c>
      <c r="G634" s="27">
        <f>Stdev!G789</f>
        <v>0</v>
      </c>
      <c r="H634" s="27">
        <f>Stdev!H789</f>
        <v>0</v>
      </c>
      <c r="I634" s="27">
        <f>Stdev!I789</f>
        <v>0</v>
      </c>
      <c r="J634" s="27">
        <f>Stdev!J780</f>
        <v>779</v>
      </c>
      <c r="K634" s="27" t="str">
        <f>Stdev!K780</f>
        <v>Percent_Bzero_2</v>
      </c>
      <c r="L634" s="27">
        <f>Stdev!L780</f>
        <v>0.56276999999999999</v>
      </c>
      <c r="M634" s="27">
        <f>Stdev!M780</f>
        <v>0.10313</v>
      </c>
      <c r="N634">
        <f>Stdev!N780</f>
        <v>0</v>
      </c>
      <c r="O634">
        <f>Stdev!O780</f>
        <v>0</v>
      </c>
      <c r="P634">
        <f>Stdev!P780</f>
        <v>0</v>
      </c>
      <c r="Q634">
        <f>Stdev!Q780</f>
        <v>0</v>
      </c>
      <c r="R634" s="27">
        <f>Stdev!R780</f>
        <v>0</v>
      </c>
      <c r="S634" s="27">
        <f>Stdev!S780</f>
        <v>0</v>
      </c>
      <c r="T634" s="27">
        <f>Stdev!T780</f>
        <v>0</v>
      </c>
      <c r="U634" s="27">
        <f>Stdev!U780</f>
        <v>0</v>
      </c>
      <c r="V634" s="27">
        <f>Stdev!V780</f>
        <v>0</v>
      </c>
      <c r="W634" s="27">
        <f>Stdev!W780</f>
        <v>0</v>
      </c>
      <c r="X634" s="27">
        <f>Stdev!X780</f>
        <v>0</v>
      </c>
      <c r="Y634" s="27">
        <f>Stdev!Y780</f>
        <v>0</v>
      </c>
      <c r="Z634" s="27" t="str">
        <f>Stdev!A789</f>
        <v>wt_Fut_fsh</v>
      </c>
    </row>
    <row r="635" spans="1:26" x14ac:dyDescent="0.15">
      <c r="B635" s="27"/>
      <c r="D635" s="23">
        <f>(D634-D631)/D631</f>
        <v>-1</v>
      </c>
      <c r="E635" s="27"/>
      <c r="F635" s="27"/>
      <c r="G635" s="27"/>
      <c r="H635" s="27"/>
      <c r="I635" s="27"/>
      <c r="J635" s="27"/>
      <c r="K635" s="27"/>
      <c r="L635" s="27"/>
      <c r="M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x14ac:dyDescent="0.15">
      <c r="A636" s="141">
        <v>2009</v>
      </c>
      <c r="B636" s="141">
        <v>2007</v>
      </c>
      <c r="C636" s="141">
        <v>2008</v>
      </c>
      <c r="D636" s="23"/>
      <c r="E636" s="27"/>
      <c r="F636" s="27"/>
      <c r="G636" s="27"/>
      <c r="H636" s="27"/>
      <c r="I636" s="27"/>
      <c r="J636" s="27"/>
      <c r="K636" s="27"/>
      <c r="L636" s="27"/>
      <c r="M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x14ac:dyDescent="0.15">
      <c r="A637" s="140" t="s">
        <v>0</v>
      </c>
      <c r="B637" s="137">
        <f>$C$631</f>
        <v>0.34050399999999997</v>
      </c>
      <c r="C637" s="138">
        <f>Stdev!C789</f>
        <v>0</v>
      </c>
      <c r="D637" s="140">
        <f>(C637-C631)/C631</f>
        <v>-1</v>
      </c>
      <c r="E637" s="27"/>
      <c r="F637" s="27"/>
      <c r="G637" s="27"/>
      <c r="H637" s="27"/>
      <c r="I637" s="27"/>
      <c r="J637" s="27"/>
      <c r="K637" s="27"/>
      <c r="L637" s="27"/>
      <c r="M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x14ac:dyDescent="0.15">
      <c r="A638" s="140" t="s">
        <v>477</v>
      </c>
      <c r="B638" s="142">
        <f>B631</f>
        <v>3729.86</v>
      </c>
      <c r="C638" s="142">
        <f>A634</f>
        <v>0</v>
      </c>
      <c r="D638" s="140">
        <f>(A634-B631)/B631</f>
        <v>-1</v>
      </c>
      <c r="E638" s="27"/>
      <c r="F638" s="27"/>
      <c r="G638" s="27"/>
      <c r="H638" s="27"/>
      <c r="I638" s="27"/>
      <c r="J638" s="27"/>
      <c r="K638" s="27"/>
      <c r="L638" s="27"/>
      <c r="M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x14ac:dyDescent="0.15">
      <c r="A639" s="140" t="s">
        <v>1</v>
      </c>
      <c r="B639" s="23">
        <f>O631</f>
        <v>0.76870899999999998</v>
      </c>
      <c r="C639" s="140" t="e">
        <f>J543</f>
        <v>#VALUE!</v>
      </c>
      <c r="D639" s="140" t="e">
        <f>(C639-B639)/B639</f>
        <v>#VALUE!</v>
      </c>
      <c r="E639" s="27"/>
      <c r="F639" s="27"/>
      <c r="G639" s="27"/>
      <c r="H639" s="27"/>
      <c r="I639" s="27"/>
      <c r="J639" s="27"/>
      <c r="K639" s="27"/>
      <c r="L639" s="27"/>
      <c r="M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x14ac:dyDescent="0.15">
      <c r="A640" s="140"/>
      <c r="B640" s="27">
        <f>L631</f>
        <v>976.28499999999997</v>
      </c>
      <c r="C640" s="142">
        <f>J634</f>
        <v>779</v>
      </c>
      <c r="D640" s="140">
        <f>(C640-B640)/B640</f>
        <v>-0.20207726227484799</v>
      </c>
      <c r="E640" s="27"/>
      <c r="F640" s="27"/>
      <c r="G640" s="27"/>
      <c r="H640" s="27"/>
      <c r="I640" s="27"/>
      <c r="J640" s="27"/>
      <c r="K640" s="27"/>
      <c r="L640" s="27"/>
      <c r="M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x14ac:dyDescent="0.15">
      <c r="A641" s="140"/>
      <c r="B641" s="27"/>
      <c r="C641" s="140"/>
      <c r="D641" s="23"/>
      <c r="E641" s="27"/>
      <c r="F641" s="27"/>
      <c r="G641" s="27"/>
      <c r="H641" s="27"/>
      <c r="I641" s="27"/>
      <c r="J641" s="27"/>
      <c r="K641" s="27"/>
      <c r="L641" s="27"/>
      <c r="M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x14ac:dyDescent="0.15">
      <c r="B642" s="4" t="s">
        <v>652</v>
      </c>
    </row>
    <row r="643" spans="1:26" x14ac:dyDescent="0.15">
      <c r="C643" s="4" t="s">
        <v>575</v>
      </c>
    </row>
    <row r="644" spans="1:26" x14ac:dyDescent="0.15">
      <c r="B644">
        <v>424.18400000000003</v>
      </c>
      <c r="C644">
        <v>11902</v>
      </c>
    </row>
    <row r="645" spans="1:26" x14ac:dyDescent="0.15">
      <c r="B645">
        <v>706.97400000000005</v>
      </c>
      <c r="C645">
        <v>17566</v>
      </c>
    </row>
    <row r="646" spans="1:26" x14ac:dyDescent="0.15">
      <c r="B646">
        <v>989.76300000000003</v>
      </c>
      <c r="C646">
        <v>21779</v>
      </c>
    </row>
    <row r="647" spans="1:26" x14ac:dyDescent="0.15">
      <c r="B647">
        <v>1272.55</v>
      </c>
      <c r="C647">
        <v>24797</v>
      </c>
    </row>
    <row r="648" spans="1:26" x14ac:dyDescent="0.15">
      <c r="B648">
        <v>1555.34</v>
      </c>
      <c r="C648">
        <v>26839</v>
      </c>
    </row>
    <row r="649" spans="1:26" x14ac:dyDescent="0.15">
      <c r="B649">
        <v>1838.13</v>
      </c>
      <c r="C649">
        <v>28089</v>
      </c>
    </row>
    <row r="650" spans="1:26" x14ac:dyDescent="0.15">
      <c r="B650">
        <v>2120.92</v>
      </c>
      <c r="C650">
        <v>28701</v>
      </c>
    </row>
    <row r="651" spans="1:26" x14ac:dyDescent="0.15">
      <c r="B651">
        <v>2403.71</v>
      </c>
      <c r="C651">
        <v>28805</v>
      </c>
    </row>
    <row r="652" spans="1:26" x14ac:dyDescent="0.15">
      <c r="B652">
        <v>2686.5</v>
      </c>
      <c r="C652">
        <v>28510</v>
      </c>
    </row>
    <row r="653" spans="1:26" x14ac:dyDescent="0.15">
      <c r="B653">
        <v>2969.29</v>
      </c>
      <c r="C653">
        <v>27905</v>
      </c>
    </row>
    <row r="654" spans="1:26" x14ac:dyDescent="0.15">
      <c r="B654">
        <v>3252.08</v>
      </c>
      <c r="C654">
        <v>27065</v>
      </c>
    </row>
    <row r="655" spans="1:26" x14ac:dyDescent="0.15">
      <c r="B655">
        <v>3534.87</v>
      </c>
      <c r="C655">
        <v>26052</v>
      </c>
    </row>
    <row r="656" spans="1:26" x14ac:dyDescent="0.15">
      <c r="B656">
        <v>3817.66</v>
      </c>
      <c r="C656">
        <v>24916</v>
      </c>
    </row>
    <row r="657" spans="1:16" x14ac:dyDescent="0.15">
      <c r="B657">
        <v>4100.45</v>
      </c>
      <c r="C657">
        <v>23699</v>
      </c>
    </row>
    <row r="658" spans="1:16" x14ac:dyDescent="0.15">
      <c r="B658">
        <v>4383.24</v>
      </c>
      <c r="C658">
        <v>22434</v>
      </c>
    </row>
    <row r="659" spans="1:16" x14ac:dyDescent="0.15">
      <c r="B659">
        <v>4666.03</v>
      </c>
      <c r="C659">
        <v>21149</v>
      </c>
    </row>
    <row r="660" spans="1:16" x14ac:dyDescent="0.15">
      <c r="B660">
        <v>4948.82</v>
      </c>
      <c r="C660">
        <v>19863</v>
      </c>
    </row>
    <row r="661" spans="1:16" x14ac:dyDescent="0.15">
      <c r="B661">
        <v>5231.6099999999997</v>
      </c>
      <c r="C661">
        <v>18595</v>
      </c>
    </row>
    <row r="662" spans="1:16" x14ac:dyDescent="0.15">
      <c r="B662">
        <v>5514.39</v>
      </c>
      <c r="C662">
        <v>17357</v>
      </c>
    </row>
    <row r="672" spans="1:16" x14ac:dyDescent="0.15">
      <c r="A672" t="s">
        <v>669</v>
      </c>
      <c r="B672">
        <v>1</v>
      </c>
      <c r="C672">
        <v>2</v>
      </c>
      <c r="D672">
        <v>3</v>
      </c>
      <c r="E672">
        <v>4</v>
      </c>
      <c r="F672">
        <v>5</v>
      </c>
      <c r="G672">
        <v>6</v>
      </c>
      <c r="H672">
        <v>7</v>
      </c>
      <c r="I672">
        <v>8</v>
      </c>
      <c r="J672">
        <v>9</v>
      </c>
      <c r="K672">
        <v>10</v>
      </c>
      <c r="L672">
        <v>11</v>
      </c>
      <c r="M672">
        <v>12</v>
      </c>
      <c r="N672">
        <v>13</v>
      </c>
      <c r="O672">
        <v>14</v>
      </c>
      <c r="P672">
        <v>15</v>
      </c>
    </row>
    <row r="673" spans="1:16" x14ac:dyDescent="0.15">
      <c r="B673">
        <f>AVERAGE(pm.rep!B63:B108)</f>
        <v>22585.515434782606</v>
      </c>
      <c r="C673">
        <f>AVERAGE(pm.rep!C63:C108)</f>
        <v>8738.9682608695657</v>
      </c>
      <c r="D673">
        <f>AVERAGE(pm.rep!D63:D108)</f>
        <v>5393.4806521739138</v>
      </c>
      <c r="E673">
        <f>AVERAGE(pm.rep!E63:E108)</f>
        <v>3538.4369347826091</v>
      </c>
      <c r="F673">
        <f>AVERAGE(pm.rep!F63:F108)</f>
        <v>2239.6550217391305</v>
      </c>
      <c r="G673">
        <f>AVERAGE(pm.rep!G63:G108)</f>
        <v>1363.9650217391304</v>
      </c>
      <c r="H673">
        <f>AVERAGE(pm.rep!H63:H108)</f>
        <v>780.46376956521726</v>
      </c>
      <c r="I673">
        <f>AVERAGE(pm.rep!I63:I108)</f>
        <v>432.57628695652164</v>
      </c>
      <c r="J673">
        <f>AVERAGE(pm.rep!J63:J108)</f>
        <v>236.55156086956521</v>
      </c>
      <c r="K673">
        <f>AVERAGE(pm.rep!K63:K108)</f>
        <v>130.20777173913044</v>
      </c>
      <c r="L673">
        <f>AVERAGE(pm.rep!L63:L108)</f>
        <v>72.467049347826091</v>
      </c>
      <c r="M673">
        <f>AVERAGE(pm.rep!M63:M108)</f>
        <v>41.201678043478267</v>
      </c>
      <c r="N673">
        <f>AVERAGE(pm.rep!N63:N108)</f>
        <v>23.573660434782617</v>
      </c>
      <c r="O673">
        <f>AVERAGE(pm.rep!O63:O108)</f>
        <v>13.657495173913043</v>
      </c>
      <c r="P673">
        <f>AVERAGE(pm.rep!P63:P108)</f>
        <v>18.653573695652177</v>
      </c>
    </row>
    <row r="674" spans="1:16" x14ac:dyDescent="0.15">
      <c r="C674">
        <v>2</v>
      </c>
      <c r="D674">
        <v>3</v>
      </c>
      <c r="E674">
        <v>4</v>
      </c>
      <c r="F674">
        <v>5</v>
      </c>
      <c r="G674">
        <v>6</v>
      </c>
      <c r="H674">
        <v>7</v>
      </c>
      <c r="I674">
        <v>8</v>
      </c>
      <c r="J674">
        <v>9</v>
      </c>
      <c r="K674">
        <v>10</v>
      </c>
      <c r="L674">
        <v>11</v>
      </c>
      <c r="M674">
        <v>12</v>
      </c>
      <c r="N674">
        <v>13</v>
      </c>
      <c r="O674">
        <v>14</v>
      </c>
      <c r="P674">
        <v>15</v>
      </c>
    </row>
    <row r="675" spans="1:16" x14ac:dyDescent="0.15">
      <c r="A675" t="s">
        <v>670</v>
      </c>
      <c r="B675">
        <f>AVERAGE(pm.rep!B460:B475)</f>
        <v>0</v>
      </c>
      <c r="C675">
        <f>AVERAGE(pm.rep!C460:C475)</f>
        <v>0.30875773124999994</v>
      </c>
      <c r="D675">
        <f>AVERAGE(pm.rep!D460:D475)</f>
        <v>0.22434740000000003</v>
      </c>
      <c r="E675">
        <f>AVERAGE(pm.rep!E460:E475)</f>
        <v>0.19167219937500002</v>
      </c>
      <c r="F675">
        <f>AVERAGE(pm.rep!F460:F475)</f>
        <v>0.11983690624999999</v>
      </c>
      <c r="G675">
        <f>AVERAGE(pm.rep!G460:G475)</f>
        <v>6.5485302500000009E-2</v>
      </c>
      <c r="H675">
        <f>AVERAGE(pm.rep!H460:H475)</f>
        <v>4.3699150749999999E-2</v>
      </c>
      <c r="I675">
        <f>AVERAGE(pm.rep!I460:I475)</f>
        <v>2.3144060437499996E-2</v>
      </c>
      <c r="J675">
        <f>AVERAGE(pm.rep!J460:J475)</f>
        <v>9.1559868125000009E-3</v>
      </c>
      <c r="K675">
        <f>AVERAGE(pm.rep!K460:K475)</f>
        <v>6.4584295625000005E-3</v>
      </c>
      <c r="L675">
        <f>AVERAGE(pm.rep!L460:L475)</f>
        <v>4.0785281874999996E-3</v>
      </c>
      <c r="M675">
        <f>AVERAGE(pm.rep!M460:M475)</f>
        <v>1.5488271250000002E-3</v>
      </c>
      <c r="N675">
        <f>AVERAGE(pm.rep!N460:N475)</f>
        <v>6.7563170000000002E-4</v>
      </c>
      <c r="O675">
        <f>AVERAGE(pm.rep!O460:O475)</f>
        <v>5.3472335625000006E-4</v>
      </c>
      <c r="P675">
        <f>AVERAGE(pm.rep!P460:P475)</f>
        <v>6.0512399999999996E-4</v>
      </c>
    </row>
    <row r="676" spans="1:16" x14ac:dyDescent="0.15">
      <c r="A676" t="s">
        <v>671</v>
      </c>
      <c r="C676">
        <f>C673/SUM($C$673:$P$673)</f>
        <v>0.37956140891258527</v>
      </c>
      <c r="D676">
        <f t="shared" ref="D676:P676" si="113">D673/SUM($C$673:$P$673)</f>
        <v>0.23425615635296962</v>
      </c>
      <c r="E676">
        <f t="shared" si="113"/>
        <v>0.1536856603917654</v>
      </c>
      <c r="F676">
        <f t="shared" si="113"/>
        <v>9.7275397982148501E-2</v>
      </c>
      <c r="G676">
        <f t="shared" si="113"/>
        <v>5.9241373798887685E-2</v>
      </c>
      <c r="H676">
        <f t="shared" si="113"/>
        <v>3.3898043697886661E-2</v>
      </c>
      <c r="I676">
        <f t="shared" si="113"/>
        <v>1.8788174992531052E-2</v>
      </c>
      <c r="J676">
        <f t="shared" si="113"/>
        <v>1.0274192678574766E-2</v>
      </c>
      <c r="K676">
        <f t="shared" si="113"/>
        <v>5.6553409758871194E-3</v>
      </c>
      <c r="L676">
        <f t="shared" si="113"/>
        <v>3.1474762842841333E-3</v>
      </c>
      <c r="M676">
        <f t="shared" si="113"/>
        <v>1.7895209710018143E-3</v>
      </c>
      <c r="N676">
        <f t="shared" si="113"/>
        <v>1.0238796504065375E-3</v>
      </c>
      <c r="O676">
        <f t="shared" si="113"/>
        <v>5.9318880166197695E-4</v>
      </c>
      <c r="P676">
        <f t="shared" si="113"/>
        <v>8.1018450940934894E-4</v>
      </c>
    </row>
  </sheetData>
  <mergeCells count="1">
    <mergeCell ref="R1:U1"/>
  </mergeCells>
  <phoneticPr fontId="7" type="noConversion"/>
  <pageMargins left="0.75" right="0.75" top="1" bottom="1" header="0.5" footer="0.5"/>
  <pageSetup orientation="portrait" horizontalDpi="300"/>
  <headerFooter alignWithMargins="0">
    <oddHeader>&amp;A</oddHeader>
    <oddFooter>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AS1013"/>
  <sheetViews>
    <sheetView workbookViewId="0"/>
  </sheetViews>
  <sheetFormatPr baseColWidth="10" defaultColWidth="9.5" defaultRowHeight="13" x14ac:dyDescent="0.15"/>
  <cols>
    <col min="1" max="16384" width="9.5" style="123"/>
  </cols>
  <sheetData>
    <row r="1" spans="1:27" x14ac:dyDescent="0.15">
      <c r="B1" s="123" t="s">
        <v>518</v>
      </c>
      <c r="C1" s="123">
        <v>1.4506399999999999</v>
      </c>
      <c r="D1" s="123">
        <v>0.38945299999999999</v>
      </c>
      <c r="E1" s="123">
        <v>1.21959</v>
      </c>
      <c r="F1" s="123">
        <v>1.5145299999999999</v>
      </c>
      <c r="G1" s="123">
        <v>4.6432399999999999E-2</v>
      </c>
      <c r="H1" s="123">
        <v>0.9</v>
      </c>
      <c r="I1" s="123" t="s">
        <v>20</v>
      </c>
      <c r="J1" s="123" t="s">
        <v>156</v>
      </c>
      <c r="K1" s="123" t="s">
        <v>21</v>
      </c>
    </row>
    <row r="2" spans="1:27" x14ac:dyDescent="0.15">
      <c r="A2" s="123" t="s">
        <v>154</v>
      </c>
      <c r="B2" s="123">
        <v>1</v>
      </c>
      <c r="C2" s="123">
        <v>2</v>
      </c>
      <c r="D2" s="123">
        <v>3</v>
      </c>
      <c r="E2" s="123">
        <v>4</v>
      </c>
      <c r="F2" s="123">
        <v>5</v>
      </c>
      <c r="G2" s="123">
        <v>6</v>
      </c>
      <c r="H2" s="123">
        <v>7</v>
      </c>
      <c r="I2" s="123">
        <v>8</v>
      </c>
      <c r="J2" s="123">
        <v>9</v>
      </c>
      <c r="K2" s="123">
        <v>10</v>
      </c>
      <c r="L2" s="123">
        <v>11</v>
      </c>
      <c r="M2" s="123">
        <v>12</v>
      </c>
      <c r="N2" s="123">
        <v>13</v>
      </c>
      <c r="O2" s="123">
        <v>14</v>
      </c>
      <c r="P2" s="123">
        <v>15</v>
      </c>
      <c r="Q2" s="123" t="s">
        <v>75</v>
      </c>
      <c r="R2" s="123" t="s">
        <v>81</v>
      </c>
      <c r="S2" s="123" t="s">
        <v>80</v>
      </c>
      <c r="T2" s="123" t="s">
        <v>76</v>
      </c>
      <c r="U2" s="123" t="s">
        <v>78</v>
      </c>
      <c r="V2" s="123">
        <v>6</v>
      </c>
      <c r="W2" s="123">
        <v>7</v>
      </c>
      <c r="X2" s="123">
        <v>8</v>
      </c>
      <c r="Y2" s="123">
        <v>9</v>
      </c>
      <c r="Z2" s="123">
        <v>10</v>
      </c>
      <c r="AA2" s="123">
        <v>11</v>
      </c>
    </row>
    <row r="3" spans="1:27" x14ac:dyDescent="0.15">
      <c r="A3" s="123">
        <v>1964</v>
      </c>
      <c r="B3" s="125">
        <f>pm.rep!B63</f>
        <v>6669.66</v>
      </c>
      <c r="C3" s="125">
        <f>pm.rep!C63</f>
        <v>3534.24</v>
      </c>
      <c r="D3" s="125">
        <f>pm.rep!D63</f>
        <v>2242.08</v>
      </c>
      <c r="E3" s="125">
        <f>pm.rep!E63</f>
        <v>482.50599999999997</v>
      </c>
      <c r="F3" s="125">
        <f>pm.rep!F63</f>
        <v>208.66399999999999</v>
      </c>
      <c r="G3" s="125">
        <f>pm.rep!G63</f>
        <v>406.18900000000002</v>
      </c>
      <c r="H3" s="125">
        <f>pm.rep!H63</f>
        <v>183.488</v>
      </c>
      <c r="I3" s="125">
        <f>pm.rep!I63</f>
        <v>59.002600000000001</v>
      </c>
      <c r="J3" s="125">
        <f>pm.rep!J63</f>
        <v>37.4255</v>
      </c>
      <c r="K3" s="125">
        <f>pm.rep!K63</f>
        <v>37.698599999999999</v>
      </c>
      <c r="L3" s="125">
        <f>pm.rep!L63</f>
        <v>37.605200000000004</v>
      </c>
      <c r="M3" s="125">
        <f>pm.rep!M63</f>
        <v>37.5319</v>
      </c>
      <c r="N3" s="125">
        <f>pm.rep!N63</f>
        <v>37.474200000000003</v>
      </c>
      <c r="O3" s="125">
        <f>pm.rep!O63</f>
        <v>37.416800000000002</v>
      </c>
      <c r="P3" s="125">
        <f>pm.rep!P63</f>
        <v>37.348599999999998</v>
      </c>
      <c r="Q3" s="125">
        <f>SUM(B3:$P3)</f>
        <v>14048.330399999999</v>
      </c>
      <c r="R3" s="125">
        <f>SUM(C3:$P3)</f>
        <v>7378.6704</v>
      </c>
      <c r="S3" s="125">
        <f>SUM(D3:$P3)</f>
        <v>3844.4303999999993</v>
      </c>
      <c r="T3" s="125">
        <f>SUM(E3:$P3)</f>
        <v>1602.3504</v>
      </c>
      <c r="U3" s="125">
        <f>SUM(F3:$P3)</f>
        <v>1119.8444000000002</v>
      </c>
      <c r="V3" s="125">
        <f>SUM(G3:$P3)</f>
        <v>911.18039999999985</v>
      </c>
      <c r="W3" s="125">
        <f>SUM(H3:$P3)</f>
        <v>504.99140000000006</v>
      </c>
      <c r="X3" s="125">
        <f>SUM(I3:$P3)</f>
        <v>321.5034</v>
      </c>
      <c r="Y3" s="125">
        <f>SUM(J3:$P3)</f>
        <v>262.50079999999997</v>
      </c>
      <c r="Z3" s="125">
        <f>SUM(K3:$P3)</f>
        <v>225.0753</v>
      </c>
      <c r="AA3" s="125">
        <f>SUM(L3:$P3)</f>
        <v>187.3767</v>
      </c>
    </row>
    <row r="4" spans="1:27" x14ac:dyDescent="0.15">
      <c r="A4" s="123">
        <v>1965</v>
      </c>
      <c r="B4" s="125">
        <f>pm.rep!B64</f>
        <v>21534.799999999999</v>
      </c>
      <c r="C4" s="125">
        <f>pm.rep!C64</f>
        <v>2706.04</v>
      </c>
      <c r="D4" s="125">
        <f>pm.rep!D64</f>
        <v>2223.48</v>
      </c>
      <c r="E4" s="125">
        <f>pm.rep!E64</f>
        <v>1587.58</v>
      </c>
      <c r="F4" s="125">
        <f>pm.rep!F64</f>
        <v>304.23599999999999</v>
      </c>
      <c r="G4" s="125">
        <f>pm.rep!G64</f>
        <v>131.34700000000001</v>
      </c>
      <c r="H4" s="125">
        <f>pm.rep!H64</f>
        <v>256.02199999999999</v>
      </c>
      <c r="I4" s="125">
        <f>pm.rep!I64</f>
        <v>116.339</v>
      </c>
      <c r="J4" s="125">
        <f>pm.rep!J64</f>
        <v>37.673099999999998</v>
      </c>
      <c r="K4" s="125">
        <f>pm.rep!K64</f>
        <v>24.041</v>
      </c>
      <c r="L4" s="125">
        <f>pm.rep!L64</f>
        <v>24.328800000000001</v>
      </c>
      <c r="M4" s="125">
        <f>pm.rep!M64</f>
        <v>24.268599999999999</v>
      </c>
      <c r="N4" s="125">
        <f>pm.rep!N64</f>
        <v>24.2212</v>
      </c>
      <c r="O4" s="125">
        <f>pm.rep!O64</f>
        <v>24.184100000000001</v>
      </c>
      <c r="P4" s="125">
        <f>pm.rep!P64</f>
        <v>48.25</v>
      </c>
      <c r="Q4" s="125">
        <f>SUM(B4:$P4)</f>
        <v>29066.810800000003</v>
      </c>
      <c r="R4" s="125">
        <f>SUM(C4:$P4)</f>
        <v>7532.0108000000009</v>
      </c>
      <c r="S4" s="125">
        <f>SUM(D4:$P4)</f>
        <v>4825.970800000001</v>
      </c>
      <c r="T4" s="125">
        <f>SUM(E4:$P4)</f>
        <v>2602.4907999999996</v>
      </c>
      <c r="U4" s="125">
        <f>SUM(F4:$P4)</f>
        <v>1014.9107999999999</v>
      </c>
      <c r="V4" s="125">
        <f>SUM(G4:$P4)</f>
        <v>710.6748</v>
      </c>
      <c r="W4" s="125">
        <f>SUM(H4:$P4)</f>
        <v>579.32780000000002</v>
      </c>
      <c r="X4" s="125">
        <f>SUM(I4:$P4)</f>
        <v>323.30579999999998</v>
      </c>
      <c r="Y4" s="125">
        <f>SUM(J4:$P4)</f>
        <v>206.96680000000001</v>
      </c>
      <c r="Z4" s="125">
        <f>SUM(K4:$P4)</f>
        <v>169.2937</v>
      </c>
      <c r="AA4" s="125">
        <f>SUM(L4:$P4)</f>
        <v>145.2527</v>
      </c>
    </row>
    <row r="5" spans="1:27" x14ac:dyDescent="0.15">
      <c r="A5" s="123">
        <v>1966</v>
      </c>
      <c r="B5" s="125">
        <f>pm.rep!B65</f>
        <v>15436.5</v>
      </c>
      <c r="C5" s="125">
        <f>pm.rep!C65</f>
        <v>8737.42</v>
      </c>
      <c r="D5" s="125">
        <f>pm.rep!D65</f>
        <v>1701.74</v>
      </c>
      <c r="E5" s="125">
        <f>pm.rep!E65</f>
        <v>1562.76</v>
      </c>
      <c r="F5" s="125">
        <f>pm.rep!F65</f>
        <v>993.73400000000004</v>
      </c>
      <c r="G5" s="125">
        <f>pm.rep!G65</f>
        <v>191.52699999999999</v>
      </c>
      <c r="H5" s="125">
        <f>pm.rep!H65</f>
        <v>83.313400000000001</v>
      </c>
      <c r="I5" s="125">
        <f>pm.rep!I65</f>
        <v>163.46799999999999</v>
      </c>
      <c r="J5" s="125">
        <f>pm.rep!J65</f>
        <v>74.691000000000003</v>
      </c>
      <c r="K5" s="125">
        <f>pm.rep!K65</f>
        <v>24.300899999999999</v>
      </c>
      <c r="L5" s="125">
        <f>pm.rep!L65</f>
        <v>15.5669</v>
      </c>
      <c r="M5" s="125">
        <f>pm.rep!M65</f>
        <v>15.753299999999999</v>
      </c>
      <c r="N5" s="125">
        <f>pm.rep!N65</f>
        <v>15.7143</v>
      </c>
      <c r="O5" s="125">
        <f>pm.rep!O65</f>
        <v>15.6836</v>
      </c>
      <c r="P5" s="125">
        <f>pm.rep!P65</f>
        <v>46.902099999999997</v>
      </c>
      <c r="Q5" s="125">
        <f>SUM(B5:$P5)</f>
        <v>29079.074499999995</v>
      </c>
      <c r="R5" s="125">
        <f>SUM(C5:$P5)</f>
        <v>13642.574500000001</v>
      </c>
      <c r="S5" s="125">
        <f>SUM(D5:$P5)</f>
        <v>4905.1545000000006</v>
      </c>
      <c r="T5" s="125">
        <f>SUM(E5:$P5)</f>
        <v>3203.4144999999994</v>
      </c>
      <c r="U5" s="125">
        <f>SUM(F5:$P5)</f>
        <v>1640.6545000000003</v>
      </c>
      <c r="V5" s="125">
        <f>SUM(G5:$P5)</f>
        <v>646.92049999999995</v>
      </c>
      <c r="W5" s="125">
        <f>SUM(H5:$P5)</f>
        <v>455.39350000000002</v>
      </c>
      <c r="X5" s="125">
        <f>SUM(I5:$P5)</f>
        <v>372.08010000000002</v>
      </c>
      <c r="Y5" s="125">
        <f>SUM(J5:$P5)</f>
        <v>208.61210000000003</v>
      </c>
      <c r="Z5" s="125">
        <f>SUM(K5:$P5)</f>
        <v>133.9211</v>
      </c>
      <c r="AA5" s="125">
        <f>SUM(L5:$P5)</f>
        <v>109.6202</v>
      </c>
    </row>
    <row r="6" spans="1:27" x14ac:dyDescent="0.15">
      <c r="A6" s="123">
        <v>1967</v>
      </c>
      <c r="B6" s="125">
        <f>pm.rep!B66</f>
        <v>25796</v>
      </c>
      <c r="C6" s="125">
        <f>pm.rep!C66</f>
        <v>6263.08</v>
      </c>
      <c r="D6" s="125">
        <f>pm.rep!D66</f>
        <v>5490.74</v>
      </c>
      <c r="E6" s="125">
        <f>pm.rep!E66</f>
        <v>1191.3699999999999</v>
      </c>
      <c r="F6" s="125">
        <f>pm.rep!F66</f>
        <v>993.82</v>
      </c>
      <c r="G6" s="125">
        <f>pm.rep!G66</f>
        <v>634.46299999999997</v>
      </c>
      <c r="H6" s="125">
        <f>pm.rep!H66</f>
        <v>123.16500000000001</v>
      </c>
      <c r="I6" s="125">
        <f>pm.rep!I66</f>
        <v>53.846600000000002</v>
      </c>
      <c r="J6" s="125">
        <f>pm.rep!J66</f>
        <v>106.127</v>
      </c>
      <c r="K6" s="125">
        <f>pm.rep!K66</f>
        <v>48.655999999999999</v>
      </c>
      <c r="L6" s="125">
        <f>pm.rep!L66</f>
        <v>15.871600000000001</v>
      </c>
      <c r="M6" s="125">
        <f>pm.rep!M66</f>
        <v>10.1671</v>
      </c>
      <c r="N6" s="125">
        <f>pm.rep!N66</f>
        <v>10.2889</v>
      </c>
      <c r="O6" s="125">
        <f>pm.rep!O66</f>
        <v>10.263400000000001</v>
      </c>
      <c r="P6" s="125">
        <f>pm.rep!P66</f>
        <v>40.876300000000001</v>
      </c>
      <c r="Q6" s="125">
        <f>SUM(B6:$P6)</f>
        <v>40788.73490000001</v>
      </c>
      <c r="R6" s="125">
        <f>SUM(C6:$P6)</f>
        <v>14992.734900000001</v>
      </c>
      <c r="S6" s="125">
        <f>SUM(D6:$P6)</f>
        <v>8729.6549000000032</v>
      </c>
      <c r="T6" s="125">
        <f>SUM(E6:$P6)</f>
        <v>3238.9148999999998</v>
      </c>
      <c r="U6" s="125">
        <f>SUM(F6:$P6)</f>
        <v>2047.5448999999996</v>
      </c>
      <c r="V6" s="125">
        <f>SUM(G6:$P6)</f>
        <v>1053.7248999999999</v>
      </c>
      <c r="W6" s="125">
        <f>SUM(H6:$P6)</f>
        <v>419.26190000000003</v>
      </c>
      <c r="X6" s="125">
        <f>SUM(I6:$P6)</f>
        <v>296.09690000000001</v>
      </c>
      <c r="Y6" s="125">
        <f>SUM(J6:$P6)</f>
        <v>242.25029999999998</v>
      </c>
      <c r="Z6" s="125">
        <f>SUM(K6:$P6)</f>
        <v>136.12330000000003</v>
      </c>
      <c r="AA6" s="125">
        <f>SUM(L6:$P6)</f>
        <v>87.467299999999994</v>
      </c>
    </row>
    <row r="7" spans="1:27" x14ac:dyDescent="0.15">
      <c r="A7" s="123">
        <v>1968</v>
      </c>
      <c r="B7" s="125">
        <f>pm.rep!B67</f>
        <v>22271.4</v>
      </c>
      <c r="C7" s="125">
        <f>pm.rep!C67</f>
        <v>10447.9</v>
      </c>
      <c r="D7" s="125">
        <f>pm.rep!D67</f>
        <v>3882.56</v>
      </c>
      <c r="E7" s="125">
        <f>pm.rep!E67</f>
        <v>3593.01</v>
      </c>
      <c r="F7" s="125">
        <f>pm.rep!F67</f>
        <v>698.36500000000001</v>
      </c>
      <c r="G7" s="125">
        <f>pm.rep!G67</f>
        <v>581.63199999999995</v>
      </c>
      <c r="H7" s="125">
        <f>pm.rep!H67</f>
        <v>373.44200000000001</v>
      </c>
      <c r="I7" s="125">
        <f>pm.rep!I67</f>
        <v>72.715800000000002</v>
      </c>
      <c r="J7" s="125">
        <f>pm.rep!J67</f>
        <v>31.889299999999999</v>
      </c>
      <c r="K7" s="125">
        <f>pm.rep!K67</f>
        <v>63.036000000000001</v>
      </c>
      <c r="L7" s="125">
        <f>pm.rep!L67</f>
        <v>28.952000000000002</v>
      </c>
      <c r="M7" s="125">
        <f>pm.rep!M67</f>
        <v>9.4441100000000002</v>
      </c>
      <c r="N7" s="125">
        <f>pm.rep!N67</f>
        <v>6.0497899999999998</v>
      </c>
      <c r="O7" s="125">
        <f>pm.rep!O67</f>
        <v>6.1222200000000004</v>
      </c>
      <c r="P7" s="125">
        <f>pm.rep!P67</f>
        <v>30.4298</v>
      </c>
      <c r="Q7" s="125">
        <f>SUM(B7:$P7)</f>
        <v>42096.948019999989</v>
      </c>
      <c r="R7" s="125">
        <f>SUM(C7:$P7)</f>
        <v>19825.548020000009</v>
      </c>
      <c r="S7" s="125">
        <f>SUM(D7:$P7)</f>
        <v>9377.6480199999969</v>
      </c>
      <c r="T7" s="125">
        <f>SUM(E7:$P7)</f>
        <v>5495.0880200000001</v>
      </c>
      <c r="U7" s="125">
        <f>SUM(F7:$P7)</f>
        <v>1902.0780199999999</v>
      </c>
      <c r="V7" s="125">
        <f>SUM(G7:$P7)</f>
        <v>1203.7130200000001</v>
      </c>
      <c r="W7" s="125">
        <f>SUM(H7:$P7)</f>
        <v>622.08102000000008</v>
      </c>
      <c r="X7" s="125">
        <f>SUM(I7:$P7)</f>
        <v>248.63901999999999</v>
      </c>
      <c r="Y7" s="125">
        <f>SUM(J7:$P7)</f>
        <v>175.92321999999999</v>
      </c>
      <c r="Z7" s="125">
        <f>SUM(K7:$P7)</f>
        <v>144.03391999999999</v>
      </c>
      <c r="AA7" s="125">
        <f>SUM(L7:$P7)</f>
        <v>80.997919999999993</v>
      </c>
    </row>
    <row r="8" spans="1:27" x14ac:dyDescent="0.15">
      <c r="A8" s="123">
        <v>1969</v>
      </c>
      <c r="B8" s="125">
        <f>pm.rep!B68</f>
        <v>26141.1</v>
      </c>
      <c r="C8" s="125">
        <f>pm.rep!C68</f>
        <v>9015.31</v>
      </c>
      <c r="D8" s="125">
        <f>pm.rep!D68</f>
        <v>6454.6</v>
      </c>
      <c r="E8" s="125">
        <f>pm.rep!E68</f>
        <v>2536.4699999999998</v>
      </c>
      <c r="F8" s="125">
        <f>pm.rep!F68</f>
        <v>2103.33</v>
      </c>
      <c r="G8" s="125">
        <f>pm.rep!G68</f>
        <v>411.44299999999998</v>
      </c>
      <c r="H8" s="125">
        <f>pm.rep!H68</f>
        <v>344.976</v>
      </c>
      <c r="I8" s="125">
        <f>pm.rep!I68</f>
        <v>222.071</v>
      </c>
      <c r="J8" s="125">
        <f>pm.rep!J68</f>
        <v>43.278199999999998</v>
      </c>
      <c r="K8" s="125">
        <f>pm.rep!K68</f>
        <v>18.985700000000001</v>
      </c>
      <c r="L8" s="125">
        <f>pm.rep!L68</f>
        <v>37.529400000000003</v>
      </c>
      <c r="M8" s="125">
        <f>pm.rep!M68</f>
        <v>17.236999999999998</v>
      </c>
      <c r="N8" s="125">
        <f>pm.rep!N68</f>
        <v>5.6226900000000004</v>
      </c>
      <c r="O8" s="125">
        <f>pm.rep!O68</f>
        <v>3.6018300000000001</v>
      </c>
      <c r="P8" s="125">
        <f>pm.rep!P68</f>
        <v>21.761800000000001</v>
      </c>
      <c r="Q8" s="125">
        <f>SUM(B8:$P8)</f>
        <v>47377.316619999998</v>
      </c>
      <c r="R8" s="125">
        <f>SUM(C8:$P8)</f>
        <v>21236.216619999999</v>
      </c>
      <c r="S8" s="125">
        <f>SUM(D8:$P8)</f>
        <v>12220.906619999998</v>
      </c>
      <c r="T8" s="125">
        <f>SUM(E8:$P8)</f>
        <v>5766.3066199999994</v>
      </c>
      <c r="U8" s="125">
        <f>SUM(F8:$P8)</f>
        <v>3229.8366200000009</v>
      </c>
      <c r="V8" s="125">
        <f>SUM(G8:$P8)</f>
        <v>1126.5066199999999</v>
      </c>
      <c r="W8" s="125">
        <f>SUM(H8:$P8)</f>
        <v>715.0636199999999</v>
      </c>
      <c r="X8" s="125">
        <f>SUM(I8:$P8)</f>
        <v>370.08762000000002</v>
      </c>
      <c r="Y8" s="125">
        <f>SUM(J8:$P8)</f>
        <v>148.01662000000002</v>
      </c>
      <c r="Z8" s="125">
        <f>SUM(K8:$P8)</f>
        <v>104.73842000000002</v>
      </c>
      <c r="AA8" s="125">
        <f>SUM(L8:$P8)</f>
        <v>85.752720000000011</v>
      </c>
    </row>
    <row r="9" spans="1:27" x14ac:dyDescent="0.15">
      <c r="A9" s="123">
        <v>1970</v>
      </c>
      <c r="B9" s="125">
        <f>pm.rep!B69</f>
        <v>23500.1</v>
      </c>
      <c r="C9" s="125">
        <f>pm.rep!C69</f>
        <v>10572.2</v>
      </c>
      <c r="D9" s="125">
        <f>pm.rep!D69</f>
        <v>5546.35</v>
      </c>
      <c r="E9" s="125">
        <f>pm.rep!E69</f>
        <v>4093.67</v>
      </c>
      <c r="F9" s="125">
        <f>pm.rep!F69</f>
        <v>1500.18</v>
      </c>
      <c r="G9" s="125">
        <f>pm.rep!G69</f>
        <v>1250.42</v>
      </c>
      <c r="H9" s="125">
        <f>pm.rep!H69</f>
        <v>245.607</v>
      </c>
      <c r="I9" s="125">
        <f>pm.rep!I69</f>
        <v>205.98500000000001</v>
      </c>
      <c r="J9" s="125">
        <f>pm.rep!J69</f>
        <v>131.33099999999999</v>
      </c>
      <c r="K9" s="125">
        <f>pm.rep!K69</f>
        <v>25.494199999999999</v>
      </c>
      <c r="L9" s="125">
        <f>pm.rep!L69</f>
        <v>11.125999999999999</v>
      </c>
      <c r="M9" s="125">
        <f>pm.rep!M69</f>
        <v>21.992999999999999</v>
      </c>
      <c r="N9" s="125">
        <f>pm.rep!N69</f>
        <v>10.1012</v>
      </c>
      <c r="O9" s="125">
        <f>pm.rep!O69</f>
        <v>3.29501</v>
      </c>
      <c r="P9" s="125">
        <f>pm.rep!P69</f>
        <v>14.8636</v>
      </c>
      <c r="Q9" s="125">
        <f>SUM(B9:$P9)</f>
        <v>47132.716009999996</v>
      </c>
      <c r="R9" s="125">
        <f>SUM(C9:$P9)</f>
        <v>23632.616010000002</v>
      </c>
      <c r="S9" s="125">
        <f>SUM(D9:$P9)</f>
        <v>13060.416010000001</v>
      </c>
      <c r="T9" s="125">
        <f>SUM(E9:$P9)</f>
        <v>7514.0660100000005</v>
      </c>
      <c r="U9" s="125">
        <f>SUM(F9:$P9)</f>
        <v>3420.3960100000008</v>
      </c>
      <c r="V9" s="125">
        <f>SUM(G9:$P9)</f>
        <v>1920.2160100000001</v>
      </c>
      <c r="W9" s="125">
        <f>SUM(H9:$P9)</f>
        <v>669.79601000000002</v>
      </c>
      <c r="X9" s="125">
        <f>SUM(I9:$P9)</f>
        <v>424.18901</v>
      </c>
      <c r="Y9" s="125">
        <f>SUM(J9:$P9)</f>
        <v>218.20400999999998</v>
      </c>
      <c r="Z9" s="125">
        <f>SUM(K9:$P9)</f>
        <v>86.873010000000008</v>
      </c>
      <c r="AA9" s="125">
        <f>SUM(L9:$P9)</f>
        <v>61.378809999999994</v>
      </c>
    </row>
    <row r="10" spans="1:27" x14ac:dyDescent="0.15">
      <c r="A10" s="123">
        <v>1971</v>
      </c>
      <c r="B10" s="125">
        <f>pm.rep!B70</f>
        <v>14578.3</v>
      </c>
      <c r="C10" s="125">
        <f>pm.rep!C70</f>
        <v>9467.61</v>
      </c>
      <c r="D10" s="125">
        <f>pm.rep!D70</f>
        <v>6356.46</v>
      </c>
      <c r="E10" s="125">
        <f>pm.rep!E70</f>
        <v>3312.4</v>
      </c>
      <c r="F10" s="125">
        <f>pm.rep!F70</f>
        <v>2351.25</v>
      </c>
      <c r="G10" s="125">
        <f>pm.rep!G70</f>
        <v>840.39400000000001</v>
      </c>
      <c r="H10" s="125">
        <f>pm.rep!H70</f>
        <v>700.84799999999996</v>
      </c>
      <c r="I10" s="125">
        <f>pm.rep!I70</f>
        <v>135.601</v>
      </c>
      <c r="J10" s="125">
        <f>pm.rep!J70</f>
        <v>110.286</v>
      </c>
      <c r="K10" s="125">
        <f>pm.rep!K70</f>
        <v>69.308000000000007</v>
      </c>
      <c r="L10" s="125">
        <f>pm.rep!L70</f>
        <v>13.152100000000001</v>
      </c>
      <c r="M10" s="125">
        <f>pm.rep!M70</f>
        <v>5.7397299999999998</v>
      </c>
      <c r="N10" s="125">
        <f>pm.rep!N70</f>
        <v>11.345800000000001</v>
      </c>
      <c r="O10" s="125">
        <f>pm.rep!O70</f>
        <v>5.2110700000000003</v>
      </c>
      <c r="P10" s="125">
        <f>pm.rep!P70</f>
        <v>9.3677499999999991</v>
      </c>
      <c r="Q10" s="125">
        <f>SUM(B10:$P10)</f>
        <v>37967.273449999993</v>
      </c>
      <c r="R10" s="125">
        <f>SUM(C10:$P10)</f>
        <v>23388.973450000001</v>
      </c>
      <c r="S10" s="125">
        <f>SUM(D10:$P10)</f>
        <v>13921.363449999999</v>
      </c>
      <c r="T10" s="125">
        <f>SUM(E10:$P10)</f>
        <v>7564.9034500000007</v>
      </c>
      <c r="U10" s="125">
        <f>SUM(F10:$P10)</f>
        <v>4252.5034500000011</v>
      </c>
      <c r="V10" s="125">
        <f>SUM(G10:$P10)</f>
        <v>1901.2534499999999</v>
      </c>
      <c r="W10" s="125">
        <f>SUM(H10:$P10)</f>
        <v>1060.8594499999999</v>
      </c>
      <c r="X10" s="125">
        <f>SUM(I10:$P10)</f>
        <v>360.01145000000002</v>
      </c>
      <c r="Y10" s="125">
        <f>SUM(J10:$P10)</f>
        <v>224.41045</v>
      </c>
      <c r="Z10" s="125">
        <f>SUM(K10:$P10)</f>
        <v>114.12445000000001</v>
      </c>
      <c r="AA10" s="125">
        <f>SUM(L10:$P10)</f>
        <v>44.816450000000003</v>
      </c>
    </row>
    <row r="11" spans="1:27" x14ac:dyDescent="0.15">
      <c r="A11" s="123">
        <v>1972</v>
      </c>
      <c r="B11" s="125">
        <f>pm.rep!B71</f>
        <v>11964.4</v>
      </c>
      <c r="C11" s="125">
        <f>pm.rep!C71</f>
        <v>5851.31</v>
      </c>
      <c r="D11" s="125">
        <f>pm.rep!D71</f>
        <v>5550.12</v>
      </c>
      <c r="E11" s="125">
        <f>pm.rep!E71</f>
        <v>3569.93</v>
      </c>
      <c r="F11" s="125">
        <f>pm.rep!F71</f>
        <v>1746.76</v>
      </c>
      <c r="G11" s="125">
        <f>pm.rep!G71</f>
        <v>1178.3499999999999</v>
      </c>
      <c r="H11" s="125">
        <f>pm.rep!H71</f>
        <v>423.69200000000001</v>
      </c>
      <c r="I11" s="125">
        <f>pm.rep!I71</f>
        <v>351.197</v>
      </c>
      <c r="J11" s="125">
        <f>pm.rep!J71</f>
        <v>63.734400000000001</v>
      </c>
      <c r="K11" s="125">
        <f>pm.rep!K71</f>
        <v>50.312199999999997</v>
      </c>
      <c r="L11" s="125">
        <f>pm.rep!L71</f>
        <v>30.290600000000001</v>
      </c>
      <c r="M11" s="125">
        <f>pm.rep!M71</f>
        <v>5.7480399999999996</v>
      </c>
      <c r="N11" s="125">
        <f>pm.rep!N71</f>
        <v>2.5085099999999998</v>
      </c>
      <c r="O11" s="125">
        <f>pm.rep!O71</f>
        <v>4.9586300000000003</v>
      </c>
      <c r="P11" s="125">
        <f>pm.rep!P71</f>
        <v>6.3715799999999998</v>
      </c>
      <c r="Q11" s="125">
        <f>SUM(B11:$P11)</f>
        <v>30799.682959999995</v>
      </c>
      <c r="R11" s="125">
        <f>SUM(C11:$P11)</f>
        <v>18835.282959999997</v>
      </c>
      <c r="S11" s="125">
        <f>SUM(D11:$P11)</f>
        <v>12983.972959999999</v>
      </c>
      <c r="T11" s="125">
        <f>SUM(E11:$P11)</f>
        <v>7433.8529600000002</v>
      </c>
      <c r="U11" s="125">
        <f>SUM(F11:$P11)</f>
        <v>3863.9229599999994</v>
      </c>
      <c r="V11" s="125">
        <f>SUM(G11:$P11)</f>
        <v>2117.1629600000001</v>
      </c>
      <c r="W11" s="125">
        <f>SUM(H11:$P11)</f>
        <v>938.81295999999998</v>
      </c>
      <c r="X11" s="125">
        <f>SUM(I11:$P11)</f>
        <v>515.12096000000008</v>
      </c>
      <c r="Y11" s="125">
        <f>SUM(J11:$P11)</f>
        <v>163.92395999999999</v>
      </c>
      <c r="Z11" s="125">
        <f>SUM(K11:$P11)</f>
        <v>100.18956</v>
      </c>
      <c r="AA11" s="125">
        <f>SUM(L11:$P11)</f>
        <v>49.877360000000003</v>
      </c>
    </row>
    <row r="12" spans="1:27" x14ac:dyDescent="0.15">
      <c r="A12" s="123">
        <v>1973</v>
      </c>
      <c r="B12" s="125">
        <f>pm.rep!B72</f>
        <v>26909</v>
      </c>
      <c r="C12" s="125">
        <f>pm.rep!C72</f>
        <v>4808.49</v>
      </c>
      <c r="D12" s="125">
        <f>pm.rep!D72</f>
        <v>3324.44</v>
      </c>
      <c r="E12" s="125">
        <f>pm.rep!E72</f>
        <v>2897.5</v>
      </c>
      <c r="F12" s="125">
        <f>pm.rep!F72</f>
        <v>1743.8</v>
      </c>
      <c r="G12" s="125">
        <f>pm.rep!G72</f>
        <v>839.32299999999998</v>
      </c>
      <c r="H12" s="125">
        <f>pm.rep!H72</f>
        <v>566.65800000000002</v>
      </c>
      <c r="I12" s="125">
        <f>pm.rep!I72</f>
        <v>202.86500000000001</v>
      </c>
      <c r="J12" s="125">
        <f>pm.rep!J72</f>
        <v>157.79499999999999</v>
      </c>
      <c r="K12" s="125">
        <f>pm.rep!K72</f>
        <v>27.491099999999999</v>
      </c>
      <c r="L12" s="125">
        <f>pm.rep!L72</f>
        <v>20.962700000000002</v>
      </c>
      <c r="M12" s="125">
        <f>pm.rep!M72</f>
        <v>12.620699999999999</v>
      </c>
      <c r="N12" s="125">
        <f>pm.rep!N72</f>
        <v>2.39493</v>
      </c>
      <c r="O12" s="125">
        <f>pm.rep!O72</f>
        <v>1.04518</v>
      </c>
      <c r="P12" s="125">
        <f>pm.rep!P72</f>
        <v>4.7207600000000003</v>
      </c>
      <c r="Q12" s="125">
        <f>SUM(B12:$P12)</f>
        <v>41519.106369999994</v>
      </c>
      <c r="R12" s="125">
        <f>SUM(C12:$P12)</f>
        <v>14610.106369999998</v>
      </c>
      <c r="S12" s="125">
        <f>SUM(D12:$P12)</f>
        <v>9801.6163699999979</v>
      </c>
      <c r="T12" s="125">
        <f>SUM(E12:$P12)</f>
        <v>6477.176370000002</v>
      </c>
      <c r="U12" s="125">
        <f>SUM(F12:$P12)</f>
        <v>3579.6763700000001</v>
      </c>
      <c r="V12" s="125">
        <f>SUM(G12:$P12)</f>
        <v>1835.87637</v>
      </c>
      <c r="W12" s="125">
        <f>SUM(H12:$P12)</f>
        <v>996.55336999999997</v>
      </c>
      <c r="X12" s="125">
        <f>SUM(I12:$P12)</f>
        <v>429.89536999999996</v>
      </c>
      <c r="Y12" s="125">
        <f>SUM(J12:$P12)</f>
        <v>227.03036999999998</v>
      </c>
      <c r="Z12" s="125">
        <f>SUM(K12:$P12)</f>
        <v>69.235370000000003</v>
      </c>
      <c r="AA12" s="125">
        <f>SUM(L12:$P12)</f>
        <v>41.74427</v>
      </c>
    </row>
    <row r="13" spans="1:27" x14ac:dyDescent="0.15">
      <c r="A13" s="123">
        <v>1974</v>
      </c>
      <c r="B13" s="125">
        <f>pm.rep!B73</f>
        <v>19909.099999999999</v>
      </c>
      <c r="C13" s="125">
        <f>pm.rep!C73</f>
        <v>10828.8</v>
      </c>
      <c r="D13" s="125">
        <f>pm.rep!D73</f>
        <v>2649.45</v>
      </c>
      <c r="E13" s="125">
        <f>pm.rep!E73</f>
        <v>1611.79</v>
      </c>
      <c r="F13" s="125">
        <f>pm.rep!F73</f>
        <v>1306.17</v>
      </c>
      <c r="G13" s="125">
        <f>pm.rep!G73</f>
        <v>773.43200000000002</v>
      </c>
      <c r="H13" s="125">
        <f>pm.rep!H73</f>
        <v>371.54899999999998</v>
      </c>
      <c r="I13" s="125">
        <f>pm.rep!I73</f>
        <v>251.10400000000001</v>
      </c>
      <c r="J13" s="125">
        <f>pm.rep!J73</f>
        <v>84.846400000000003</v>
      </c>
      <c r="K13" s="125">
        <f>pm.rep!K73</f>
        <v>63.440899999999999</v>
      </c>
      <c r="L13" s="125">
        <f>pm.rep!L73</f>
        <v>10.828099999999999</v>
      </c>
      <c r="M13" s="125">
        <f>pm.rep!M73</f>
        <v>8.25671</v>
      </c>
      <c r="N13" s="125">
        <f>pm.rep!N73</f>
        <v>4.97098</v>
      </c>
      <c r="O13" s="125">
        <f>pm.rep!O73</f>
        <v>0.94330800000000004</v>
      </c>
      <c r="P13" s="125">
        <f>pm.rep!P73</f>
        <v>2.2710699999999999</v>
      </c>
      <c r="Q13" s="125">
        <f>SUM(B13:$P13)</f>
        <v>37876.952468000003</v>
      </c>
      <c r="R13" s="125">
        <f>SUM(C13:$P13)</f>
        <v>17967.852467999997</v>
      </c>
      <c r="S13" s="125">
        <f>SUM(D13:$P13)</f>
        <v>7139.052467999999</v>
      </c>
      <c r="T13" s="125">
        <f>SUM(E13:$P13)</f>
        <v>4489.6024679999991</v>
      </c>
      <c r="U13" s="125">
        <f>SUM(F13:$P13)</f>
        <v>2877.8124679999996</v>
      </c>
      <c r="V13" s="125">
        <f>SUM(G13:$P13)</f>
        <v>1571.642468</v>
      </c>
      <c r="W13" s="125">
        <f>SUM(H13:$P13)</f>
        <v>798.21046799999999</v>
      </c>
      <c r="X13" s="125">
        <f>SUM(I13:$P13)</f>
        <v>426.66146800000001</v>
      </c>
      <c r="Y13" s="125">
        <f>SUM(J13:$P13)</f>
        <v>175.55746800000003</v>
      </c>
      <c r="Z13" s="125">
        <f>SUM(K13:$P13)</f>
        <v>90.711067999999997</v>
      </c>
      <c r="AA13" s="125">
        <f>SUM(L13:$P13)</f>
        <v>27.270167999999998</v>
      </c>
    </row>
    <row r="14" spans="1:27" x14ac:dyDescent="0.15">
      <c r="A14" s="123">
        <v>1975</v>
      </c>
      <c r="B14" s="125">
        <f>pm.rep!B74</f>
        <v>17094.099999999999</v>
      </c>
      <c r="C14" s="125">
        <f>pm.rep!C74</f>
        <v>8022.51</v>
      </c>
      <c r="D14" s="125">
        <f>pm.rep!D74</f>
        <v>5763.34</v>
      </c>
      <c r="E14" s="125">
        <f>pm.rep!E74</f>
        <v>1144.27</v>
      </c>
      <c r="F14" s="125">
        <f>pm.rep!F74</f>
        <v>690.95799999999997</v>
      </c>
      <c r="G14" s="125">
        <f>pm.rep!G74</f>
        <v>558</v>
      </c>
      <c r="H14" s="125">
        <f>pm.rep!H74</f>
        <v>330.99700000000001</v>
      </c>
      <c r="I14" s="125">
        <f>pm.rep!I74</f>
        <v>159.066</v>
      </c>
      <c r="J14" s="125">
        <f>pm.rep!J74</f>
        <v>102.46</v>
      </c>
      <c r="K14" s="125">
        <f>pm.rep!K74</f>
        <v>33.065300000000001</v>
      </c>
      <c r="L14" s="125">
        <f>pm.rep!L74</f>
        <v>24.646799999999999</v>
      </c>
      <c r="M14" s="125">
        <f>pm.rep!M74</f>
        <v>4.2067300000000003</v>
      </c>
      <c r="N14" s="125">
        <f>pm.rep!N74</f>
        <v>3.2077399999999998</v>
      </c>
      <c r="O14" s="125">
        <f>pm.rep!O74</f>
        <v>1.93123</v>
      </c>
      <c r="P14" s="125">
        <f>pm.rep!P74</f>
        <v>1.2487900000000001</v>
      </c>
      <c r="Q14" s="125">
        <f>SUM(B14:$P14)</f>
        <v>33934.007590000001</v>
      </c>
      <c r="R14" s="125">
        <f>SUM(C14:$P14)</f>
        <v>16839.907589999999</v>
      </c>
      <c r="S14" s="125">
        <f>SUM(D14:$P14)</f>
        <v>8817.3975900000005</v>
      </c>
      <c r="T14" s="125">
        <f>SUM(E14:$P14)</f>
        <v>3054.0575899999999</v>
      </c>
      <c r="U14" s="125">
        <f>SUM(F14:$P14)</f>
        <v>1909.7875900000004</v>
      </c>
      <c r="V14" s="125">
        <f>SUM(G14:$P14)</f>
        <v>1218.8295900000003</v>
      </c>
      <c r="W14" s="125">
        <f>SUM(H14:$P14)</f>
        <v>660.82958999999994</v>
      </c>
      <c r="X14" s="125">
        <f>SUM(I14:$P14)</f>
        <v>329.83258999999998</v>
      </c>
      <c r="Y14" s="125">
        <f>SUM(J14:$P14)</f>
        <v>170.76659000000001</v>
      </c>
      <c r="Z14" s="125">
        <f>SUM(K14:$P14)</f>
        <v>68.30659</v>
      </c>
      <c r="AA14" s="125">
        <f>SUM(L14:$P14)</f>
        <v>35.241289999999999</v>
      </c>
    </row>
    <row r="15" spans="1:27" x14ac:dyDescent="0.15">
      <c r="A15" s="123">
        <v>1976</v>
      </c>
      <c r="B15" s="125">
        <f>pm.rep!B75</f>
        <v>13137.6</v>
      </c>
      <c r="C15" s="125">
        <f>pm.rep!C75</f>
        <v>6908.76</v>
      </c>
      <c r="D15" s="125">
        <f>pm.rep!D75</f>
        <v>4528.26</v>
      </c>
      <c r="E15" s="125">
        <f>pm.rep!E75</f>
        <v>2610.36</v>
      </c>
      <c r="F15" s="125">
        <f>pm.rep!F75</f>
        <v>527.30100000000004</v>
      </c>
      <c r="G15" s="125">
        <f>pm.rep!G75</f>
        <v>322.14400000000001</v>
      </c>
      <c r="H15" s="125">
        <f>pm.rep!H75</f>
        <v>261.58499999999998</v>
      </c>
      <c r="I15" s="125">
        <f>pm.rep!I75</f>
        <v>155.39599999999999</v>
      </c>
      <c r="J15" s="125">
        <f>pm.rep!J75</f>
        <v>72.983000000000004</v>
      </c>
      <c r="K15" s="125">
        <f>pm.rep!K75</f>
        <v>45.087699999999998</v>
      </c>
      <c r="L15" s="125">
        <f>pm.rep!L75</f>
        <v>14.4474</v>
      </c>
      <c r="M15" s="125">
        <f>pm.rep!M75</f>
        <v>10.7691</v>
      </c>
      <c r="N15" s="125">
        <f>pm.rep!N75</f>
        <v>1.8380799999999999</v>
      </c>
      <c r="O15" s="125">
        <f>pm.rep!O75</f>
        <v>1.40158</v>
      </c>
      <c r="P15" s="125">
        <f>pm.rep!P75</f>
        <v>1.38947</v>
      </c>
      <c r="Q15" s="125">
        <f>SUM(B15:$P15)</f>
        <v>28599.322330000006</v>
      </c>
      <c r="R15" s="125">
        <f>SUM(C15:$P15)</f>
        <v>15461.722329999999</v>
      </c>
      <c r="S15" s="125">
        <f>SUM(D15:$P15)</f>
        <v>8552.9623300000003</v>
      </c>
      <c r="T15" s="125">
        <f>SUM(E15:$P15)</f>
        <v>4024.702330000001</v>
      </c>
      <c r="U15" s="125">
        <f>SUM(F15:$P15)</f>
        <v>1414.3423299999999</v>
      </c>
      <c r="V15" s="125">
        <f>SUM(G15:$P15)</f>
        <v>887.0413299999999</v>
      </c>
      <c r="W15" s="125">
        <f>SUM(H15:$P15)</f>
        <v>564.8973299999999</v>
      </c>
      <c r="X15" s="125">
        <f>SUM(I15:$P15)</f>
        <v>303.31233000000003</v>
      </c>
      <c r="Y15" s="125">
        <f>SUM(J15:$P15)</f>
        <v>147.91632999999999</v>
      </c>
      <c r="Z15" s="125">
        <f>SUM(K15:$P15)</f>
        <v>74.933329999999998</v>
      </c>
      <c r="AA15" s="125">
        <f>SUM(L15:$P15)</f>
        <v>29.84563</v>
      </c>
    </row>
    <row r="16" spans="1:27" x14ac:dyDescent="0.15">
      <c r="A16" s="123">
        <v>1977</v>
      </c>
      <c r="B16" s="125">
        <f>pm.rep!B76</f>
        <v>13755.3</v>
      </c>
      <c r="C16" s="125">
        <f>pm.rep!C76</f>
        <v>5318.47</v>
      </c>
      <c r="D16" s="125">
        <f>pm.rep!D76</f>
        <v>3989.97</v>
      </c>
      <c r="E16" s="125">
        <f>pm.rep!E76</f>
        <v>2256.02</v>
      </c>
      <c r="F16" s="125">
        <f>pm.rep!F76</f>
        <v>1234.25</v>
      </c>
      <c r="G16" s="125">
        <f>pm.rep!G76</f>
        <v>253.52199999999999</v>
      </c>
      <c r="H16" s="125">
        <f>pm.rep!H76</f>
        <v>156.45400000000001</v>
      </c>
      <c r="I16" s="125">
        <f>pm.rep!I76</f>
        <v>127.56</v>
      </c>
      <c r="J16" s="125">
        <f>pm.rep!J76</f>
        <v>75.309100000000001</v>
      </c>
      <c r="K16" s="125">
        <f>pm.rep!K76</f>
        <v>34.118600000000001</v>
      </c>
      <c r="L16" s="125">
        <f>pm.rep!L76</f>
        <v>20.945</v>
      </c>
      <c r="M16" s="125">
        <f>pm.rep!M76</f>
        <v>6.7114099999999999</v>
      </c>
      <c r="N16" s="125">
        <f>pm.rep!N76</f>
        <v>5.0026799999999998</v>
      </c>
      <c r="O16" s="125">
        <f>pm.rep!O76</f>
        <v>0.85385999999999995</v>
      </c>
      <c r="P16" s="125">
        <f>pm.rep!P76</f>
        <v>1.2965500000000001</v>
      </c>
      <c r="Q16" s="125">
        <f>SUM(B16:$P16)</f>
        <v>27235.783200000005</v>
      </c>
      <c r="R16" s="125">
        <f>SUM(C16:$P16)</f>
        <v>13480.483199999999</v>
      </c>
      <c r="S16" s="125">
        <f>SUM(D16:$P16)</f>
        <v>8162.0131999999994</v>
      </c>
      <c r="T16" s="125">
        <f>SUM(E16:$P16)</f>
        <v>4172.0431999999992</v>
      </c>
      <c r="U16" s="125">
        <f>SUM(F16:$P16)</f>
        <v>1916.0231999999996</v>
      </c>
      <c r="V16" s="125">
        <f>SUM(G16:$P16)</f>
        <v>681.7732000000002</v>
      </c>
      <c r="W16" s="125">
        <f>SUM(H16:$P16)</f>
        <v>428.25120000000004</v>
      </c>
      <c r="X16" s="125">
        <f>SUM(I16:$P16)</f>
        <v>271.79720000000003</v>
      </c>
      <c r="Y16" s="125">
        <f>SUM(J16:$P16)</f>
        <v>144.2372</v>
      </c>
      <c r="Z16" s="125">
        <f>SUM(K16:$P16)</f>
        <v>68.928100000000001</v>
      </c>
      <c r="AA16" s="125">
        <f>SUM(L16:$P16)</f>
        <v>34.8095</v>
      </c>
    </row>
    <row r="17" spans="1:27" x14ac:dyDescent="0.15">
      <c r="A17" s="123">
        <v>1978</v>
      </c>
      <c r="B17" s="125">
        <f>pm.rep!B77</f>
        <v>25352.3</v>
      </c>
      <c r="C17" s="125">
        <f>pm.rep!C77</f>
        <v>5575.28</v>
      </c>
      <c r="D17" s="125">
        <f>pm.rep!D77</f>
        <v>3107.72</v>
      </c>
      <c r="E17" s="125">
        <f>pm.rep!E77</f>
        <v>2185.7800000000002</v>
      </c>
      <c r="F17" s="125">
        <f>pm.rep!F77</f>
        <v>1153.6300000000001</v>
      </c>
      <c r="G17" s="125">
        <f>pm.rep!G77</f>
        <v>619.22400000000005</v>
      </c>
      <c r="H17" s="125">
        <f>pm.rep!H77</f>
        <v>128.09</v>
      </c>
      <c r="I17" s="125">
        <f>pm.rep!I77</f>
        <v>79.384</v>
      </c>
      <c r="J17" s="125">
        <f>pm.rep!J77</f>
        <v>64.774100000000004</v>
      </c>
      <c r="K17" s="125">
        <f>pm.rep!K77</f>
        <v>37.122999999999998</v>
      </c>
      <c r="L17" s="125">
        <f>pm.rep!L77</f>
        <v>16.6539</v>
      </c>
      <c r="M17" s="125">
        <f>pm.rep!M77</f>
        <v>10.223599999999999</v>
      </c>
      <c r="N17" s="125">
        <f>pm.rep!N77</f>
        <v>3.27596</v>
      </c>
      <c r="O17" s="125">
        <f>pm.rep!O77</f>
        <v>2.4419</v>
      </c>
      <c r="P17" s="125">
        <f>pm.rep!P77</f>
        <v>1.04965</v>
      </c>
      <c r="Q17" s="125">
        <f>SUM(B17:$P17)</f>
        <v>38336.950109999983</v>
      </c>
      <c r="R17" s="125">
        <f>SUM(C17:$P17)</f>
        <v>12984.65011</v>
      </c>
      <c r="S17" s="125">
        <f>SUM(D17:$P17)</f>
        <v>7409.3701099999998</v>
      </c>
      <c r="T17" s="125">
        <f>SUM(E17:$P17)</f>
        <v>4301.6501099999996</v>
      </c>
      <c r="U17" s="125">
        <f>SUM(F17:$P17)</f>
        <v>2115.8701099999994</v>
      </c>
      <c r="V17" s="125">
        <f>SUM(G17:$P17)</f>
        <v>962.2401100000003</v>
      </c>
      <c r="W17" s="125">
        <f>SUM(H17:$P17)</f>
        <v>343.01610999999997</v>
      </c>
      <c r="X17" s="125">
        <f>SUM(I17:$P17)</f>
        <v>214.92610999999999</v>
      </c>
      <c r="Y17" s="125">
        <f>SUM(J17:$P17)</f>
        <v>135.54211000000001</v>
      </c>
      <c r="Z17" s="125">
        <f>SUM(K17:$P17)</f>
        <v>70.768010000000004</v>
      </c>
      <c r="AA17" s="125">
        <f>SUM(L17:$P17)</f>
        <v>33.645009999999999</v>
      </c>
    </row>
    <row r="18" spans="1:27" x14ac:dyDescent="0.15">
      <c r="A18" s="123">
        <v>1979</v>
      </c>
      <c r="B18" s="125">
        <f>pm.rep!B78</f>
        <v>61942.6</v>
      </c>
      <c r="C18" s="125">
        <f>pm.rep!C78</f>
        <v>10281</v>
      </c>
      <c r="D18" s="125">
        <f>pm.rep!D78</f>
        <v>3282.92</v>
      </c>
      <c r="E18" s="125">
        <f>pm.rep!E78</f>
        <v>1700.1</v>
      </c>
      <c r="F18" s="125">
        <f>pm.rep!F78</f>
        <v>1110.5899999999999</v>
      </c>
      <c r="G18" s="125">
        <f>pm.rep!G78</f>
        <v>559.80700000000002</v>
      </c>
      <c r="H18" s="125">
        <f>pm.rep!H78</f>
        <v>302.154</v>
      </c>
      <c r="I18" s="125">
        <f>pm.rep!I78</f>
        <v>62.523200000000003</v>
      </c>
      <c r="J18" s="125">
        <f>pm.rep!J78</f>
        <v>38.7699</v>
      </c>
      <c r="K18" s="125">
        <f>pm.rep!K78</f>
        <v>30.682600000000001</v>
      </c>
      <c r="L18" s="125">
        <f>pm.rep!L78</f>
        <v>17.389199999999999</v>
      </c>
      <c r="M18" s="125">
        <f>pm.rep!M78</f>
        <v>7.8010099999999998</v>
      </c>
      <c r="N18" s="125">
        <f>pm.rep!N78</f>
        <v>4.7889600000000003</v>
      </c>
      <c r="O18" s="125">
        <f>pm.rep!O78</f>
        <v>1.5345299999999999</v>
      </c>
      <c r="P18" s="125">
        <f>pm.rep!P78</f>
        <v>1.63551</v>
      </c>
      <c r="Q18" s="125">
        <f>SUM(B18:$P18)</f>
        <v>79344.295910000001</v>
      </c>
      <c r="R18" s="125">
        <f>SUM(C18:$P18)</f>
        <v>17401.695910000002</v>
      </c>
      <c r="S18" s="125">
        <f>SUM(D18:$P18)</f>
        <v>7120.6959099999995</v>
      </c>
      <c r="T18" s="125">
        <f>SUM(E18:$P18)</f>
        <v>3837.7759099999994</v>
      </c>
      <c r="U18" s="125">
        <f>SUM(F18:$P18)</f>
        <v>2137.6759099999999</v>
      </c>
      <c r="V18" s="125">
        <f>SUM(G18:$P18)</f>
        <v>1027.08591</v>
      </c>
      <c r="W18" s="125">
        <f>SUM(H18:$P18)</f>
        <v>467.27891</v>
      </c>
      <c r="X18" s="125">
        <f>SUM(I18:$P18)</f>
        <v>165.12491</v>
      </c>
      <c r="Y18" s="125">
        <f>SUM(J18:$P18)</f>
        <v>102.60171000000001</v>
      </c>
      <c r="Z18" s="125">
        <f>SUM(K18:$P18)</f>
        <v>63.83180999999999</v>
      </c>
      <c r="AA18" s="125">
        <f>SUM(L18:$P18)</f>
        <v>33.149209999999997</v>
      </c>
    </row>
    <row r="19" spans="1:27" x14ac:dyDescent="0.15">
      <c r="A19" s="123">
        <v>1980</v>
      </c>
      <c r="B19" s="125">
        <f>pm.rep!B79</f>
        <v>27184.1</v>
      </c>
      <c r="C19" s="125">
        <f>pm.rep!C79</f>
        <v>25131.3</v>
      </c>
      <c r="D19" s="125">
        <f>pm.rep!D79</f>
        <v>6215.44</v>
      </c>
      <c r="E19" s="125">
        <f>pm.rep!E79</f>
        <v>1891.33</v>
      </c>
      <c r="F19" s="125">
        <f>pm.rep!F79</f>
        <v>884.84900000000005</v>
      </c>
      <c r="G19" s="125">
        <f>pm.rep!G79</f>
        <v>525.71699999999998</v>
      </c>
      <c r="H19" s="125">
        <f>pm.rep!H79</f>
        <v>261.85300000000001</v>
      </c>
      <c r="I19" s="125">
        <f>pm.rep!I79</f>
        <v>142.27199999999999</v>
      </c>
      <c r="J19" s="125">
        <f>pm.rep!J79</f>
        <v>29.450299999999999</v>
      </c>
      <c r="K19" s="125">
        <f>pm.rep!K79</f>
        <v>17.791799999999999</v>
      </c>
      <c r="L19" s="125">
        <f>pm.rep!L79</f>
        <v>14.064299999999999</v>
      </c>
      <c r="M19" s="125">
        <f>pm.rep!M79</f>
        <v>7.9708800000000002</v>
      </c>
      <c r="N19" s="125">
        <f>pm.rep!N79</f>
        <v>3.5758399999999999</v>
      </c>
      <c r="O19" s="125">
        <f>pm.rep!O79</f>
        <v>2.1951700000000001</v>
      </c>
      <c r="P19" s="125">
        <f>pm.rep!P79</f>
        <v>1.45309</v>
      </c>
      <c r="Q19" s="125">
        <f>SUM(B19:$P19)</f>
        <v>62313.362379999991</v>
      </c>
      <c r="R19" s="125">
        <f>SUM(C19:$P19)</f>
        <v>35129.262379999993</v>
      </c>
      <c r="S19" s="125">
        <f>SUM(D19:$P19)</f>
        <v>9997.9623800000027</v>
      </c>
      <c r="T19" s="125">
        <f>SUM(E19:$P19)</f>
        <v>3782.5223799999999</v>
      </c>
      <c r="U19" s="125">
        <f>SUM(F19:$P19)</f>
        <v>1891.19238</v>
      </c>
      <c r="V19" s="125">
        <f>SUM(G19:$P19)</f>
        <v>1006.3433799999997</v>
      </c>
      <c r="W19" s="125">
        <f>SUM(H19:$P19)</f>
        <v>480.62638000000004</v>
      </c>
      <c r="X19" s="125">
        <f>SUM(I19:$P19)</f>
        <v>218.77337999999997</v>
      </c>
      <c r="Y19" s="125">
        <f>SUM(J19:$P19)</f>
        <v>76.501379999999997</v>
      </c>
      <c r="Z19" s="125">
        <f>SUM(K19:$P19)</f>
        <v>47.051079999999999</v>
      </c>
      <c r="AA19" s="125">
        <f>SUM(L19:$P19)</f>
        <v>29.25928</v>
      </c>
    </row>
    <row r="20" spans="1:27" x14ac:dyDescent="0.15">
      <c r="A20" s="123">
        <v>1981</v>
      </c>
      <c r="B20" s="125">
        <f>pm.rep!B80</f>
        <v>30738.1</v>
      </c>
      <c r="C20" s="125">
        <f>pm.rep!C80</f>
        <v>11035.8</v>
      </c>
      <c r="D20" s="125">
        <f>pm.rep!D80</f>
        <v>15585.4</v>
      </c>
      <c r="E20" s="125">
        <f>pm.rep!E80</f>
        <v>3907.99</v>
      </c>
      <c r="F20" s="125">
        <f>pm.rep!F80</f>
        <v>1012.67</v>
      </c>
      <c r="G20" s="125">
        <f>pm.rep!G80</f>
        <v>428.42500000000001</v>
      </c>
      <c r="H20" s="125">
        <f>pm.rep!H80</f>
        <v>248.41300000000001</v>
      </c>
      <c r="I20" s="125">
        <f>pm.rep!I80</f>
        <v>124.60599999999999</v>
      </c>
      <c r="J20" s="125">
        <f>pm.rep!J80</f>
        <v>67.975300000000004</v>
      </c>
      <c r="K20" s="125">
        <f>pm.rep!K80</f>
        <v>13.9597</v>
      </c>
      <c r="L20" s="125">
        <f>pm.rep!L80</f>
        <v>8.4352099999999997</v>
      </c>
      <c r="M20" s="125">
        <f>pm.rep!M80</f>
        <v>6.6680000000000001</v>
      </c>
      <c r="N20" s="125">
        <f>pm.rep!N80</f>
        <v>3.7790499999999998</v>
      </c>
      <c r="O20" s="125">
        <f>pm.rep!O80</f>
        <v>1.69533</v>
      </c>
      <c r="P20" s="125">
        <f>pm.rep!P80</f>
        <v>1.72966</v>
      </c>
      <c r="Q20" s="125">
        <f>SUM(B20:$P20)</f>
        <v>63185.646249999991</v>
      </c>
      <c r="R20" s="125">
        <f>SUM(C20:$P20)</f>
        <v>32447.546249999992</v>
      </c>
      <c r="S20" s="125">
        <f>SUM(D20:$P20)</f>
        <v>21411.746249999997</v>
      </c>
      <c r="T20" s="125">
        <f>SUM(E20:$P20)</f>
        <v>5826.3462499999987</v>
      </c>
      <c r="U20" s="125">
        <f>SUM(F20:$P20)</f>
        <v>1918.3562500000003</v>
      </c>
      <c r="V20" s="125">
        <f>SUM(G20:$P20)</f>
        <v>905.68624999999997</v>
      </c>
      <c r="W20" s="125">
        <f>SUM(H20:$P20)</f>
        <v>477.26125000000002</v>
      </c>
      <c r="X20" s="125">
        <f>SUM(I20:$P20)</f>
        <v>228.84825000000004</v>
      </c>
      <c r="Y20" s="125">
        <f>SUM(J20:$P20)</f>
        <v>104.24225</v>
      </c>
      <c r="Z20" s="125">
        <f>SUM(K20:$P20)</f>
        <v>36.266950000000001</v>
      </c>
      <c r="AA20" s="125">
        <f>SUM(L20:$P20)</f>
        <v>22.30725</v>
      </c>
    </row>
    <row r="21" spans="1:27" x14ac:dyDescent="0.15">
      <c r="A21" s="123">
        <v>1982</v>
      </c>
      <c r="B21" s="125">
        <f>pm.rep!B81</f>
        <v>16305.4</v>
      </c>
      <c r="C21" s="125">
        <f>pm.rep!C81</f>
        <v>12486.2</v>
      </c>
      <c r="D21" s="125">
        <f>pm.rep!D81</f>
        <v>6933.92</v>
      </c>
      <c r="E21" s="125">
        <f>pm.rep!E81</f>
        <v>10619.1</v>
      </c>
      <c r="F21" s="125">
        <f>pm.rep!F81</f>
        <v>2328.6999999999998</v>
      </c>
      <c r="G21" s="125">
        <f>pm.rep!G81</f>
        <v>540.91099999999994</v>
      </c>
      <c r="H21" s="125">
        <f>pm.rep!H81</f>
        <v>227.42099999999999</v>
      </c>
      <c r="I21" s="125">
        <f>pm.rep!I81</f>
        <v>132.10599999999999</v>
      </c>
      <c r="J21" s="125">
        <f>pm.rep!J81</f>
        <v>66.275700000000001</v>
      </c>
      <c r="K21" s="125">
        <f>pm.rep!K81</f>
        <v>36.001399999999997</v>
      </c>
      <c r="L21" s="125">
        <f>pm.rep!L81</f>
        <v>7.3979600000000003</v>
      </c>
      <c r="M21" s="125">
        <f>pm.rep!M81</f>
        <v>4.4702599999999997</v>
      </c>
      <c r="N21" s="125">
        <f>pm.rep!N81</f>
        <v>3.5337200000000002</v>
      </c>
      <c r="O21" s="125">
        <f>pm.rep!O81</f>
        <v>2.0027200000000001</v>
      </c>
      <c r="P21" s="125">
        <f>pm.rep!P81</f>
        <v>1.81508</v>
      </c>
      <c r="Q21" s="125">
        <f>SUM(B21:$P21)</f>
        <v>49695.254839999994</v>
      </c>
      <c r="R21" s="125">
        <f>SUM(C21:$P21)</f>
        <v>33389.85484</v>
      </c>
      <c r="S21" s="125">
        <f>SUM(D21:$P21)</f>
        <v>20903.654839999996</v>
      </c>
      <c r="T21" s="125">
        <f>SUM(E21:$P21)</f>
        <v>13969.734839999999</v>
      </c>
      <c r="U21" s="125">
        <f>SUM(F21:$P21)</f>
        <v>3350.6348399999997</v>
      </c>
      <c r="V21" s="125">
        <f>SUM(G21:$P21)</f>
        <v>1021.9348399999999</v>
      </c>
      <c r="W21" s="125">
        <f>SUM(H21:$P21)</f>
        <v>481.02384000000001</v>
      </c>
      <c r="X21" s="125">
        <f>SUM(I21:$P21)</f>
        <v>253.60283999999999</v>
      </c>
      <c r="Y21" s="125">
        <f>SUM(J21:$P21)</f>
        <v>121.49683999999998</v>
      </c>
      <c r="Z21" s="125">
        <f>SUM(K21:$P21)</f>
        <v>55.221139999999998</v>
      </c>
      <c r="AA21" s="125">
        <f>SUM(L21:$P21)</f>
        <v>19.219740000000002</v>
      </c>
    </row>
    <row r="22" spans="1:27" x14ac:dyDescent="0.15">
      <c r="A22" s="123">
        <v>1983</v>
      </c>
      <c r="B22" s="125">
        <f>pm.rep!B82</f>
        <v>52162.3</v>
      </c>
      <c r="C22" s="125">
        <f>pm.rep!C82</f>
        <v>6626.01</v>
      </c>
      <c r="D22" s="125">
        <f>pm.rep!D82</f>
        <v>7895.15</v>
      </c>
      <c r="E22" s="125">
        <f>pm.rep!E82</f>
        <v>4937.95</v>
      </c>
      <c r="F22" s="125">
        <f>pm.rep!F82</f>
        <v>6912.79</v>
      </c>
      <c r="G22" s="125">
        <f>pm.rep!G82</f>
        <v>1400.08</v>
      </c>
      <c r="H22" s="125">
        <f>pm.rep!H82</f>
        <v>320.00200000000001</v>
      </c>
      <c r="I22" s="125">
        <f>pm.rep!I82</f>
        <v>134.81100000000001</v>
      </c>
      <c r="J22" s="125">
        <f>pm.rep!J82</f>
        <v>78.058700000000002</v>
      </c>
      <c r="K22" s="125">
        <f>pm.rep!K82</f>
        <v>38.923499999999997</v>
      </c>
      <c r="L22" s="125">
        <f>pm.rep!L82</f>
        <v>21.1494</v>
      </c>
      <c r="M22" s="125">
        <f>pm.rep!M82</f>
        <v>4.3460099999999997</v>
      </c>
      <c r="N22" s="125">
        <f>pm.rep!N82</f>
        <v>2.6261000000000001</v>
      </c>
      <c r="O22" s="125">
        <f>pm.rep!O82</f>
        <v>2.07592</v>
      </c>
      <c r="P22" s="125">
        <f>pm.rep!P82</f>
        <v>2.24281</v>
      </c>
      <c r="Q22" s="125">
        <f>SUM(B22:$P22)</f>
        <v>80538.515439999974</v>
      </c>
      <c r="R22" s="125">
        <f>SUM(C22:$P22)</f>
        <v>28376.215440000007</v>
      </c>
      <c r="S22" s="125">
        <f>SUM(D22:$P22)</f>
        <v>21750.205440000005</v>
      </c>
      <c r="T22" s="125">
        <f>SUM(E22:$P22)</f>
        <v>13855.055439999998</v>
      </c>
      <c r="U22" s="125">
        <f>SUM(F22:$P22)</f>
        <v>8917.1054399999975</v>
      </c>
      <c r="V22" s="125">
        <f>SUM(G22:$P22)</f>
        <v>2004.3154399999999</v>
      </c>
      <c r="W22" s="125">
        <f>SUM(H22:$P22)</f>
        <v>604.23543999999993</v>
      </c>
      <c r="X22" s="125">
        <f>SUM(I22:$P22)</f>
        <v>284.23344000000003</v>
      </c>
      <c r="Y22" s="125">
        <f>SUM(J22:$P22)</f>
        <v>149.42243999999999</v>
      </c>
      <c r="Z22" s="125">
        <f>SUM(K22:$P22)</f>
        <v>71.363739999999993</v>
      </c>
      <c r="AA22" s="125">
        <f>SUM(L22:$P22)</f>
        <v>32.440240000000003</v>
      </c>
    </row>
    <row r="23" spans="1:27" x14ac:dyDescent="0.15">
      <c r="A23" s="123">
        <v>1984</v>
      </c>
      <c r="B23" s="125">
        <f>pm.rep!B83</f>
        <v>13572.8</v>
      </c>
      <c r="C23" s="125">
        <f>pm.rep!C83</f>
        <v>21200.1</v>
      </c>
      <c r="D23" s="125">
        <f>pm.rep!D83</f>
        <v>4193.2</v>
      </c>
      <c r="E23" s="125">
        <f>pm.rep!E83</f>
        <v>5677.6</v>
      </c>
      <c r="F23" s="125">
        <f>pm.rep!F83</f>
        <v>3339.89</v>
      </c>
      <c r="G23" s="125">
        <f>pm.rep!G83</f>
        <v>4387</v>
      </c>
      <c r="H23" s="125">
        <f>pm.rep!H83</f>
        <v>854.84199999999998</v>
      </c>
      <c r="I23" s="125">
        <f>pm.rep!I83</f>
        <v>195.61600000000001</v>
      </c>
      <c r="J23" s="125">
        <f>pm.rep!J83</f>
        <v>82.277699999999996</v>
      </c>
      <c r="K23" s="125">
        <f>pm.rep!K83</f>
        <v>47.154200000000003</v>
      </c>
      <c r="L23" s="125">
        <f>pm.rep!L83</f>
        <v>23.418399999999998</v>
      </c>
      <c r="M23" s="125">
        <f>pm.rep!M83</f>
        <v>12.724600000000001</v>
      </c>
      <c r="N23" s="125">
        <f>pm.rep!N83</f>
        <v>2.6147900000000002</v>
      </c>
      <c r="O23" s="125">
        <f>pm.rep!O83</f>
        <v>1.58</v>
      </c>
      <c r="P23" s="125">
        <f>pm.rep!P83</f>
        <v>2.5983700000000001</v>
      </c>
      <c r="Q23" s="125">
        <f>SUM(B23:$P23)</f>
        <v>53593.416059999989</v>
      </c>
      <c r="R23" s="125">
        <f>SUM(C23:$P23)</f>
        <v>40020.61606</v>
      </c>
      <c r="S23" s="125">
        <f>SUM(D23:$P23)</f>
        <v>18820.516060000002</v>
      </c>
      <c r="T23" s="125">
        <f>SUM(E23:$P23)</f>
        <v>14627.316060000001</v>
      </c>
      <c r="U23" s="125">
        <f>SUM(F23:$P23)</f>
        <v>8949.7160600000007</v>
      </c>
      <c r="V23" s="125">
        <f>SUM(G23:$P23)</f>
        <v>5609.8260599999976</v>
      </c>
      <c r="W23" s="125">
        <f>SUM(H23:$P23)</f>
        <v>1222.8260600000001</v>
      </c>
      <c r="X23" s="125">
        <f>SUM(I23:$P23)</f>
        <v>367.98406000000006</v>
      </c>
      <c r="Y23" s="125">
        <f>SUM(J23:$P23)</f>
        <v>172.36805999999999</v>
      </c>
      <c r="Z23" s="125">
        <f>SUM(K23:$P23)</f>
        <v>90.09035999999999</v>
      </c>
      <c r="AA23" s="125">
        <f>SUM(L23:$P23)</f>
        <v>42.936160000000001</v>
      </c>
    </row>
    <row r="24" spans="1:27" x14ac:dyDescent="0.15">
      <c r="A24" s="123">
        <v>1985</v>
      </c>
      <c r="B24" s="125">
        <f>pm.rep!B84</f>
        <v>34631.9</v>
      </c>
      <c r="C24" s="125">
        <f>pm.rep!C84</f>
        <v>5516.6</v>
      </c>
      <c r="D24" s="125">
        <f>pm.rep!D84</f>
        <v>13436.4</v>
      </c>
      <c r="E24" s="125">
        <f>pm.rep!E84</f>
        <v>3017.32</v>
      </c>
      <c r="F24" s="125">
        <f>pm.rep!F84</f>
        <v>3880.54</v>
      </c>
      <c r="G24" s="125">
        <f>pm.rep!G84</f>
        <v>2112.8000000000002</v>
      </c>
      <c r="H24" s="125">
        <f>pm.rep!H84</f>
        <v>2703.67</v>
      </c>
      <c r="I24" s="125">
        <f>pm.rep!I84</f>
        <v>522.27200000000005</v>
      </c>
      <c r="J24" s="125">
        <f>pm.rep!J84</f>
        <v>119.622</v>
      </c>
      <c r="K24" s="125">
        <f>pm.rep!K84</f>
        <v>49.792200000000001</v>
      </c>
      <c r="L24" s="125">
        <f>pm.rep!L84</f>
        <v>28.3294</v>
      </c>
      <c r="M24" s="125">
        <f>pm.rep!M84</f>
        <v>14.0694</v>
      </c>
      <c r="N24" s="125">
        <f>pm.rep!N84</f>
        <v>7.6447099999999999</v>
      </c>
      <c r="O24" s="125">
        <f>pm.rep!O84</f>
        <v>1.5709200000000001</v>
      </c>
      <c r="P24" s="125">
        <f>pm.rep!P84</f>
        <v>2.5102899999999999</v>
      </c>
      <c r="Q24" s="125">
        <f>SUM(B24:$P24)</f>
        <v>66045.040919999999</v>
      </c>
      <c r="R24" s="125">
        <f>SUM(C24:$P24)</f>
        <v>31413.140919999998</v>
      </c>
      <c r="S24" s="125">
        <f>SUM(D24:$P24)</f>
        <v>25896.540919999999</v>
      </c>
      <c r="T24" s="125">
        <f>SUM(E24:$P24)</f>
        <v>12460.140920000002</v>
      </c>
      <c r="U24" s="125">
        <f>SUM(F24:$P24)</f>
        <v>9442.8209200000019</v>
      </c>
      <c r="V24" s="125">
        <f>SUM(G24:$P24)</f>
        <v>5562.2809200000002</v>
      </c>
      <c r="W24" s="125">
        <f>SUM(H24:$P24)</f>
        <v>3449.48092</v>
      </c>
      <c r="X24" s="125">
        <f>SUM(I24:$P24)</f>
        <v>745.81092000000001</v>
      </c>
      <c r="Y24" s="125">
        <f>SUM(J24:$P24)</f>
        <v>223.53891999999999</v>
      </c>
      <c r="Z24" s="125">
        <f>SUM(K24:$P24)</f>
        <v>103.91692</v>
      </c>
      <c r="AA24" s="125">
        <f>SUM(L24:$P24)</f>
        <v>54.124719999999996</v>
      </c>
    </row>
    <row r="25" spans="1:27" x14ac:dyDescent="0.15">
      <c r="A25" s="123">
        <v>1986</v>
      </c>
      <c r="B25" s="125">
        <f>pm.rep!B85</f>
        <v>14545.4</v>
      </c>
      <c r="C25" s="125">
        <f>pm.rep!C85</f>
        <v>14076.6</v>
      </c>
      <c r="D25" s="125">
        <f>pm.rep!D85</f>
        <v>3495.58</v>
      </c>
      <c r="E25" s="125">
        <f>pm.rep!E85</f>
        <v>9643.9500000000007</v>
      </c>
      <c r="F25" s="125">
        <f>pm.rep!F85</f>
        <v>2079.1799999999998</v>
      </c>
      <c r="G25" s="125">
        <f>pm.rep!G85</f>
        <v>2532.64</v>
      </c>
      <c r="H25" s="125">
        <f>pm.rep!H85</f>
        <v>1281.8900000000001</v>
      </c>
      <c r="I25" s="125">
        <f>pm.rep!I85</f>
        <v>1644.83</v>
      </c>
      <c r="J25" s="125">
        <f>pm.rep!J85</f>
        <v>317.73500000000001</v>
      </c>
      <c r="K25" s="125">
        <f>pm.rep!K85</f>
        <v>72.165400000000005</v>
      </c>
      <c r="L25" s="125">
        <f>pm.rep!L85</f>
        <v>29.7333</v>
      </c>
      <c r="M25" s="125">
        <f>pm.rep!M85</f>
        <v>16.916799999999999</v>
      </c>
      <c r="N25" s="125">
        <f>pm.rep!N85</f>
        <v>8.4014900000000008</v>
      </c>
      <c r="O25" s="125">
        <f>pm.rep!O85</f>
        <v>4.5650199999999996</v>
      </c>
      <c r="P25" s="125">
        <f>pm.rep!P85</f>
        <v>2.4370799999999999</v>
      </c>
      <c r="Q25" s="125">
        <f>SUM(B25:$P25)</f>
        <v>49752.024089999999</v>
      </c>
      <c r="R25" s="125">
        <f>SUM(C25:$P25)</f>
        <v>35206.624090000005</v>
      </c>
      <c r="S25" s="125">
        <f>SUM(D25:$P25)</f>
        <v>21130.024089999999</v>
      </c>
      <c r="T25" s="125">
        <f>SUM(E25:$P25)</f>
        <v>17634.444089999997</v>
      </c>
      <c r="U25" s="125">
        <f>SUM(F25:$P25)</f>
        <v>7990.4940899999992</v>
      </c>
      <c r="V25" s="125">
        <f>SUM(G25:$P25)</f>
        <v>5911.3140899999989</v>
      </c>
      <c r="W25" s="125">
        <f>SUM(H25:$P25)</f>
        <v>3378.6740900000004</v>
      </c>
      <c r="X25" s="125">
        <f>SUM(I25:$P25)</f>
        <v>2096.7840900000006</v>
      </c>
      <c r="Y25" s="125">
        <f>SUM(J25:$P25)</f>
        <v>451.95409000000001</v>
      </c>
      <c r="Z25" s="125">
        <f>SUM(K25:$P25)</f>
        <v>134.21908999999999</v>
      </c>
      <c r="AA25" s="125">
        <f>SUM(L25:$P25)</f>
        <v>62.053689999999996</v>
      </c>
    </row>
    <row r="26" spans="1:27" x14ac:dyDescent="0.15">
      <c r="A26" s="123">
        <v>1987</v>
      </c>
      <c r="B26" s="125">
        <f>pm.rep!B86</f>
        <v>7835.33</v>
      </c>
      <c r="C26" s="125">
        <f>pm.rep!C86</f>
        <v>5912.49</v>
      </c>
      <c r="D26" s="125">
        <f>pm.rep!D86</f>
        <v>8925.2199999999993</v>
      </c>
      <c r="E26" s="125">
        <f>pm.rep!E86</f>
        <v>2509.0700000000002</v>
      </c>
      <c r="F26" s="125">
        <f>pm.rep!F86</f>
        <v>6610.44</v>
      </c>
      <c r="G26" s="125">
        <f>pm.rep!G86</f>
        <v>1374.88</v>
      </c>
      <c r="H26" s="125">
        <f>pm.rep!H86</f>
        <v>1571.89</v>
      </c>
      <c r="I26" s="125">
        <f>pm.rep!I86</f>
        <v>789.82299999999998</v>
      </c>
      <c r="J26" s="125">
        <f>pm.rep!J86</f>
        <v>1025.6199999999999</v>
      </c>
      <c r="K26" s="125">
        <f>pm.rep!K86</f>
        <v>193.56299999999999</v>
      </c>
      <c r="L26" s="125">
        <f>pm.rep!L86</f>
        <v>43.738999999999997</v>
      </c>
      <c r="M26" s="125">
        <f>pm.rep!M86</f>
        <v>18.0212</v>
      </c>
      <c r="N26" s="125">
        <f>pm.rep!N86</f>
        <v>10.2532</v>
      </c>
      <c r="O26" s="125">
        <f>pm.rep!O86</f>
        <v>5.0921000000000003</v>
      </c>
      <c r="P26" s="125">
        <f>pm.rep!P86</f>
        <v>4.2439299999999998</v>
      </c>
      <c r="Q26" s="125">
        <f>SUM(B26:$P26)</f>
        <v>36829.675430000003</v>
      </c>
      <c r="R26" s="125">
        <f>SUM(C26:$P26)</f>
        <v>28994.345429999998</v>
      </c>
      <c r="S26" s="125">
        <f>SUM(D26:$P26)</f>
        <v>23081.85543</v>
      </c>
      <c r="T26" s="125">
        <f>SUM(E26:$P26)</f>
        <v>14156.635429999997</v>
      </c>
      <c r="U26" s="125">
        <f>SUM(F26:$P26)</f>
        <v>11647.565429999997</v>
      </c>
      <c r="V26" s="125">
        <f>SUM(G26:$P26)</f>
        <v>5037.1254299999991</v>
      </c>
      <c r="W26" s="125">
        <f>SUM(H26:$P26)</f>
        <v>3662.2454300000004</v>
      </c>
      <c r="X26" s="125">
        <f>SUM(I26:$P26)</f>
        <v>2090.3554300000001</v>
      </c>
      <c r="Y26" s="125">
        <f>SUM(J26:$P26)</f>
        <v>1300.5324300000002</v>
      </c>
      <c r="Z26" s="125">
        <f>SUM(K26:$P26)</f>
        <v>274.91242999999997</v>
      </c>
      <c r="AA26" s="125">
        <f>SUM(L26:$P26)</f>
        <v>81.349429999999998</v>
      </c>
    </row>
    <row r="27" spans="1:27" x14ac:dyDescent="0.15">
      <c r="A27" s="123">
        <v>1988</v>
      </c>
      <c r="B27" s="125">
        <f>pm.rep!B87</f>
        <v>5561.46</v>
      </c>
      <c r="C27" s="125">
        <f>pm.rep!C87</f>
        <v>3185.19</v>
      </c>
      <c r="D27" s="125">
        <f>pm.rep!D87</f>
        <v>3755.53</v>
      </c>
      <c r="E27" s="125">
        <f>pm.rep!E87</f>
        <v>6445.86</v>
      </c>
      <c r="F27" s="125">
        <f>pm.rep!F87</f>
        <v>1765.34</v>
      </c>
      <c r="G27" s="125">
        <f>pm.rep!G87</f>
        <v>4509.9799999999996</v>
      </c>
      <c r="H27" s="125">
        <f>pm.rep!H87</f>
        <v>905.13900000000001</v>
      </c>
      <c r="I27" s="125">
        <f>pm.rep!I87</f>
        <v>1029.6300000000001</v>
      </c>
      <c r="J27" s="125">
        <f>pm.rep!J87</f>
        <v>508.08300000000003</v>
      </c>
      <c r="K27" s="125">
        <f>pm.rep!K87</f>
        <v>653.68799999999999</v>
      </c>
      <c r="L27" s="125">
        <f>pm.rep!L87</f>
        <v>123.76300000000001</v>
      </c>
      <c r="M27" s="125">
        <f>pm.rep!M87</f>
        <v>27.9664</v>
      </c>
      <c r="N27" s="125">
        <f>pm.rep!N87</f>
        <v>11.522600000000001</v>
      </c>
      <c r="O27" s="125">
        <f>pm.rep!O87</f>
        <v>6.5558199999999998</v>
      </c>
      <c r="P27" s="125">
        <f>pm.rep!P87</f>
        <v>5.9693899999999998</v>
      </c>
      <c r="Q27" s="125">
        <f>SUM(B27:$P27)</f>
        <v>28495.677209999998</v>
      </c>
      <c r="R27" s="125">
        <f>SUM(C27:$P27)</f>
        <v>22934.217209999999</v>
      </c>
      <c r="S27" s="125">
        <f>SUM(D27:$P27)</f>
        <v>19749.027209999997</v>
      </c>
      <c r="T27" s="125">
        <f>SUM(E27:$P27)</f>
        <v>15993.497209999998</v>
      </c>
      <c r="U27" s="125">
        <f>SUM(F27:$P27)</f>
        <v>9547.6372100000008</v>
      </c>
      <c r="V27" s="125">
        <f>SUM(G27:$P27)</f>
        <v>7782.2972099999997</v>
      </c>
      <c r="W27" s="125">
        <f>SUM(H27:$P27)</f>
        <v>3272.3172100000002</v>
      </c>
      <c r="X27" s="125">
        <f>SUM(I27:$P27)</f>
        <v>2367.17821</v>
      </c>
      <c r="Y27" s="125">
        <f>SUM(J27:$P27)</f>
        <v>1337.5482099999999</v>
      </c>
      <c r="Z27" s="125">
        <f>SUM(K27:$P27)</f>
        <v>829.46521000000007</v>
      </c>
      <c r="AA27" s="125">
        <f>SUM(L27:$P27)</f>
        <v>175.77721000000003</v>
      </c>
    </row>
    <row r="28" spans="1:27" x14ac:dyDescent="0.15">
      <c r="A28" s="123">
        <v>1989</v>
      </c>
      <c r="B28" s="125">
        <f>pm.rep!B88</f>
        <v>11102.8</v>
      </c>
      <c r="C28" s="125">
        <f>pm.rep!C88</f>
        <v>2260.7800000000002</v>
      </c>
      <c r="D28" s="125">
        <f>pm.rep!D88</f>
        <v>2020.97</v>
      </c>
      <c r="E28" s="125">
        <f>pm.rep!E88</f>
        <v>2627.97</v>
      </c>
      <c r="F28" s="125">
        <f>pm.rep!F88</f>
        <v>4431.8100000000004</v>
      </c>
      <c r="G28" s="125">
        <f>pm.rep!G88</f>
        <v>1148.5899999999999</v>
      </c>
      <c r="H28" s="125">
        <f>pm.rep!H88</f>
        <v>2867.89</v>
      </c>
      <c r="I28" s="125">
        <f>pm.rep!I88</f>
        <v>554.75699999999995</v>
      </c>
      <c r="J28" s="125">
        <f>pm.rep!J88</f>
        <v>636.34799999999996</v>
      </c>
      <c r="K28" s="125">
        <f>pm.rep!K88</f>
        <v>310.72800000000001</v>
      </c>
      <c r="L28" s="125">
        <f>pm.rep!L88</f>
        <v>401.65100000000001</v>
      </c>
      <c r="M28" s="125">
        <f>pm.rep!M88</f>
        <v>76.044600000000003</v>
      </c>
      <c r="N28" s="125">
        <f>pm.rep!N88</f>
        <v>17.183599999999998</v>
      </c>
      <c r="O28" s="125">
        <f>pm.rep!O88</f>
        <v>7.0799300000000001</v>
      </c>
      <c r="P28" s="125">
        <f>pm.rep!P88</f>
        <v>7.6959600000000004</v>
      </c>
      <c r="Q28" s="125">
        <f>SUM(B28:$P28)</f>
        <v>28472.298090000004</v>
      </c>
      <c r="R28" s="125">
        <f>SUM(C28:$P28)</f>
        <v>17369.498090000001</v>
      </c>
      <c r="S28" s="125">
        <f>SUM(D28:$P28)</f>
        <v>15108.718089999997</v>
      </c>
      <c r="T28" s="125">
        <f>SUM(E28:$P28)</f>
        <v>13087.748089999997</v>
      </c>
      <c r="U28" s="125">
        <f>SUM(F28:$P28)</f>
        <v>10459.778089999998</v>
      </c>
      <c r="V28" s="125">
        <f>SUM(G28:$P28)</f>
        <v>6027.9680899999994</v>
      </c>
      <c r="W28" s="125">
        <f>SUM(H28:$P28)</f>
        <v>4879.3780900000002</v>
      </c>
      <c r="X28" s="125">
        <f>SUM(I28:$P28)</f>
        <v>2011.4880900000003</v>
      </c>
      <c r="Y28" s="125">
        <f>SUM(J28:$P28)</f>
        <v>1456.7310900000002</v>
      </c>
      <c r="Z28" s="125">
        <f>SUM(K28:$P28)</f>
        <v>820.38309000000004</v>
      </c>
      <c r="AA28" s="125">
        <f>SUM(L28:$P28)</f>
        <v>509.65509000000003</v>
      </c>
    </row>
    <row r="29" spans="1:27" x14ac:dyDescent="0.15">
      <c r="A29" s="123">
        <v>1990</v>
      </c>
      <c r="B29" s="125">
        <f>pm.rep!B89</f>
        <v>48848.1</v>
      </c>
      <c r="C29" s="125">
        <f>pm.rep!C89</f>
        <v>4513.45</v>
      </c>
      <c r="D29" s="125">
        <f>pm.rep!D89</f>
        <v>1434.67</v>
      </c>
      <c r="E29" s="125">
        <f>pm.rep!E89</f>
        <v>1436.07</v>
      </c>
      <c r="F29" s="125">
        <f>pm.rep!F89</f>
        <v>1780.46</v>
      </c>
      <c r="G29" s="125">
        <f>pm.rep!G89</f>
        <v>2872.5</v>
      </c>
      <c r="H29" s="125">
        <f>pm.rep!H89</f>
        <v>721.34100000000001</v>
      </c>
      <c r="I29" s="125">
        <f>pm.rep!I89</f>
        <v>1722.6</v>
      </c>
      <c r="J29" s="125">
        <f>pm.rep!J89</f>
        <v>337.46199999999999</v>
      </c>
      <c r="K29" s="125">
        <f>pm.rep!K89</f>
        <v>390.92700000000002</v>
      </c>
      <c r="L29" s="125">
        <f>pm.rep!L89</f>
        <v>191.24299999999999</v>
      </c>
      <c r="M29" s="125">
        <f>pm.rep!M89</f>
        <v>247.203</v>
      </c>
      <c r="N29" s="125">
        <f>pm.rep!N89</f>
        <v>46.803100000000001</v>
      </c>
      <c r="O29" s="125">
        <f>pm.rep!O89</f>
        <v>10.576000000000001</v>
      </c>
      <c r="P29" s="125">
        <f>pm.rep!P89</f>
        <v>9.0940999999999992</v>
      </c>
      <c r="Q29" s="125">
        <f>SUM(B29:$P29)</f>
        <v>64562.499199999998</v>
      </c>
      <c r="R29" s="125">
        <f>SUM(C29:$P29)</f>
        <v>15714.399199999998</v>
      </c>
      <c r="S29" s="125">
        <f>SUM(D29:$P29)</f>
        <v>11200.949199999997</v>
      </c>
      <c r="T29" s="125">
        <f>SUM(E29:$P29)</f>
        <v>9766.2791999999972</v>
      </c>
      <c r="U29" s="125">
        <f>SUM(F29:$P29)</f>
        <v>8330.2091999999975</v>
      </c>
      <c r="V29" s="125">
        <f>SUM(G29:$P29)</f>
        <v>6549.7492000000011</v>
      </c>
      <c r="W29" s="125">
        <f>SUM(H29:$P29)</f>
        <v>3677.2491999999997</v>
      </c>
      <c r="X29" s="125">
        <f>SUM(I29:$P29)</f>
        <v>2955.9081999999999</v>
      </c>
      <c r="Y29" s="125">
        <f>SUM(J29:$P29)</f>
        <v>1233.3082000000002</v>
      </c>
      <c r="Z29" s="125">
        <f>SUM(K29:$P29)</f>
        <v>895.84620000000007</v>
      </c>
      <c r="AA29" s="125">
        <f>SUM(L29:$P29)</f>
        <v>504.91920000000005</v>
      </c>
    </row>
    <row r="30" spans="1:27" x14ac:dyDescent="0.15">
      <c r="A30" s="123">
        <v>1991</v>
      </c>
      <c r="B30" s="125">
        <f>pm.rep!B90</f>
        <v>25581.3</v>
      </c>
      <c r="C30" s="125">
        <f>pm.rep!C90</f>
        <v>19857</v>
      </c>
      <c r="D30" s="125">
        <f>pm.rep!D90</f>
        <v>2858.66</v>
      </c>
      <c r="E30" s="125">
        <f>pm.rep!E90</f>
        <v>1015.24</v>
      </c>
      <c r="F30" s="125">
        <f>pm.rep!F90</f>
        <v>925.85299999999995</v>
      </c>
      <c r="G30" s="125">
        <f>pm.rep!G90</f>
        <v>1050.05</v>
      </c>
      <c r="H30" s="125">
        <f>pm.rep!H90</f>
        <v>1657.8</v>
      </c>
      <c r="I30" s="125">
        <f>pm.rep!I90</f>
        <v>403.81900000000002</v>
      </c>
      <c r="J30" s="125">
        <f>pm.rep!J90</f>
        <v>959.34799999999996</v>
      </c>
      <c r="K30" s="125">
        <f>pm.rep!K90</f>
        <v>189.99700000000001</v>
      </c>
      <c r="L30" s="125">
        <f>pm.rep!L90</f>
        <v>222.494</v>
      </c>
      <c r="M30" s="125">
        <f>pm.rep!M90</f>
        <v>108.845</v>
      </c>
      <c r="N30" s="125">
        <f>pm.rep!N90</f>
        <v>140.69399999999999</v>
      </c>
      <c r="O30" s="125">
        <f>pm.rep!O90</f>
        <v>26.637599999999999</v>
      </c>
      <c r="P30" s="125">
        <f>pm.rep!P90</f>
        <v>11.1951</v>
      </c>
      <c r="Q30" s="125">
        <f>SUM(B30:$P30)</f>
        <v>55008.932700000019</v>
      </c>
      <c r="R30" s="125">
        <f>SUM(C30:$P30)</f>
        <v>29427.632699999995</v>
      </c>
      <c r="S30" s="125">
        <f>SUM(D30:$P30)</f>
        <v>9570.6327000000001</v>
      </c>
      <c r="T30" s="125">
        <f>SUM(E30:$P30)</f>
        <v>6711.9727000000012</v>
      </c>
      <c r="U30" s="125">
        <f>SUM(F30:$P30)</f>
        <v>5696.7326999999996</v>
      </c>
      <c r="V30" s="125">
        <f>SUM(G30:$P30)</f>
        <v>4770.8797000000004</v>
      </c>
      <c r="W30" s="125">
        <f>SUM(H30:$P30)</f>
        <v>3720.8296999999998</v>
      </c>
      <c r="X30" s="125">
        <f>SUM(I30:$P30)</f>
        <v>2063.0296999999996</v>
      </c>
      <c r="Y30" s="125">
        <f>SUM(J30:$P30)</f>
        <v>1659.2106999999999</v>
      </c>
      <c r="Z30" s="125">
        <f>SUM(K30:$P30)</f>
        <v>699.86270000000002</v>
      </c>
      <c r="AA30" s="125">
        <f>SUM(L30:$P30)</f>
        <v>509.86570000000006</v>
      </c>
    </row>
    <row r="31" spans="1:27" x14ac:dyDescent="0.15">
      <c r="A31" s="123">
        <v>1992</v>
      </c>
      <c r="B31" s="125">
        <f>pm.rep!B91</f>
        <v>22780.799999999999</v>
      </c>
      <c r="C31" s="125">
        <f>pm.rep!C91</f>
        <v>10399</v>
      </c>
      <c r="D31" s="125">
        <f>pm.rep!D91</f>
        <v>12571.5</v>
      </c>
      <c r="E31" s="125">
        <f>pm.rep!E91</f>
        <v>2041.8</v>
      </c>
      <c r="F31" s="125">
        <f>pm.rep!F91</f>
        <v>669.51900000000001</v>
      </c>
      <c r="G31" s="125">
        <f>pm.rep!G91</f>
        <v>558.52300000000002</v>
      </c>
      <c r="H31" s="125">
        <f>pm.rep!H91</f>
        <v>604.03499999999997</v>
      </c>
      <c r="I31" s="125">
        <f>pm.rep!I91</f>
        <v>884.06799999999998</v>
      </c>
      <c r="J31" s="125">
        <f>pm.rep!J91</f>
        <v>223.084</v>
      </c>
      <c r="K31" s="125">
        <f>pm.rep!K91</f>
        <v>509.733</v>
      </c>
      <c r="L31" s="125">
        <f>pm.rep!L91</f>
        <v>101.09699999999999</v>
      </c>
      <c r="M31" s="125">
        <f>pm.rep!M91</f>
        <v>118.389</v>
      </c>
      <c r="N31" s="125">
        <f>pm.rep!N91</f>
        <v>57.916200000000003</v>
      </c>
      <c r="O31" s="125">
        <f>pm.rep!O91</f>
        <v>74.863200000000006</v>
      </c>
      <c r="P31" s="125">
        <f>pm.rep!P91</f>
        <v>20.130700000000001</v>
      </c>
      <c r="Q31" s="125">
        <f>SUM(B31:$P31)</f>
        <v>51614.458100000018</v>
      </c>
      <c r="R31" s="125">
        <f>SUM(C31:$P31)</f>
        <v>28833.658100000001</v>
      </c>
      <c r="S31" s="125">
        <f>SUM(D31:$P31)</f>
        <v>18434.658100000001</v>
      </c>
      <c r="T31" s="125">
        <f>SUM(E31:$P31)</f>
        <v>5863.1580999999987</v>
      </c>
      <c r="U31" s="125">
        <f>SUM(F31:$P31)</f>
        <v>3821.3580999999999</v>
      </c>
      <c r="V31" s="125">
        <f>SUM(G31:$P31)</f>
        <v>3151.8391000000006</v>
      </c>
      <c r="W31" s="125">
        <f>SUM(H31:$P31)</f>
        <v>2593.3161000000005</v>
      </c>
      <c r="X31" s="125">
        <f>SUM(I31:$P31)</f>
        <v>1989.2810999999997</v>
      </c>
      <c r="Y31" s="125">
        <f>SUM(J31:$P31)</f>
        <v>1105.2130999999999</v>
      </c>
      <c r="Z31" s="125">
        <f>SUM(K31:$P31)</f>
        <v>882.12910000000011</v>
      </c>
      <c r="AA31" s="125">
        <f>SUM(L31:$P31)</f>
        <v>372.39609999999999</v>
      </c>
    </row>
    <row r="32" spans="1:27" x14ac:dyDescent="0.15">
      <c r="A32" s="123">
        <v>1993</v>
      </c>
      <c r="B32" s="125">
        <f>pm.rep!B92</f>
        <v>46863.199999999997</v>
      </c>
      <c r="C32" s="125">
        <f>pm.rep!C92</f>
        <v>9260.4</v>
      </c>
      <c r="D32" s="125">
        <f>pm.rep!D92</f>
        <v>6574.82</v>
      </c>
      <c r="E32" s="125">
        <f>pm.rep!E92</f>
        <v>8722.6200000000008</v>
      </c>
      <c r="F32" s="125">
        <f>pm.rep!F92</f>
        <v>1341.63</v>
      </c>
      <c r="G32" s="125">
        <f>pm.rep!G92</f>
        <v>406.24400000000003</v>
      </c>
      <c r="H32" s="125">
        <f>pm.rep!H92</f>
        <v>299.82799999999997</v>
      </c>
      <c r="I32" s="125">
        <f>pm.rep!I92</f>
        <v>292.62599999999998</v>
      </c>
      <c r="J32" s="125">
        <f>pm.rep!J92</f>
        <v>416.21800000000002</v>
      </c>
      <c r="K32" s="125">
        <f>pm.rep!K92</f>
        <v>104.61499999999999</v>
      </c>
      <c r="L32" s="125">
        <f>pm.rep!L92</f>
        <v>240.75299999999999</v>
      </c>
      <c r="M32" s="125">
        <f>pm.rep!M92</f>
        <v>47.749400000000001</v>
      </c>
      <c r="N32" s="125">
        <f>pm.rep!N92</f>
        <v>55.916499999999999</v>
      </c>
      <c r="O32" s="125">
        <f>pm.rep!O92</f>
        <v>27.354600000000001</v>
      </c>
      <c r="P32" s="125">
        <f>pm.rep!P92</f>
        <v>44.866799999999998</v>
      </c>
      <c r="Q32" s="125">
        <f>SUM(B32:$P32)</f>
        <v>74698.841300000015</v>
      </c>
      <c r="R32" s="125">
        <f>SUM(C32:$P32)</f>
        <v>27835.641300000003</v>
      </c>
      <c r="S32" s="125">
        <f>SUM(D32:$P32)</f>
        <v>18575.241300000002</v>
      </c>
      <c r="T32" s="125">
        <f>SUM(E32:$P32)</f>
        <v>12000.421300000002</v>
      </c>
      <c r="U32" s="125">
        <f>SUM(F32:$P32)</f>
        <v>3277.8013000000001</v>
      </c>
      <c r="V32" s="125">
        <f>SUM(G32:$P32)</f>
        <v>1936.1712999999997</v>
      </c>
      <c r="W32" s="125">
        <f>SUM(H32:$P32)</f>
        <v>1529.9272999999998</v>
      </c>
      <c r="X32" s="125">
        <f>SUM(I32:$P32)</f>
        <v>1230.0992999999999</v>
      </c>
      <c r="Y32" s="125">
        <f>SUM(J32:$P32)</f>
        <v>937.47330000000011</v>
      </c>
      <c r="Z32" s="125">
        <f>SUM(K32:$P32)</f>
        <v>521.25529999999992</v>
      </c>
      <c r="AA32" s="125">
        <f>SUM(L32:$P32)</f>
        <v>416.64029999999997</v>
      </c>
    </row>
    <row r="33" spans="1:27" x14ac:dyDescent="0.15">
      <c r="A33" s="123">
        <v>1994</v>
      </c>
      <c r="B33" s="125">
        <f>pm.rep!B93</f>
        <v>15942.8</v>
      </c>
      <c r="C33" s="125">
        <f>pm.rep!C93</f>
        <v>19051.2</v>
      </c>
      <c r="D33" s="125">
        <f>pm.rep!D93</f>
        <v>5882.78</v>
      </c>
      <c r="E33" s="125">
        <f>pm.rep!E93</f>
        <v>4674.55</v>
      </c>
      <c r="F33" s="125">
        <f>pm.rep!F93</f>
        <v>5550.3</v>
      </c>
      <c r="G33" s="125">
        <f>pm.rep!G93</f>
        <v>868.91099999999994</v>
      </c>
      <c r="H33" s="125">
        <f>pm.rep!H93</f>
        <v>242.44200000000001</v>
      </c>
      <c r="I33" s="125">
        <f>pm.rep!I93</f>
        <v>164.13300000000001</v>
      </c>
      <c r="J33" s="125">
        <f>pm.rep!J93</f>
        <v>160.26400000000001</v>
      </c>
      <c r="K33" s="125">
        <f>pm.rep!K93</f>
        <v>228.08699999999999</v>
      </c>
      <c r="L33" s="125">
        <f>pm.rep!L93</f>
        <v>57.996499999999997</v>
      </c>
      <c r="M33" s="125">
        <f>pm.rep!M93</f>
        <v>133.46899999999999</v>
      </c>
      <c r="N33" s="125">
        <f>pm.rep!N93</f>
        <v>26.471299999999999</v>
      </c>
      <c r="O33" s="125">
        <f>pm.rep!O93</f>
        <v>30.998999999999999</v>
      </c>
      <c r="P33" s="125">
        <f>pm.rep!P93</f>
        <v>40.038200000000003</v>
      </c>
      <c r="Q33" s="125">
        <f>SUM(B33:$P33)</f>
        <v>53054.441000000013</v>
      </c>
      <c r="R33" s="125">
        <f>SUM(C33:$P33)</f>
        <v>37111.641000000011</v>
      </c>
      <c r="S33" s="125">
        <f>SUM(D33:$P33)</f>
        <v>18060.441000000003</v>
      </c>
      <c r="T33" s="125">
        <f>SUM(E33:$P33)</f>
        <v>12177.660999999998</v>
      </c>
      <c r="U33" s="125">
        <f>SUM(F33:$P33)</f>
        <v>7503.1110000000008</v>
      </c>
      <c r="V33" s="125">
        <f>SUM(G33:$P33)</f>
        <v>1952.8109999999999</v>
      </c>
      <c r="W33" s="125">
        <f>SUM(H33:$P33)</f>
        <v>1083.8999999999999</v>
      </c>
      <c r="X33" s="125">
        <f>SUM(I33:$P33)</f>
        <v>841.45799999999997</v>
      </c>
      <c r="Y33" s="125">
        <f>SUM(J33:$P33)</f>
        <v>677.32499999999993</v>
      </c>
      <c r="Z33" s="125">
        <f>SUM(K33:$P33)</f>
        <v>517.06099999999992</v>
      </c>
      <c r="AA33" s="125">
        <f>SUM(L33:$P33)</f>
        <v>288.97399999999999</v>
      </c>
    </row>
    <row r="34" spans="1:27" x14ac:dyDescent="0.15">
      <c r="A34" s="123">
        <v>1995</v>
      </c>
      <c r="B34" s="125">
        <f>pm.rep!B94</f>
        <v>10904.9</v>
      </c>
      <c r="C34" s="125">
        <f>pm.rep!C94</f>
        <v>6481.33</v>
      </c>
      <c r="D34" s="125">
        <f>pm.rep!D94</f>
        <v>12108.4</v>
      </c>
      <c r="E34" s="125">
        <f>pm.rep!E94</f>
        <v>4276.8100000000004</v>
      </c>
      <c r="F34" s="125">
        <f>pm.rep!F94</f>
        <v>3180.95</v>
      </c>
      <c r="G34" s="125">
        <f>pm.rep!G94</f>
        <v>3283.07</v>
      </c>
      <c r="H34" s="125">
        <f>pm.rep!H94</f>
        <v>517.85</v>
      </c>
      <c r="I34" s="125">
        <f>pm.rep!I94</f>
        <v>136.02500000000001</v>
      </c>
      <c r="J34" s="125">
        <f>pm.rep!J94</f>
        <v>92.2149</v>
      </c>
      <c r="K34" s="125">
        <f>pm.rep!K94</f>
        <v>90.339699999999993</v>
      </c>
      <c r="L34" s="125">
        <f>pm.rep!L94</f>
        <v>129.39400000000001</v>
      </c>
      <c r="M34" s="125">
        <f>pm.rep!M94</f>
        <v>32.901299999999999</v>
      </c>
      <c r="N34" s="125">
        <f>pm.rep!N94</f>
        <v>75.716899999999995</v>
      </c>
      <c r="O34" s="125">
        <f>pm.rep!O94</f>
        <v>15.017200000000001</v>
      </c>
      <c r="P34" s="125">
        <f>pm.rep!P94</f>
        <v>40.299300000000002</v>
      </c>
      <c r="Q34" s="125">
        <f>SUM(B34:$P34)</f>
        <v>41365.218299999986</v>
      </c>
      <c r="R34" s="125">
        <f>SUM(C34:$P34)</f>
        <v>30460.318299999999</v>
      </c>
      <c r="S34" s="125">
        <f>SUM(D34:$P34)</f>
        <v>23978.988299999997</v>
      </c>
      <c r="T34" s="125">
        <f>SUM(E34:$P34)</f>
        <v>11870.588300000001</v>
      </c>
      <c r="U34" s="125">
        <f>SUM(F34:$P34)</f>
        <v>7593.7783000000009</v>
      </c>
      <c r="V34" s="125">
        <f>SUM(G34:$P34)</f>
        <v>4412.828300000001</v>
      </c>
      <c r="W34" s="125">
        <f>SUM(H34:$P34)</f>
        <v>1129.7582999999997</v>
      </c>
      <c r="X34" s="125">
        <f>SUM(I34:$P34)</f>
        <v>611.90830000000005</v>
      </c>
      <c r="Y34" s="125">
        <f>SUM(J34:$P34)</f>
        <v>475.88330000000002</v>
      </c>
      <c r="Z34" s="125">
        <f>SUM(K34:$P34)</f>
        <v>383.66840000000002</v>
      </c>
      <c r="AA34" s="125">
        <f>SUM(L34:$P34)</f>
        <v>293.32870000000003</v>
      </c>
    </row>
    <row r="35" spans="1:27" x14ac:dyDescent="0.15">
      <c r="A35" s="123">
        <v>1996</v>
      </c>
      <c r="B35" s="125">
        <f>pm.rep!B95</f>
        <v>22878.1</v>
      </c>
      <c r="C35" s="125">
        <f>pm.rep!C95</f>
        <v>4433.28</v>
      </c>
      <c r="D35" s="125">
        <f>pm.rep!D95</f>
        <v>4118.8900000000003</v>
      </c>
      <c r="E35" s="125">
        <f>pm.rep!E95</f>
        <v>8860.85</v>
      </c>
      <c r="F35" s="125">
        <f>pm.rep!F95</f>
        <v>3043.58</v>
      </c>
      <c r="G35" s="125">
        <f>pm.rep!G95</f>
        <v>2033.87</v>
      </c>
      <c r="H35" s="125">
        <f>pm.rep!H95</f>
        <v>1793.97</v>
      </c>
      <c r="I35" s="125">
        <f>pm.rep!I95</f>
        <v>290.14400000000001</v>
      </c>
      <c r="J35" s="125">
        <f>pm.rep!J95</f>
        <v>76.336200000000005</v>
      </c>
      <c r="K35" s="125">
        <f>pm.rep!K95</f>
        <v>52.177900000000001</v>
      </c>
      <c r="L35" s="125">
        <f>pm.rep!L95</f>
        <v>51.543100000000003</v>
      </c>
      <c r="M35" s="125">
        <f>pm.rep!M95</f>
        <v>73.825100000000006</v>
      </c>
      <c r="N35" s="125">
        <f>pm.rep!N95</f>
        <v>18.771799999999999</v>
      </c>
      <c r="O35" s="125">
        <f>pm.rep!O95</f>
        <v>43.2</v>
      </c>
      <c r="P35" s="125">
        <f>pm.rep!P95</f>
        <v>31.560700000000001</v>
      </c>
      <c r="Q35" s="125">
        <f>SUM(B35:$P35)</f>
        <v>47800.098800000007</v>
      </c>
      <c r="R35" s="125">
        <f>SUM(C35:$P35)</f>
        <v>24921.998799999998</v>
      </c>
      <c r="S35" s="125">
        <f>SUM(D35:$P35)</f>
        <v>20488.718800000002</v>
      </c>
      <c r="T35" s="125">
        <f>SUM(E35:$P35)</f>
        <v>16369.828800000001</v>
      </c>
      <c r="U35" s="125">
        <f>SUM(F35:$P35)</f>
        <v>7508.9787999999999</v>
      </c>
      <c r="V35" s="125">
        <f>SUM(G35:$P35)</f>
        <v>4465.3987999999999</v>
      </c>
      <c r="W35" s="125">
        <f>SUM(H35:$P35)</f>
        <v>2431.5288</v>
      </c>
      <c r="X35" s="125">
        <f>SUM(I35:$P35)</f>
        <v>637.55880000000002</v>
      </c>
      <c r="Y35" s="125">
        <f>SUM(J35:$P35)</f>
        <v>347.41480000000001</v>
      </c>
      <c r="Z35" s="125">
        <f>SUM(K35:$P35)</f>
        <v>271.07859999999999</v>
      </c>
      <c r="AA35" s="125">
        <f>SUM(L35:$P35)</f>
        <v>218.90069999999997</v>
      </c>
    </row>
    <row r="36" spans="1:27" x14ac:dyDescent="0.15">
      <c r="A36" s="123">
        <v>1997</v>
      </c>
      <c r="B36" s="125">
        <f>pm.rep!B96</f>
        <v>31178.400000000001</v>
      </c>
      <c r="C36" s="125">
        <f>pm.rep!C96</f>
        <v>9300.86</v>
      </c>
      <c r="D36" s="125">
        <f>pm.rep!D96</f>
        <v>2812.38</v>
      </c>
      <c r="E36" s="125">
        <f>pm.rep!E96</f>
        <v>3002.93</v>
      </c>
      <c r="F36" s="125">
        <f>pm.rep!F96</f>
        <v>6417.13</v>
      </c>
      <c r="G36" s="125">
        <f>pm.rep!G96</f>
        <v>2074.58</v>
      </c>
      <c r="H36" s="125">
        <f>pm.rep!H96</f>
        <v>1174.0899999999999</v>
      </c>
      <c r="I36" s="125">
        <f>pm.rep!I96</f>
        <v>896.16200000000003</v>
      </c>
      <c r="J36" s="125">
        <f>pm.rep!J96</f>
        <v>146.09399999999999</v>
      </c>
      <c r="K36" s="125">
        <f>pm.rep!K96</f>
        <v>40.155999999999999</v>
      </c>
      <c r="L36" s="125">
        <f>pm.rep!L96</f>
        <v>28.360499999999998</v>
      </c>
      <c r="M36" s="125">
        <f>pm.rep!M96</f>
        <v>28.015499999999999</v>
      </c>
      <c r="N36" s="125">
        <f>pm.rep!N96</f>
        <v>40.126600000000003</v>
      </c>
      <c r="O36" s="125">
        <f>pm.rep!O96</f>
        <v>10.203099999999999</v>
      </c>
      <c r="P36" s="125">
        <f>pm.rep!P96</f>
        <v>40.635100000000001</v>
      </c>
      <c r="Q36" s="125">
        <f>SUM(B36:$P36)</f>
        <v>57190.122799999997</v>
      </c>
      <c r="R36" s="125">
        <f>SUM(C36:$P36)</f>
        <v>26011.722800000003</v>
      </c>
      <c r="S36" s="125">
        <f>SUM(D36:$P36)</f>
        <v>16710.862799999995</v>
      </c>
      <c r="T36" s="125">
        <f>SUM(E36:$P36)</f>
        <v>13898.4828</v>
      </c>
      <c r="U36" s="125">
        <f>SUM(F36:$P36)</f>
        <v>10895.552799999999</v>
      </c>
      <c r="V36" s="125">
        <f>SUM(G36:$P36)</f>
        <v>4478.4228000000003</v>
      </c>
      <c r="W36" s="125">
        <f>SUM(H36:$P36)</f>
        <v>2403.8427999999999</v>
      </c>
      <c r="X36" s="125">
        <f>SUM(I36:$P36)</f>
        <v>1229.7528</v>
      </c>
      <c r="Y36" s="125">
        <f>SUM(J36:$P36)</f>
        <v>333.59080000000006</v>
      </c>
      <c r="Z36" s="125">
        <f>SUM(K36:$P36)</f>
        <v>187.49680000000001</v>
      </c>
      <c r="AA36" s="125">
        <f>SUM(L36:$P36)</f>
        <v>147.3408</v>
      </c>
    </row>
    <row r="37" spans="1:27" x14ac:dyDescent="0.15">
      <c r="A37" s="123">
        <v>1998</v>
      </c>
      <c r="B37" s="125">
        <f>pm.rep!B97</f>
        <v>15483</v>
      </c>
      <c r="C37" s="125">
        <f>pm.rep!C97</f>
        <v>12675.3</v>
      </c>
      <c r="D37" s="125">
        <f>pm.rep!D97</f>
        <v>5889.16</v>
      </c>
      <c r="E37" s="125">
        <f>pm.rep!E97</f>
        <v>2044.2</v>
      </c>
      <c r="F37" s="125">
        <f>pm.rep!F97</f>
        <v>2139.62</v>
      </c>
      <c r="G37" s="125">
        <f>pm.rep!G97</f>
        <v>4359.3999999999996</v>
      </c>
      <c r="H37" s="125">
        <f>pm.rep!H97</f>
        <v>1284.69</v>
      </c>
      <c r="I37" s="125">
        <f>pm.rep!I97</f>
        <v>643.26900000000001</v>
      </c>
      <c r="J37" s="125">
        <f>pm.rep!J97</f>
        <v>469.41</v>
      </c>
      <c r="K37" s="125">
        <f>pm.rep!K97</f>
        <v>75.102400000000003</v>
      </c>
      <c r="L37" s="125">
        <f>pm.rep!L97</f>
        <v>21.111599999999999</v>
      </c>
      <c r="M37" s="125">
        <f>pm.rep!M97</f>
        <v>14.9102</v>
      </c>
      <c r="N37" s="125">
        <f>pm.rep!N97</f>
        <v>14.7288</v>
      </c>
      <c r="O37" s="125">
        <f>pm.rep!O97</f>
        <v>21.0961</v>
      </c>
      <c r="P37" s="125">
        <f>pm.rep!P97</f>
        <v>26.727599999999999</v>
      </c>
      <c r="Q37" s="125">
        <f>SUM(B37:$P37)</f>
        <v>45161.725700000003</v>
      </c>
      <c r="R37" s="125">
        <f>SUM(C37:$P37)</f>
        <v>29678.725699999995</v>
      </c>
      <c r="S37" s="125">
        <f>SUM(D37:$P37)</f>
        <v>17003.425699999996</v>
      </c>
      <c r="T37" s="125">
        <f>SUM(E37:$P37)</f>
        <v>11114.265700000002</v>
      </c>
      <c r="U37" s="125">
        <f>SUM(F37:$P37)</f>
        <v>9070.065700000001</v>
      </c>
      <c r="V37" s="125">
        <f>SUM(G37:$P37)</f>
        <v>6930.4457000000002</v>
      </c>
      <c r="W37" s="125">
        <f>SUM(H37:$P37)</f>
        <v>2571.0457000000006</v>
      </c>
      <c r="X37" s="125">
        <f>SUM(I37:$P37)</f>
        <v>1286.3557000000001</v>
      </c>
      <c r="Y37" s="125">
        <f>SUM(J37:$P37)</f>
        <v>643.08670000000006</v>
      </c>
      <c r="Z37" s="125">
        <f>SUM(K37:$P37)</f>
        <v>173.67670000000001</v>
      </c>
      <c r="AA37" s="125">
        <f>SUM(L37:$P37)</f>
        <v>98.574299999999994</v>
      </c>
    </row>
    <row r="38" spans="1:27" x14ac:dyDescent="0.15">
      <c r="A38" s="123">
        <v>1999</v>
      </c>
      <c r="B38" s="125">
        <f>pm.rep!B98</f>
        <v>16827.099999999999</v>
      </c>
      <c r="C38" s="125">
        <f>pm.rep!C98</f>
        <v>6294.6</v>
      </c>
      <c r="D38" s="125">
        <f>pm.rep!D98</f>
        <v>8045.23</v>
      </c>
      <c r="E38" s="125">
        <f>pm.rep!E98</f>
        <v>4264.38</v>
      </c>
      <c r="F38" s="125">
        <f>pm.rep!F98</f>
        <v>1444.58</v>
      </c>
      <c r="G38" s="125">
        <f>pm.rep!G98</f>
        <v>1449.66</v>
      </c>
      <c r="H38" s="125">
        <f>pm.rep!H98</f>
        <v>2662.93</v>
      </c>
      <c r="I38" s="125">
        <f>pm.rep!I98</f>
        <v>774.25800000000004</v>
      </c>
      <c r="J38" s="125">
        <f>pm.rep!J98</f>
        <v>359.53699999999998</v>
      </c>
      <c r="K38" s="125">
        <f>pm.rep!K98</f>
        <v>254.86099999999999</v>
      </c>
      <c r="L38" s="125">
        <f>pm.rep!L98</f>
        <v>41.609400000000001</v>
      </c>
      <c r="M38" s="125">
        <f>pm.rep!M98</f>
        <v>11.6966</v>
      </c>
      <c r="N38" s="125">
        <f>pm.rep!N98</f>
        <v>8.2607900000000001</v>
      </c>
      <c r="O38" s="125">
        <f>pm.rep!O98</f>
        <v>8.1602899999999998</v>
      </c>
      <c r="P38" s="125">
        <f>pm.rep!P98</f>
        <v>26.495999999999999</v>
      </c>
      <c r="Q38" s="125">
        <f>SUM(B38:$P38)</f>
        <v>42473.359080000002</v>
      </c>
      <c r="R38" s="125">
        <f>SUM(C38:$P38)</f>
        <v>25646.259080000003</v>
      </c>
      <c r="S38" s="125">
        <f>SUM(D38:$P38)</f>
        <v>19351.659080000001</v>
      </c>
      <c r="T38" s="125">
        <f>SUM(E38:$P38)</f>
        <v>11306.429079999998</v>
      </c>
      <c r="U38" s="125">
        <f>SUM(F38:$P38)</f>
        <v>7042.0490800000007</v>
      </c>
      <c r="V38" s="125">
        <f>SUM(G38:$P38)</f>
        <v>5597.4690800000008</v>
      </c>
      <c r="W38" s="125">
        <f>SUM(H38:$P38)</f>
        <v>4147.80908</v>
      </c>
      <c r="X38" s="125">
        <f>SUM(I38:$P38)</f>
        <v>1484.8790800000002</v>
      </c>
      <c r="Y38" s="125">
        <f>SUM(J38:$P38)</f>
        <v>710.62108000000001</v>
      </c>
      <c r="Z38" s="125">
        <f>SUM(K38:$P38)</f>
        <v>351.08407999999991</v>
      </c>
      <c r="AA38" s="125">
        <f>SUM(L38:$P38)</f>
        <v>96.223079999999996</v>
      </c>
    </row>
    <row r="39" spans="1:27" x14ac:dyDescent="0.15">
      <c r="A39" s="123">
        <v>2000</v>
      </c>
      <c r="B39" s="125">
        <f>pm.rep!B99</f>
        <v>25850.3</v>
      </c>
      <c r="C39" s="125">
        <f>pm.rep!C99</f>
        <v>6841.15</v>
      </c>
      <c r="D39" s="125">
        <f>pm.rep!D99</f>
        <v>4003.5</v>
      </c>
      <c r="E39" s="125">
        <f>pm.rep!E99</f>
        <v>5724.36</v>
      </c>
      <c r="F39" s="125">
        <f>pm.rep!F99</f>
        <v>2968.23</v>
      </c>
      <c r="G39" s="125">
        <f>pm.rep!G99</f>
        <v>979.90800000000002</v>
      </c>
      <c r="H39" s="125">
        <f>pm.rep!H99</f>
        <v>942.21100000000001</v>
      </c>
      <c r="I39" s="125">
        <f>pm.rep!I99</f>
        <v>1578.51</v>
      </c>
      <c r="J39" s="125">
        <f>pm.rep!J99</f>
        <v>463.476</v>
      </c>
      <c r="K39" s="125">
        <f>pm.rep!K99</f>
        <v>216.76400000000001</v>
      </c>
      <c r="L39" s="125">
        <f>pm.rep!L99</f>
        <v>155.45099999999999</v>
      </c>
      <c r="M39" s="125">
        <f>pm.rep!M99</f>
        <v>25.3795</v>
      </c>
      <c r="N39" s="125">
        <f>pm.rep!N99</f>
        <v>7.1342699999999999</v>
      </c>
      <c r="O39" s="125">
        <f>pm.rep!O99</f>
        <v>5.03864</v>
      </c>
      <c r="P39" s="125">
        <f>pm.rep!P99</f>
        <v>21.138500000000001</v>
      </c>
      <c r="Q39" s="125">
        <f>SUM(B39:$P39)</f>
        <v>49782.55091000002</v>
      </c>
      <c r="R39" s="125">
        <f>SUM(C39:$P39)</f>
        <v>23932.250909999992</v>
      </c>
      <c r="S39" s="125">
        <f>SUM(D39:$P39)</f>
        <v>17091.100909999997</v>
      </c>
      <c r="T39" s="125">
        <f>SUM(E39:$P39)</f>
        <v>13087.600909999997</v>
      </c>
      <c r="U39" s="125">
        <f>SUM(F39:$P39)</f>
        <v>7363.2409099999995</v>
      </c>
      <c r="V39" s="125">
        <f>SUM(G39:$P39)</f>
        <v>4395.0109099999991</v>
      </c>
      <c r="W39" s="125">
        <f>SUM(H39:$P39)</f>
        <v>3415.1029100000005</v>
      </c>
      <c r="X39" s="125">
        <f>SUM(I39:$P39)</f>
        <v>2472.8919100000003</v>
      </c>
      <c r="Y39" s="125">
        <f>SUM(J39:$P39)</f>
        <v>894.38191000000006</v>
      </c>
      <c r="Z39" s="125">
        <f>SUM(K39:$P39)</f>
        <v>430.90591000000006</v>
      </c>
      <c r="AA39" s="125">
        <f>SUM(L39:$P39)</f>
        <v>214.14190999999997</v>
      </c>
    </row>
    <row r="40" spans="1:27" x14ac:dyDescent="0.15">
      <c r="A40" s="123">
        <v>2001</v>
      </c>
      <c r="B40" s="125">
        <f>pm.rep!B100</f>
        <v>35963.4</v>
      </c>
      <c r="C40" s="125">
        <f>pm.rep!C100</f>
        <v>10509.6</v>
      </c>
      <c r="D40" s="125">
        <f>pm.rep!D100</f>
        <v>4351.45</v>
      </c>
      <c r="E40" s="125">
        <f>pm.rep!E100</f>
        <v>2895.25</v>
      </c>
      <c r="F40" s="125">
        <f>pm.rep!F100</f>
        <v>3879.5</v>
      </c>
      <c r="G40" s="125">
        <f>pm.rep!G100</f>
        <v>1904.79</v>
      </c>
      <c r="H40" s="125">
        <f>pm.rep!H100</f>
        <v>629.54</v>
      </c>
      <c r="I40" s="125">
        <f>pm.rep!I100</f>
        <v>555.15</v>
      </c>
      <c r="J40" s="125">
        <f>pm.rep!J100</f>
        <v>873.32899999999995</v>
      </c>
      <c r="K40" s="125">
        <f>pm.rep!K100</f>
        <v>271.91699999999997</v>
      </c>
      <c r="L40" s="125">
        <f>pm.rep!L100</f>
        <v>130.625</v>
      </c>
      <c r="M40" s="125">
        <f>pm.rep!M100</f>
        <v>93.677199999999999</v>
      </c>
      <c r="N40" s="125">
        <f>pm.rep!N100</f>
        <v>15.294</v>
      </c>
      <c r="O40" s="125">
        <f>pm.rep!O100</f>
        <v>4.29922</v>
      </c>
      <c r="P40" s="125">
        <f>pm.rep!P100</f>
        <v>15.774699999999999</v>
      </c>
      <c r="Q40" s="125">
        <f>SUM(B40:$P40)</f>
        <v>62093.596120000002</v>
      </c>
      <c r="R40" s="125">
        <f>SUM(C40:$P40)</f>
        <v>26130.196120000008</v>
      </c>
      <c r="S40" s="125">
        <f>SUM(D40:$P40)</f>
        <v>15620.596120000002</v>
      </c>
      <c r="T40" s="125">
        <f>SUM(E40:$P40)</f>
        <v>11269.146120000001</v>
      </c>
      <c r="U40" s="125">
        <f>SUM(F40:$P40)</f>
        <v>8373.8961199999994</v>
      </c>
      <c r="V40" s="125">
        <f>SUM(G40:$P40)</f>
        <v>4494.3961200000003</v>
      </c>
      <c r="W40" s="125">
        <f>SUM(H40:$P40)</f>
        <v>2589.6061199999999</v>
      </c>
      <c r="X40" s="125">
        <f>SUM(I40:$P40)</f>
        <v>1960.06612</v>
      </c>
      <c r="Y40" s="125">
        <f>SUM(J40:$P40)</f>
        <v>1404.9161200000001</v>
      </c>
      <c r="Z40" s="125">
        <f>SUM(K40:$P40)</f>
        <v>531.58712000000003</v>
      </c>
      <c r="AA40" s="125">
        <f>SUM(L40:$P40)</f>
        <v>259.67012</v>
      </c>
    </row>
    <row r="41" spans="1:27" x14ac:dyDescent="0.15">
      <c r="A41" s="123">
        <v>2002</v>
      </c>
      <c r="B41" s="125">
        <f>pm.rep!B101</f>
        <v>23951.8</v>
      </c>
      <c r="C41" s="125">
        <f>pm.rep!C101</f>
        <v>14621.1</v>
      </c>
      <c r="D41" s="125">
        <f>pm.rep!D101</f>
        <v>6686.97</v>
      </c>
      <c r="E41" s="125">
        <f>pm.rep!E101</f>
        <v>3165.89</v>
      </c>
      <c r="F41" s="125">
        <f>pm.rep!F101</f>
        <v>1996.85</v>
      </c>
      <c r="G41" s="125">
        <f>pm.rep!G101</f>
        <v>2364.25</v>
      </c>
      <c r="H41" s="125">
        <f>pm.rep!H101</f>
        <v>1060.83</v>
      </c>
      <c r="I41" s="125">
        <f>pm.rep!I101</f>
        <v>352.46899999999999</v>
      </c>
      <c r="J41" s="125">
        <f>pm.rep!J101</f>
        <v>311.16399999999999</v>
      </c>
      <c r="K41" s="125">
        <f>pm.rep!K101</f>
        <v>500.63600000000002</v>
      </c>
      <c r="L41" s="125">
        <f>pm.rep!L101</f>
        <v>158.53200000000001</v>
      </c>
      <c r="M41" s="125">
        <f>pm.rep!M101</f>
        <v>76.156300000000002</v>
      </c>
      <c r="N41" s="125">
        <f>pm.rep!N101</f>
        <v>54.615099999999998</v>
      </c>
      <c r="O41" s="125">
        <f>pm.rep!O101</f>
        <v>8.9166500000000006</v>
      </c>
      <c r="P41" s="125">
        <f>pm.rep!P101</f>
        <v>11.7034</v>
      </c>
      <c r="Q41" s="125">
        <f>SUM(B41:$P41)</f>
        <v>55321.882449999997</v>
      </c>
      <c r="R41" s="125">
        <f>SUM(C41:$P41)</f>
        <v>31370.082449999994</v>
      </c>
      <c r="S41" s="125">
        <f>SUM(D41:$P41)</f>
        <v>16748.982449999996</v>
      </c>
      <c r="T41" s="125">
        <f>SUM(E41:$P41)</f>
        <v>10062.01245</v>
      </c>
      <c r="U41" s="125">
        <f>SUM(F41:$P41)</f>
        <v>6896.1224500000008</v>
      </c>
      <c r="V41" s="125">
        <f>SUM(G41:$P41)</f>
        <v>4899.2724500000004</v>
      </c>
      <c r="W41" s="125">
        <f>SUM(H41:$P41)</f>
        <v>2535.0224500000004</v>
      </c>
      <c r="X41" s="125">
        <f>SUM(I41:$P41)</f>
        <v>1474.19245</v>
      </c>
      <c r="Y41" s="125">
        <f>SUM(J41:$P41)</f>
        <v>1121.72345</v>
      </c>
      <c r="Z41" s="125">
        <f>SUM(K41:$P41)</f>
        <v>810.55944999999997</v>
      </c>
      <c r="AA41" s="125">
        <f>SUM(L41:$P41)</f>
        <v>309.92345</v>
      </c>
    </row>
    <row r="42" spans="1:27" x14ac:dyDescent="0.15">
      <c r="A42" s="123">
        <v>2003</v>
      </c>
      <c r="B42" s="125">
        <f>pm.rep!B102</f>
        <v>14625.5</v>
      </c>
      <c r="C42" s="125">
        <f>pm.rep!C102</f>
        <v>9737.66</v>
      </c>
      <c r="D42" s="125">
        <f>pm.rep!D102</f>
        <v>9289.35</v>
      </c>
      <c r="E42" s="125">
        <f>pm.rep!E102</f>
        <v>4847.5600000000004</v>
      </c>
      <c r="F42" s="125">
        <f>pm.rep!F102</f>
        <v>2160.02</v>
      </c>
      <c r="G42" s="125">
        <f>pm.rep!G102</f>
        <v>1230.45</v>
      </c>
      <c r="H42" s="125">
        <f>pm.rep!H102</f>
        <v>1224.03</v>
      </c>
      <c r="I42" s="125">
        <f>pm.rep!I102</f>
        <v>551.97500000000002</v>
      </c>
      <c r="J42" s="125">
        <f>pm.rep!J102</f>
        <v>184.339</v>
      </c>
      <c r="K42" s="125">
        <f>pm.rep!K102</f>
        <v>167.715</v>
      </c>
      <c r="L42" s="125">
        <f>pm.rep!L102</f>
        <v>283.53500000000003</v>
      </c>
      <c r="M42" s="125">
        <f>pm.rep!M102</f>
        <v>89.784400000000005</v>
      </c>
      <c r="N42" s="125">
        <f>pm.rep!N102</f>
        <v>43.131100000000004</v>
      </c>
      <c r="O42" s="125">
        <f>pm.rep!O102</f>
        <v>30.9313</v>
      </c>
      <c r="P42" s="125">
        <f>pm.rep!P102</f>
        <v>11.6782</v>
      </c>
      <c r="Q42" s="125">
        <f>SUM(B42:$P42)</f>
        <v>44477.658999999985</v>
      </c>
      <c r="R42" s="125">
        <f>SUM(C42:$P42)</f>
        <v>29852.159</v>
      </c>
      <c r="S42" s="125">
        <f>SUM(D42:$P42)</f>
        <v>20114.498999999996</v>
      </c>
      <c r="T42" s="125">
        <f>SUM(E42:$P42)</f>
        <v>10825.149000000003</v>
      </c>
      <c r="U42" s="125">
        <f>SUM(F42:$P42)</f>
        <v>5977.5890000000009</v>
      </c>
      <c r="V42" s="125">
        <f>SUM(G42:$P42)</f>
        <v>3817.569</v>
      </c>
      <c r="W42" s="125">
        <f>SUM(H42:$P42)</f>
        <v>2587.1190000000001</v>
      </c>
      <c r="X42" s="125">
        <f>SUM(I42:$P42)</f>
        <v>1363.0890000000002</v>
      </c>
      <c r="Y42" s="125">
        <f>SUM(J42:$P42)</f>
        <v>811.11399999999992</v>
      </c>
      <c r="Z42" s="125">
        <f>SUM(K42:$P42)</f>
        <v>626.77499999999998</v>
      </c>
      <c r="AA42" s="125">
        <f>SUM(L42:$P42)</f>
        <v>459.06000000000006</v>
      </c>
    </row>
    <row r="43" spans="1:27" x14ac:dyDescent="0.15">
      <c r="A43" s="123">
        <v>2004</v>
      </c>
      <c r="B43" s="125">
        <f>pm.rep!B103</f>
        <v>6640.46</v>
      </c>
      <c r="C43" s="125">
        <f>pm.rep!C103</f>
        <v>5946.02</v>
      </c>
      <c r="D43" s="125">
        <f>pm.rep!D103</f>
        <v>6193.41</v>
      </c>
      <c r="E43" s="125">
        <f>pm.rep!E103</f>
        <v>6559.88</v>
      </c>
      <c r="F43" s="125">
        <f>pm.rep!F103</f>
        <v>3301.22</v>
      </c>
      <c r="G43" s="125">
        <f>pm.rep!G103</f>
        <v>1286.7</v>
      </c>
      <c r="H43" s="125">
        <f>pm.rep!H103</f>
        <v>653.08100000000002</v>
      </c>
      <c r="I43" s="125">
        <f>pm.rep!I103</f>
        <v>616.82600000000002</v>
      </c>
      <c r="J43" s="125">
        <f>pm.rep!J103</f>
        <v>280.62599999999998</v>
      </c>
      <c r="K43" s="125">
        <f>pm.rep!K103</f>
        <v>98.302499999999995</v>
      </c>
      <c r="L43" s="125">
        <f>pm.rep!L103</f>
        <v>95.058800000000005</v>
      </c>
      <c r="M43" s="125">
        <f>pm.rep!M103</f>
        <v>160.70500000000001</v>
      </c>
      <c r="N43" s="125">
        <f>pm.rep!N103</f>
        <v>50.888800000000003</v>
      </c>
      <c r="O43" s="125">
        <f>pm.rep!O103</f>
        <v>24.446300000000001</v>
      </c>
      <c r="P43" s="125">
        <f>pm.rep!P103</f>
        <v>24.150600000000001</v>
      </c>
      <c r="Q43" s="125">
        <f>SUM(B43:$P43)</f>
        <v>31931.775000000005</v>
      </c>
      <c r="R43" s="125">
        <f>SUM(C43:$P43)</f>
        <v>25291.315000000006</v>
      </c>
      <c r="S43" s="125">
        <f>SUM(D43:$P43)</f>
        <v>19345.295000000002</v>
      </c>
      <c r="T43" s="125">
        <f>SUM(E43:$P43)</f>
        <v>13151.885000000004</v>
      </c>
      <c r="U43" s="125">
        <f>SUM(F43:$P43)</f>
        <v>6592.0049999999992</v>
      </c>
      <c r="V43" s="125">
        <f>SUM(G43:$P43)</f>
        <v>3290.7849999999999</v>
      </c>
      <c r="W43" s="125">
        <f>SUM(H43:$P43)</f>
        <v>2004.085</v>
      </c>
      <c r="X43" s="125">
        <f>SUM(I43:$P43)</f>
        <v>1351.0039999999999</v>
      </c>
      <c r="Y43" s="125">
        <f>SUM(J43:$P43)</f>
        <v>734.17800000000011</v>
      </c>
      <c r="Z43" s="125">
        <f>SUM(K43:$P43)</f>
        <v>453.55200000000002</v>
      </c>
      <c r="AA43" s="125">
        <f>SUM(L43:$P43)</f>
        <v>355.24950000000001</v>
      </c>
    </row>
    <row r="44" spans="1:27" x14ac:dyDescent="0.15">
      <c r="A44" s="123">
        <v>2005</v>
      </c>
      <c r="B44" s="125">
        <f>pm.rep!B104</f>
        <v>4831.7</v>
      </c>
      <c r="C44" s="125">
        <f>pm.rep!C104</f>
        <v>2699.71</v>
      </c>
      <c r="D44" s="125">
        <f>pm.rep!D104</f>
        <v>3784.62</v>
      </c>
      <c r="E44" s="125">
        <f>pm.rep!E104</f>
        <v>4494.97</v>
      </c>
      <c r="F44" s="125">
        <f>pm.rep!F104</f>
        <v>4148.91</v>
      </c>
      <c r="G44" s="125">
        <f>pm.rep!G104</f>
        <v>2019.99</v>
      </c>
      <c r="H44" s="125">
        <f>pm.rep!H104</f>
        <v>737.65899999999999</v>
      </c>
      <c r="I44" s="125">
        <f>pm.rep!I104</f>
        <v>346.15100000000001</v>
      </c>
      <c r="J44" s="125">
        <f>pm.rep!J104</f>
        <v>329.87299999999999</v>
      </c>
      <c r="K44" s="125">
        <f>pm.rep!K104</f>
        <v>156.62899999999999</v>
      </c>
      <c r="L44" s="125">
        <f>pm.rep!L104</f>
        <v>57.405700000000003</v>
      </c>
      <c r="M44" s="125">
        <f>pm.rep!M104</f>
        <v>55.511400000000002</v>
      </c>
      <c r="N44" s="125">
        <f>pm.rep!N104</f>
        <v>93.846699999999998</v>
      </c>
      <c r="O44" s="125">
        <f>pm.rep!O104</f>
        <v>29.717500000000001</v>
      </c>
      <c r="P44" s="125">
        <f>pm.rep!P104</f>
        <v>28.379100000000001</v>
      </c>
      <c r="Q44" s="125">
        <f>SUM(B44:$P44)</f>
        <v>23815.072399999997</v>
      </c>
      <c r="R44" s="125">
        <f>SUM(C44:$P44)</f>
        <v>18983.372399999997</v>
      </c>
      <c r="S44" s="125">
        <f>SUM(D44:$P44)</f>
        <v>16283.662399999999</v>
      </c>
      <c r="T44" s="125">
        <f>SUM(E44:$P44)</f>
        <v>12499.0424</v>
      </c>
      <c r="U44" s="125">
        <f>SUM(F44:$P44)</f>
        <v>8004.0723999999991</v>
      </c>
      <c r="V44" s="125">
        <f>SUM(G44:$P44)</f>
        <v>3855.1623999999997</v>
      </c>
      <c r="W44" s="125">
        <f>SUM(H44:$P44)</f>
        <v>1835.1724000000002</v>
      </c>
      <c r="X44" s="125">
        <f>SUM(I44:$P44)</f>
        <v>1097.5134</v>
      </c>
      <c r="Y44" s="125">
        <f>SUM(J44:$P44)</f>
        <v>751.36239999999987</v>
      </c>
      <c r="Z44" s="125">
        <f>SUM(K44:$P44)</f>
        <v>421.48939999999993</v>
      </c>
      <c r="AA44" s="125">
        <f>SUM(L44:$P44)</f>
        <v>264.86040000000003</v>
      </c>
    </row>
    <row r="45" spans="1:27" x14ac:dyDescent="0.15">
      <c r="A45" s="123">
        <v>2006</v>
      </c>
      <c r="B45" s="125">
        <f>pm.rep!B105</f>
        <v>12207.5</v>
      </c>
      <c r="C45" s="125">
        <f>pm.rep!C105</f>
        <v>1964.36</v>
      </c>
      <c r="D45" s="125">
        <f>pm.rep!D105</f>
        <v>1718.21</v>
      </c>
      <c r="E45" s="125">
        <f>pm.rep!E105</f>
        <v>2748.41</v>
      </c>
      <c r="F45" s="125">
        <f>pm.rep!F105</f>
        <v>2990.84</v>
      </c>
      <c r="G45" s="125">
        <f>pm.rep!G105</f>
        <v>2322.33</v>
      </c>
      <c r="H45" s="125">
        <f>pm.rep!H105</f>
        <v>1089.69</v>
      </c>
      <c r="I45" s="125">
        <f>pm.rep!I105</f>
        <v>410.71</v>
      </c>
      <c r="J45" s="125">
        <f>pm.rep!J105</f>
        <v>197.46299999999999</v>
      </c>
      <c r="K45" s="125">
        <f>pm.rep!K105</f>
        <v>191.065</v>
      </c>
      <c r="L45" s="125">
        <f>pm.rep!L105</f>
        <v>93.774500000000003</v>
      </c>
      <c r="M45" s="125">
        <f>pm.rep!M105</f>
        <v>34.369</v>
      </c>
      <c r="N45" s="125">
        <f>pm.rep!N105</f>
        <v>33.234999999999999</v>
      </c>
      <c r="O45" s="125">
        <f>pm.rep!O105</f>
        <v>56.186399999999999</v>
      </c>
      <c r="P45" s="125">
        <f>pm.rep!P105</f>
        <v>34.782699999999998</v>
      </c>
      <c r="Q45" s="125">
        <f>SUM(B45:$P45)</f>
        <v>26092.925599999995</v>
      </c>
      <c r="R45" s="125">
        <f>SUM(C45:$P45)</f>
        <v>13885.4256</v>
      </c>
      <c r="S45" s="125">
        <f>SUM(D45:$P45)</f>
        <v>11921.065600000002</v>
      </c>
      <c r="T45" s="125">
        <f>SUM(E45:$P45)</f>
        <v>10202.855600000001</v>
      </c>
      <c r="U45" s="125">
        <f>SUM(F45:$P45)</f>
        <v>7454.4455999999991</v>
      </c>
      <c r="V45" s="125">
        <f>SUM(G45:$P45)</f>
        <v>4463.605599999999</v>
      </c>
      <c r="W45" s="125">
        <f>SUM(H45:$P45)</f>
        <v>2141.2756000000004</v>
      </c>
      <c r="X45" s="125">
        <f>SUM(I45:$P45)</f>
        <v>1051.5856000000001</v>
      </c>
      <c r="Y45" s="125">
        <f>SUM(J45:$P45)</f>
        <v>640.87560000000008</v>
      </c>
      <c r="Z45" s="125">
        <f>SUM(K45:$P45)</f>
        <v>443.41259999999994</v>
      </c>
      <c r="AA45" s="125">
        <f>SUM(L45:$P45)</f>
        <v>252.34760000000003</v>
      </c>
    </row>
    <row r="46" spans="1:27" x14ac:dyDescent="0.15">
      <c r="A46" s="123">
        <v>2007</v>
      </c>
      <c r="B46" s="125">
        <f>pm.rep!B106</f>
        <v>26390.5</v>
      </c>
      <c r="C46" s="125">
        <f>pm.rep!C106</f>
        <v>4963.0200000000004</v>
      </c>
      <c r="D46" s="125">
        <f>pm.rep!D106</f>
        <v>1248.8900000000001</v>
      </c>
      <c r="E46" s="125">
        <f>pm.rep!E106</f>
        <v>1216.02</v>
      </c>
      <c r="F46" s="125">
        <f>pm.rep!F106</f>
        <v>1792.36</v>
      </c>
      <c r="G46" s="125">
        <f>pm.rep!G106</f>
        <v>1691.93</v>
      </c>
      <c r="H46" s="125">
        <f>pm.rep!H106</f>
        <v>1190.48</v>
      </c>
      <c r="I46" s="125">
        <f>pm.rep!I106</f>
        <v>568.45500000000004</v>
      </c>
      <c r="J46" s="125">
        <f>pm.rep!J106</f>
        <v>217.92400000000001</v>
      </c>
      <c r="K46" s="125">
        <f>pm.rep!K106</f>
        <v>108.28700000000001</v>
      </c>
      <c r="L46" s="125">
        <f>pm.rep!L106</f>
        <v>107.93300000000001</v>
      </c>
      <c r="M46" s="125">
        <f>pm.rep!M106</f>
        <v>52.973700000000001</v>
      </c>
      <c r="N46" s="125">
        <f>pm.rep!N106</f>
        <v>19.415199999999999</v>
      </c>
      <c r="O46" s="125">
        <f>pm.rep!O106</f>
        <v>18.7746</v>
      </c>
      <c r="P46" s="125">
        <f>pm.rep!P106</f>
        <v>51.3889</v>
      </c>
      <c r="Q46" s="125">
        <f>SUM(B46:$P46)</f>
        <v>39638.3514</v>
      </c>
      <c r="R46" s="125">
        <f>SUM(C46:$P46)</f>
        <v>13247.851400000003</v>
      </c>
      <c r="S46" s="125">
        <f>SUM(D46:$P46)</f>
        <v>8284.8314000000009</v>
      </c>
      <c r="T46" s="125">
        <f>SUM(E46:$P46)</f>
        <v>7035.9414000000006</v>
      </c>
      <c r="U46" s="125">
        <f>SUM(F46:$P46)</f>
        <v>5819.9214000000002</v>
      </c>
      <c r="V46" s="125">
        <f>SUM(G46:$P46)</f>
        <v>4027.5613999999996</v>
      </c>
      <c r="W46" s="125">
        <f>SUM(H46:$P46)</f>
        <v>2335.6313999999998</v>
      </c>
      <c r="X46" s="125">
        <f>SUM(I46:$P46)</f>
        <v>1145.1513999999997</v>
      </c>
      <c r="Y46" s="125">
        <f>SUM(J46:$P46)</f>
        <v>576.69640000000004</v>
      </c>
      <c r="Z46" s="125">
        <f>SUM(K46:$P46)</f>
        <v>358.77240000000006</v>
      </c>
      <c r="AA46" s="125">
        <f>SUM(L46:$P46)</f>
        <v>250.4854</v>
      </c>
    </row>
    <row r="47" spans="1:27" x14ac:dyDescent="0.15">
      <c r="A47" s="123">
        <f>pm.rep!A107</f>
        <v>2008</v>
      </c>
      <c r="B47" s="125">
        <f>pm.rep!B107</f>
        <v>14622.4</v>
      </c>
      <c r="C47" s="125">
        <f>pm.rep!C107</f>
        <v>10729.2</v>
      </c>
      <c r="D47" s="125">
        <f>pm.rep!D107</f>
        <v>3154.19</v>
      </c>
      <c r="E47" s="125">
        <f>pm.rep!E107</f>
        <v>884.49300000000005</v>
      </c>
      <c r="F47" s="125">
        <f>pm.rep!F107</f>
        <v>794.95799999999997</v>
      </c>
      <c r="G47" s="125">
        <f>pm.rep!G107</f>
        <v>1014.28</v>
      </c>
      <c r="H47" s="125">
        <f>pm.rep!H107</f>
        <v>830.99199999999996</v>
      </c>
      <c r="I47" s="125">
        <f>pm.rep!I107</f>
        <v>611.24099999999999</v>
      </c>
      <c r="J47" s="125">
        <f>pm.rep!J107</f>
        <v>302.29700000000003</v>
      </c>
      <c r="K47" s="125">
        <f>pm.rep!K107</f>
        <v>118.393</v>
      </c>
      <c r="L47" s="125">
        <f>pm.rep!L107</f>
        <v>60.015099999999997</v>
      </c>
      <c r="M47" s="125">
        <f>pm.rep!M107</f>
        <v>59.819099999999999</v>
      </c>
      <c r="N47" s="125">
        <f>pm.rep!N107</f>
        <v>29.359200000000001</v>
      </c>
      <c r="O47" s="125">
        <f>pm.rep!O107</f>
        <v>10.760400000000001</v>
      </c>
      <c r="P47" s="125">
        <f>pm.rep!P107</f>
        <v>38.886200000000002</v>
      </c>
      <c r="Q47" s="125">
        <f>SUM(B47:$P47)</f>
        <v>33261.283999999985</v>
      </c>
      <c r="R47" s="125">
        <f>SUM(C47:$P47)</f>
        <v>18638.883999999998</v>
      </c>
      <c r="S47" s="125">
        <f>SUM(D47:$P47)</f>
        <v>7909.6839999999984</v>
      </c>
      <c r="T47" s="125">
        <f>SUM(E47:$P47)</f>
        <v>4755.4939999999997</v>
      </c>
      <c r="U47" s="125">
        <f>SUM(F47:$P47)</f>
        <v>3871.0009999999997</v>
      </c>
      <c r="V47" s="125">
        <f>SUM(G47:$P47)</f>
        <v>3076.0430000000001</v>
      </c>
      <c r="W47" s="125">
        <f>SUM(H47:$P47)</f>
        <v>2061.7629999999999</v>
      </c>
      <c r="X47" s="125">
        <f>SUM(I47:$P47)</f>
        <v>1230.771</v>
      </c>
      <c r="Y47" s="125">
        <f>SUM(J47:$P47)</f>
        <v>619.53000000000009</v>
      </c>
      <c r="Z47" s="125">
        <f>SUM(K47:$P47)</f>
        <v>317.23299999999995</v>
      </c>
      <c r="AA47" s="125">
        <f>SUM(L47:$P47)</f>
        <v>198.84</v>
      </c>
    </row>
    <row r="48" spans="1:27" x14ac:dyDescent="0.15">
      <c r="A48" s="123">
        <f>pm.rep!A108</f>
        <v>2009</v>
      </c>
      <c r="B48" s="125">
        <f>pm.rep!B108</f>
        <v>56930.6</v>
      </c>
      <c r="C48" s="125">
        <f>pm.rep!C108</f>
        <v>5944.81</v>
      </c>
      <c r="D48" s="125">
        <f>pm.rep!D108</f>
        <v>6821.99</v>
      </c>
      <c r="E48" s="125">
        <f>pm.rep!E108</f>
        <v>2278.16</v>
      </c>
      <c r="F48" s="125">
        <f>pm.rep!F108</f>
        <v>584.37400000000002</v>
      </c>
      <c r="G48" s="125">
        <f>pm.rep!G108</f>
        <v>458.71499999999997</v>
      </c>
      <c r="H48" s="125">
        <f>pm.rep!H108</f>
        <v>488.79399999999998</v>
      </c>
      <c r="I48" s="125">
        <f>pm.rep!I108</f>
        <v>411.07100000000003</v>
      </c>
      <c r="J48" s="125">
        <f>pm.rep!J108</f>
        <v>316.09399999999999</v>
      </c>
      <c r="K48" s="125">
        <f>pm.rep!K108</f>
        <v>157.244</v>
      </c>
      <c r="L48" s="125">
        <f>pm.rep!L108</f>
        <v>63.575400000000002</v>
      </c>
      <c r="M48" s="125">
        <f>pm.rep!M108</f>
        <v>32.2273</v>
      </c>
      <c r="N48" s="125">
        <f>pm.rep!N108</f>
        <v>32.122</v>
      </c>
      <c r="O48" s="125">
        <f>pm.rep!O108</f>
        <v>15.765499999999999</v>
      </c>
      <c r="P48" s="125">
        <f>pm.rep!P108</f>
        <v>26.659500000000001</v>
      </c>
      <c r="Q48" s="125">
        <f>SUM(B48:$P48)</f>
        <v>74562.201699999976</v>
      </c>
      <c r="R48" s="125">
        <f>SUM(C48:$P48)</f>
        <v>17631.601700000003</v>
      </c>
      <c r="S48" s="125">
        <f>SUM(D48:$P48)</f>
        <v>11686.791699999998</v>
      </c>
      <c r="T48" s="125">
        <f>SUM(E48:$P48)</f>
        <v>4864.8016999999991</v>
      </c>
      <c r="U48" s="125">
        <f>SUM(F48:$P48)</f>
        <v>2586.6417000000001</v>
      </c>
      <c r="V48" s="125">
        <f>SUM(G48:$P48)</f>
        <v>2002.2676999999999</v>
      </c>
      <c r="W48" s="125">
        <f>SUM(H48:$P48)</f>
        <v>1543.5527</v>
      </c>
      <c r="X48" s="125">
        <f>SUM(I48:$P48)</f>
        <v>1054.7587000000001</v>
      </c>
      <c r="Y48" s="125">
        <f>SUM(J48:$P48)</f>
        <v>643.68769999999984</v>
      </c>
      <c r="Z48" s="125">
        <f>SUM(K48:$P48)</f>
        <v>327.59369999999996</v>
      </c>
      <c r="AA48" s="125">
        <f>SUM(L48:$P48)</f>
        <v>170.34970000000001</v>
      </c>
    </row>
    <row r="49" spans="1:36" x14ac:dyDescent="0.15">
      <c r="A49" s="123">
        <f>pm.rep!A109</f>
        <v>2010</v>
      </c>
      <c r="B49" s="125">
        <f>pm.rep!B109</f>
        <v>22500.1</v>
      </c>
      <c r="C49" s="125">
        <f>pm.rep!C109</f>
        <v>23145.5</v>
      </c>
      <c r="D49" s="125">
        <f>pm.rep!D109</f>
        <v>3783.56</v>
      </c>
      <c r="E49" s="125">
        <f>pm.rep!E109</f>
        <v>4932.12</v>
      </c>
      <c r="F49" s="125">
        <f>pm.rep!F109</f>
        <v>1522.99</v>
      </c>
      <c r="G49" s="125">
        <f>pm.rep!G109</f>
        <v>363.69400000000002</v>
      </c>
      <c r="H49" s="125">
        <f>pm.rep!H109</f>
        <v>250.19900000000001</v>
      </c>
      <c r="I49" s="125">
        <f>pm.rep!I109</f>
        <v>256.20600000000002</v>
      </c>
      <c r="J49" s="125">
        <f>pm.rep!J109</f>
        <v>217.315</v>
      </c>
      <c r="K49" s="125">
        <f>pm.rep!K109</f>
        <v>165.65199999999999</v>
      </c>
      <c r="L49" s="125">
        <f>pm.rep!L109</f>
        <v>82.972800000000007</v>
      </c>
      <c r="M49" s="125">
        <f>pm.rep!M109</f>
        <v>33.546799999999998</v>
      </c>
      <c r="N49" s="125">
        <f>pm.rep!N109</f>
        <v>17.005400000000002</v>
      </c>
      <c r="O49" s="125">
        <f>pm.rep!O109</f>
        <v>16.9498</v>
      </c>
      <c r="P49" s="125">
        <f>pm.rep!P109</f>
        <v>22.386399999999998</v>
      </c>
      <c r="Q49" s="125">
        <f>SUM(B49:$P49)</f>
        <v>57310.19720000001</v>
      </c>
      <c r="R49" s="125">
        <f>SUM(C49:$P49)</f>
        <v>34810.097200000011</v>
      </c>
      <c r="S49" s="125">
        <f>SUM(D49:$P49)</f>
        <v>11664.5972</v>
      </c>
      <c r="T49" s="125">
        <f>SUM(E49:$P49)</f>
        <v>7881.0371999999998</v>
      </c>
      <c r="U49" s="125">
        <f>SUM(F49:$P49)</f>
        <v>2948.9171999999999</v>
      </c>
      <c r="V49" s="125">
        <f>SUM(G49:$P49)</f>
        <v>1425.9272000000003</v>
      </c>
      <c r="W49" s="125">
        <f>SUM(H49:$P49)</f>
        <v>1062.2332000000001</v>
      </c>
      <c r="X49" s="125">
        <f>SUM(I49:$P49)</f>
        <v>812.03419999999994</v>
      </c>
      <c r="Y49" s="125">
        <f>SUM(J49:$P49)</f>
        <v>555.82819999999992</v>
      </c>
      <c r="Z49" s="125">
        <f>SUM(K49:$P49)</f>
        <v>338.51319999999998</v>
      </c>
      <c r="AA49" s="125">
        <f>SUM(L49:$P49)</f>
        <v>172.86120000000003</v>
      </c>
    </row>
    <row r="50" spans="1:36" x14ac:dyDescent="0.15">
      <c r="A50" s="123">
        <f>pm.rep!A110</f>
        <v>2011</v>
      </c>
      <c r="B50" s="125">
        <f>pm.rep!B110</f>
        <v>13479.2</v>
      </c>
      <c r="C50" s="125">
        <f>pm.rep!C110</f>
        <v>9147.59</v>
      </c>
      <c r="D50" s="125">
        <f>pm.rep!D110</f>
        <v>14734.1</v>
      </c>
      <c r="E50" s="125">
        <f>pm.rep!E110</f>
        <v>2768.26</v>
      </c>
      <c r="F50" s="125">
        <f>pm.rep!F110</f>
        <v>3180.79</v>
      </c>
      <c r="G50" s="125">
        <f>pm.rep!G110</f>
        <v>936.346</v>
      </c>
      <c r="H50" s="125">
        <f>pm.rep!H110</f>
        <v>216.465</v>
      </c>
      <c r="I50" s="125">
        <f>pm.rep!I110</f>
        <v>142.62799999999999</v>
      </c>
      <c r="J50" s="125">
        <f>pm.rep!J110</f>
        <v>142.64400000000001</v>
      </c>
      <c r="K50" s="125">
        <f>pm.rep!K110</f>
        <v>121.753</v>
      </c>
      <c r="L50" s="125">
        <f>pm.rep!L110</f>
        <v>93.365300000000005</v>
      </c>
      <c r="M50" s="125">
        <f>pm.rep!M110</f>
        <v>46.7654</v>
      </c>
      <c r="N50" s="125">
        <f>pm.rep!N110</f>
        <v>18.907800000000002</v>
      </c>
      <c r="O50" s="125">
        <f>pm.rep!O110</f>
        <v>9.5846300000000006</v>
      </c>
      <c r="P50" s="125">
        <f>pm.rep!P110</f>
        <v>22.1708</v>
      </c>
      <c r="Q50" s="125">
        <f>SUM(B50:$P50)</f>
        <v>45060.569929999983</v>
      </c>
      <c r="R50" s="125">
        <f>SUM(C50:$P50)</f>
        <v>31581.369930000012</v>
      </c>
      <c r="S50" s="125">
        <f>SUM(D50:$P50)</f>
        <v>22433.779930000008</v>
      </c>
      <c r="T50" s="125">
        <f>SUM(E50:$P50)</f>
        <v>7699.6799300000011</v>
      </c>
      <c r="U50" s="125">
        <f>SUM(F50:$P50)</f>
        <v>4931.4199300000009</v>
      </c>
      <c r="V50" s="125">
        <f>SUM(G50:$P50)</f>
        <v>1750.6299299999998</v>
      </c>
      <c r="W50" s="125">
        <f>SUM(H50:$P50)</f>
        <v>814.28392999999994</v>
      </c>
      <c r="X50" s="125">
        <f>SUM(I50:$P50)</f>
        <v>597.81892999999991</v>
      </c>
      <c r="Y50" s="125">
        <f>SUM(J50:$P50)</f>
        <v>455.19092999999998</v>
      </c>
      <c r="Z50" s="125">
        <f>SUM(K50:$P50)</f>
        <v>312.54692999999997</v>
      </c>
      <c r="AA50" s="125">
        <f>SUM(L50:$P50)</f>
        <v>190.79392999999999</v>
      </c>
    </row>
    <row r="51" spans="1:36" x14ac:dyDescent="0.15">
      <c r="A51" s="123">
        <f>pm.rep!A111</f>
        <v>2012</v>
      </c>
      <c r="B51" s="125">
        <f>pm.rep!B111</f>
        <v>11200.8</v>
      </c>
      <c r="C51" s="125">
        <f>pm.rep!C111</f>
        <v>5480.03</v>
      </c>
      <c r="D51" s="125">
        <f>pm.rep!D111</f>
        <v>5819.27</v>
      </c>
      <c r="E51" s="125">
        <f>pm.rep!E111</f>
        <v>10740.4</v>
      </c>
      <c r="F51" s="125">
        <f>pm.rep!F111</f>
        <v>1928</v>
      </c>
      <c r="G51" s="125">
        <f>pm.rep!G111</f>
        <v>1638.38</v>
      </c>
      <c r="H51" s="125">
        <f>pm.rep!H111</f>
        <v>459.38400000000001</v>
      </c>
      <c r="I51" s="125">
        <f>pm.rep!I111</f>
        <v>108.938</v>
      </c>
      <c r="J51" s="125">
        <f>pm.rep!J111</f>
        <v>72.682699999999997</v>
      </c>
      <c r="K51" s="125">
        <f>pm.rep!K111</f>
        <v>73.568299999999994</v>
      </c>
      <c r="L51" s="125">
        <f>pm.rep!L111</f>
        <v>63.661499999999997</v>
      </c>
      <c r="M51" s="125">
        <f>pm.rep!M111</f>
        <v>48.818199999999997</v>
      </c>
      <c r="N51" s="125">
        <f>pm.rep!N111</f>
        <v>24.452400000000001</v>
      </c>
      <c r="O51" s="125">
        <f>pm.rep!O111</f>
        <v>9.8863800000000008</v>
      </c>
      <c r="P51" s="125">
        <f>pm.rep!P111</f>
        <v>16.604099999999999</v>
      </c>
      <c r="Q51" s="125">
        <f>SUM(B51:$P51)</f>
        <v>37684.87558</v>
      </c>
      <c r="R51" s="125">
        <f>SUM(C51:$P51)</f>
        <v>26484.075579999997</v>
      </c>
      <c r="S51" s="125">
        <f>SUM(D51:$P51)</f>
        <v>21004.045579999998</v>
      </c>
      <c r="T51" s="125">
        <f>SUM(E51:$P51)</f>
        <v>15184.77558</v>
      </c>
      <c r="U51" s="125">
        <f>SUM(F51:$P51)</f>
        <v>4444.3755799999999</v>
      </c>
      <c r="V51" s="125">
        <f>SUM(G51:$P51)</f>
        <v>2516.3755800000004</v>
      </c>
      <c r="W51" s="125">
        <f>SUM(H51:$P51)</f>
        <v>877.99558000000013</v>
      </c>
      <c r="X51" s="125">
        <f>SUM(I51:$P51)</f>
        <v>418.61158</v>
      </c>
      <c r="Y51" s="125">
        <f>SUM(J51:$P51)</f>
        <v>309.67357999999996</v>
      </c>
      <c r="Z51" s="125">
        <f>SUM(K51:$P51)</f>
        <v>236.99087999999998</v>
      </c>
      <c r="AA51" s="125">
        <f>SUM(L51:$P51)</f>
        <v>163.42257999999998</v>
      </c>
    </row>
    <row r="52" spans="1:36" x14ac:dyDescent="0.15">
      <c r="A52" s="123">
        <f>pm.rep!A112</f>
        <v>2013</v>
      </c>
      <c r="B52" s="125">
        <f>pm.rep!B112</f>
        <v>63521.7</v>
      </c>
      <c r="C52" s="125">
        <f>pm.rep!C112</f>
        <v>4553.7299999999996</v>
      </c>
      <c r="D52" s="125">
        <f>pm.rep!D112</f>
        <v>3483.56</v>
      </c>
      <c r="E52" s="125">
        <f>pm.rep!E112</f>
        <v>4212.12</v>
      </c>
      <c r="F52" s="125">
        <f>pm.rep!F112</f>
        <v>7150.04</v>
      </c>
      <c r="G52" s="125">
        <f>pm.rep!G112</f>
        <v>1264.1099999999999</v>
      </c>
      <c r="H52" s="125">
        <f>pm.rep!H112</f>
        <v>825.11400000000003</v>
      </c>
      <c r="I52" s="125">
        <f>pm.rep!I112</f>
        <v>230.24799999999999</v>
      </c>
      <c r="J52" s="125">
        <f>pm.rep!J112</f>
        <v>54.814799999999998</v>
      </c>
      <c r="K52" s="125">
        <f>pm.rep!K112</f>
        <v>37.356699999999996</v>
      </c>
      <c r="L52" s="125">
        <f>pm.rep!L112</f>
        <v>38.193199999999997</v>
      </c>
      <c r="M52" s="125">
        <f>pm.rep!M112</f>
        <v>33.049999999999997</v>
      </c>
      <c r="N52" s="125">
        <f>pm.rep!N112</f>
        <v>25.344100000000001</v>
      </c>
      <c r="O52" s="125">
        <f>pm.rep!O112</f>
        <v>12.6945</v>
      </c>
      <c r="P52" s="125">
        <f>pm.rep!P112</f>
        <v>13.752599999999999</v>
      </c>
      <c r="Q52" s="125">
        <f>SUM(B52:$P52)</f>
        <v>85455.827899999989</v>
      </c>
      <c r="R52" s="125">
        <f>SUM(C52:$P52)</f>
        <v>21934.127900000003</v>
      </c>
      <c r="S52" s="125">
        <f>SUM(D52:$P52)</f>
        <v>17380.397900000004</v>
      </c>
      <c r="T52" s="125">
        <f>SUM(E52:$P52)</f>
        <v>13896.837899999999</v>
      </c>
      <c r="U52" s="125">
        <f>SUM(F52:$P52)</f>
        <v>9684.7178999999978</v>
      </c>
      <c r="V52" s="125">
        <f>SUM(G52:$P52)</f>
        <v>2534.6779000000001</v>
      </c>
      <c r="W52" s="125">
        <f>SUM(H52:$P52)</f>
        <v>1270.5679000000002</v>
      </c>
      <c r="X52" s="125">
        <f>SUM(I52:$P52)</f>
        <v>445.45389999999998</v>
      </c>
      <c r="Y52" s="125">
        <f>SUM(J52:$P52)</f>
        <v>215.20589999999999</v>
      </c>
      <c r="Z52" s="125">
        <f>SUM(K52:$P52)</f>
        <v>160.39109999999999</v>
      </c>
      <c r="AA52" s="125">
        <f>SUM(L52:$P52)</f>
        <v>123.03440000000001</v>
      </c>
    </row>
    <row r="53" spans="1:36" x14ac:dyDescent="0.15">
      <c r="A53" s="123">
        <f>pm.rep!A113</f>
        <v>2014</v>
      </c>
      <c r="B53" s="125">
        <f>pm.rep!B113</f>
        <v>31883.200000000001</v>
      </c>
      <c r="C53" s="125">
        <f>pm.rep!C113</f>
        <v>25825.200000000001</v>
      </c>
      <c r="D53" s="125">
        <f>pm.rep!D113</f>
        <v>2897.69</v>
      </c>
      <c r="E53" s="125">
        <f>pm.rep!E113</f>
        <v>2522.1799999999998</v>
      </c>
      <c r="F53" s="125">
        <f>pm.rep!F113</f>
        <v>2820.03</v>
      </c>
      <c r="G53" s="125">
        <f>pm.rep!G113</f>
        <v>4467.41</v>
      </c>
      <c r="H53" s="125">
        <f>pm.rep!H113</f>
        <v>774.82600000000002</v>
      </c>
      <c r="I53" s="125">
        <f>pm.rep!I113</f>
        <v>459</v>
      </c>
      <c r="J53" s="125">
        <f>pm.rep!J113</f>
        <v>118.381</v>
      </c>
      <c r="K53" s="125">
        <f>pm.rep!K113</f>
        <v>28.286100000000001</v>
      </c>
      <c r="L53" s="125">
        <f>pm.rep!L113</f>
        <v>19.2986</v>
      </c>
      <c r="M53" s="125">
        <f>pm.rep!M113</f>
        <v>19.730699999999999</v>
      </c>
      <c r="N53" s="125">
        <f>pm.rep!N113</f>
        <v>17.073699999999999</v>
      </c>
      <c r="O53" s="125">
        <f>pm.rep!O113</f>
        <v>13.0928</v>
      </c>
      <c r="P53" s="125">
        <f>pm.rep!P113</f>
        <v>13.662599999999999</v>
      </c>
      <c r="Q53" s="125">
        <f>SUM(B53:$P53)</f>
        <v>71879.061499999982</v>
      </c>
      <c r="R53" s="125">
        <f>SUM(C53:$P53)</f>
        <v>39995.861499999999</v>
      </c>
      <c r="S53" s="125">
        <f>SUM(D53:$P53)</f>
        <v>14170.661499999998</v>
      </c>
      <c r="T53" s="125">
        <f>SUM(E53:$P53)</f>
        <v>11272.9715</v>
      </c>
      <c r="U53" s="125">
        <f>SUM(F53:$P53)</f>
        <v>8750.7914999999994</v>
      </c>
      <c r="V53" s="125">
        <f>SUM(G53:$P53)</f>
        <v>5930.7615000000005</v>
      </c>
      <c r="W53" s="125">
        <f>SUM(H53:$P53)</f>
        <v>1463.3515000000002</v>
      </c>
      <c r="X53" s="125">
        <f>SUM(I53:$P53)</f>
        <v>688.52549999999997</v>
      </c>
      <c r="Y53" s="125">
        <f>SUM(J53:$P53)</f>
        <v>229.52549999999999</v>
      </c>
      <c r="Z53" s="125">
        <f>SUM(K53:$P53)</f>
        <v>111.14449999999999</v>
      </c>
      <c r="AA53" s="125">
        <f>SUM(L53:$P53)</f>
        <v>82.858399999999989</v>
      </c>
    </row>
    <row r="54" spans="1:36" x14ac:dyDescent="0.15">
      <c r="A54" s="123">
        <f>pm.rep!A114</f>
        <v>2015</v>
      </c>
      <c r="B54" s="125">
        <f>pm.rep!B114</f>
        <v>18179.5</v>
      </c>
      <c r="C54" s="125">
        <f>pm.rep!C114</f>
        <v>12962.4</v>
      </c>
      <c r="D54" s="125">
        <f>pm.rep!D114</f>
        <v>16435.900000000001</v>
      </c>
      <c r="E54" s="125">
        <f>pm.rep!E114</f>
        <v>2106.9</v>
      </c>
      <c r="F54" s="125">
        <f>pm.rep!F114</f>
        <v>1714.75</v>
      </c>
      <c r="G54" s="125">
        <f>pm.rep!G114</f>
        <v>1745.56</v>
      </c>
      <c r="H54" s="125">
        <f>pm.rep!H114</f>
        <v>2652.59</v>
      </c>
      <c r="I54" s="125">
        <f>pm.rep!I114</f>
        <v>419.66</v>
      </c>
      <c r="J54" s="125">
        <f>pm.rep!J114</f>
        <v>255.15100000000001</v>
      </c>
      <c r="K54" s="125">
        <f>pm.rep!K114</f>
        <v>65.754199999999997</v>
      </c>
      <c r="L54" s="125">
        <f>pm.rep!L114</f>
        <v>15.252000000000001</v>
      </c>
      <c r="M54" s="125">
        <f>pm.rep!M114</f>
        <v>10.405900000000001</v>
      </c>
      <c r="N54" s="125">
        <f>pm.rep!N114</f>
        <v>10.6389</v>
      </c>
      <c r="O54" s="125">
        <f>pm.rep!O114</f>
        <v>9.2062399999999993</v>
      </c>
      <c r="P54" s="125">
        <f>pm.rep!P114</f>
        <v>14.4267</v>
      </c>
      <c r="Q54" s="125">
        <f>SUM(B54:$P54)</f>
        <v>56598.09494000001</v>
      </c>
      <c r="R54" s="125">
        <f>SUM(C54:$P54)</f>
        <v>38418.59494000001</v>
      </c>
      <c r="S54" s="125">
        <f>SUM(D54:$P54)</f>
        <v>25456.194940000009</v>
      </c>
      <c r="T54" s="125">
        <f>SUM(E54:$P54)</f>
        <v>9020.294939999998</v>
      </c>
      <c r="U54" s="125">
        <f>SUM(F54:$P54)</f>
        <v>6913.3949400000001</v>
      </c>
      <c r="V54" s="125">
        <f>SUM(G54:$P54)</f>
        <v>5198.6449400000001</v>
      </c>
      <c r="W54" s="125">
        <f>SUM(H54:$P54)</f>
        <v>3453.0849399999997</v>
      </c>
      <c r="X54" s="125">
        <f>SUM(I54:$P54)</f>
        <v>800.49493999999993</v>
      </c>
      <c r="Y54" s="125">
        <f>SUM(J54:$P54)</f>
        <v>380.83493999999996</v>
      </c>
      <c r="Z54" s="125">
        <f>SUM(K54:$P54)</f>
        <v>125.68393999999998</v>
      </c>
      <c r="AA54" s="125">
        <f>SUM(L54:$P54)</f>
        <v>59.92974000000001</v>
      </c>
    </row>
    <row r="55" spans="1:36" x14ac:dyDescent="0.15"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</row>
    <row r="56" spans="1:36" x14ac:dyDescent="0.15">
      <c r="B56" s="125">
        <f>SUM(B3:B47)</f>
        <v>982003.11</v>
      </c>
      <c r="C56" s="125">
        <f t="shared" ref="C56:P56" si="0">SUM(C3:C47)</f>
        <v>396047.73000000004</v>
      </c>
      <c r="D56" s="125">
        <f t="shared" si="0"/>
        <v>241278.12000000005</v>
      </c>
      <c r="E56" s="125">
        <f t="shared" si="0"/>
        <v>160489.93900000001</v>
      </c>
      <c r="F56" s="125">
        <f t="shared" si="0"/>
        <v>102439.757</v>
      </c>
      <c r="G56" s="125">
        <f t="shared" si="0"/>
        <v>62283.675999999999</v>
      </c>
      <c r="H56" s="125">
        <f t="shared" si="0"/>
        <v>35412.539399999994</v>
      </c>
      <c r="I56" s="125">
        <f t="shared" si="0"/>
        <v>19487.438199999997</v>
      </c>
      <c r="J56" s="125">
        <f t="shared" si="0"/>
        <v>10565.2778</v>
      </c>
      <c r="K56" s="125">
        <f t="shared" si="0"/>
        <v>5832.3135000000002</v>
      </c>
      <c r="L56" s="125">
        <f t="shared" si="0"/>
        <v>3269.9088699999998</v>
      </c>
      <c r="M56" s="125">
        <f t="shared" si="0"/>
        <v>1863.0498900000002</v>
      </c>
      <c r="N56" s="125">
        <f t="shared" si="0"/>
        <v>1052.2663800000003</v>
      </c>
      <c r="O56" s="125">
        <f t="shared" si="0"/>
        <v>612.47927800000002</v>
      </c>
      <c r="P56" s="125">
        <f t="shared" si="0"/>
        <v>831.40489000000025</v>
      </c>
      <c r="Q56" s="125">
        <f>SUM(B56:$P56)</f>
        <v>2023469.0102079997</v>
      </c>
      <c r="R56" s="125">
        <f>SUM(C56:$P56)</f>
        <v>1041465.9002080002</v>
      </c>
      <c r="S56" s="125">
        <f>SUM(D56:$P56)</f>
        <v>645418.17020800023</v>
      </c>
      <c r="T56" s="125">
        <f>SUM(E56:$P56)</f>
        <v>404140.05020799994</v>
      </c>
    </row>
    <row r="57" spans="1:36" x14ac:dyDescent="0.15">
      <c r="B57" s="125">
        <v>1</v>
      </c>
      <c r="C57" s="125">
        <v>2</v>
      </c>
      <c r="D57" s="125">
        <v>3</v>
      </c>
      <c r="E57" s="125">
        <v>4</v>
      </c>
      <c r="F57" s="125">
        <v>5</v>
      </c>
      <c r="G57" s="125">
        <v>6</v>
      </c>
      <c r="H57" s="125">
        <v>7</v>
      </c>
      <c r="I57" s="125">
        <v>8</v>
      </c>
      <c r="J57" s="125">
        <v>9</v>
      </c>
      <c r="K57" s="125">
        <v>10</v>
      </c>
      <c r="L57" s="125">
        <v>11</v>
      </c>
      <c r="M57" s="125">
        <v>12</v>
      </c>
      <c r="N57" s="125">
        <v>13</v>
      </c>
      <c r="O57" s="125">
        <v>14</v>
      </c>
      <c r="P57" s="125">
        <v>15</v>
      </c>
      <c r="Q57" s="125"/>
      <c r="R57" s="125"/>
      <c r="S57" s="125"/>
      <c r="T57" s="125"/>
    </row>
    <row r="58" spans="1:36" x14ac:dyDescent="0.15">
      <c r="A58" s="123" t="s">
        <v>579</v>
      </c>
      <c r="B58" s="123">
        <f t="shared" ref="B58:P58" si="1">B56/$Q$56</f>
        <v>0.48530672080767689</v>
      </c>
      <c r="C58" s="123">
        <f t="shared" si="1"/>
        <v>0.19572710429565157</v>
      </c>
      <c r="D58" s="123">
        <f t="shared" si="1"/>
        <v>0.11923983949484761</v>
      </c>
      <c r="E58" s="123">
        <f t="shared" si="1"/>
        <v>7.9314255958633464E-2</v>
      </c>
      <c r="F58" s="123">
        <f t="shared" si="1"/>
        <v>5.0625809677940087E-2</v>
      </c>
      <c r="G58" s="123">
        <f t="shared" si="1"/>
        <v>3.0780642394714824E-2</v>
      </c>
      <c r="H58" s="123">
        <f t="shared" si="1"/>
        <v>1.7500905238158213E-2</v>
      </c>
      <c r="I58" s="123">
        <f t="shared" si="1"/>
        <v>9.6307075135273808E-3</v>
      </c>
      <c r="J58" s="123">
        <f t="shared" si="1"/>
        <v>5.2213687220808765E-3</v>
      </c>
      <c r="K58" s="123">
        <f t="shared" si="1"/>
        <v>2.8823339871167464E-3</v>
      </c>
      <c r="L58" s="123">
        <f t="shared" si="1"/>
        <v>1.6159915736312037E-3</v>
      </c>
      <c r="M58" s="123">
        <f t="shared" si="1"/>
        <v>9.2072074274490148E-4</v>
      </c>
      <c r="N58" s="123">
        <f t="shared" si="1"/>
        <v>5.2003088492659152E-4</v>
      </c>
      <c r="O58" s="123">
        <f t="shared" si="1"/>
        <v>3.0268774807529225E-4</v>
      </c>
      <c r="P58" s="123">
        <f t="shared" si="1"/>
        <v>4.1088096027452236E-4</v>
      </c>
    </row>
    <row r="59" spans="1:36" x14ac:dyDescent="0.15">
      <c r="A59" s="123" t="s">
        <v>578</v>
      </c>
      <c r="C59" s="123">
        <f t="shared" ref="C59:P59" si="2">C56/$R$56</f>
        <v>0.38027911419942018</v>
      </c>
      <c r="D59" s="123">
        <f t="shared" si="2"/>
        <v>0.2316716466202228</v>
      </c>
      <c r="E59" s="123">
        <f t="shared" si="2"/>
        <v>0.15410004203493094</v>
      </c>
      <c r="F59" s="123">
        <f t="shared" si="2"/>
        <v>9.8361124430037375E-2</v>
      </c>
      <c r="G59" s="123">
        <f t="shared" si="2"/>
        <v>5.9803855303914209E-2</v>
      </c>
      <c r="H59" s="123">
        <f t="shared" si="2"/>
        <v>3.4002591340654982E-2</v>
      </c>
      <c r="I59" s="123">
        <f t="shared" si="2"/>
        <v>1.8711547056997249E-2</v>
      </c>
      <c r="J59" s="123">
        <f t="shared" si="2"/>
        <v>1.0144621919824659E-2</v>
      </c>
      <c r="K59" s="123">
        <f t="shared" si="2"/>
        <v>5.6001002998131554E-3</v>
      </c>
      <c r="L59" s="123">
        <f t="shared" si="2"/>
        <v>3.139717651194281E-3</v>
      </c>
      <c r="M59" s="123">
        <f t="shared" si="2"/>
        <v>1.7888726742065336E-3</v>
      </c>
      <c r="N59" s="123">
        <f t="shared" si="2"/>
        <v>1.0103704593591044E-3</v>
      </c>
      <c r="O59" s="123">
        <f t="shared" si="2"/>
        <v>5.880934535424314E-4</v>
      </c>
      <c r="P59" s="123">
        <f t="shared" si="2"/>
        <v>7.9830255588200555E-4</v>
      </c>
    </row>
    <row r="60" spans="1:36" x14ac:dyDescent="0.15">
      <c r="A60" s="123" t="s">
        <v>577</v>
      </c>
      <c r="D60" s="123">
        <f t="shared" ref="D60:P60" si="3">D56/$S$56</f>
        <v>0.37383223952657368</v>
      </c>
      <c r="E60" s="123">
        <f t="shared" si="3"/>
        <v>0.24866039787550231</v>
      </c>
      <c r="F60" s="123">
        <f t="shared" si="3"/>
        <v>0.15871842741425538</v>
      </c>
      <c r="G60" s="123">
        <f t="shared" si="3"/>
        <v>9.6501274483685076E-2</v>
      </c>
      <c r="H60" s="123">
        <f t="shared" si="3"/>
        <v>5.4867589780727005E-2</v>
      </c>
      <c r="I60" s="123">
        <f t="shared" si="3"/>
        <v>3.019350724774256E-2</v>
      </c>
      <c r="J60" s="123">
        <f t="shared" si="3"/>
        <v>1.6369662782495117E-2</v>
      </c>
      <c r="K60" s="123">
        <f t="shared" si="3"/>
        <v>9.0364879224277325E-3</v>
      </c>
      <c r="L60" s="123">
        <f t="shared" si="3"/>
        <v>5.0663415145969625E-3</v>
      </c>
      <c r="M60" s="123">
        <f t="shared" si="3"/>
        <v>2.8865779985704329E-3</v>
      </c>
      <c r="N60" s="123">
        <f t="shared" si="3"/>
        <v>1.6303637371425169E-3</v>
      </c>
      <c r="O60" s="123">
        <f t="shared" si="3"/>
        <v>9.489650373534031E-4</v>
      </c>
      <c r="P60" s="123">
        <f t="shared" si="3"/>
        <v>1.2881646789275575E-3</v>
      </c>
    </row>
    <row r="61" spans="1:36" x14ac:dyDescent="0.15">
      <c r="A61" s="123" t="s">
        <v>576</v>
      </c>
      <c r="E61" s="123">
        <f t="shared" ref="E61:P61" si="4">E56/$T$56</f>
        <v>0.39711466091371095</v>
      </c>
      <c r="F61" s="123">
        <f t="shared" si="4"/>
        <v>0.2534758852711505</v>
      </c>
      <c r="G61" s="123">
        <f t="shared" si="4"/>
        <v>0.15411408982590138</v>
      </c>
      <c r="H61" s="123">
        <f t="shared" si="4"/>
        <v>8.7624424705678439E-2</v>
      </c>
      <c r="I61" s="123">
        <f t="shared" si="4"/>
        <v>4.8219517441961866E-2</v>
      </c>
      <c r="J61" s="123">
        <f t="shared" si="4"/>
        <v>2.6142615151758253E-2</v>
      </c>
      <c r="K61" s="123">
        <f t="shared" si="4"/>
        <v>1.4431416774947858E-2</v>
      </c>
      <c r="L61" s="123">
        <f t="shared" si="4"/>
        <v>8.091029009169139E-3</v>
      </c>
      <c r="M61" s="123">
        <f t="shared" si="4"/>
        <v>4.6099115617003038E-3</v>
      </c>
      <c r="N61" s="123">
        <f t="shared" si="4"/>
        <v>2.6037171506719694E-3</v>
      </c>
      <c r="O61" s="123">
        <f t="shared" si="4"/>
        <v>1.5155124509060004E-3</v>
      </c>
      <c r="P61" s="123">
        <f t="shared" si="4"/>
        <v>2.057219742443489E-3</v>
      </c>
    </row>
    <row r="63" spans="1:36" x14ac:dyDescent="0.15">
      <c r="A63" s="123">
        <v>1979</v>
      </c>
      <c r="B63" s="123">
        <f t="shared" ref="B63:B79" si="5">VLOOKUP($A63,$A$4:$P$54,B$57+1)</f>
        <v>61942.6</v>
      </c>
      <c r="C63" s="123">
        <f t="shared" ref="C63:P78" si="6">VLOOKUP($A63,$A$4:$P$54,C$57+1)</f>
        <v>10281</v>
      </c>
      <c r="D63" s="123">
        <f t="shared" si="6"/>
        <v>3282.92</v>
      </c>
      <c r="E63" s="123">
        <f t="shared" si="6"/>
        <v>1700.1</v>
      </c>
      <c r="F63" s="123">
        <f t="shared" si="6"/>
        <v>1110.5899999999999</v>
      </c>
      <c r="G63" s="123">
        <f t="shared" si="6"/>
        <v>559.80700000000002</v>
      </c>
      <c r="H63" s="123">
        <f t="shared" si="6"/>
        <v>302.154</v>
      </c>
      <c r="I63" s="123">
        <f t="shared" si="6"/>
        <v>62.523200000000003</v>
      </c>
      <c r="J63" s="123">
        <f t="shared" si="6"/>
        <v>38.7699</v>
      </c>
      <c r="K63" s="123">
        <f t="shared" si="6"/>
        <v>30.682600000000001</v>
      </c>
      <c r="L63" s="123">
        <f t="shared" si="6"/>
        <v>17.389199999999999</v>
      </c>
      <c r="M63" s="123">
        <f t="shared" si="6"/>
        <v>7.8010099999999998</v>
      </c>
      <c r="N63" s="123">
        <f t="shared" si="6"/>
        <v>4.7889600000000003</v>
      </c>
      <c r="O63" s="123">
        <f t="shared" si="6"/>
        <v>1.5345299999999999</v>
      </c>
      <c r="P63" s="123">
        <f t="shared" si="6"/>
        <v>1.63551</v>
      </c>
      <c r="U63" s="123">
        <v>1979</v>
      </c>
      <c r="V63" s="123">
        <v>69110</v>
      </c>
      <c r="W63" s="123">
        <v>41132</v>
      </c>
      <c r="X63" s="123">
        <v>3884</v>
      </c>
      <c r="Y63" s="123">
        <v>413</v>
      </c>
      <c r="Z63" s="123">
        <v>534</v>
      </c>
      <c r="AA63" s="123">
        <v>128</v>
      </c>
      <c r="AB63" s="123">
        <v>30</v>
      </c>
      <c r="AC63" s="123">
        <v>4</v>
      </c>
      <c r="AD63" s="123">
        <v>28</v>
      </c>
      <c r="AE63" s="123">
        <v>59</v>
      </c>
      <c r="AF63" s="123">
        <v>69</v>
      </c>
      <c r="AG63" s="123">
        <v>29</v>
      </c>
      <c r="AH63" s="123">
        <v>3</v>
      </c>
      <c r="AI63" s="123">
        <v>1</v>
      </c>
      <c r="AJ63" s="123">
        <v>0</v>
      </c>
    </row>
    <row r="64" spans="1:36" x14ac:dyDescent="0.15">
      <c r="A64" s="123">
        <v>1982</v>
      </c>
      <c r="B64" s="123">
        <f t="shared" si="5"/>
        <v>16305.4</v>
      </c>
      <c r="C64" s="123">
        <f t="shared" si="6"/>
        <v>12486.2</v>
      </c>
      <c r="D64" s="123">
        <f t="shared" si="6"/>
        <v>6933.92</v>
      </c>
      <c r="E64" s="123">
        <f t="shared" si="6"/>
        <v>10619.1</v>
      </c>
      <c r="F64" s="123">
        <f t="shared" si="6"/>
        <v>2328.6999999999998</v>
      </c>
      <c r="G64" s="123">
        <f t="shared" si="6"/>
        <v>540.91099999999994</v>
      </c>
      <c r="H64" s="123">
        <f t="shared" si="6"/>
        <v>227.42099999999999</v>
      </c>
      <c r="I64" s="123">
        <f t="shared" si="6"/>
        <v>132.10599999999999</v>
      </c>
      <c r="J64" s="123">
        <f t="shared" si="6"/>
        <v>66.275700000000001</v>
      </c>
      <c r="K64" s="123">
        <f t="shared" si="6"/>
        <v>36.001399999999997</v>
      </c>
      <c r="L64" s="123">
        <f t="shared" si="6"/>
        <v>7.3979600000000003</v>
      </c>
      <c r="M64" s="123">
        <f t="shared" si="6"/>
        <v>4.4702599999999997</v>
      </c>
      <c r="N64" s="123">
        <f t="shared" si="6"/>
        <v>3.5337200000000002</v>
      </c>
      <c r="O64" s="123">
        <f t="shared" si="6"/>
        <v>2.0027200000000001</v>
      </c>
      <c r="P64" s="123">
        <f t="shared" si="6"/>
        <v>1.81508</v>
      </c>
      <c r="U64" s="123">
        <v>1982</v>
      </c>
      <c r="V64" s="123">
        <v>108</v>
      </c>
      <c r="W64" s="123">
        <v>3401</v>
      </c>
      <c r="X64" s="123">
        <v>4108</v>
      </c>
      <c r="Y64" s="123">
        <v>7637</v>
      </c>
      <c r="Z64" s="123">
        <v>1790</v>
      </c>
      <c r="AA64" s="123">
        <v>283</v>
      </c>
      <c r="AB64" s="123">
        <v>141</v>
      </c>
      <c r="AC64" s="123">
        <v>178</v>
      </c>
      <c r="AD64" s="123">
        <v>90</v>
      </c>
      <c r="AE64" s="123">
        <v>55</v>
      </c>
      <c r="AF64" s="123">
        <v>122</v>
      </c>
      <c r="AG64" s="123">
        <v>0</v>
      </c>
      <c r="AH64" s="123">
        <v>0</v>
      </c>
      <c r="AI64" s="123">
        <v>0</v>
      </c>
      <c r="AJ64" s="123">
        <v>0</v>
      </c>
    </row>
    <row r="65" spans="1:36" x14ac:dyDescent="0.15">
      <c r="A65" s="123">
        <v>1985</v>
      </c>
      <c r="B65" s="123">
        <f t="shared" si="5"/>
        <v>34631.9</v>
      </c>
      <c r="C65" s="123">
        <f t="shared" si="6"/>
        <v>5516.6</v>
      </c>
      <c r="D65" s="123">
        <f t="shared" si="6"/>
        <v>13436.4</v>
      </c>
      <c r="E65" s="123">
        <f t="shared" si="6"/>
        <v>3017.32</v>
      </c>
      <c r="F65" s="123">
        <f t="shared" si="6"/>
        <v>3880.54</v>
      </c>
      <c r="G65" s="123">
        <f t="shared" si="6"/>
        <v>2112.8000000000002</v>
      </c>
      <c r="H65" s="123">
        <f t="shared" si="6"/>
        <v>2703.67</v>
      </c>
      <c r="I65" s="123">
        <f t="shared" si="6"/>
        <v>522.27200000000005</v>
      </c>
      <c r="J65" s="123">
        <f t="shared" si="6"/>
        <v>119.622</v>
      </c>
      <c r="K65" s="123">
        <f t="shared" si="6"/>
        <v>49.792200000000001</v>
      </c>
      <c r="L65" s="123">
        <f t="shared" si="6"/>
        <v>28.3294</v>
      </c>
      <c r="M65" s="123">
        <f t="shared" si="6"/>
        <v>14.0694</v>
      </c>
      <c r="N65" s="123">
        <f t="shared" si="6"/>
        <v>7.6447099999999999</v>
      </c>
      <c r="O65" s="123">
        <f t="shared" si="6"/>
        <v>1.5709200000000001</v>
      </c>
      <c r="P65" s="123">
        <f t="shared" si="6"/>
        <v>2.5102899999999999</v>
      </c>
      <c r="U65" s="123">
        <v>1985</v>
      </c>
      <c r="V65" s="123">
        <v>2076</v>
      </c>
      <c r="W65" s="123">
        <v>929</v>
      </c>
      <c r="X65" s="123">
        <v>8149</v>
      </c>
      <c r="Y65" s="123">
        <v>898</v>
      </c>
      <c r="Z65" s="123">
        <v>2186</v>
      </c>
      <c r="AA65" s="123">
        <v>1510</v>
      </c>
      <c r="AB65" s="123">
        <v>1127</v>
      </c>
      <c r="AC65" s="123">
        <v>130</v>
      </c>
      <c r="AD65" s="123">
        <v>21</v>
      </c>
      <c r="AE65" s="123">
        <v>7</v>
      </c>
      <c r="AF65" s="123">
        <v>8</v>
      </c>
      <c r="AG65" s="123">
        <v>0</v>
      </c>
      <c r="AH65" s="123">
        <v>0</v>
      </c>
      <c r="AI65" s="123">
        <v>0</v>
      </c>
      <c r="AJ65" s="123">
        <v>0</v>
      </c>
    </row>
    <row r="66" spans="1:36" x14ac:dyDescent="0.15">
      <c r="A66" s="123">
        <v>1988</v>
      </c>
      <c r="B66" s="123">
        <f t="shared" si="5"/>
        <v>5561.46</v>
      </c>
      <c r="C66" s="123">
        <f t="shared" si="6"/>
        <v>3185.19</v>
      </c>
      <c r="D66" s="123">
        <f t="shared" si="6"/>
        <v>3755.53</v>
      </c>
      <c r="E66" s="123">
        <f t="shared" si="6"/>
        <v>6445.86</v>
      </c>
      <c r="F66" s="123">
        <f t="shared" si="6"/>
        <v>1765.34</v>
      </c>
      <c r="G66" s="123">
        <f t="shared" si="6"/>
        <v>4509.9799999999996</v>
      </c>
      <c r="H66" s="123">
        <f t="shared" si="6"/>
        <v>905.13900000000001</v>
      </c>
      <c r="I66" s="123">
        <f t="shared" si="6"/>
        <v>1029.6300000000001</v>
      </c>
      <c r="J66" s="123">
        <f t="shared" si="6"/>
        <v>508.08300000000003</v>
      </c>
      <c r="K66" s="123">
        <f t="shared" si="6"/>
        <v>653.68799999999999</v>
      </c>
      <c r="L66" s="123">
        <f t="shared" si="6"/>
        <v>123.76300000000001</v>
      </c>
      <c r="M66" s="123">
        <f t="shared" si="6"/>
        <v>27.9664</v>
      </c>
      <c r="N66" s="123">
        <f t="shared" si="6"/>
        <v>11.522600000000001</v>
      </c>
      <c r="O66" s="123">
        <f t="shared" si="6"/>
        <v>6.5558199999999998</v>
      </c>
      <c r="P66" s="123">
        <f t="shared" si="6"/>
        <v>5.9693899999999998</v>
      </c>
      <c r="U66" s="123">
        <v>1988</v>
      </c>
      <c r="V66" s="123">
        <v>10.85474</v>
      </c>
      <c r="W66" s="123">
        <v>1112</v>
      </c>
      <c r="X66" s="123">
        <v>3586</v>
      </c>
      <c r="Y66" s="123">
        <v>3864</v>
      </c>
      <c r="Z66" s="123">
        <v>739</v>
      </c>
      <c r="AA66" s="123">
        <v>1882</v>
      </c>
      <c r="AB66" s="123">
        <v>403</v>
      </c>
      <c r="AC66" s="123">
        <v>151</v>
      </c>
      <c r="AD66" s="123">
        <v>129.52866</v>
      </c>
      <c r="AE66" s="123">
        <v>254.51902999999999</v>
      </c>
      <c r="AF66" s="123">
        <v>159</v>
      </c>
      <c r="AG66" s="123">
        <v>0</v>
      </c>
      <c r="AH66" s="123">
        <v>0</v>
      </c>
      <c r="AI66" s="123">
        <v>0</v>
      </c>
      <c r="AJ66" s="123">
        <v>0</v>
      </c>
    </row>
    <row r="67" spans="1:36" x14ac:dyDescent="0.15">
      <c r="A67" s="123">
        <v>1991</v>
      </c>
      <c r="B67" s="123">
        <f t="shared" si="5"/>
        <v>25581.3</v>
      </c>
      <c r="C67" s="123">
        <f t="shared" si="6"/>
        <v>19857</v>
      </c>
      <c r="D67" s="123">
        <f t="shared" si="6"/>
        <v>2858.66</v>
      </c>
      <c r="E67" s="123">
        <f t="shared" si="6"/>
        <v>1015.24</v>
      </c>
      <c r="F67" s="123">
        <f t="shared" si="6"/>
        <v>925.85299999999995</v>
      </c>
      <c r="G67" s="123">
        <f t="shared" si="6"/>
        <v>1050.05</v>
      </c>
      <c r="H67" s="123">
        <f t="shared" si="6"/>
        <v>1657.8</v>
      </c>
      <c r="I67" s="123">
        <f t="shared" si="6"/>
        <v>403.81900000000002</v>
      </c>
      <c r="J67" s="123">
        <f t="shared" si="6"/>
        <v>959.34799999999996</v>
      </c>
      <c r="K67" s="123">
        <f t="shared" si="6"/>
        <v>189.99700000000001</v>
      </c>
      <c r="L67" s="123">
        <f t="shared" si="6"/>
        <v>222.494</v>
      </c>
      <c r="M67" s="123">
        <f t="shared" si="6"/>
        <v>108.845</v>
      </c>
      <c r="N67" s="123">
        <f t="shared" si="6"/>
        <v>140.69399999999999</v>
      </c>
      <c r="O67" s="123">
        <f t="shared" si="6"/>
        <v>26.637599999999999</v>
      </c>
      <c r="P67" s="123">
        <f t="shared" si="6"/>
        <v>11.1951</v>
      </c>
      <c r="U67" s="123">
        <v>1991</v>
      </c>
      <c r="V67" s="123">
        <v>639.26753799999994</v>
      </c>
      <c r="W67" s="123">
        <v>5942.3292549999996</v>
      </c>
      <c r="X67" s="123">
        <v>967.02642100000003</v>
      </c>
      <c r="Y67" s="123">
        <v>214.547946</v>
      </c>
      <c r="Z67" s="123">
        <v>224.12922699999999</v>
      </c>
      <c r="AA67" s="123">
        <v>133.045368</v>
      </c>
      <c r="AB67" s="123">
        <v>119.732088</v>
      </c>
      <c r="AC67" s="123">
        <v>38.685293000000001</v>
      </c>
      <c r="AD67" s="123">
        <v>37.037005999999998</v>
      </c>
      <c r="AE67" s="123">
        <v>14.667192999999999</v>
      </c>
      <c r="AF67" s="123">
        <v>16.038739</v>
      </c>
      <c r="AG67" s="123">
        <v>5.2750120000000003</v>
      </c>
      <c r="AH67" s="123">
        <v>7.8624049999999999</v>
      </c>
      <c r="AI67" s="123">
        <v>4.59</v>
      </c>
      <c r="AJ67" s="123">
        <v>4.5552210000000004</v>
      </c>
    </row>
    <row r="68" spans="1:36" x14ac:dyDescent="0.15">
      <c r="A68" s="123">
        <v>1994</v>
      </c>
      <c r="B68" s="123">
        <f t="shared" si="5"/>
        <v>15942.8</v>
      </c>
      <c r="C68" s="123">
        <f t="shared" si="6"/>
        <v>19051.2</v>
      </c>
      <c r="D68" s="123">
        <f t="shared" si="6"/>
        <v>5882.78</v>
      </c>
      <c r="E68" s="123">
        <f t="shared" si="6"/>
        <v>4674.55</v>
      </c>
      <c r="F68" s="123">
        <f t="shared" si="6"/>
        <v>5550.3</v>
      </c>
      <c r="G68" s="123">
        <f t="shared" si="6"/>
        <v>868.91099999999994</v>
      </c>
      <c r="H68" s="123">
        <f t="shared" si="6"/>
        <v>242.44200000000001</v>
      </c>
      <c r="I68" s="123">
        <f t="shared" si="6"/>
        <v>164.13300000000001</v>
      </c>
      <c r="J68" s="123">
        <f t="shared" si="6"/>
        <v>160.26400000000001</v>
      </c>
      <c r="K68" s="123">
        <f t="shared" si="6"/>
        <v>228.08699999999999</v>
      </c>
      <c r="L68" s="123">
        <f t="shared" si="6"/>
        <v>57.996499999999997</v>
      </c>
      <c r="M68" s="123">
        <f t="shared" si="6"/>
        <v>133.46899999999999</v>
      </c>
      <c r="N68" s="123">
        <f t="shared" si="6"/>
        <v>26.471299999999999</v>
      </c>
      <c r="O68" s="123">
        <f t="shared" si="6"/>
        <v>30.998999999999999</v>
      </c>
      <c r="P68" s="123">
        <f t="shared" si="6"/>
        <v>40.038200000000003</v>
      </c>
      <c r="U68" s="123">
        <v>1994</v>
      </c>
      <c r="V68" s="123">
        <v>452.85523499999999</v>
      </c>
      <c r="W68" s="123">
        <v>3905.6106049999999</v>
      </c>
      <c r="X68" s="123">
        <v>1127.234019</v>
      </c>
      <c r="Y68" s="123">
        <v>1670.3028260000001</v>
      </c>
      <c r="Z68" s="123">
        <v>1908.487018</v>
      </c>
      <c r="AA68" s="123">
        <v>293.253466</v>
      </c>
      <c r="AB68" s="123">
        <v>69.328886999999995</v>
      </c>
      <c r="AC68" s="123">
        <v>66.771671999999995</v>
      </c>
      <c r="AD68" s="123">
        <v>30.09459</v>
      </c>
      <c r="AE68" s="123">
        <v>21.061381999999998</v>
      </c>
      <c r="AF68" s="123">
        <v>6.3904139999999998</v>
      </c>
      <c r="AG68" s="123">
        <v>13.009868000000001</v>
      </c>
      <c r="AH68" s="123">
        <v>2.9810840000000001</v>
      </c>
      <c r="AI68" s="123">
        <v>5.6638380000000002</v>
      </c>
      <c r="AJ68" s="123">
        <v>9.4310960000000001</v>
      </c>
    </row>
    <row r="69" spans="1:36" x14ac:dyDescent="0.15">
      <c r="A69" s="123">
        <v>1996</v>
      </c>
      <c r="B69" s="123">
        <f t="shared" si="5"/>
        <v>22878.1</v>
      </c>
      <c r="C69" s="123">
        <f t="shared" si="6"/>
        <v>4433.28</v>
      </c>
      <c r="D69" s="123">
        <f t="shared" si="6"/>
        <v>4118.8900000000003</v>
      </c>
      <c r="E69" s="123">
        <f t="shared" si="6"/>
        <v>8860.85</v>
      </c>
      <c r="F69" s="123">
        <f t="shared" si="6"/>
        <v>3043.58</v>
      </c>
      <c r="G69" s="123">
        <f t="shared" si="6"/>
        <v>2033.87</v>
      </c>
      <c r="H69" s="123">
        <f t="shared" si="6"/>
        <v>1793.97</v>
      </c>
      <c r="I69" s="123">
        <f t="shared" si="6"/>
        <v>290.14400000000001</v>
      </c>
      <c r="J69" s="123">
        <f t="shared" si="6"/>
        <v>76.336200000000005</v>
      </c>
      <c r="K69" s="123">
        <f t="shared" si="6"/>
        <v>52.177900000000001</v>
      </c>
      <c r="L69" s="123">
        <f t="shared" si="6"/>
        <v>51.543100000000003</v>
      </c>
      <c r="M69" s="123">
        <f t="shared" si="6"/>
        <v>73.825100000000006</v>
      </c>
      <c r="N69" s="123">
        <f t="shared" si="6"/>
        <v>18.771799999999999</v>
      </c>
      <c r="O69" s="123">
        <f t="shared" si="6"/>
        <v>43.2</v>
      </c>
      <c r="P69" s="123">
        <f t="shared" si="6"/>
        <v>31.560700000000001</v>
      </c>
      <c r="U69" s="123">
        <v>1996</v>
      </c>
      <c r="V69" s="123">
        <v>972.33634400000005</v>
      </c>
      <c r="W69" s="123">
        <v>446.39659899999998</v>
      </c>
      <c r="X69" s="123">
        <v>520.37133100000005</v>
      </c>
      <c r="Y69" s="123">
        <v>2686.4816000000001</v>
      </c>
      <c r="Z69" s="123">
        <v>820.73635899999999</v>
      </c>
      <c r="AA69" s="123">
        <v>509.29505599999999</v>
      </c>
      <c r="AB69" s="123">
        <v>434.35403400000001</v>
      </c>
      <c r="AC69" s="123">
        <v>84.868859999999998</v>
      </c>
      <c r="AD69" s="123">
        <v>16.722781000000001</v>
      </c>
      <c r="AE69" s="123">
        <v>6.2749439999999996</v>
      </c>
      <c r="AF69" s="123">
        <v>5.6988880000000002</v>
      </c>
      <c r="AG69" s="123">
        <v>12.145110000000001</v>
      </c>
      <c r="AH69" s="123">
        <v>1.3079369999999999</v>
      </c>
      <c r="AI69" s="123">
        <v>4.7831780000000004</v>
      </c>
      <c r="AJ69" s="123">
        <v>3.4673310000000002</v>
      </c>
    </row>
    <row r="70" spans="1:36" x14ac:dyDescent="0.15">
      <c r="A70" s="123">
        <v>1997</v>
      </c>
      <c r="B70" s="123">
        <f t="shared" si="5"/>
        <v>31178.400000000001</v>
      </c>
      <c r="C70" s="123">
        <f t="shared" si="6"/>
        <v>9300.86</v>
      </c>
      <c r="D70" s="123">
        <f t="shared" si="6"/>
        <v>2812.38</v>
      </c>
      <c r="E70" s="123">
        <f t="shared" si="6"/>
        <v>3002.93</v>
      </c>
      <c r="F70" s="123">
        <f t="shared" si="6"/>
        <v>6417.13</v>
      </c>
      <c r="G70" s="123">
        <f t="shared" si="6"/>
        <v>2074.58</v>
      </c>
      <c r="H70" s="123">
        <f t="shared" si="6"/>
        <v>1174.0899999999999</v>
      </c>
      <c r="I70" s="123">
        <f t="shared" si="6"/>
        <v>896.16200000000003</v>
      </c>
      <c r="J70" s="123">
        <f t="shared" si="6"/>
        <v>146.09399999999999</v>
      </c>
      <c r="K70" s="123">
        <f t="shared" si="6"/>
        <v>40.155999999999999</v>
      </c>
      <c r="L70" s="123">
        <f t="shared" si="6"/>
        <v>28.360499999999998</v>
      </c>
      <c r="M70" s="123">
        <f t="shared" si="6"/>
        <v>28.015499999999999</v>
      </c>
      <c r="N70" s="123">
        <f t="shared" si="6"/>
        <v>40.126600000000003</v>
      </c>
      <c r="O70" s="123">
        <f t="shared" si="6"/>
        <v>10.203099999999999</v>
      </c>
      <c r="P70" s="123">
        <f t="shared" si="6"/>
        <v>40.635100000000001</v>
      </c>
      <c r="U70" s="123">
        <v>1997</v>
      </c>
      <c r="V70" s="123">
        <v>12383.79911</v>
      </c>
      <c r="W70" s="123">
        <v>2742.751722</v>
      </c>
      <c r="X70" s="123">
        <v>385.32888200000002</v>
      </c>
      <c r="Y70" s="123">
        <v>490.90981099999999</v>
      </c>
      <c r="Z70" s="123">
        <v>1918.113717</v>
      </c>
      <c r="AA70" s="123">
        <v>384.006258</v>
      </c>
      <c r="AB70" s="123">
        <v>205.28550100000001</v>
      </c>
      <c r="AC70" s="123">
        <v>142.672406</v>
      </c>
      <c r="AD70" s="123">
        <v>32.735835999999999</v>
      </c>
      <c r="AE70" s="123">
        <v>3.8884780000000001</v>
      </c>
      <c r="AF70" s="123">
        <v>4.9455340000000003</v>
      </c>
      <c r="AG70" s="123">
        <v>2.0102259999999998</v>
      </c>
      <c r="AH70" s="123">
        <v>2.2329599999999998</v>
      </c>
      <c r="AI70" s="123">
        <v>2.2997890000000001</v>
      </c>
      <c r="AJ70" s="123">
        <v>2.3064290000000001</v>
      </c>
    </row>
    <row r="71" spans="1:36" x14ac:dyDescent="0.15">
      <c r="A71" s="123">
        <v>1999</v>
      </c>
      <c r="B71" s="123">
        <f t="shared" si="5"/>
        <v>16827.099999999999</v>
      </c>
      <c r="C71" s="123">
        <f t="shared" si="6"/>
        <v>6294.6</v>
      </c>
      <c r="D71" s="123">
        <f t="shared" si="6"/>
        <v>8045.23</v>
      </c>
      <c r="E71" s="123">
        <f t="shared" si="6"/>
        <v>4264.38</v>
      </c>
      <c r="F71" s="123">
        <f t="shared" si="6"/>
        <v>1444.58</v>
      </c>
      <c r="G71" s="123">
        <f t="shared" si="6"/>
        <v>1449.66</v>
      </c>
      <c r="H71" s="123">
        <f t="shared" si="6"/>
        <v>2662.93</v>
      </c>
      <c r="I71" s="123">
        <f t="shared" si="6"/>
        <v>774.25800000000004</v>
      </c>
      <c r="J71" s="123">
        <f t="shared" si="6"/>
        <v>359.53699999999998</v>
      </c>
      <c r="K71" s="123">
        <f t="shared" si="6"/>
        <v>254.86099999999999</v>
      </c>
      <c r="L71" s="123">
        <f t="shared" si="6"/>
        <v>41.609400000000001</v>
      </c>
      <c r="M71" s="123">
        <f t="shared" si="6"/>
        <v>11.6966</v>
      </c>
      <c r="N71" s="123">
        <f t="shared" si="6"/>
        <v>8.2607900000000001</v>
      </c>
      <c r="O71" s="123">
        <f t="shared" si="6"/>
        <v>8.1602899999999998</v>
      </c>
      <c r="P71" s="123">
        <f t="shared" si="6"/>
        <v>26.495999999999999</v>
      </c>
      <c r="U71" s="123">
        <v>1999</v>
      </c>
      <c r="V71" s="123">
        <v>111.865503</v>
      </c>
      <c r="W71" s="123">
        <v>1587.614967</v>
      </c>
      <c r="X71" s="123">
        <v>3596.9569740000002</v>
      </c>
      <c r="Y71" s="123">
        <v>1683.5934110000001</v>
      </c>
      <c r="Z71" s="123">
        <v>582.56553599999995</v>
      </c>
      <c r="AA71" s="123">
        <v>273.94560999999999</v>
      </c>
      <c r="AB71" s="123">
        <v>1169.058192</v>
      </c>
      <c r="AC71" s="123">
        <v>400.23503799999997</v>
      </c>
      <c r="AD71" s="123">
        <v>104.643576</v>
      </c>
      <c r="AE71" s="123">
        <v>66.873683</v>
      </c>
      <c r="AF71" s="123">
        <v>14.464537</v>
      </c>
      <c r="AG71" s="123">
        <v>6.471546</v>
      </c>
      <c r="AH71" s="123">
        <v>1.67028</v>
      </c>
      <c r="AI71" s="123">
        <v>0</v>
      </c>
      <c r="AJ71" s="123">
        <v>0.69325400000000004</v>
      </c>
    </row>
    <row r="72" spans="1:36" x14ac:dyDescent="0.15">
      <c r="A72" s="123">
        <v>2000</v>
      </c>
      <c r="B72" s="123">
        <f t="shared" si="5"/>
        <v>25850.3</v>
      </c>
      <c r="C72" s="123">
        <f t="shared" si="6"/>
        <v>6841.15</v>
      </c>
      <c r="D72" s="123">
        <f t="shared" si="6"/>
        <v>4003.5</v>
      </c>
      <c r="E72" s="123">
        <f t="shared" si="6"/>
        <v>5724.36</v>
      </c>
      <c r="F72" s="123">
        <f t="shared" si="6"/>
        <v>2968.23</v>
      </c>
      <c r="G72" s="123">
        <f t="shared" si="6"/>
        <v>979.90800000000002</v>
      </c>
      <c r="H72" s="123">
        <f t="shared" si="6"/>
        <v>942.21100000000001</v>
      </c>
      <c r="I72" s="123">
        <f t="shared" si="6"/>
        <v>1578.51</v>
      </c>
      <c r="J72" s="123">
        <f t="shared" si="6"/>
        <v>463.476</v>
      </c>
      <c r="K72" s="123">
        <f t="shared" si="6"/>
        <v>216.76400000000001</v>
      </c>
      <c r="L72" s="123">
        <f t="shared" si="6"/>
        <v>155.45099999999999</v>
      </c>
      <c r="M72" s="123">
        <f t="shared" si="6"/>
        <v>25.3795</v>
      </c>
      <c r="N72" s="123">
        <f t="shared" si="6"/>
        <v>7.1342699999999999</v>
      </c>
      <c r="O72" s="123">
        <f t="shared" si="6"/>
        <v>5.03864</v>
      </c>
      <c r="P72" s="123">
        <f t="shared" si="6"/>
        <v>21.138500000000001</v>
      </c>
      <c r="U72" s="123">
        <v>2000</v>
      </c>
      <c r="V72" s="123">
        <v>257.92201599999999</v>
      </c>
      <c r="W72" s="123">
        <v>1272.3294330000001</v>
      </c>
      <c r="X72" s="123">
        <v>1184.944489</v>
      </c>
      <c r="Y72" s="123">
        <v>2480.0247760000002</v>
      </c>
      <c r="Z72" s="123">
        <v>899.71374900000001</v>
      </c>
      <c r="AA72" s="123">
        <v>243.88862</v>
      </c>
      <c r="AB72" s="123">
        <v>233.99312599999999</v>
      </c>
      <c r="AC72" s="123">
        <v>725.12436600000001</v>
      </c>
      <c r="AD72" s="123">
        <v>190.427626</v>
      </c>
      <c r="AE72" s="123">
        <v>84.693968999999996</v>
      </c>
      <c r="AF72" s="123">
        <v>35.625883999999999</v>
      </c>
      <c r="AG72" s="123">
        <v>18.077577999999999</v>
      </c>
      <c r="AH72" s="123">
        <v>1.166461</v>
      </c>
      <c r="AI72" s="123">
        <v>1.3551070000000001</v>
      </c>
      <c r="AJ72" s="123">
        <v>0.46836699999999998</v>
      </c>
    </row>
    <row r="73" spans="1:36" x14ac:dyDescent="0.15">
      <c r="A73" s="123">
        <v>2002</v>
      </c>
      <c r="B73" s="123">
        <f t="shared" si="5"/>
        <v>23951.8</v>
      </c>
      <c r="C73" s="123">
        <f t="shared" si="6"/>
        <v>14621.1</v>
      </c>
      <c r="D73" s="123">
        <f t="shared" si="6"/>
        <v>6686.97</v>
      </c>
      <c r="E73" s="123">
        <f t="shared" si="6"/>
        <v>3165.89</v>
      </c>
      <c r="F73" s="123">
        <f t="shared" si="6"/>
        <v>1996.85</v>
      </c>
      <c r="G73" s="123">
        <f t="shared" si="6"/>
        <v>2364.25</v>
      </c>
      <c r="H73" s="123">
        <f t="shared" si="6"/>
        <v>1060.83</v>
      </c>
      <c r="I73" s="123">
        <f t="shared" si="6"/>
        <v>352.46899999999999</v>
      </c>
      <c r="J73" s="123">
        <f t="shared" si="6"/>
        <v>311.16399999999999</v>
      </c>
      <c r="K73" s="123">
        <f t="shared" si="6"/>
        <v>500.63600000000002</v>
      </c>
      <c r="L73" s="123">
        <f t="shared" si="6"/>
        <v>158.53200000000001</v>
      </c>
      <c r="M73" s="123">
        <f t="shared" si="6"/>
        <v>76.156300000000002</v>
      </c>
      <c r="N73" s="123">
        <f t="shared" si="6"/>
        <v>54.615099999999998</v>
      </c>
      <c r="O73" s="123">
        <f t="shared" si="6"/>
        <v>8.9166500000000006</v>
      </c>
      <c r="P73" s="123">
        <f t="shared" si="6"/>
        <v>11.7034</v>
      </c>
      <c r="U73" s="123">
        <v>2002</v>
      </c>
      <c r="V73" s="123">
        <v>561.31366190000006</v>
      </c>
      <c r="W73" s="123">
        <v>4187.5517739999996</v>
      </c>
      <c r="X73" s="123">
        <v>3841.0404589999998</v>
      </c>
      <c r="Y73" s="123">
        <v>1295.262536</v>
      </c>
      <c r="Z73" s="123">
        <v>685.34618369999998</v>
      </c>
      <c r="AA73" s="123">
        <v>593.33517889999996</v>
      </c>
      <c r="AB73" s="123">
        <v>287.57275440000001</v>
      </c>
      <c r="AC73" s="123">
        <v>99.991476300000002</v>
      </c>
      <c r="AD73" s="123">
        <v>131.71430459999999</v>
      </c>
      <c r="AE73" s="123">
        <v>237.8775143</v>
      </c>
      <c r="AF73" s="123">
        <v>117.87598</v>
      </c>
      <c r="AG73" s="123">
        <v>48.101307900000002</v>
      </c>
      <c r="AH73" s="123">
        <v>25.200015480000001</v>
      </c>
      <c r="AI73" s="123">
        <v>6.4256788309999999</v>
      </c>
      <c r="AJ73" s="123">
        <v>3.1541752280000002</v>
      </c>
    </row>
    <row r="74" spans="1:36" x14ac:dyDescent="0.15">
      <c r="A74" s="123">
        <v>2004</v>
      </c>
      <c r="B74" s="123">
        <f t="shared" si="5"/>
        <v>6640.46</v>
      </c>
      <c r="C74" s="123">
        <f t="shared" si="6"/>
        <v>5946.02</v>
      </c>
      <c r="D74" s="123">
        <f t="shared" si="6"/>
        <v>6193.41</v>
      </c>
      <c r="E74" s="123">
        <f t="shared" si="6"/>
        <v>6559.88</v>
      </c>
      <c r="F74" s="123">
        <f t="shared" si="6"/>
        <v>3301.22</v>
      </c>
      <c r="G74" s="123">
        <f t="shared" si="6"/>
        <v>1286.7</v>
      </c>
      <c r="H74" s="123">
        <f t="shared" si="6"/>
        <v>653.08100000000002</v>
      </c>
      <c r="I74" s="123">
        <f t="shared" si="6"/>
        <v>616.82600000000002</v>
      </c>
      <c r="J74" s="123">
        <f t="shared" si="6"/>
        <v>280.62599999999998</v>
      </c>
      <c r="K74" s="123">
        <f t="shared" si="6"/>
        <v>98.302499999999995</v>
      </c>
      <c r="L74" s="123">
        <f t="shared" si="6"/>
        <v>95.058800000000005</v>
      </c>
      <c r="M74" s="123">
        <f t="shared" si="6"/>
        <v>160.70500000000001</v>
      </c>
      <c r="N74" s="123">
        <f t="shared" si="6"/>
        <v>50.888800000000003</v>
      </c>
      <c r="O74" s="123">
        <f t="shared" si="6"/>
        <v>24.446300000000001</v>
      </c>
      <c r="P74" s="123">
        <f t="shared" si="6"/>
        <v>24.150600000000001</v>
      </c>
      <c r="U74" s="123">
        <v>2004</v>
      </c>
      <c r="V74" s="123">
        <v>15.75365101</v>
      </c>
      <c r="W74" s="123">
        <v>275.06652259999998</v>
      </c>
      <c r="X74" s="123">
        <v>1188.7984510000001</v>
      </c>
      <c r="Y74" s="123">
        <v>2928.9407609999998</v>
      </c>
      <c r="Z74" s="123">
        <v>1444.3430269999999</v>
      </c>
      <c r="AA74" s="123">
        <v>417.0268039</v>
      </c>
      <c r="AB74" s="123">
        <v>202.4937822</v>
      </c>
      <c r="AC74" s="123">
        <v>192.76933399999999</v>
      </c>
      <c r="AD74" s="123">
        <v>67.997976129999998</v>
      </c>
      <c r="AE74" s="123">
        <v>34.699289149999998</v>
      </c>
      <c r="AF74" s="123">
        <v>24.599876630000001</v>
      </c>
      <c r="AG74" s="123">
        <v>19.81017834</v>
      </c>
      <c r="AH74" s="123">
        <v>12.142736169999999</v>
      </c>
      <c r="AI74" s="123">
        <v>5.7995326230000002</v>
      </c>
      <c r="AJ74" s="123">
        <v>4.2507374899999997</v>
      </c>
    </row>
    <row r="75" spans="1:36" x14ac:dyDescent="0.15">
      <c r="A75" s="123">
        <v>2006</v>
      </c>
      <c r="B75" s="123">
        <f t="shared" si="5"/>
        <v>12207.5</v>
      </c>
      <c r="C75" s="123">
        <f t="shared" si="6"/>
        <v>1964.36</v>
      </c>
      <c r="D75" s="123">
        <f t="shared" si="6"/>
        <v>1718.21</v>
      </c>
      <c r="E75" s="123">
        <f t="shared" si="6"/>
        <v>2748.41</v>
      </c>
      <c r="F75" s="123">
        <f t="shared" si="6"/>
        <v>2990.84</v>
      </c>
      <c r="G75" s="123">
        <f t="shared" si="6"/>
        <v>2322.33</v>
      </c>
      <c r="H75" s="123">
        <f t="shared" si="6"/>
        <v>1089.69</v>
      </c>
      <c r="I75" s="123">
        <f t="shared" si="6"/>
        <v>410.71</v>
      </c>
      <c r="J75" s="123">
        <f t="shared" si="6"/>
        <v>197.46299999999999</v>
      </c>
      <c r="K75" s="123">
        <f t="shared" si="6"/>
        <v>191.065</v>
      </c>
      <c r="L75" s="123">
        <f t="shared" si="6"/>
        <v>93.774500000000003</v>
      </c>
      <c r="M75" s="123">
        <f t="shared" si="6"/>
        <v>34.369</v>
      </c>
      <c r="N75" s="123">
        <f t="shared" si="6"/>
        <v>33.234999999999999</v>
      </c>
      <c r="O75" s="123">
        <f t="shared" si="6"/>
        <v>56.186399999999999</v>
      </c>
      <c r="P75" s="123">
        <f t="shared" si="6"/>
        <v>34.782699999999998</v>
      </c>
      <c r="U75" s="123">
        <v>2006</v>
      </c>
      <c r="V75" s="123">
        <v>455.56513039999999</v>
      </c>
      <c r="W75" s="123">
        <v>208.61292040000001</v>
      </c>
      <c r="X75" s="123">
        <v>281.97304760000003</v>
      </c>
      <c r="Y75" s="123">
        <v>610.07403790000001</v>
      </c>
      <c r="Z75" s="123">
        <v>695.2963532</v>
      </c>
      <c r="AA75" s="123">
        <v>551.77971460000003</v>
      </c>
      <c r="AB75" s="123">
        <v>319.70128</v>
      </c>
      <c r="AC75" s="123">
        <v>110.07219309999999</v>
      </c>
      <c r="AD75" s="123">
        <v>52.989148999999998</v>
      </c>
      <c r="AE75" s="123">
        <v>40.326140600000002</v>
      </c>
      <c r="AF75" s="123">
        <v>23.321421600000001</v>
      </c>
      <c r="AG75" s="123">
        <v>16.230236900000001</v>
      </c>
      <c r="AH75" s="123">
        <v>8.5639041999999996</v>
      </c>
      <c r="AI75" s="123">
        <v>9.8944229000000004</v>
      </c>
      <c r="AJ75" s="123">
        <v>11.257948399999998</v>
      </c>
    </row>
    <row r="76" spans="1:36" x14ac:dyDescent="0.15">
      <c r="A76" s="123">
        <v>2007</v>
      </c>
      <c r="B76" s="123">
        <f t="shared" si="5"/>
        <v>26390.5</v>
      </c>
      <c r="C76" s="123">
        <f t="shared" si="6"/>
        <v>4963.0200000000004</v>
      </c>
      <c r="D76" s="123">
        <f t="shared" si="6"/>
        <v>1248.8900000000001</v>
      </c>
      <c r="E76" s="123">
        <f t="shared" si="6"/>
        <v>1216.02</v>
      </c>
      <c r="F76" s="123">
        <f t="shared" si="6"/>
        <v>1792.36</v>
      </c>
      <c r="G76" s="123">
        <f t="shared" si="6"/>
        <v>1691.93</v>
      </c>
      <c r="H76" s="123">
        <f t="shared" si="6"/>
        <v>1190.48</v>
      </c>
      <c r="I76" s="123">
        <f t="shared" si="6"/>
        <v>568.45500000000004</v>
      </c>
      <c r="J76" s="123">
        <f t="shared" si="6"/>
        <v>217.92400000000001</v>
      </c>
      <c r="K76" s="123">
        <f t="shared" si="6"/>
        <v>108.28700000000001</v>
      </c>
      <c r="L76" s="123">
        <f t="shared" si="6"/>
        <v>107.93300000000001</v>
      </c>
      <c r="M76" s="123">
        <f t="shared" si="6"/>
        <v>52.973700000000001</v>
      </c>
      <c r="N76" s="123">
        <f t="shared" si="6"/>
        <v>19.415199999999999</v>
      </c>
      <c r="O76" s="123">
        <f t="shared" si="6"/>
        <v>18.7746</v>
      </c>
      <c r="P76" s="123">
        <f t="shared" si="6"/>
        <v>51.3889</v>
      </c>
      <c r="U76" s="123">
        <v>2007</v>
      </c>
      <c r="V76" s="123">
        <v>5588.5405741148843</v>
      </c>
      <c r="W76" s="123">
        <v>1026.2114373699133</v>
      </c>
      <c r="X76" s="123">
        <v>319.70633954042341</v>
      </c>
      <c r="Y76" s="123">
        <v>430.07133277953471</v>
      </c>
      <c r="Z76" s="123">
        <v>669.18903196939925</v>
      </c>
      <c r="AA76" s="123">
        <v>588.82871281673692</v>
      </c>
      <c r="AB76" s="123">
        <v>305.66895225821224</v>
      </c>
      <c r="AC76" s="123">
        <v>166.21070973416897</v>
      </c>
      <c r="AD76" s="123">
        <v>60.198139202546479</v>
      </c>
      <c r="AE76" s="123">
        <v>18.777363453729254</v>
      </c>
      <c r="AF76" s="123">
        <v>20.17779365033401</v>
      </c>
      <c r="AG76" s="123">
        <v>5.7336171031807694</v>
      </c>
      <c r="AH76" s="123">
        <v>1.7040964370501244</v>
      </c>
      <c r="AI76" s="123">
        <v>2.1000291078449309</v>
      </c>
      <c r="AJ76" s="123">
        <v>3.5426663069909754</v>
      </c>
    </row>
    <row r="77" spans="1:36" x14ac:dyDescent="0.15">
      <c r="A77" s="123">
        <v>2008</v>
      </c>
      <c r="B77" s="123">
        <f t="shared" si="5"/>
        <v>14622.4</v>
      </c>
      <c r="C77" s="123">
        <f t="shared" si="6"/>
        <v>10729.2</v>
      </c>
      <c r="D77" s="123">
        <f t="shared" si="6"/>
        <v>3154.19</v>
      </c>
      <c r="E77" s="123">
        <f t="shared" si="6"/>
        <v>884.49300000000005</v>
      </c>
      <c r="F77" s="123">
        <f t="shared" si="6"/>
        <v>794.95799999999997</v>
      </c>
      <c r="G77" s="123">
        <f t="shared" si="6"/>
        <v>1014.28</v>
      </c>
      <c r="H77" s="123">
        <f t="shared" si="6"/>
        <v>830.99199999999996</v>
      </c>
      <c r="I77" s="123">
        <f t="shared" si="6"/>
        <v>611.24099999999999</v>
      </c>
      <c r="J77" s="123">
        <f t="shared" si="6"/>
        <v>302.29700000000003</v>
      </c>
      <c r="K77" s="123">
        <f t="shared" si="6"/>
        <v>118.393</v>
      </c>
      <c r="L77" s="123">
        <f t="shared" si="6"/>
        <v>60.015099999999997</v>
      </c>
      <c r="M77" s="123">
        <f t="shared" si="6"/>
        <v>59.819099999999999</v>
      </c>
      <c r="N77" s="123">
        <f t="shared" si="6"/>
        <v>29.359200000000001</v>
      </c>
      <c r="O77" s="123">
        <f t="shared" si="6"/>
        <v>10.760400000000001</v>
      </c>
      <c r="P77" s="123">
        <f t="shared" si="6"/>
        <v>38.886200000000002</v>
      </c>
      <c r="U77" s="123">
        <v>2008</v>
      </c>
      <c r="V77" s="123">
        <v>116.480485690317</v>
      </c>
      <c r="W77" s="123">
        <v>2713.6964036459885</v>
      </c>
      <c r="X77" s="123">
        <v>964.65697888916111</v>
      </c>
      <c r="Y77" s="123">
        <v>88.881164866763598</v>
      </c>
      <c r="Z77" s="123">
        <v>115.3414220039098</v>
      </c>
      <c r="AA77" s="123">
        <v>176.31124715622425</v>
      </c>
      <c r="AB77" s="123">
        <v>110.12517571176022</v>
      </c>
      <c r="AC77" s="123">
        <v>70.053594774372627</v>
      </c>
      <c r="AD77" s="123">
        <v>42.220594770410713</v>
      </c>
      <c r="AE77" s="123">
        <v>14.397380898813081</v>
      </c>
      <c r="AF77" s="123">
        <v>10.71332426162885</v>
      </c>
      <c r="AG77" s="123">
        <v>8.5629431095530677</v>
      </c>
      <c r="AH77" s="123">
        <v>3.3504318721789907</v>
      </c>
      <c r="AI77" s="123">
        <v>1.5391780753871396</v>
      </c>
      <c r="AJ77" s="123">
        <v>8.4300614725015919</v>
      </c>
    </row>
    <row r="78" spans="1:36" x14ac:dyDescent="0.15">
      <c r="A78" s="123">
        <v>2010</v>
      </c>
      <c r="B78" s="123">
        <f t="shared" si="5"/>
        <v>22500.1</v>
      </c>
      <c r="C78" s="123">
        <f t="shared" si="6"/>
        <v>23145.5</v>
      </c>
      <c r="D78" s="123">
        <f t="shared" si="6"/>
        <v>3783.56</v>
      </c>
      <c r="E78" s="123">
        <f t="shared" si="6"/>
        <v>4932.12</v>
      </c>
      <c r="F78" s="123">
        <f t="shared" si="6"/>
        <v>1522.99</v>
      </c>
      <c r="G78" s="123">
        <f t="shared" si="6"/>
        <v>363.69400000000002</v>
      </c>
      <c r="H78" s="123">
        <f t="shared" si="6"/>
        <v>250.19900000000001</v>
      </c>
      <c r="I78" s="123">
        <f t="shared" si="6"/>
        <v>256.20600000000002</v>
      </c>
      <c r="J78" s="123">
        <f t="shared" si="6"/>
        <v>217.315</v>
      </c>
      <c r="K78" s="123">
        <f t="shared" si="6"/>
        <v>165.65199999999999</v>
      </c>
      <c r="L78" s="123">
        <f t="shared" si="6"/>
        <v>82.972800000000007</v>
      </c>
      <c r="M78" s="123">
        <f t="shared" si="6"/>
        <v>33.546799999999998</v>
      </c>
      <c r="N78" s="123">
        <f t="shared" si="6"/>
        <v>17.005400000000002</v>
      </c>
      <c r="O78" s="123">
        <f t="shared" si="6"/>
        <v>16.9498</v>
      </c>
      <c r="P78" s="123">
        <f t="shared" si="6"/>
        <v>22.386399999999998</v>
      </c>
    </row>
    <row r="79" spans="1:36" x14ac:dyDescent="0.15">
      <c r="A79" s="123">
        <v>2012</v>
      </c>
      <c r="B79" s="123">
        <f t="shared" si="5"/>
        <v>11200.8</v>
      </c>
      <c r="C79" s="123">
        <f t="shared" ref="C79:P79" si="7">VLOOKUP($A79,$A$4:$P$54,C$57+1)</f>
        <v>5480.03</v>
      </c>
      <c r="D79" s="123">
        <f t="shared" si="7"/>
        <v>5819.27</v>
      </c>
      <c r="E79" s="123">
        <f t="shared" si="7"/>
        <v>10740.4</v>
      </c>
      <c r="F79" s="123">
        <f t="shared" si="7"/>
        <v>1928</v>
      </c>
      <c r="G79" s="123">
        <f t="shared" si="7"/>
        <v>1638.38</v>
      </c>
      <c r="H79" s="123">
        <f t="shared" si="7"/>
        <v>459.38400000000001</v>
      </c>
      <c r="I79" s="123">
        <f t="shared" si="7"/>
        <v>108.938</v>
      </c>
      <c r="J79" s="123">
        <f t="shared" si="7"/>
        <v>72.682699999999997</v>
      </c>
      <c r="K79" s="123">
        <f t="shared" si="7"/>
        <v>73.568299999999994</v>
      </c>
      <c r="L79" s="123">
        <f t="shared" si="7"/>
        <v>63.661499999999997</v>
      </c>
      <c r="M79" s="123">
        <f t="shared" si="7"/>
        <v>48.818199999999997</v>
      </c>
      <c r="N79" s="123">
        <f t="shared" si="7"/>
        <v>24.452400000000001</v>
      </c>
      <c r="O79" s="123">
        <f t="shared" si="7"/>
        <v>9.8863800000000008</v>
      </c>
      <c r="P79" s="123">
        <f t="shared" si="7"/>
        <v>16.604099999999999</v>
      </c>
    </row>
    <row r="80" spans="1:36" x14ac:dyDescent="0.15">
      <c r="A80" s="123">
        <v>2014</v>
      </c>
      <c r="B80" s="123">
        <f t="shared" ref="B80:P80" si="8">VLOOKUP($A80,$A$4:$P$54,B$57+1)</f>
        <v>31883.200000000001</v>
      </c>
      <c r="C80" s="123">
        <f t="shared" si="8"/>
        <v>25825.200000000001</v>
      </c>
      <c r="D80" s="123">
        <f t="shared" si="8"/>
        <v>2897.69</v>
      </c>
      <c r="E80" s="123">
        <f t="shared" si="8"/>
        <v>2522.1799999999998</v>
      </c>
      <c r="F80" s="123">
        <f t="shared" si="8"/>
        <v>2820.03</v>
      </c>
      <c r="G80" s="123">
        <f t="shared" si="8"/>
        <v>4467.41</v>
      </c>
      <c r="H80" s="123">
        <f t="shared" si="8"/>
        <v>774.82600000000002</v>
      </c>
      <c r="I80" s="123">
        <f t="shared" si="8"/>
        <v>459</v>
      </c>
      <c r="J80" s="123">
        <f t="shared" si="8"/>
        <v>118.381</v>
      </c>
      <c r="K80" s="123">
        <f t="shared" si="8"/>
        <v>28.286100000000001</v>
      </c>
      <c r="L80" s="123">
        <f t="shared" si="8"/>
        <v>19.2986</v>
      </c>
      <c r="M80" s="123">
        <f t="shared" si="8"/>
        <v>19.730699999999999</v>
      </c>
      <c r="N80" s="123">
        <f t="shared" si="8"/>
        <v>17.073699999999999</v>
      </c>
      <c r="O80" s="123">
        <f t="shared" si="8"/>
        <v>13.0928</v>
      </c>
      <c r="P80" s="123">
        <f t="shared" si="8"/>
        <v>13.662599999999999</v>
      </c>
    </row>
    <row r="82" spans="1:20" x14ac:dyDescent="0.15">
      <c r="B82" s="123" t="e">
        <f t="shared" ref="B82:P82" si="9">VLOOKUP($A82,$A$4:$P$51,B$57+1)</f>
        <v>#N/A</v>
      </c>
      <c r="C82" s="123" t="e">
        <f t="shared" si="9"/>
        <v>#N/A</v>
      </c>
      <c r="D82" s="123" t="e">
        <f t="shared" si="9"/>
        <v>#N/A</v>
      </c>
      <c r="E82" s="123" t="e">
        <f t="shared" si="9"/>
        <v>#N/A</v>
      </c>
      <c r="F82" s="123" t="e">
        <f t="shared" si="9"/>
        <v>#N/A</v>
      </c>
      <c r="G82" s="123" t="e">
        <f t="shared" si="9"/>
        <v>#N/A</v>
      </c>
      <c r="H82" s="123" t="e">
        <f t="shared" si="9"/>
        <v>#N/A</v>
      </c>
      <c r="I82" s="123" t="e">
        <f t="shared" si="9"/>
        <v>#N/A</v>
      </c>
      <c r="J82" s="123" t="e">
        <f t="shared" si="9"/>
        <v>#N/A</v>
      </c>
      <c r="K82" s="123" t="e">
        <f t="shared" si="9"/>
        <v>#N/A</v>
      </c>
      <c r="L82" s="123" t="e">
        <f t="shared" si="9"/>
        <v>#N/A</v>
      </c>
      <c r="M82" s="123" t="e">
        <f t="shared" si="9"/>
        <v>#N/A</v>
      </c>
      <c r="N82" s="123" t="e">
        <f t="shared" si="9"/>
        <v>#N/A</v>
      </c>
      <c r="O82" s="123" t="e">
        <f t="shared" si="9"/>
        <v>#N/A</v>
      </c>
      <c r="P82" s="123" t="e">
        <f t="shared" si="9"/>
        <v>#N/A</v>
      </c>
    </row>
    <row r="86" spans="1:20" x14ac:dyDescent="0.15">
      <c r="A86" s="123" t="s">
        <v>583</v>
      </c>
      <c r="B86" s="125">
        <f>SUM(B63:B80)</f>
        <v>406096.12</v>
      </c>
      <c r="C86" s="125">
        <f t="shared" ref="C86:P86" si="10">SUM(C63:C80)</f>
        <v>189921.51000000004</v>
      </c>
      <c r="D86" s="125">
        <f t="shared" si="10"/>
        <v>86632.400000000009</v>
      </c>
      <c r="E86" s="125">
        <f t="shared" si="10"/>
        <v>82094.082999999984</v>
      </c>
      <c r="F86" s="125">
        <f t="shared" si="10"/>
        <v>46582.090999999993</v>
      </c>
      <c r="G86" s="125">
        <f t="shared" si="10"/>
        <v>31329.450999999997</v>
      </c>
      <c r="H86" s="125">
        <f t="shared" si="10"/>
        <v>18921.309000000001</v>
      </c>
      <c r="I86" s="125">
        <f t="shared" si="10"/>
        <v>9237.4022000000004</v>
      </c>
      <c r="J86" s="125">
        <f t="shared" si="10"/>
        <v>4615.6585000000005</v>
      </c>
      <c r="K86" s="125">
        <f t="shared" si="10"/>
        <v>3036.3969999999995</v>
      </c>
      <c r="L86" s="125">
        <f t="shared" si="10"/>
        <v>1415.5803600000002</v>
      </c>
      <c r="M86" s="125">
        <f t="shared" si="10"/>
        <v>921.65656999999999</v>
      </c>
      <c r="N86" s="125">
        <f t="shared" si="10"/>
        <v>514.99355000000003</v>
      </c>
      <c r="O86" s="125">
        <f t="shared" si="10"/>
        <v>294.91594999999995</v>
      </c>
      <c r="P86" s="125">
        <f t="shared" si="10"/>
        <v>396.55876999999998</v>
      </c>
      <c r="Q86" s="125">
        <f>SUM(B86:$P86)</f>
        <v>882010.12690000015</v>
      </c>
      <c r="R86" s="125">
        <f>SUM(C86:$P86)</f>
        <v>475914.00690000009</v>
      </c>
      <c r="S86" s="125">
        <f>SUM(D86:$P86)</f>
        <v>285992.49690000003</v>
      </c>
      <c r="T86" s="125">
        <f>SUM(E86:$P86)</f>
        <v>199360.09689999997</v>
      </c>
    </row>
    <row r="87" spans="1:20" x14ac:dyDescent="0.15">
      <c r="B87" s="125">
        <v>1</v>
      </c>
      <c r="C87" s="125">
        <v>2</v>
      </c>
      <c r="D87" s="125">
        <v>3</v>
      </c>
      <c r="E87" s="125">
        <v>4</v>
      </c>
      <c r="F87" s="125">
        <v>5</v>
      </c>
      <c r="G87" s="125">
        <v>6</v>
      </c>
      <c r="H87" s="125">
        <v>7</v>
      </c>
      <c r="I87" s="125">
        <v>8</v>
      </c>
      <c r="J87" s="125">
        <v>9</v>
      </c>
      <c r="K87" s="125">
        <v>10</v>
      </c>
      <c r="L87" s="125">
        <v>11</v>
      </c>
      <c r="M87" s="125">
        <v>12</v>
      </c>
      <c r="N87" s="125">
        <v>13</v>
      </c>
      <c r="O87" s="125">
        <v>14</v>
      </c>
      <c r="P87" s="125">
        <v>15</v>
      </c>
    </row>
    <row r="88" spans="1:20" x14ac:dyDescent="0.15">
      <c r="A88" s="123" t="s">
        <v>582</v>
      </c>
      <c r="B88" s="125">
        <f>SUM(V63:V77)</f>
        <v>92860.5539891152</v>
      </c>
      <c r="C88" s="125">
        <f t="shared" ref="C88:P88" si="11">SUM(W63:W77)</f>
        <v>70882.171639015898</v>
      </c>
      <c r="D88" s="125">
        <f t="shared" si="11"/>
        <v>34105.037392029582</v>
      </c>
      <c r="E88" s="125">
        <f t="shared" si="11"/>
        <v>27391.090202546304</v>
      </c>
      <c r="F88" s="125">
        <f t="shared" si="11"/>
        <v>15212.261623873308</v>
      </c>
      <c r="G88" s="125">
        <f t="shared" si="11"/>
        <v>7967.7160353729614</v>
      </c>
      <c r="H88" s="125">
        <f t="shared" si="11"/>
        <v>5158.3137725699726</v>
      </c>
      <c r="I88" s="125">
        <f t="shared" si="11"/>
        <v>2560.4549429085414</v>
      </c>
      <c r="J88" s="125">
        <f t="shared" si="11"/>
        <v>1035.3102387029571</v>
      </c>
      <c r="K88" s="125">
        <f t="shared" si="11"/>
        <v>919.05636740254238</v>
      </c>
      <c r="L88" s="125">
        <f t="shared" si="11"/>
        <v>637.85239214196292</v>
      </c>
      <c r="M88" s="125">
        <f t="shared" si="11"/>
        <v>184.42762335273383</v>
      </c>
      <c r="N88" s="125">
        <f t="shared" si="11"/>
        <v>71.182311159229116</v>
      </c>
      <c r="O88" s="125">
        <f t="shared" si="11"/>
        <v>45.450753537232075</v>
      </c>
      <c r="P88" s="125">
        <f t="shared" si="11"/>
        <v>51.557286897492567</v>
      </c>
    </row>
    <row r="89" spans="1:20" x14ac:dyDescent="0.15">
      <c r="A89" s="123" t="s">
        <v>121</v>
      </c>
      <c r="B89" s="124">
        <f t="shared" ref="B89:P89" si="12">B88/B86</f>
        <v>0.22866643982984916</v>
      </c>
      <c r="C89" s="124">
        <f t="shared" si="12"/>
        <v>0.37321823967709544</v>
      </c>
      <c r="D89" s="124">
        <f t="shared" si="12"/>
        <v>0.39367531537888339</v>
      </c>
      <c r="E89" s="124">
        <f t="shared" si="12"/>
        <v>0.33365486526655408</v>
      </c>
      <c r="F89" s="124">
        <f t="shared" si="12"/>
        <v>0.32656888725483169</v>
      </c>
      <c r="G89" s="124">
        <f t="shared" si="12"/>
        <v>0.25432032100954982</v>
      </c>
      <c r="H89" s="124">
        <f t="shared" si="12"/>
        <v>0.27261928720523365</v>
      </c>
      <c r="I89" s="124">
        <f t="shared" si="12"/>
        <v>0.27718344264673689</v>
      </c>
      <c r="J89" s="124">
        <f t="shared" si="12"/>
        <v>0.22430390781791093</v>
      </c>
      <c r="K89" s="124">
        <f t="shared" si="12"/>
        <v>0.30267990891920343</v>
      </c>
      <c r="L89" s="124">
        <f t="shared" si="12"/>
        <v>0.45059426519732365</v>
      </c>
      <c r="M89" s="124">
        <f t="shared" si="12"/>
        <v>0.20010449592165749</v>
      </c>
      <c r="N89" s="124">
        <f t="shared" si="12"/>
        <v>0.13821981102332079</v>
      </c>
      <c r="O89" s="124">
        <f t="shared" si="12"/>
        <v>0.15411426047737359</v>
      </c>
      <c r="P89" s="124">
        <f t="shared" si="12"/>
        <v>0.13001171780286833</v>
      </c>
      <c r="R89" s="124">
        <f>AVERAGE(B89:P89)</f>
        <v>0.27066234436189285</v>
      </c>
    </row>
    <row r="90" spans="1:20" x14ac:dyDescent="0.15">
      <c r="A90" s="123" t="s">
        <v>585</v>
      </c>
      <c r="B90" s="125">
        <f>SUM(B105:B131)</f>
        <v>578088.64999999991</v>
      </c>
      <c r="C90" s="125">
        <f t="shared" ref="C90:P90" si="13">SUM(C105:C131)</f>
        <v>241542.20999999996</v>
      </c>
      <c r="D90" s="125">
        <f t="shared" si="13"/>
        <v>153383.04999999999</v>
      </c>
      <c r="E90" s="125">
        <f t="shared" si="13"/>
        <v>118355.10300000002</v>
      </c>
      <c r="F90" s="125">
        <f t="shared" si="13"/>
        <v>81875.200000000012</v>
      </c>
      <c r="G90" s="125">
        <f t="shared" si="13"/>
        <v>51778.317000000003</v>
      </c>
      <c r="H90" s="125">
        <f t="shared" si="13"/>
        <v>30050.232999999993</v>
      </c>
      <c r="I90" s="125">
        <f t="shared" si="13"/>
        <v>16802.436000000002</v>
      </c>
      <c r="J90" s="125">
        <f t="shared" si="13"/>
        <v>9234.4791999999998</v>
      </c>
      <c r="K90" s="125">
        <f t="shared" si="13"/>
        <v>5167.7201999999997</v>
      </c>
      <c r="L90" s="125">
        <f t="shared" si="13"/>
        <v>2907.1136599999995</v>
      </c>
      <c r="M90" s="125">
        <f t="shared" si="13"/>
        <v>1639.9389700000002</v>
      </c>
      <c r="N90" s="125">
        <f t="shared" si="13"/>
        <v>896.10557000000006</v>
      </c>
      <c r="O90" s="125">
        <f t="shared" si="13"/>
        <v>487.70052999999996</v>
      </c>
      <c r="P90" s="125">
        <f t="shared" si="13"/>
        <v>558.43880999999999</v>
      </c>
    </row>
    <row r="91" spans="1:20" x14ac:dyDescent="0.15">
      <c r="A91" s="123" t="s">
        <v>584</v>
      </c>
      <c r="B91" s="125">
        <f>SUM(V105:V131)</f>
        <v>28686.33136674693</v>
      </c>
      <c r="C91" s="125">
        <f t="shared" ref="C91:P91" si="14">SUM(W105:W131)</f>
        <v>10906.351885350796</v>
      </c>
      <c r="D91" s="125">
        <f t="shared" si="14"/>
        <v>16064.847921577788</v>
      </c>
      <c r="E91" s="125">
        <f t="shared" si="14"/>
        <v>29291.144492144034</v>
      </c>
      <c r="F91" s="125">
        <f t="shared" si="14"/>
        <v>43366.062920461998</v>
      </c>
      <c r="G91" s="125">
        <f t="shared" si="14"/>
        <v>38452.548605346296</v>
      </c>
      <c r="H91" s="125">
        <f t="shared" si="14"/>
        <v>24422.617491082354</v>
      </c>
      <c r="I91" s="125">
        <f t="shared" si="14"/>
        <v>15682.242919385411</v>
      </c>
      <c r="J91" s="125">
        <f t="shared" si="14"/>
        <v>10117.993131969977</v>
      </c>
      <c r="K91" s="125">
        <f t="shared" si="14"/>
        <v>7634.5933695234362</v>
      </c>
      <c r="L91" s="125">
        <f t="shared" si="14"/>
        <v>4997.9185811601528</v>
      </c>
      <c r="M91" s="125">
        <f t="shared" si="14"/>
        <v>3612.3741141155115</v>
      </c>
      <c r="N91" s="125">
        <f t="shared" si="14"/>
        <v>1947.4549714077689</v>
      </c>
      <c r="O91" s="125">
        <f t="shared" si="14"/>
        <v>1060.4166880437858</v>
      </c>
      <c r="P91" s="125">
        <f t="shared" si="14"/>
        <v>1479.3826349564538</v>
      </c>
    </row>
    <row r="92" spans="1:20" x14ac:dyDescent="0.15">
      <c r="A92" s="123" t="s">
        <v>418</v>
      </c>
      <c r="B92" s="124">
        <f t="shared" ref="B92:P92" si="15">B91/B90</f>
        <v>4.9622720264006111E-2</v>
      </c>
      <c r="C92" s="124">
        <f t="shared" si="15"/>
        <v>4.5152985415471678E-2</v>
      </c>
      <c r="D92" s="124">
        <f t="shared" si="15"/>
        <v>0.1047367875497181</v>
      </c>
      <c r="E92" s="124">
        <f t="shared" si="15"/>
        <v>0.24748526890424005</v>
      </c>
      <c r="F92" s="124">
        <f t="shared" si="15"/>
        <v>0.52966054336920088</v>
      </c>
      <c r="G92" s="124">
        <f t="shared" si="15"/>
        <v>0.7426380545614546</v>
      </c>
      <c r="H92" s="124">
        <f t="shared" si="15"/>
        <v>0.81272639353852461</v>
      </c>
      <c r="I92" s="124">
        <f t="shared" si="15"/>
        <v>0.93333150737103898</v>
      </c>
      <c r="J92" s="124">
        <f t="shared" si="15"/>
        <v>1.095675556015111</v>
      </c>
      <c r="K92" s="124">
        <f t="shared" si="15"/>
        <v>1.4773619844053161</v>
      </c>
      <c r="L92" s="124">
        <f t="shared" si="15"/>
        <v>1.7192030191073278</v>
      </c>
      <c r="M92" s="124">
        <f t="shared" si="15"/>
        <v>2.202749114569496</v>
      </c>
      <c r="N92" s="124">
        <f t="shared" si="15"/>
        <v>2.1732427925961546</v>
      </c>
      <c r="O92" s="124">
        <f t="shared" si="15"/>
        <v>2.1743193267470633</v>
      </c>
      <c r="P92" s="124">
        <f t="shared" si="15"/>
        <v>2.6491400820735467</v>
      </c>
      <c r="R92" s="124">
        <f>AVERAGE(B92:P92)</f>
        <v>1.1304697424325112</v>
      </c>
    </row>
    <row r="93" spans="1:20" x14ac:dyDescent="0.15">
      <c r="B93" s="125">
        <v>1</v>
      </c>
      <c r="C93" s="125">
        <v>2</v>
      </c>
      <c r="D93" s="125">
        <v>3</v>
      </c>
      <c r="E93" s="125">
        <v>4</v>
      </c>
      <c r="F93" s="125">
        <v>5</v>
      </c>
      <c r="G93" s="125">
        <v>6</v>
      </c>
      <c r="H93" s="125">
        <v>7</v>
      </c>
      <c r="I93" s="125">
        <v>8</v>
      </c>
      <c r="J93" s="125">
        <v>9</v>
      </c>
      <c r="K93" s="125">
        <v>10</v>
      </c>
      <c r="L93" s="125">
        <v>11</v>
      </c>
      <c r="M93" s="125">
        <v>12</v>
      </c>
      <c r="N93" s="125">
        <v>13</v>
      </c>
      <c r="O93" s="125">
        <v>14</v>
      </c>
      <c r="P93" s="125">
        <v>15</v>
      </c>
    </row>
    <row r="94" spans="1:20" x14ac:dyDescent="0.15">
      <c r="A94" s="123" t="s">
        <v>583</v>
      </c>
      <c r="B94" s="125">
        <f t="shared" ref="B94:P94" si="16">SUM(B68:B76)</f>
        <v>181866.96</v>
      </c>
      <c r="C94" s="125">
        <f t="shared" si="16"/>
        <v>73415.59</v>
      </c>
      <c r="D94" s="125">
        <f t="shared" si="16"/>
        <v>40710.26</v>
      </c>
      <c r="E94" s="125">
        <f t="shared" si="16"/>
        <v>40217.269999999997</v>
      </c>
      <c r="F94" s="125">
        <f t="shared" si="16"/>
        <v>29505.090000000004</v>
      </c>
      <c r="G94" s="125">
        <f t="shared" si="16"/>
        <v>15072.139000000001</v>
      </c>
      <c r="H94" s="125">
        <f t="shared" si="16"/>
        <v>10809.724</v>
      </c>
      <c r="I94" s="125">
        <f t="shared" si="16"/>
        <v>5651.6670000000004</v>
      </c>
      <c r="J94" s="125">
        <f t="shared" si="16"/>
        <v>2212.8842</v>
      </c>
      <c r="K94" s="125">
        <f t="shared" si="16"/>
        <v>1690.3364000000001</v>
      </c>
      <c r="L94" s="125">
        <f t="shared" si="16"/>
        <v>790.25880000000006</v>
      </c>
      <c r="M94" s="125">
        <f t="shared" si="16"/>
        <v>596.58969999999999</v>
      </c>
      <c r="N94" s="125">
        <f t="shared" si="16"/>
        <v>258.91886</v>
      </c>
      <c r="O94" s="125">
        <f t="shared" si="16"/>
        <v>205.92497999999998</v>
      </c>
      <c r="P94" s="125">
        <f t="shared" si="16"/>
        <v>281.89409999999998</v>
      </c>
    </row>
    <row r="95" spans="1:20" x14ac:dyDescent="0.15">
      <c r="A95" s="123" t="s">
        <v>582</v>
      </c>
      <c r="B95" s="125">
        <f t="shared" ref="B95:P95" si="17">SUM(V68:V76)</f>
        <v>20799.951225424884</v>
      </c>
      <c r="C95" s="125">
        <f t="shared" si="17"/>
        <v>15652.145980369914</v>
      </c>
      <c r="D95" s="125">
        <f t="shared" si="17"/>
        <v>12446.353992140424</v>
      </c>
      <c r="E95" s="125">
        <f t="shared" si="17"/>
        <v>14275.661091679534</v>
      </c>
      <c r="F95" s="125">
        <f t="shared" si="17"/>
        <v>9623.7909748694001</v>
      </c>
      <c r="G95" s="125">
        <f t="shared" si="17"/>
        <v>3855.3594202167369</v>
      </c>
      <c r="H95" s="125">
        <f t="shared" si="17"/>
        <v>3227.4565088582126</v>
      </c>
      <c r="I95" s="125">
        <f t="shared" si="17"/>
        <v>1988.716055134169</v>
      </c>
      <c r="J95" s="125">
        <f t="shared" si="17"/>
        <v>687.52397793254647</v>
      </c>
      <c r="K95" s="125">
        <f t="shared" si="17"/>
        <v>514.47276350372931</v>
      </c>
      <c r="L95" s="125">
        <f t="shared" si="17"/>
        <v>253.10032888033402</v>
      </c>
      <c r="M95" s="125">
        <f t="shared" si="17"/>
        <v>141.58966824318074</v>
      </c>
      <c r="N95" s="125">
        <f t="shared" si="17"/>
        <v>56.969474287050133</v>
      </c>
      <c r="O95" s="125">
        <f t="shared" si="17"/>
        <v>38.321575461844937</v>
      </c>
      <c r="P95" s="125">
        <f t="shared" si="17"/>
        <v>38.572004424990972</v>
      </c>
    </row>
    <row r="96" spans="1:20" x14ac:dyDescent="0.15">
      <c r="A96" s="123" t="s">
        <v>581</v>
      </c>
      <c r="B96" s="124">
        <f t="shared" ref="B96:P96" si="18">B95/B94</f>
        <v>0.11436904881142174</v>
      </c>
      <c r="C96" s="124">
        <f t="shared" si="18"/>
        <v>0.21319921259735045</v>
      </c>
      <c r="D96" s="124">
        <f t="shared" si="18"/>
        <v>0.30573015235325013</v>
      </c>
      <c r="E96" s="124">
        <f t="shared" si="18"/>
        <v>0.35496345454774864</v>
      </c>
      <c r="F96" s="124">
        <f t="shared" si="18"/>
        <v>0.3261739237151759</v>
      </c>
      <c r="G96" s="124">
        <f t="shared" si="18"/>
        <v>0.2557937808440286</v>
      </c>
      <c r="H96" s="124">
        <f t="shared" si="18"/>
        <v>0.29856974228557664</v>
      </c>
      <c r="I96" s="124">
        <f t="shared" si="18"/>
        <v>0.35188132194168004</v>
      </c>
      <c r="J96" s="124">
        <f t="shared" si="18"/>
        <v>0.31069134929543374</v>
      </c>
      <c r="K96" s="124">
        <f t="shared" si="18"/>
        <v>0.30436116947119479</v>
      </c>
      <c r="L96" s="124">
        <f t="shared" si="18"/>
        <v>0.32027524259183698</v>
      </c>
      <c r="M96" s="124">
        <f t="shared" si="18"/>
        <v>0.23733173442850378</v>
      </c>
      <c r="N96" s="124">
        <f t="shared" si="18"/>
        <v>0.22002829105245611</v>
      </c>
      <c r="O96" s="124">
        <f t="shared" si="18"/>
        <v>0.18609483639063576</v>
      </c>
      <c r="P96" s="124">
        <f t="shared" si="18"/>
        <v>0.13683154214646909</v>
      </c>
    </row>
    <row r="97" spans="1:36" x14ac:dyDescent="0.15">
      <c r="B97" s="125">
        <f t="shared" ref="B97:M98" si="19">SUM(B94:E94)</f>
        <v>336210.08</v>
      </c>
      <c r="C97" s="125">
        <f t="shared" si="19"/>
        <v>183848.21</v>
      </c>
      <c r="D97" s="125">
        <f t="shared" si="19"/>
        <v>125504.75899999999</v>
      </c>
      <c r="E97" s="125">
        <f t="shared" si="19"/>
        <v>95604.222999999998</v>
      </c>
      <c r="F97" s="125">
        <f t="shared" si="19"/>
        <v>61038.62000000001</v>
      </c>
      <c r="G97" s="125">
        <f t="shared" si="19"/>
        <v>33746.414199999999</v>
      </c>
      <c r="H97" s="125">
        <f t="shared" si="19"/>
        <v>20364.6116</v>
      </c>
      <c r="I97" s="125">
        <f t="shared" si="19"/>
        <v>10345.1464</v>
      </c>
      <c r="J97" s="125">
        <f t="shared" si="19"/>
        <v>5290.0691000000006</v>
      </c>
      <c r="K97" s="125">
        <f t="shared" si="19"/>
        <v>3336.10376</v>
      </c>
      <c r="L97" s="125">
        <f t="shared" si="19"/>
        <v>1851.6923400000001</v>
      </c>
      <c r="M97" s="125">
        <f t="shared" si="19"/>
        <v>1343.32764</v>
      </c>
      <c r="N97" s="125"/>
      <c r="O97" s="124"/>
      <c r="P97" s="124"/>
    </row>
    <row r="98" spans="1:36" x14ac:dyDescent="0.15">
      <c r="B98" s="125">
        <f t="shared" si="19"/>
        <v>63174.11228961475</v>
      </c>
      <c r="C98" s="125">
        <f t="shared" si="19"/>
        <v>51997.952039059273</v>
      </c>
      <c r="D98" s="125">
        <f t="shared" si="19"/>
        <v>40201.165478906092</v>
      </c>
      <c r="E98" s="125">
        <f t="shared" si="19"/>
        <v>30982.267995623883</v>
      </c>
      <c r="F98" s="125">
        <f t="shared" si="19"/>
        <v>18695.322959078519</v>
      </c>
      <c r="G98" s="125">
        <f t="shared" si="19"/>
        <v>9759.0559621416651</v>
      </c>
      <c r="H98" s="125">
        <f t="shared" si="19"/>
        <v>6418.169305428657</v>
      </c>
      <c r="I98" s="125">
        <f t="shared" si="19"/>
        <v>3443.8131254507789</v>
      </c>
      <c r="J98" s="125">
        <f t="shared" si="19"/>
        <v>1596.6867385597907</v>
      </c>
      <c r="K98" s="125">
        <f t="shared" si="19"/>
        <v>966.13223491429426</v>
      </c>
      <c r="L98" s="125">
        <f t="shared" si="19"/>
        <v>489.98104687240988</v>
      </c>
      <c r="M98" s="125">
        <f t="shared" si="19"/>
        <v>275.45272241706675</v>
      </c>
      <c r="N98" s="124"/>
      <c r="O98" s="124"/>
      <c r="P98" s="124"/>
    </row>
    <row r="99" spans="1:36" x14ac:dyDescent="0.15">
      <c r="A99" s="123" t="s">
        <v>580</v>
      </c>
      <c r="B99" s="124">
        <f t="shared" ref="B99:M99" si="20">B98/B97</f>
        <v>0.18790070865696457</v>
      </c>
      <c r="C99" s="124">
        <f t="shared" si="20"/>
        <v>0.28283088553899588</v>
      </c>
      <c r="D99" s="124">
        <f t="shared" si="20"/>
        <v>0.32031586530440725</v>
      </c>
      <c r="E99" s="124">
        <f t="shared" si="20"/>
        <v>0.32406798594685388</v>
      </c>
      <c r="F99" s="124">
        <f t="shared" si="20"/>
        <v>0.30628678956173183</v>
      </c>
      <c r="G99" s="124">
        <f t="shared" si="20"/>
        <v>0.2891879387334037</v>
      </c>
      <c r="H99" s="124">
        <f t="shared" si="20"/>
        <v>0.31516286347580807</v>
      </c>
      <c r="I99" s="124">
        <f t="shared" si="20"/>
        <v>0.3328916761826376</v>
      </c>
      <c r="J99" s="124">
        <f t="shared" si="20"/>
        <v>0.30182719892256049</v>
      </c>
      <c r="K99" s="124">
        <f t="shared" si="20"/>
        <v>0.28959897665601814</v>
      </c>
      <c r="L99" s="124">
        <f t="shared" si="20"/>
        <v>0.26461255808424949</v>
      </c>
      <c r="M99" s="124">
        <f t="shared" si="20"/>
        <v>0.20505252346111688</v>
      </c>
      <c r="N99" s="124"/>
      <c r="O99" s="124"/>
      <c r="P99" s="124"/>
    </row>
    <row r="100" spans="1:36" x14ac:dyDescent="0.15">
      <c r="A100" s="123" t="s">
        <v>579</v>
      </c>
      <c r="B100" s="123">
        <f t="shared" ref="B100:P100" si="21">B86/$Q$86</f>
        <v>0.46042115347054519</v>
      </c>
      <c r="C100" s="123">
        <f t="shared" si="21"/>
        <v>0.21532803786223739</v>
      </c>
      <c r="D100" s="123">
        <f t="shared" si="21"/>
        <v>9.8221547982092663E-2</v>
      </c>
      <c r="E100" s="123">
        <f t="shared" si="21"/>
        <v>9.3076122933572147E-2</v>
      </c>
      <c r="F100" s="123">
        <f t="shared" si="21"/>
        <v>5.2813555739685221E-2</v>
      </c>
      <c r="G100" s="123">
        <f t="shared" si="21"/>
        <v>3.5520511663639939E-2</v>
      </c>
      <c r="H100" s="123">
        <f t="shared" si="21"/>
        <v>2.1452484980532708E-2</v>
      </c>
      <c r="I100" s="123">
        <f t="shared" si="21"/>
        <v>1.047312487495658E-2</v>
      </c>
      <c r="J100" s="123">
        <f t="shared" si="21"/>
        <v>5.2331128172220078E-3</v>
      </c>
      <c r="K100" s="123">
        <f t="shared" si="21"/>
        <v>3.4425874572121071E-3</v>
      </c>
      <c r="L100" s="123">
        <f t="shared" si="21"/>
        <v>1.6049479669528724E-3</v>
      </c>
      <c r="M100" s="123">
        <f t="shared" si="21"/>
        <v>1.0449500996540086E-3</v>
      </c>
      <c r="N100" s="123">
        <f t="shared" si="21"/>
        <v>5.8388620979902715E-4</v>
      </c>
      <c r="O100" s="123">
        <f t="shared" si="21"/>
        <v>3.343679862685258E-4</v>
      </c>
      <c r="P100" s="123">
        <f t="shared" si="21"/>
        <v>4.4960795562947169E-4</v>
      </c>
    </row>
    <row r="101" spans="1:36" x14ac:dyDescent="0.15">
      <c r="A101" s="123" t="s">
        <v>578</v>
      </c>
      <c r="C101" s="123">
        <f>C86/$R$86</f>
        <v>0.39906686343843351</v>
      </c>
      <c r="D101" s="123">
        <f t="shared" ref="D101:P101" si="22">D86/$R$56</f>
        <v>8.3183136368361069E-2</v>
      </c>
      <c r="E101" s="123">
        <f t="shared" si="22"/>
        <v>7.8825512178175267E-2</v>
      </c>
      <c r="F101" s="123">
        <f t="shared" si="22"/>
        <v>4.4727427936619601E-2</v>
      </c>
      <c r="G101" s="123">
        <f t="shared" si="22"/>
        <v>3.0082070852000934E-2</v>
      </c>
      <c r="H101" s="123">
        <f t="shared" si="22"/>
        <v>1.8167958255974642E-2</v>
      </c>
      <c r="I101" s="123">
        <f t="shared" si="22"/>
        <v>8.8696156044620559E-3</v>
      </c>
      <c r="J101" s="123">
        <f t="shared" si="22"/>
        <v>4.4318863431612758E-3</v>
      </c>
      <c r="K101" s="123">
        <f t="shared" si="22"/>
        <v>2.9155030418120979E-3</v>
      </c>
      <c r="L101" s="123">
        <f t="shared" si="22"/>
        <v>1.3592191157840907E-3</v>
      </c>
      <c r="M101" s="123">
        <f t="shared" si="22"/>
        <v>8.8496087084169342E-4</v>
      </c>
      <c r="N101" s="123">
        <f t="shared" si="22"/>
        <v>4.9448911375508909E-4</v>
      </c>
      <c r="O101" s="123">
        <f t="shared" si="22"/>
        <v>2.8317388974626989E-4</v>
      </c>
      <c r="P101" s="123">
        <f t="shared" si="22"/>
        <v>3.8076980717352321E-4</v>
      </c>
    </row>
    <row r="102" spans="1:36" x14ac:dyDescent="0.15">
      <c r="A102" s="123" t="s">
        <v>577</v>
      </c>
      <c r="D102" s="123">
        <f t="shared" ref="D102:P102" si="23">D86/$S$56</f>
        <v>0.13422677575389735</v>
      </c>
      <c r="E102" s="123">
        <f t="shared" si="23"/>
        <v>0.12719518412929615</v>
      </c>
      <c r="F102" s="123">
        <f t="shared" si="23"/>
        <v>7.2173504171702957E-2</v>
      </c>
      <c r="G102" s="123">
        <f t="shared" si="23"/>
        <v>4.8541321651826737E-2</v>
      </c>
      <c r="H102" s="123">
        <f t="shared" si="23"/>
        <v>2.9316356237541613E-2</v>
      </c>
      <c r="I102" s="123">
        <f t="shared" si="23"/>
        <v>1.4312274779966366E-2</v>
      </c>
      <c r="J102" s="123">
        <f t="shared" si="23"/>
        <v>7.1514232369883591E-3</v>
      </c>
      <c r="K102" s="123">
        <f t="shared" si="23"/>
        <v>4.704542171506349E-3</v>
      </c>
      <c r="L102" s="123">
        <f t="shared" si="23"/>
        <v>2.1932762747348717E-3</v>
      </c>
      <c r="M102" s="123">
        <f t="shared" si="23"/>
        <v>1.4279991059176036E-3</v>
      </c>
      <c r="N102" s="123">
        <f t="shared" si="23"/>
        <v>7.9792229870756818E-4</v>
      </c>
      <c r="O102" s="123">
        <f t="shared" si="23"/>
        <v>4.5693778640436603E-4</v>
      </c>
      <c r="P102" s="123">
        <f t="shared" si="23"/>
        <v>6.1442145310566668E-4</v>
      </c>
    </row>
    <row r="103" spans="1:36" x14ac:dyDescent="0.15">
      <c r="A103" s="123" t="s">
        <v>576</v>
      </c>
      <c r="E103" s="123">
        <f t="shared" ref="E103:P103" si="24">E86/$T$56</f>
        <v>0.20313275795791183</v>
      </c>
      <c r="F103" s="123">
        <f t="shared" si="24"/>
        <v>0.11526224875764095</v>
      </c>
      <c r="G103" s="123">
        <f t="shared" si="24"/>
        <v>7.7521272598139124E-2</v>
      </c>
      <c r="H103" s="123">
        <f t="shared" si="24"/>
        <v>4.6818693149223184E-2</v>
      </c>
      <c r="I103" s="123">
        <f t="shared" si="24"/>
        <v>2.2856933370611895E-2</v>
      </c>
      <c r="J103" s="123">
        <f t="shared" si="24"/>
        <v>1.1420938107036028E-2</v>
      </c>
      <c r="K103" s="123">
        <f t="shared" si="24"/>
        <v>7.5132296302661619E-3</v>
      </c>
      <c r="L103" s="123">
        <f t="shared" si="24"/>
        <v>3.5026975407941858E-3</v>
      </c>
      <c r="M103" s="123">
        <f t="shared" si="24"/>
        <v>2.2805375748472549E-3</v>
      </c>
      <c r="N103" s="123">
        <f t="shared" si="24"/>
        <v>1.2742947642406309E-3</v>
      </c>
      <c r="O103" s="123">
        <f t="shared" si="24"/>
        <v>7.297370053975465E-4</v>
      </c>
      <c r="P103" s="123">
        <f t="shared" si="24"/>
        <v>9.8124095792016136E-4</v>
      </c>
    </row>
    <row r="105" spans="1:36" x14ac:dyDescent="0.15">
      <c r="A105" s="131">
        <v>1982</v>
      </c>
      <c r="B105" s="123">
        <f t="shared" ref="B105:B121" si="25">VLOOKUP($A105,$A$3:$P$54,B$57+1)</f>
        <v>16305.4</v>
      </c>
      <c r="C105" s="123">
        <f t="shared" ref="C105:P120" si="26">VLOOKUP($A105,$A$3:$P$54,C$57+1)</f>
        <v>12486.2</v>
      </c>
      <c r="D105" s="123">
        <f t="shared" si="26"/>
        <v>6933.92</v>
      </c>
      <c r="E105" s="123">
        <f t="shared" si="26"/>
        <v>10619.1</v>
      </c>
      <c r="F105" s="123">
        <f t="shared" si="26"/>
        <v>2328.6999999999998</v>
      </c>
      <c r="G105" s="123">
        <f t="shared" si="26"/>
        <v>540.91099999999994</v>
      </c>
      <c r="H105" s="123">
        <f t="shared" si="26"/>
        <v>227.42099999999999</v>
      </c>
      <c r="I105" s="123">
        <f t="shared" si="26"/>
        <v>132.10599999999999</v>
      </c>
      <c r="J105" s="123">
        <f t="shared" si="26"/>
        <v>66.275700000000001</v>
      </c>
      <c r="K105" s="123">
        <f t="shared" si="26"/>
        <v>36.001399999999997</v>
      </c>
      <c r="L105" s="123">
        <f t="shared" si="26"/>
        <v>7.3979600000000003</v>
      </c>
      <c r="M105" s="123">
        <f t="shared" si="26"/>
        <v>4.4702599999999997</v>
      </c>
      <c r="N105" s="123">
        <f t="shared" si="26"/>
        <v>3.5337200000000002</v>
      </c>
      <c r="O105" s="123">
        <f t="shared" si="26"/>
        <v>2.0027200000000001</v>
      </c>
      <c r="P105" s="123">
        <f t="shared" si="26"/>
        <v>1.81508</v>
      </c>
      <c r="U105" s="131">
        <v>1982</v>
      </c>
      <c r="V105" s="123">
        <v>860.7605750720038</v>
      </c>
      <c r="W105" s="123">
        <v>2108.7959543959373</v>
      </c>
      <c r="X105" s="123">
        <v>2473.0378005318939</v>
      </c>
      <c r="Y105" s="123">
        <v>3340.1388356178895</v>
      </c>
      <c r="Z105" s="123">
        <v>1098.8576868215441</v>
      </c>
      <c r="AA105" s="123">
        <v>155.29961193103787</v>
      </c>
      <c r="AB105" s="123">
        <v>107.03677017297846</v>
      </c>
      <c r="AC105" s="123">
        <v>51.683947841210262</v>
      </c>
      <c r="AD105" s="123">
        <v>34.016159065818186</v>
      </c>
      <c r="AE105" s="123">
        <v>18.423923132933766</v>
      </c>
      <c r="AF105" s="123">
        <v>9.2869542958448754</v>
      </c>
      <c r="AG105" s="123">
        <v>7.2067769020563635</v>
      </c>
      <c r="AH105" s="123">
        <v>1.9148885711712416</v>
      </c>
      <c r="AI105" s="123">
        <v>0.73627395800973205</v>
      </c>
      <c r="AJ105" s="123">
        <v>0.19316396357013801</v>
      </c>
    </row>
    <row r="106" spans="1:36" x14ac:dyDescent="0.15">
      <c r="A106" s="131">
        <v>1983</v>
      </c>
      <c r="B106" s="123">
        <f t="shared" si="25"/>
        <v>52162.3</v>
      </c>
      <c r="C106" s="123">
        <f t="shared" si="26"/>
        <v>6626.01</v>
      </c>
      <c r="D106" s="123">
        <f t="shared" si="26"/>
        <v>7895.15</v>
      </c>
      <c r="E106" s="123">
        <f t="shared" si="26"/>
        <v>4937.95</v>
      </c>
      <c r="F106" s="123">
        <f t="shared" si="26"/>
        <v>6912.79</v>
      </c>
      <c r="G106" s="123">
        <f t="shared" si="26"/>
        <v>1400.08</v>
      </c>
      <c r="H106" s="123">
        <f t="shared" si="26"/>
        <v>320.00200000000001</v>
      </c>
      <c r="I106" s="123">
        <f t="shared" si="26"/>
        <v>134.81100000000001</v>
      </c>
      <c r="J106" s="123">
        <f t="shared" si="26"/>
        <v>78.058700000000002</v>
      </c>
      <c r="K106" s="123">
        <f t="shared" si="26"/>
        <v>38.923499999999997</v>
      </c>
      <c r="L106" s="123">
        <f t="shared" si="26"/>
        <v>21.1494</v>
      </c>
      <c r="M106" s="123">
        <f t="shared" si="26"/>
        <v>4.3460099999999997</v>
      </c>
      <c r="N106" s="123">
        <f t="shared" si="26"/>
        <v>2.6261000000000001</v>
      </c>
      <c r="O106" s="123">
        <f t="shared" si="26"/>
        <v>2.07592</v>
      </c>
      <c r="P106" s="123">
        <f t="shared" si="26"/>
        <v>2.24281</v>
      </c>
      <c r="U106" s="131">
        <v>1983</v>
      </c>
      <c r="V106" s="123">
        <v>483.37822241521116</v>
      </c>
      <c r="W106" s="123">
        <v>669.50951579104253</v>
      </c>
      <c r="X106" s="123">
        <v>1638.1082349520107</v>
      </c>
      <c r="Y106" s="123">
        <v>3060.00903854542</v>
      </c>
      <c r="Z106" s="123">
        <v>6663.42986397411</v>
      </c>
      <c r="AA106" s="123">
        <v>1979.1764894645196</v>
      </c>
      <c r="AB106" s="123">
        <v>369.07216677042328</v>
      </c>
      <c r="AC106" s="123">
        <v>199.42606115461064</v>
      </c>
      <c r="AD106" s="123">
        <v>78.476629071936614</v>
      </c>
      <c r="AE106" s="123">
        <v>71.580860165517251</v>
      </c>
      <c r="AF106" s="123">
        <v>55.662102899507687</v>
      </c>
      <c r="AG106" s="123">
        <v>18.828317086121263</v>
      </c>
      <c r="AH106" s="123">
        <v>9.2480912971743905</v>
      </c>
      <c r="AI106" s="123">
        <v>7.5162307244953608</v>
      </c>
      <c r="AJ106" s="123">
        <v>2.5113173522002405</v>
      </c>
    </row>
    <row r="107" spans="1:36" x14ac:dyDescent="0.15">
      <c r="A107" s="131">
        <v>1984</v>
      </c>
      <c r="B107" s="123">
        <f t="shared" si="25"/>
        <v>13572.8</v>
      </c>
      <c r="C107" s="123">
        <f t="shared" si="26"/>
        <v>21200.1</v>
      </c>
      <c r="D107" s="123">
        <f t="shared" si="26"/>
        <v>4193.2</v>
      </c>
      <c r="E107" s="123">
        <f t="shared" si="26"/>
        <v>5677.6</v>
      </c>
      <c r="F107" s="123">
        <f t="shared" si="26"/>
        <v>3339.89</v>
      </c>
      <c r="G107" s="123">
        <f t="shared" si="26"/>
        <v>4387</v>
      </c>
      <c r="H107" s="123">
        <f t="shared" si="26"/>
        <v>854.84199999999998</v>
      </c>
      <c r="I107" s="123">
        <f t="shared" si="26"/>
        <v>195.61600000000001</v>
      </c>
      <c r="J107" s="123">
        <f t="shared" si="26"/>
        <v>82.277699999999996</v>
      </c>
      <c r="K107" s="123">
        <f t="shared" si="26"/>
        <v>47.154200000000003</v>
      </c>
      <c r="L107" s="123">
        <f t="shared" si="26"/>
        <v>23.418399999999998</v>
      </c>
      <c r="M107" s="123">
        <f t="shared" si="26"/>
        <v>12.724600000000001</v>
      </c>
      <c r="N107" s="123">
        <f t="shared" si="26"/>
        <v>2.6147900000000002</v>
      </c>
      <c r="O107" s="123">
        <f t="shared" si="26"/>
        <v>1.58</v>
      </c>
      <c r="P107" s="123">
        <f t="shared" si="26"/>
        <v>2.5983700000000001</v>
      </c>
      <c r="U107" s="131">
        <v>1984</v>
      </c>
      <c r="V107" s="123">
        <v>279.98220413215915</v>
      </c>
      <c r="W107" s="123">
        <v>260.91567327499189</v>
      </c>
      <c r="X107" s="123">
        <v>347.67248432912277</v>
      </c>
      <c r="Y107" s="123">
        <v>1196.0610599565675</v>
      </c>
      <c r="Z107" s="123">
        <v>1399.6418756823459</v>
      </c>
      <c r="AA107" s="123">
        <v>3550.8770648750628</v>
      </c>
      <c r="AB107" s="123">
        <v>693.57329782359625</v>
      </c>
      <c r="AC107" s="123">
        <v>157.15345807039367</v>
      </c>
      <c r="AD107" s="123">
        <v>67.986612011068488</v>
      </c>
      <c r="AE107" s="123">
        <v>25.303680067654138</v>
      </c>
      <c r="AF107" s="123">
        <v>15.911035441418186</v>
      </c>
      <c r="AG107" s="123">
        <v>6.4920364054183288</v>
      </c>
      <c r="AH107" s="123">
        <v>3.7715863058946151</v>
      </c>
      <c r="AI107" s="123">
        <v>4.6808568486908779</v>
      </c>
      <c r="AJ107" s="123">
        <v>2.3982954511160051</v>
      </c>
    </row>
    <row r="108" spans="1:36" x14ac:dyDescent="0.15">
      <c r="A108" s="131">
        <v>1985</v>
      </c>
      <c r="B108" s="123">
        <f t="shared" si="25"/>
        <v>34631.9</v>
      </c>
      <c r="C108" s="123">
        <f t="shared" si="26"/>
        <v>5516.6</v>
      </c>
      <c r="D108" s="123">
        <f t="shared" si="26"/>
        <v>13436.4</v>
      </c>
      <c r="E108" s="123">
        <f t="shared" si="26"/>
        <v>3017.32</v>
      </c>
      <c r="F108" s="123">
        <f t="shared" si="26"/>
        <v>3880.54</v>
      </c>
      <c r="G108" s="123">
        <f t="shared" si="26"/>
        <v>2112.8000000000002</v>
      </c>
      <c r="H108" s="123">
        <f t="shared" si="26"/>
        <v>2703.67</v>
      </c>
      <c r="I108" s="123">
        <f t="shared" si="26"/>
        <v>522.27200000000005</v>
      </c>
      <c r="J108" s="123">
        <f t="shared" si="26"/>
        <v>119.622</v>
      </c>
      <c r="K108" s="123">
        <f t="shared" si="26"/>
        <v>49.792200000000001</v>
      </c>
      <c r="L108" s="123">
        <f t="shared" si="26"/>
        <v>28.3294</v>
      </c>
      <c r="M108" s="123">
        <f t="shared" si="26"/>
        <v>14.0694</v>
      </c>
      <c r="N108" s="123">
        <f t="shared" si="26"/>
        <v>7.6447099999999999</v>
      </c>
      <c r="O108" s="123">
        <f t="shared" si="26"/>
        <v>1.5709200000000001</v>
      </c>
      <c r="P108" s="123">
        <f t="shared" si="26"/>
        <v>2.5102899999999999</v>
      </c>
      <c r="U108" s="131">
        <v>1985</v>
      </c>
      <c r="V108" s="123">
        <v>3053.1914727798094</v>
      </c>
      <c r="W108" s="123">
        <v>580.62375494137927</v>
      </c>
      <c r="X108" s="123">
        <v>2591.4514833994631</v>
      </c>
      <c r="Y108" s="123">
        <v>1111.1437167034874</v>
      </c>
      <c r="Z108" s="123">
        <v>3839.3192804755354</v>
      </c>
      <c r="AA108" s="123">
        <v>2168.5213400608241</v>
      </c>
      <c r="AB108" s="123">
        <v>1580.0274959296014</v>
      </c>
      <c r="AC108" s="123">
        <v>319.47762636453797</v>
      </c>
      <c r="AD108" s="123">
        <v>80.989389072754406</v>
      </c>
      <c r="AE108" s="123">
        <v>63.51990007306982</v>
      </c>
      <c r="AF108" s="123">
        <v>17.916827570456576</v>
      </c>
      <c r="AG108" s="123">
        <v>6.1127066971345103</v>
      </c>
      <c r="AH108" s="123">
        <v>6.612396174164421</v>
      </c>
      <c r="AI108" s="123">
        <v>0.96836525448704214</v>
      </c>
      <c r="AJ108" s="123">
        <v>0.31758571999489232</v>
      </c>
    </row>
    <row r="109" spans="1:36" x14ac:dyDescent="0.15">
      <c r="A109" s="131">
        <v>1986</v>
      </c>
      <c r="B109" s="123">
        <f t="shared" si="25"/>
        <v>14545.4</v>
      </c>
      <c r="C109" s="123">
        <f t="shared" si="26"/>
        <v>14076.6</v>
      </c>
      <c r="D109" s="123">
        <f t="shared" si="26"/>
        <v>3495.58</v>
      </c>
      <c r="E109" s="123">
        <f t="shared" si="26"/>
        <v>9643.9500000000007</v>
      </c>
      <c r="F109" s="123">
        <f t="shared" si="26"/>
        <v>2079.1799999999998</v>
      </c>
      <c r="G109" s="123">
        <f t="shared" si="26"/>
        <v>2532.64</v>
      </c>
      <c r="H109" s="123">
        <f t="shared" si="26"/>
        <v>1281.8900000000001</v>
      </c>
      <c r="I109" s="123">
        <f t="shared" si="26"/>
        <v>1644.83</v>
      </c>
      <c r="J109" s="123">
        <f t="shared" si="26"/>
        <v>317.73500000000001</v>
      </c>
      <c r="K109" s="123">
        <f t="shared" si="26"/>
        <v>72.165400000000005</v>
      </c>
      <c r="L109" s="123">
        <f t="shared" si="26"/>
        <v>29.7333</v>
      </c>
      <c r="M109" s="123">
        <f t="shared" si="26"/>
        <v>16.916799999999999</v>
      </c>
      <c r="N109" s="123">
        <f t="shared" si="26"/>
        <v>8.4014900000000008</v>
      </c>
      <c r="O109" s="123">
        <f t="shared" si="26"/>
        <v>4.5650199999999996</v>
      </c>
      <c r="P109" s="123">
        <f t="shared" si="26"/>
        <v>2.4370799999999999</v>
      </c>
      <c r="U109" s="131">
        <v>1986</v>
      </c>
      <c r="V109" s="123">
        <v>1931.3162606363248</v>
      </c>
      <c r="W109" s="123">
        <v>278.01430302878543</v>
      </c>
      <c r="X109" s="123">
        <v>312.25559821518522</v>
      </c>
      <c r="Y109" s="123">
        <v>1549.4305336396335</v>
      </c>
      <c r="Z109" s="123">
        <v>859.22560983748872</v>
      </c>
      <c r="AA109" s="123">
        <v>1596.9760859712258</v>
      </c>
      <c r="AB109" s="123">
        <v>1317.2669475760954</v>
      </c>
      <c r="AC109" s="123">
        <v>1133.055606120151</v>
      </c>
      <c r="AD109" s="123">
        <v>388.93508675135411</v>
      </c>
      <c r="AE109" s="123">
        <v>64.185121545752267</v>
      </c>
      <c r="AF109" s="123">
        <v>26.812641059216169</v>
      </c>
      <c r="AG109" s="123">
        <v>12.382211560140012</v>
      </c>
      <c r="AH109" s="123">
        <v>0.25014762318062461</v>
      </c>
      <c r="AI109" s="123">
        <v>2.7111556934669188</v>
      </c>
      <c r="AJ109" s="123">
        <v>0</v>
      </c>
    </row>
    <row r="110" spans="1:36" x14ac:dyDescent="0.15">
      <c r="A110" s="131">
        <v>1987</v>
      </c>
      <c r="B110" s="123">
        <f t="shared" si="25"/>
        <v>7835.33</v>
      </c>
      <c r="C110" s="123">
        <f t="shared" si="26"/>
        <v>5912.49</v>
      </c>
      <c r="D110" s="123">
        <f t="shared" si="26"/>
        <v>8925.2199999999993</v>
      </c>
      <c r="E110" s="123">
        <f t="shared" si="26"/>
        <v>2509.0700000000002</v>
      </c>
      <c r="F110" s="123">
        <f t="shared" si="26"/>
        <v>6610.44</v>
      </c>
      <c r="G110" s="123">
        <f t="shared" si="26"/>
        <v>1374.88</v>
      </c>
      <c r="H110" s="123">
        <f t="shared" si="26"/>
        <v>1571.89</v>
      </c>
      <c r="I110" s="123">
        <f t="shared" si="26"/>
        <v>789.82299999999998</v>
      </c>
      <c r="J110" s="123">
        <f t="shared" si="26"/>
        <v>1025.6199999999999</v>
      </c>
      <c r="K110" s="123">
        <f t="shared" si="26"/>
        <v>193.56299999999999</v>
      </c>
      <c r="L110" s="123">
        <f t="shared" si="26"/>
        <v>43.738999999999997</v>
      </c>
      <c r="M110" s="123">
        <f t="shared" si="26"/>
        <v>18.0212</v>
      </c>
      <c r="N110" s="123">
        <f t="shared" si="26"/>
        <v>10.2532</v>
      </c>
      <c r="O110" s="123">
        <f t="shared" si="26"/>
        <v>5.0921000000000003</v>
      </c>
      <c r="P110" s="123">
        <f t="shared" si="26"/>
        <v>4.2439299999999998</v>
      </c>
      <c r="U110" s="131">
        <v>1987</v>
      </c>
      <c r="V110" s="123">
        <v>253.53913151736026</v>
      </c>
      <c r="W110" s="123">
        <v>473.83870737691478</v>
      </c>
      <c r="X110" s="123">
        <v>643.53301400825728</v>
      </c>
      <c r="Y110" s="123">
        <v>412.91795919344639</v>
      </c>
      <c r="Z110" s="123">
        <v>3691.3379333414996</v>
      </c>
      <c r="AA110" s="123">
        <v>815.10960923158279</v>
      </c>
      <c r="AB110" s="123">
        <v>990.88340200793539</v>
      </c>
      <c r="AC110" s="123">
        <v>376.24720882601065</v>
      </c>
      <c r="AD110" s="123">
        <v>1241.9391045759851</v>
      </c>
      <c r="AE110" s="123">
        <v>181.30151591643349</v>
      </c>
      <c r="AF110" s="123">
        <v>69.03802370740749</v>
      </c>
      <c r="AG110" s="123">
        <v>24.418563867633786</v>
      </c>
      <c r="AH110" s="123">
        <v>3.9697288032029814</v>
      </c>
      <c r="AI110" s="123">
        <v>1.4813599165164759</v>
      </c>
      <c r="AJ110" s="123">
        <v>1.4025784048127115</v>
      </c>
    </row>
    <row r="111" spans="1:36" x14ac:dyDescent="0.15">
      <c r="A111" s="131">
        <v>1988</v>
      </c>
      <c r="B111" s="123">
        <f t="shared" si="25"/>
        <v>5561.46</v>
      </c>
      <c r="C111" s="123">
        <f t="shared" si="26"/>
        <v>3185.19</v>
      </c>
      <c r="D111" s="123">
        <f t="shared" si="26"/>
        <v>3755.53</v>
      </c>
      <c r="E111" s="123">
        <f t="shared" si="26"/>
        <v>6445.86</v>
      </c>
      <c r="F111" s="123">
        <f t="shared" si="26"/>
        <v>1765.34</v>
      </c>
      <c r="G111" s="123">
        <f t="shared" si="26"/>
        <v>4509.9799999999996</v>
      </c>
      <c r="H111" s="123">
        <f t="shared" si="26"/>
        <v>905.13900000000001</v>
      </c>
      <c r="I111" s="123">
        <f t="shared" si="26"/>
        <v>1029.6300000000001</v>
      </c>
      <c r="J111" s="123">
        <f t="shared" si="26"/>
        <v>508.08300000000003</v>
      </c>
      <c r="K111" s="123">
        <f t="shared" si="26"/>
        <v>653.68799999999999</v>
      </c>
      <c r="L111" s="123">
        <f t="shared" si="26"/>
        <v>123.76300000000001</v>
      </c>
      <c r="M111" s="123">
        <f t="shared" si="26"/>
        <v>27.9664</v>
      </c>
      <c r="N111" s="123">
        <f t="shared" si="26"/>
        <v>11.522600000000001</v>
      </c>
      <c r="O111" s="123">
        <f t="shared" si="26"/>
        <v>6.5558199999999998</v>
      </c>
      <c r="P111" s="123">
        <f t="shared" si="26"/>
        <v>5.9693899999999998</v>
      </c>
      <c r="U111" s="131">
        <v>1988</v>
      </c>
      <c r="V111" s="123">
        <v>537.41054411683547</v>
      </c>
      <c r="W111" s="123">
        <v>449.35489181882531</v>
      </c>
      <c r="X111" s="123">
        <v>969.49692157524737</v>
      </c>
      <c r="Y111" s="123">
        <v>2463.4995310129884</v>
      </c>
      <c r="Z111" s="123">
        <v>1001.9209229792397</v>
      </c>
      <c r="AA111" s="123">
        <v>3590.1187263425791</v>
      </c>
      <c r="AB111" s="123">
        <v>1158.2044829368747</v>
      </c>
      <c r="AC111" s="123">
        <v>909.11048829466904</v>
      </c>
      <c r="AD111" s="123">
        <v>521.84842362281756</v>
      </c>
      <c r="AE111" s="123">
        <v>1179.6079146805102</v>
      </c>
      <c r="AF111" s="123">
        <v>120.3860968622692</v>
      </c>
      <c r="AG111" s="123">
        <v>65.720489088814873</v>
      </c>
      <c r="AH111" s="123">
        <v>12.252717770316044</v>
      </c>
      <c r="AI111" s="123">
        <v>21.600568174745735</v>
      </c>
      <c r="AJ111" s="123">
        <v>8.7332325213673645</v>
      </c>
    </row>
    <row r="112" spans="1:36" x14ac:dyDescent="0.15">
      <c r="A112" s="131">
        <v>1989</v>
      </c>
      <c r="B112" s="123">
        <f t="shared" si="25"/>
        <v>11102.8</v>
      </c>
      <c r="C112" s="123">
        <f t="shared" si="26"/>
        <v>2260.7800000000002</v>
      </c>
      <c r="D112" s="123">
        <f t="shared" si="26"/>
        <v>2020.97</v>
      </c>
      <c r="E112" s="123">
        <f t="shared" si="26"/>
        <v>2627.97</v>
      </c>
      <c r="F112" s="123">
        <f t="shared" si="26"/>
        <v>4431.8100000000004</v>
      </c>
      <c r="G112" s="123">
        <f t="shared" si="26"/>
        <v>1148.5899999999999</v>
      </c>
      <c r="H112" s="123">
        <f t="shared" si="26"/>
        <v>2867.89</v>
      </c>
      <c r="I112" s="123">
        <f t="shared" si="26"/>
        <v>554.75699999999995</v>
      </c>
      <c r="J112" s="123">
        <f t="shared" si="26"/>
        <v>636.34799999999996</v>
      </c>
      <c r="K112" s="123">
        <f t="shared" si="26"/>
        <v>310.72800000000001</v>
      </c>
      <c r="L112" s="123">
        <f t="shared" si="26"/>
        <v>401.65100000000001</v>
      </c>
      <c r="M112" s="123">
        <f t="shared" si="26"/>
        <v>76.044600000000003</v>
      </c>
      <c r="N112" s="123">
        <f t="shared" si="26"/>
        <v>17.183599999999998</v>
      </c>
      <c r="O112" s="123">
        <f t="shared" si="26"/>
        <v>7.0799300000000001</v>
      </c>
      <c r="P112" s="123">
        <f t="shared" si="26"/>
        <v>7.6959600000000004</v>
      </c>
      <c r="U112" s="131">
        <v>1989</v>
      </c>
      <c r="V112" s="123">
        <v>580.03386609762049</v>
      </c>
      <c r="W112" s="123">
        <v>223.35916172565291</v>
      </c>
      <c r="X112" s="123">
        <v>438.12281290944964</v>
      </c>
      <c r="Y112" s="123">
        <v>1433.5235096325744</v>
      </c>
      <c r="Z112" s="123">
        <v>3187.8584304718265</v>
      </c>
      <c r="AA112" s="123">
        <v>712.537267853049</v>
      </c>
      <c r="AB112" s="123">
        <v>2718.8143893247161</v>
      </c>
      <c r="AC112" s="123">
        <v>400.54679743640645</v>
      </c>
      <c r="AD112" s="123">
        <v>527.19027159644031</v>
      </c>
      <c r="AE112" s="123">
        <v>199.40880307619449</v>
      </c>
      <c r="AF112" s="123">
        <v>517.30734329833001</v>
      </c>
      <c r="AG112" s="123">
        <v>96.831003283043174</v>
      </c>
      <c r="AH112" s="123">
        <v>76.400950682537953</v>
      </c>
      <c r="AI112" s="123">
        <v>43.256957079680568</v>
      </c>
      <c r="AJ112" s="123">
        <v>49.276467145377715</v>
      </c>
    </row>
    <row r="113" spans="1:36" x14ac:dyDescent="0.15">
      <c r="A113" s="131">
        <v>1990</v>
      </c>
      <c r="B113" s="123">
        <f t="shared" si="25"/>
        <v>48848.1</v>
      </c>
      <c r="C113" s="123">
        <f t="shared" si="26"/>
        <v>4513.45</v>
      </c>
      <c r="D113" s="123">
        <f t="shared" si="26"/>
        <v>1434.67</v>
      </c>
      <c r="E113" s="123">
        <f t="shared" si="26"/>
        <v>1436.07</v>
      </c>
      <c r="F113" s="123">
        <f t="shared" si="26"/>
        <v>1780.46</v>
      </c>
      <c r="G113" s="123">
        <f t="shared" si="26"/>
        <v>2872.5</v>
      </c>
      <c r="H113" s="123">
        <f t="shared" si="26"/>
        <v>721.34100000000001</v>
      </c>
      <c r="I113" s="123">
        <f t="shared" si="26"/>
        <v>1722.6</v>
      </c>
      <c r="J113" s="123">
        <f t="shared" si="26"/>
        <v>337.46199999999999</v>
      </c>
      <c r="K113" s="123">
        <f t="shared" si="26"/>
        <v>390.92700000000002</v>
      </c>
      <c r="L113" s="123">
        <f t="shared" si="26"/>
        <v>191.24299999999999</v>
      </c>
      <c r="M113" s="123">
        <f t="shared" si="26"/>
        <v>247.203</v>
      </c>
      <c r="N113" s="123">
        <f t="shared" si="26"/>
        <v>46.803100000000001</v>
      </c>
      <c r="O113" s="123">
        <f t="shared" si="26"/>
        <v>10.576000000000001</v>
      </c>
      <c r="P113" s="123">
        <f t="shared" si="26"/>
        <v>9.0940999999999992</v>
      </c>
      <c r="U113" s="131">
        <v>1990</v>
      </c>
      <c r="V113" s="123">
        <v>1333.1543600375721</v>
      </c>
      <c r="W113" s="123">
        <v>219.4927097539786</v>
      </c>
      <c r="X113" s="123">
        <v>64.779106334623904</v>
      </c>
      <c r="Y113" s="123">
        <v>590.19158878821816</v>
      </c>
      <c r="Z113" s="123">
        <v>1037.8789775318351</v>
      </c>
      <c r="AA113" s="123">
        <v>3809.6954597751678</v>
      </c>
      <c r="AB113" s="123">
        <v>845.70274122277203</v>
      </c>
      <c r="AC113" s="123">
        <v>2171.1368044723595</v>
      </c>
      <c r="AD113" s="123">
        <v>239.14974206594977</v>
      </c>
      <c r="AE113" s="123">
        <v>405.52629639414039</v>
      </c>
      <c r="AF113" s="123">
        <v>71.590647683571348</v>
      </c>
      <c r="AG113" s="123">
        <v>556.75330024351615</v>
      </c>
      <c r="AH113" s="123">
        <v>41.923205157444336</v>
      </c>
      <c r="AI113" s="123">
        <v>50.009769350210483</v>
      </c>
      <c r="AJ113" s="123">
        <v>39.229067727140638</v>
      </c>
    </row>
    <row r="114" spans="1:36" x14ac:dyDescent="0.15">
      <c r="A114" s="131">
        <v>1991</v>
      </c>
      <c r="B114" s="123">
        <f t="shared" si="25"/>
        <v>25581.3</v>
      </c>
      <c r="C114" s="123">
        <f t="shared" si="26"/>
        <v>19857</v>
      </c>
      <c r="D114" s="123">
        <f t="shared" si="26"/>
        <v>2858.66</v>
      </c>
      <c r="E114" s="123">
        <f t="shared" si="26"/>
        <v>1015.24</v>
      </c>
      <c r="F114" s="123">
        <f t="shared" si="26"/>
        <v>925.85299999999995</v>
      </c>
      <c r="G114" s="123">
        <f t="shared" si="26"/>
        <v>1050.05</v>
      </c>
      <c r="H114" s="123">
        <f t="shared" si="26"/>
        <v>1657.8</v>
      </c>
      <c r="I114" s="123">
        <f t="shared" si="26"/>
        <v>403.81900000000002</v>
      </c>
      <c r="J114" s="123">
        <f t="shared" si="26"/>
        <v>959.34799999999996</v>
      </c>
      <c r="K114" s="123">
        <f t="shared" si="26"/>
        <v>189.99700000000001</v>
      </c>
      <c r="L114" s="123">
        <f t="shared" si="26"/>
        <v>222.494</v>
      </c>
      <c r="M114" s="123">
        <f t="shared" si="26"/>
        <v>108.845</v>
      </c>
      <c r="N114" s="123">
        <f t="shared" si="26"/>
        <v>140.69399999999999</v>
      </c>
      <c r="O114" s="123">
        <f t="shared" si="26"/>
        <v>26.637599999999999</v>
      </c>
      <c r="P114" s="123">
        <f t="shared" si="26"/>
        <v>11.1951</v>
      </c>
      <c r="U114" s="131">
        <v>1991</v>
      </c>
      <c r="V114" s="123">
        <v>2456.6267952284961</v>
      </c>
      <c r="W114" s="123">
        <v>766.96952439290862</v>
      </c>
      <c r="X114" s="123">
        <v>98.348208609002171</v>
      </c>
      <c r="Y114" s="123">
        <v>57.657457136846652</v>
      </c>
      <c r="Z114" s="123">
        <v>479.38554359475489</v>
      </c>
      <c r="AA114" s="123">
        <v>444.94364091261099</v>
      </c>
      <c r="AB114" s="123">
        <v>1444.6497487279632</v>
      </c>
      <c r="AC114" s="123">
        <v>544.33218946969612</v>
      </c>
      <c r="AD114" s="123">
        <v>1255.2946692595608</v>
      </c>
      <c r="AE114" s="123">
        <v>308.0821191242195</v>
      </c>
      <c r="AF114" s="123">
        <v>428.72412330485264</v>
      </c>
      <c r="AG114" s="123">
        <v>89.546425769377208</v>
      </c>
      <c r="AH114" s="123">
        <v>238.88476074745955</v>
      </c>
      <c r="AI114" s="123">
        <v>34.143005801566545</v>
      </c>
      <c r="AJ114" s="123">
        <v>25.718882129683909</v>
      </c>
    </row>
    <row r="115" spans="1:36" x14ac:dyDescent="0.15">
      <c r="A115" s="131">
        <v>1992</v>
      </c>
      <c r="B115" s="123">
        <f t="shared" si="25"/>
        <v>22780.799999999999</v>
      </c>
      <c r="C115" s="123">
        <f t="shared" si="26"/>
        <v>10399</v>
      </c>
      <c r="D115" s="123">
        <f t="shared" si="26"/>
        <v>12571.5</v>
      </c>
      <c r="E115" s="123">
        <f t="shared" si="26"/>
        <v>2041.8</v>
      </c>
      <c r="F115" s="123">
        <f t="shared" si="26"/>
        <v>669.51900000000001</v>
      </c>
      <c r="G115" s="123">
        <f t="shared" si="26"/>
        <v>558.52300000000002</v>
      </c>
      <c r="H115" s="123">
        <f t="shared" si="26"/>
        <v>604.03499999999997</v>
      </c>
      <c r="I115" s="123">
        <f t="shared" si="26"/>
        <v>884.06799999999998</v>
      </c>
      <c r="J115" s="123">
        <f t="shared" si="26"/>
        <v>223.084</v>
      </c>
      <c r="K115" s="123">
        <f t="shared" si="26"/>
        <v>509.733</v>
      </c>
      <c r="L115" s="123">
        <f t="shared" si="26"/>
        <v>101.09699999999999</v>
      </c>
      <c r="M115" s="123">
        <f t="shared" si="26"/>
        <v>118.389</v>
      </c>
      <c r="N115" s="123">
        <f t="shared" si="26"/>
        <v>57.916200000000003</v>
      </c>
      <c r="O115" s="123">
        <f t="shared" si="26"/>
        <v>74.863200000000006</v>
      </c>
      <c r="P115" s="123">
        <f t="shared" si="26"/>
        <v>20.130700000000001</v>
      </c>
      <c r="U115" s="131">
        <v>1992</v>
      </c>
      <c r="V115" s="123">
        <v>1205.0419956126013</v>
      </c>
      <c r="W115" s="123">
        <v>319.70523443420245</v>
      </c>
      <c r="X115" s="123">
        <v>1623.2154492150337</v>
      </c>
      <c r="Y115" s="123">
        <v>363.32112372859922</v>
      </c>
      <c r="Z115" s="123">
        <v>378.68496516730482</v>
      </c>
      <c r="AA115" s="123">
        <v>599.65851771841153</v>
      </c>
      <c r="AB115" s="123">
        <v>474.99022931928954</v>
      </c>
      <c r="AC115" s="123">
        <v>609.60343798379074</v>
      </c>
      <c r="AD115" s="123">
        <v>289.69841121194406</v>
      </c>
      <c r="AE115" s="123">
        <v>656.72741708101285</v>
      </c>
      <c r="AF115" s="123">
        <v>241.42223785522816</v>
      </c>
      <c r="AG115" s="123">
        <v>292.27477619794564</v>
      </c>
      <c r="AH115" s="123">
        <v>126.84118543911381</v>
      </c>
      <c r="AI115" s="123">
        <v>89.357057766569056</v>
      </c>
      <c r="AJ115" s="123">
        <v>77.047976376452823</v>
      </c>
    </row>
    <row r="116" spans="1:36" x14ac:dyDescent="0.15">
      <c r="A116" s="131">
        <v>1993</v>
      </c>
      <c r="B116" s="123">
        <f t="shared" si="25"/>
        <v>46863.199999999997</v>
      </c>
      <c r="C116" s="123">
        <f t="shared" si="26"/>
        <v>9260.4</v>
      </c>
      <c r="D116" s="123">
        <f t="shared" si="26"/>
        <v>6574.82</v>
      </c>
      <c r="E116" s="123">
        <f t="shared" si="26"/>
        <v>8722.6200000000008</v>
      </c>
      <c r="F116" s="123">
        <f t="shared" si="26"/>
        <v>1341.63</v>
      </c>
      <c r="G116" s="123">
        <f t="shared" si="26"/>
        <v>406.24400000000003</v>
      </c>
      <c r="H116" s="123">
        <f t="shared" si="26"/>
        <v>299.82799999999997</v>
      </c>
      <c r="I116" s="123">
        <f t="shared" si="26"/>
        <v>292.62599999999998</v>
      </c>
      <c r="J116" s="123">
        <f t="shared" si="26"/>
        <v>416.21800000000002</v>
      </c>
      <c r="K116" s="123">
        <f t="shared" si="26"/>
        <v>104.61499999999999</v>
      </c>
      <c r="L116" s="123">
        <f t="shared" si="26"/>
        <v>240.75299999999999</v>
      </c>
      <c r="M116" s="123">
        <f t="shared" si="26"/>
        <v>47.749400000000001</v>
      </c>
      <c r="N116" s="123">
        <f t="shared" si="26"/>
        <v>55.916499999999999</v>
      </c>
      <c r="O116" s="123">
        <f t="shared" si="26"/>
        <v>27.354600000000001</v>
      </c>
      <c r="P116" s="123">
        <f t="shared" si="26"/>
        <v>44.866799999999998</v>
      </c>
      <c r="U116" s="131">
        <v>1993</v>
      </c>
      <c r="V116" s="123">
        <v>1580.3684454897179</v>
      </c>
      <c r="W116" s="123">
        <v>290.21476071204376</v>
      </c>
      <c r="X116" s="123">
        <v>984.27376342429352</v>
      </c>
      <c r="Y116" s="123">
        <v>3416.5490593296622</v>
      </c>
      <c r="Z116" s="123">
        <v>624.03982447830333</v>
      </c>
      <c r="AA116" s="123">
        <v>474.50518521912403</v>
      </c>
      <c r="AB116" s="123">
        <v>280.3133483445763</v>
      </c>
      <c r="AC116" s="123">
        <v>434.04833161473363</v>
      </c>
      <c r="AD116" s="123">
        <v>579.72666892346979</v>
      </c>
      <c r="AE116" s="123">
        <v>361.27462497806954</v>
      </c>
      <c r="AF116" s="123">
        <v>328.90112490572909</v>
      </c>
      <c r="AG116" s="123">
        <v>234.93064228208263</v>
      </c>
      <c r="AH116" s="123">
        <v>155.26450138131148</v>
      </c>
      <c r="AI116" s="123">
        <v>101.83855352250144</v>
      </c>
      <c r="AJ116" s="123">
        <v>121.90108187138058</v>
      </c>
    </row>
    <row r="117" spans="1:36" x14ac:dyDescent="0.15">
      <c r="A117" s="131">
        <v>1994</v>
      </c>
      <c r="B117" s="123">
        <f t="shared" si="25"/>
        <v>15942.8</v>
      </c>
      <c r="C117" s="123">
        <f t="shared" si="26"/>
        <v>19051.2</v>
      </c>
      <c r="D117" s="123">
        <f t="shared" si="26"/>
        <v>5882.78</v>
      </c>
      <c r="E117" s="123">
        <f t="shared" si="26"/>
        <v>4674.55</v>
      </c>
      <c r="F117" s="123">
        <f t="shared" si="26"/>
        <v>5550.3</v>
      </c>
      <c r="G117" s="123">
        <f t="shared" si="26"/>
        <v>868.91099999999994</v>
      </c>
      <c r="H117" s="123">
        <f t="shared" si="26"/>
        <v>242.44200000000001</v>
      </c>
      <c r="I117" s="123">
        <f t="shared" si="26"/>
        <v>164.13300000000001</v>
      </c>
      <c r="J117" s="123">
        <f t="shared" si="26"/>
        <v>160.26400000000001</v>
      </c>
      <c r="K117" s="123">
        <f t="shared" si="26"/>
        <v>228.08699999999999</v>
      </c>
      <c r="L117" s="123">
        <f t="shared" si="26"/>
        <v>57.996499999999997</v>
      </c>
      <c r="M117" s="123">
        <f t="shared" si="26"/>
        <v>133.46899999999999</v>
      </c>
      <c r="N117" s="123">
        <f t="shared" si="26"/>
        <v>26.471299999999999</v>
      </c>
      <c r="O117" s="123">
        <f t="shared" si="26"/>
        <v>30.998999999999999</v>
      </c>
      <c r="P117" s="123">
        <f t="shared" si="26"/>
        <v>40.038200000000003</v>
      </c>
      <c r="U117" s="131">
        <v>1994</v>
      </c>
      <c r="V117" s="123">
        <v>914.37067704637002</v>
      </c>
      <c r="W117" s="123">
        <v>448.18463939001521</v>
      </c>
      <c r="X117" s="123">
        <v>430.78397709724635</v>
      </c>
      <c r="Y117" s="123">
        <v>1280.0195179907521</v>
      </c>
      <c r="Z117" s="123">
        <v>3195.5379976345894</v>
      </c>
      <c r="AA117" s="123">
        <v>625.39128025719936</v>
      </c>
      <c r="AB117" s="123">
        <v>155.16197270658634</v>
      </c>
      <c r="AC117" s="123">
        <v>163.33201725194752</v>
      </c>
      <c r="AD117" s="123">
        <v>154.73797942784449</v>
      </c>
      <c r="AE117" s="123">
        <v>286.19209477494121</v>
      </c>
      <c r="AF117" s="123">
        <v>166.29358644587595</v>
      </c>
      <c r="AG117" s="123">
        <v>248.74288558957096</v>
      </c>
      <c r="AH117" s="123">
        <v>87.216651551408603</v>
      </c>
      <c r="AI117" s="123">
        <v>76.098955835529324</v>
      </c>
      <c r="AJ117" s="123">
        <v>129.88487223432372</v>
      </c>
    </row>
    <row r="118" spans="1:36" x14ac:dyDescent="0.15">
      <c r="A118" s="131">
        <v>1995</v>
      </c>
      <c r="B118" s="123">
        <f t="shared" si="25"/>
        <v>10904.9</v>
      </c>
      <c r="C118" s="123">
        <f t="shared" si="26"/>
        <v>6481.33</v>
      </c>
      <c r="D118" s="123">
        <f t="shared" si="26"/>
        <v>12108.4</v>
      </c>
      <c r="E118" s="123">
        <f t="shared" si="26"/>
        <v>4276.8100000000004</v>
      </c>
      <c r="F118" s="123">
        <f t="shared" si="26"/>
        <v>3180.95</v>
      </c>
      <c r="G118" s="123">
        <f t="shared" si="26"/>
        <v>3283.07</v>
      </c>
      <c r="H118" s="123">
        <f t="shared" si="26"/>
        <v>517.85</v>
      </c>
      <c r="I118" s="123">
        <f t="shared" si="26"/>
        <v>136.02500000000001</v>
      </c>
      <c r="J118" s="123">
        <f t="shared" si="26"/>
        <v>92.2149</v>
      </c>
      <c r="K118" s="123">
        <f t="shared" si="26"/>
        <v>90.339699999999993</v>
      </c>
      <c r="L118" s="123">
        <f t="shared" si="26"/>
        <v>129.39400000000001</v>
      </c>
      <c r="M118" s="123">
        <f t="shared" si="26"/>
        <v>32.901299999999999</v>
      </c>
      <c r="N118" s="123">
        <f t="shared" si="26"/>
        <v>75.716899999999995</v>
      </c>
      <c r="O118" s="123">
        <f t="shared" si="26"/>
        <v>15.017200000000001</v>
      </c>
      <c r="P118" s="123">
        <f t="shared" si="26"/>
        <v>40.299300000000002</v>
      </c>
      <c r="U118" s="131">
        <v>1995</v>
      </c>
      <c r="V118" s="123">
        <v>1034.9417341762555</v>
      </c>
      <c r="W118" s="123">
        <v>65.157202526851108</v>
      </c>
      <c r="X118" s="123">
        <v>304.31264149170937</v>
      </c>
      <c r="Y118" s="123">
        <v>1291.9625664816672</v>
      </c>
      <c r="Z118" s="123">
        <v>1785.1021189353412</v>
      </c>
      <c r="AA118" s="123">
        <v>2931.1312852889614</v>
      </c>
      <c r="AB118" s="123">
        <v>1055.5062823876442</v>
      </c>
      <c r="AC118" s="123">
        <v>236.24407369419879</v>
      </c>
      <c r="AD118" s="123">
        <v>183.40052747157156</v>
      </c>
      <c r="AE118" s="123">
        <v>156.63611250747851</v>
      </c>
      <c r="AF118" s="123">
        <v>216.36048362453437</v>
      </c>
      <c r="AG118" s="123">
        <v>100.99670324771989</v>
      </c>
      <c r="AH118" s="123">
        <v>157.84707383780454</v>
      </c>
      <c r="AI118" s="123">
        <v>58.015357252074324</v>
      </c>
      <c r="AJ118" s="123">
        <v>80.210905357089018</v>
      </c>
    </row>
    <row r="119" spans="1:36" x14ac:dyDescent="0.15">
      <c r="A119" s="131">
        <v>1996</v>
      </c>
      <c r="B119" s="123">
        <f t="shared" si="25"/>
        <v>22878.1</v>
      </c>
      <c r="C119" s="123">
        <f t="shared" si="26"/>
        <v>4433.28</v>
      </c>
      <c r="D119" s="123">
        <f t="shared" si="26"/>
        <v>4118.8900000000003</v>
      </c>
      <c r="E119" s="123">
        <f t="shared" si="26"/>
        <v>8860.85</v>
      </c>
      <c r="F119" s="123">
        <f t="shared" si="26"/>
        <v>3043.58</v>
      </c>
      <c r="G119" s="123">
        <f t="shared" si="26"/>
        <v>2033.87</v>
      </c>
      <c r="H119" s="123">
        <f t="shared" si="26"/>
        <v>1793.97</v>
      </c>
      <c r="I119" s="123">
        <f t="shared" si="26"/>
        <v>290.14400000000001</v>
      </c>
      <c r="J119" s="123">
        <f t="shared" si="26"/>
        <v>76.336200000000005</v>
      </c>
      <c r="K119" s="123">
        <f t="shared" si="26"/>
        <v>52.177900000000001</v>
      </c>
      <c r="L119" s="123">
        <f t="shared" si="26"/>
        <v>51.543100000000003</v>
      </c>
      <c r="M119" s="123">
        <f t="shared" si="26"/>
        <v>73.825100000000006</v>
      </c>
      <c r="N119" s="123">
        <f t="shared" si="26"/>
        <v>18.771799999999999</v>
      </c>
      <c r="O119" s="123">
        <f t="shared" si="26"/>
        <v>43.2</v>
      </c>
      <c r="P119" s="123">
        <f t="shared" si="26"/>
        <v>31.560700000000001</v>
      </c>
      <c r="U119" s="131">
        <v>1996</v>
      </c>
      <c r="V119" s="123">
        <v>1385.4830105513133</v>
      </c>
      <c r="W119" s="123">
        <v>330.73981474349591</v>
      </c>
      <c r="X119" s="123">
        <v>125.56731301666963</v>
      </c>
      <c r="Y119" s="123">
        <v>353.28184272933692</v>
      </c>
      <c r="Z119" s="123">
        <v>828.53062540487133</v>
      </c>
      <c r="AA119" s="123">
        <v>1086.6862919418479</v>
      </c>
      <c r="AB119" s="123">
        <v>1075.1635561066782</v>
      </c>
      <c r="AC119" s="123">
        <v>336.83027282062193</v>
      </c>
      <c r="AD119" s="123">
        <v>87.972549635635517</v>
      </c>
      <c r="AE119" s="123">
        <v>82.270533684117424</v>
      </c>
      <c r="AF119" s="123">
        <v>67.517595998928343</v>
      </c>
      <c r="AG119" s="123">
        <v>128.81138365666891</v>
      </c>
      <c r="AH119" s="123">
        <v>35.474426452359587</v>
      </c>
      <c r="AI119" s="123">
        <v>74.39882935246932</v>
      </c>
      <c r="AJ119" s="123">
        <v>80.48679731588571</v>
      </c>
    </row>
    <row r="120" spans="1:36" x14ac:dyDescent="0.15">
      <c r="A120" s="131">
        <v>1997</v>
      </c>
      <c r="B120" s="123">
        <f t="shared" si="25"/>
        <v>31178.400000000001</v>
      </c>
      <c r="C120" s="123">
        <f t="shared" si="26"/>
        <v>9300.86</v>
      </c>
      <c r="D120" s="123">
        <f t="shared" si="26"/>
        <v>2812.38</v>
      </c>
      <c r="E120" s="123">
        <f t="shared" si="26"/>
        <v>3002.93</v>
      </c>
      <c r="F120" s="123">
        <f t="shared" si="26"/>
        <v>6417.13</v>
      </c>
      <c r="G120" s="123">
        <f t="shared" si="26"/>
        <v>2074.58</v>
      </c>
      <c r="H120" s="123">
        <f t="shared" si="26"/>
        <v>1174.0899999999999</v>
      </c>
      <c r="I120" s="123">
        <f t="shared" si="26"/>
        <v>896.16200000000003</v>
      </c>
      <c r="J120" s="123">
        <f t="shared" si="26"/>
        <v>146.09399999999999</v>
      </c>
      <c r="K120" s="123">
        <f t="shared" si="26"/>
        <v>40.155999999999999</v>
      </c>
      <c r="L120" s="123">
        <f t="shared" si="26"/>
        <v>28.360499999999998</v>
      </c>
      <c r="M120" s="123">
        <f t="shared" si="26"/>
        <v>28.015499999999999</v>
      </c>
      <c r="N120" s="123">
        <f t="shared" si="26"/>
        <v>40.126600000000003</v>
      </c>
      <c r="O120" s="123">
        <f t="shared" si="26"/>
        <v>10.203099999999999</v>
      </c>
      <c r="P120" s="123">
        <f t="shared" si="26"/>
        <v>40.635100000000001</v>
      </c>
      <c r="U120" s="131">
        <v>1997</v>
      </c>
      <c r="V120" s="123">
        <v>2253.885444409073</v>
      </c>
      <c r="W120" s="123">
        <v>267.66842953598524</v>
      </c>
      <c r="X120" s="123">
        <v>149.37124376338937</v>
      </c>
      <c r="Y120" s="123">
        <v>171.73991262395225</v>
      </c>
      <c r="Z120" s="123">
        <v>2316.5931069603489</v>
      </c>
      <c r="AA120" s="123">
        <v>1025.8957173612459</v>
      </c>
      <c r="AB120" s="123">
        <v>679.2453353720183</v>
      </c>
      <c r="AC120" s="123">
        <v>817.12613378232356</v>
      </c>
      <c r="AD120" s="123">
        <v>129.55225092107355</v>
      </c>
      <c r="AE120" s="123">
        <v>45.762087722593854</v>
      </c>
      <c r="AF120" s="123">
        <v>55.112244326678876</v>
      </c>
      <c r="AG120" s="123">
        <v>68.026740022460743</v>
      </c>
      <c r="AH120" s="123">
        <v>77.293433817292339</v>
      </c>
      <c r="AI120" s="123">
        <v>27.508626695829637</v>
      </c>
      <c r="AJ120" s="123">
        <v>101.26273500193489</v>
      </c>
    </row>
    <row r="121" spans="1:36" x14ac:dyDescent="0.15">
      <c r="A121" s="131">
        <v>1998</v>
      </c>
      <c r="B121" s="123">
        <f t="shared" si="25"/>
        <v>15483</v>
      </c>
      <c r="C121" s="123">
        <f t="shared" ref="C121:P121" si="27">VLOOKUP($A121,$A$3:$P$54,C$57+1)</f>
        <v>12675.3</v>
      </c>
      <c r="D121" s="123">
        <f t="shared" si="27"/>
        <v>5889.16</v>
      </c>
      <c r="E121" s="123">
        <f t="shared" si="27"/>
        <v>2044.2</v>
      </c>
      <c r="F121" s="123">
        <f t="shared" si="27"/>
        <v>2139.62</v>
      </c>
      <c r="G121" s="123">
        <f t="shared" si="27"/>
        <v>4359.3999999999996</v>
      </c>
      <c r="H121" s="123">
        <f t="shared" si="27"/>
        <v>1284.69</v>
      </c>
      <c r="I121" s="123">
        <f t="shared" si="27"/>
        <v>643.26900000000001</v>
      </c>
      <c r="J121" s="123">
        <f t="shared" si="27"/>
        <v>469.41</v>
      </c>
      <c r="K121" s="123">
        <f t="shared" si="27"/>
        <v>75.102400000000003</v>
      </c>
      <c r="L121" s="123">
        <f t="shared" si="27"/>
        <v>21.111599999999999</v>
      </c>
      <c r="M121" s="123">
        <f t="shared" si="27"/>
        <v>14.9102</v>
      </c>
      <c r="N121" s="123">
        <f t="shared" si="27"/>
        <v>14.7288</v>
      </c>
      <c r="O121" s="123">
        <f t="shared" si="27"/>
        <v>21.0961</v>
      </c>
      <c r="P121" s="123">
        <f t="shared" si="27"/>
        <v>26.727599999999999</v>
      </c>
      <c r="U121" s="131">
        <v>1998</v>
      </c>
      <c r="V121" s="123">
        <v>581.91081105677938</v>
      </c>
      <c r="W121" s="123">
        <v>556.56474837225699</v>
      </c>
      <c r="X121" s="123">
        <v>221.22928629985577</v>
      </c>
      <c r="Y121" s="123">
        <v>169.67789560341578</v>
      </c>
      <c r="Z121" s="123">
        <v>374.02583735243189</v>
      </c>
      <c r="AA121" s="123">
        <v>2124.1827989588483</v>
      </c>
      <c r="AB121" s="123">
        <v>596.86399079003627</v>
      </c>
      <c r="AC121" s="123">
        <v>391.57697595845889</v>
      </c>
      <c r="AD121" s="123">
        <v>293.31591032376076</v>
      </c>
      <c r="AE121" s="123">
        <v>75.486335365577361</v>
      </c>
      <c r="AF121" s="123">
        <v>25.159095583123243</v>
      </c>
      <c r="AG121" s="123">
        <v>10.03496228502903</v>
      </c>
      <c r="AH121" s="123">
        <v>23.662188060068871</v>
      </c>
      <c r="AI121" s="123">
        <v>22.372783973089913</v>
      </c>
      <c r="AJ121" s="123">
        <v>52.315122648167474</v>
      </c>
    </row>
    <row r="122" spans="1:36" x14ac:dyDescent="0.15">
      <c r="A122" s="131">
        <v>1999</v>
      </c>
      <c r="B122" s="123">
        <f t="shared" ref="B122:P137" si="28">VLOOKUP($A122,$A$3:$P$54,B$57+1)</f>
        <v>16827.099999999999</v>
      </c>
      <c r="C122" s="123">
        <f t="shared" si="28"/>
        <v>6294.6</v>
      </c>
      <c r="D122" s="123">
        <f t="shared" si="28"/>
        <v>8045.23</v>
      </c>
      <c r="E122" s="123">
        <f t="shared" si="28"/>
        <v>4264.38</v>
      </c>
      <c r="F122" s="123">
        <f t="shared" si="28"/>
        <v>1444.58</v>
      </c>
      <c r="G122" s="123">
        <f t="shared" si="28"/>
        <v>1449.66</v>
      </c>
      <c r="H122" s="123">
        <f t="shared" si="28"/>
        <v>2662.93</v>
      </c>
      <c r="I122" s="123">
        <f t="shared" si="28"/>
        <v>774.25800000000004</v>
      </c>
      <c r="J122" s="123">
        <f t="shared" si="28"/>
        <v>359.53699999999998</v>
      </c>
      <c r="K122" s="123">
        <f t="shared" si="28"/>
        <v>254.86099999999999</v>
      </c>
      <c r="L122" s="123">
        <f t="shared" si="28"/>
        <v>41.609400000000001</v>
      </c>
      <c r="M122" s="123">
        <f t="shared" si="28"/>
        <v>11.6966</v>
      </c>
      <c r="N122" s="123">
        <f t="shared" si="28"/>
        <v>8.2607900000000001</v>
      </c>
      <c r="O122" s="123">
        <f t="shared" si="28"/>
        <v>8.1602899999999998</v>
      </c>
      <c r="P122" s="123">
        <f t="shared" si="28"/>
        <v>26.495999999999999</v>
      </c>
      <c r="U122" s="131">
        <v>1999</v>
      </c>
      <c r="V122" s="123">
        <v>779.43488685270893</v>
      </c>
      <c r="W122" s="123">
        <v>649.01398483587639</v>
      </c>
      <c r="X122" s="123">
        <v>579.30662582226228</v>
      </c>
      <c r="Y122" s="123">
        <v>688.48787486034109</v>
      </c>
      <c r="Z122" s="123">
        <v>402.4097077756295</v>
      </c>
      <c r="AA122" s="123">
        <v>669.05043049772109</v>
      </c>
      <c r="AB122" s="123">
        <v>1966.87868673141</v>
      </c>
      <c r="AC122" s="123">
        <v>547.08985977404313</v>
      </c>
      <c r="AD122" s="123">
        <v>311.62424996153919</v>
      </c>
      <c r="AE122" s="123">
        <v>260.97626169115784</v>
      </c>
      <c r="AF122" s="123">
        <v>108.90087306175755</v>
      </c>
      <c r="AG122" s="123">
        <v>37.033422269502303</v>
      </c>
      <c r="AH122" s="123">
        <v>17.144068609041934</v>
      </c>
      <c r="AI122" s="123">
        <v>22.624188192729264</v>
      </c>
      <c r="AJ122" s="123">
        <v>71.359580292079286</v>
      </c>
    </row>
    <row r="123" spans="1:36" x14ac:dyDescent="0.15">
      <c r="A123" s="131">
        <v>2000</v>
      </c>
      <c r="B123" s="123">
        <f t="shared" si="28"/>
        <v>25850.3</v>
      </c>
      <c r="C123" s="123">
        <f t="shared" si="28"/>
        <v>6841.15</v>
      </c>
      <c r="D123" s="123">
        <f t="shared" si="28"/>
        <v>4003.5</v>
      </c>
      <c r="E123" s="123">
        <f t="shared" si="28"/>
        <v>5724.36</v>
      </c>
      <c r="F123" s="123">
        <f t="shared" si="28"/>
        <v>2968.23</v>
      </c>
      <c r="G123" s="123">
        <f t="shared" si="28"/>
        <v>979.90800000000002</v>
      </c>
      <c r="H123" s="123">
        <f t="shared" si="28"/>
        <v>942.21100000000001</v>
      </c>
      <c r="I123" s="123">
        <f t="shared" si="28"/>
        <v>1578.51</v>
      </c>
      <c r="J123" s="123">
        <f t="shared" si="28"/>
        <v>463.476</v>
      </c>
      <c r="K123" s="123">
        <f t="shared" si="28"/>
        <v>216.76400000000001</v>
      </c>
      <c r="L123" s="123">
        <f t="shared" si="28"/>
        <v>155.45099999999999</v>
      </c>
      <c r="M123" s="123">
        <f t="shared" si="28"/>
        <v>25.3795</v>
      </c>
      <c r="N123" s="123">
        <f t="shared" si="28"/>
        <v>7.1342699999999999</v>
      </c>
      <c r="O123" s="123">
        <f t="shared" si="28"/>
        <v>5.03864</v>
      </c>
      <c r="P123" s="123">
        <f t="shared" si="28"/>
        <v>21.138500000000001</v>
      </c>
      <c r="U123" s="131">
        <v>2000</v>
      </c>
      <c r="V123" s="123">
        <v>888.94949726849131</v>
      </c>
      <c r="W123" s="123">
        <v>269.59747192462117</v>
      </c>
      <c r="X123" s="123">
        <v>258.19125555024738</v>
      </c>
      <c r="Y123" s="123">
        <v>1160.2284626086148</v>
      </c>
      <c r="Z123" s="123">
        <v>1167.6202395753585</v>
      </c>
      <c r="AA123" s="123">
        <v>725.58807755443058</v>
      </c>
      <c r="AB123" s="123">
        <v>553.24089257106402</v>
      </c>
      <c r="AC123" s="123">
        <v>2035.2890425041392</v>
      </c>
      <c r="AD123" s="123">
        <v>740.872403650911</v>
      </c>
      <c r="AE123" s="123">
        <v>406.5120146355722</v>
      </c>
      <c r="AF123" s="123">
        <v>157.84075013907318</v>
      </c>
      <c r="AG123" s="123">
        <v>123.8930725582472</v>
      </c>
      <c r="AH123" s="123">
        <v>24.124599097011686</v>
      </c>
      <c r="AI123" s="123">
        <v>12.531293886928177</v>
      </c>
      <c r="AJ123" s="123">
        <v>71.414216892190396</v>
      </c>
    </row>
    <row r="124" spans="1:36" x14ac:dyDescent="0.15">
      <c r="A124" s="131">
        <v>2001</v>
      </c>
      <c r="B124" s="123">
        <f t="shared" si="28"/>
        <v>35963.4</v>
      </c>
      <c r="C124" s="123">
        <f t="shared" si="28"/>
        <v>10509.6</v>
      </c>
      <c r="D124" s="123">
        <f t="shared" si="28"/>
        <v>4351.45</v>
      </c>
      <c r="E124" s="123">
        <f t="shared" si="28"/>
        <v>2895.25</v>
      </c>
      <c r="F124" s="123">
        <f t="shared" si="28"/>
        <v>3879.5</v>
      </c>
      <c r="G124" s="123">
        <f t="shared" si="28"/>
        <v>1904.79</v>
      </c>
      <c r="H124" s="123">
        <f t="shared" si="28"/>
        <v>629.54</v>
      </c>
      <c r="I124" s="123">
        <f t="shared" si="28"/>
        <v>555.15</v>
      </c>
      <c r="J124" s="123">
        <f t="shared" si="28"/>
        <v>873.32899999999995</v>
      </c>
      <c r="K124" s="123">
        <f t="shared" si="28"/>
        <v>271.91699999999997</v>
      </c>
      <c r="L124" s="123">
        <f t="shared" si="28"/>
        <v>130.625</v>
      </c>
      <c r="M124" s="123">
        <f t="shared" si="28"/>
        <v>93.677199999999999</v>
      </c>
      <c r="N124" s="123">
        <f t="shared" si="28"/>
        <v>15.294</v>
      </c>
      <c r="O124" s="123">
        <f t="shared" si="28"/>
        <v>4.29922</v>
      </c>
      <c r="P124" s="123">
        <f t="shared" si="28"/>
        <v>15.774699999999999</v>
      </c>
      <c r="U124" s="131">
        <v>2001</v>
      </c>
      <c r="V124" s="123">
        <v>1421.1861783106831</v>
      </c>
      <c r="W124" s="123">
        <v>777.22572203128721</v>
      </c>
      <c r="X124" s="123">
        <v>404.57571681202899</v>
      </c>
      <c r="Y124" s="123">
        <v>414.0635608755868</v>
      </c>
      <c r="Z124" s="123">
        <v>1010.3245714922091</v>
      </c>
      <c r="AA124" s="123">
        <v>1157.9594991980543</v>
      </c>
      <c r="AB124" s="123">
        <v>447.48666196496998</v>
      </c>
      <c r="AC124" s="123">
        <v>244.14896019905996</v>
      </c>
      <c r="AD124" s="123">
        <v>777.12510148458728</v>
      </c>
      <c r="AE124" s="123">
        <v>574.29016058728052</v>
      </c>
      <c r="AF124" s="123">
        <v>206.83314527722817</v>
      </c>
      <c r="AG124" s="123">
        <v>171.57456460596489</v>
      </c>
      <c r="AH124" s="123">
        <v>59.655595999718678</v>
      </c>
      <c r="AI124" s="123">
        <v>25.076363509842395</v>
      </c>
      <c r="AJ124" s="123">
        <v>64.349958009998488</v>
      </c>
    </row>
    <row r="125" spans="1:36" x14ac:dyDescent="0.15">
      <c r="A125" s="131">
        <v>2002</v>
      </c>
      <c r="B125" s="123">
        <f t="shared" si="28"/>
        <v>23951.8</v>
      </c>
      <c r="C125" s="123">
        <f t="shared" si="28"/>
        <v>14621.1</v>
      </c>
      <c r="D125" s="123">
        <f t="shared" si="28"/>
        <v>6686.97</v>
      </c>
      <c r="E125" s="123">
        <f t="shared" si="28"/>
        <v>3165.89</v>
      </c>
      <c r="F125" s="123">
        <f t="shared" si="28"/>
        <v>1996.85</v>
      </c>
      <c r="G125" s="123">
        <f t="shared" si="28"/>
        <v>2364.25</v>
      </c>
      <c r="H125" s="123">
        <f t="shared" si="28"/>
        <v>1060.83</v>
      </c>
      <c r="I125" s="123">
        <f t="shared" si="28"/>
        <v>352.46899999999999</v>
      </c>
      <c r="J125" s="123">
        <f t="shared" si="28"/>
        <v>311.16399999999999</v>
      </c>
      <c r="K125" s="123">
        <f t="shared" si="28"/>
        <v>500.63600000000002</v>
      </c>
      <c r="L125" s="123">
        <f t="shared" si="28"/>
        <v>158.53200000000001</v>
      </c>
      <c r="M125" s="123">
        <f t="shared" si="28"/>
        <v>76.156300000000002</v>
      </c>
      <c r="N125" s="123">
        <f t="shared" si="28"/>
        <v>54.615099999999998</v>
      </c>
      <c r="O125" s="123">
        <f t="shared" si="28"/>
        <v>8.9166500000000006</v>
      </c>
      <c r="P125" s="123">
        <f t="shared" si="28"/>
        <v>11.7034</v>
      </c>
      <c r="U125" s="131">
        <v>2002</v>
      </c>
      <c r="V125" s="123">
        <v>613.59390337330285</v>
      </c>
      <c r="W125" s="123">
        <v>311.10023305555018</v>
      </c>
      <c r="X125" s="123">
        <v>540.51038623939348</v>
      </c>
      <c r="Y125" s="123">
        <v>788.29972011575921</v>
      </c>
      <c r="Z125" s="123">
        <v>948.73430141477081</v>
      </c>
      <c r="AA125" s="123">
        <v>1228.5915096292645</v>
      </c>
      <c r="AB125" s="123">
        <v>681.21482577460336</v>
      </c>
      <c r="AC125" s="123">
        <v>349.35007370008043</v>
      </c>
      <c r="AD125" s="123">
        <v>430.97622600741636</v>
      </c>
      <c r="AE125" s="123">
        <v>871.55661892175749</v>
      </c>
      <c r="AF125" s="123">
        <v>420.08438124220794</v>
      </c>
      <c r="AG125" s="123">
        <v>192.36441074677452</v>
      </c>
      <c r="AH125" s="123">
        <v>113.89440876045495</v>
      </c>
      <c r="AI125" s="123">
        <v>33.781907368544516</v>
      </c>
      <c r="AJ125" s="123">
        <v>34.656877097519434</v>
      </c>
    </row>
    <row r="126" spans="1:36" x14ac:dyDescent="0.15">
      <c r="A126" s="131">
        <v>2003</v>
      </c>
      <c r="B126" s="123">
        <f t="shared" si="28"/>
        <v>14625.5</v>
      </c>
      <c r="C126" s="123">
        <f t="shared" si="28"/>
        <v>9737.66</v>
      </c>
      <c r="D126" s="123">
        <f t="shared" si="28"/>
        <v>9289.35</v>
      </c>
      <c r="E126" s="123">
        <f t="shared" si="28"/>
        <v>4847.5600000000004</v>
      </c>
      <c r="F126" s="123">
        <f t="shared" si="28"/>
        <v>2160.02</v>
      </c>
      <c r="G126" s="123">
        <f t="shared" si="28"/>
        <v>1230.45</v>
      </c>
      <c r="H126" s="123">
        <f t="shared" si="28"/>
        <v>1224.03</v>
      </c>
      <c r="I126" s="123">
        <f t="shared" si="28"/>
        <v>551.97500000000002</v>
      </c>
      <c r="J126" s="123">
        <f t="shared" si="28"/>
        <v>184.339</v>
      </c>
      <c r="K126" s="123">
        <f t="shared" si="28"/>
        <v>167.715</v>
      </c>
      <c r="L126" s="123">
        <f t="shared" si="28"/>
        <v>283.53500000000003</v>
      </c>
      <c r="M126" s="123">
        <f t="shared" si="28"/>
        <v>89.784400000000005</v>
      </c>
      <c r="N126" s="123">
        <f t="shared" si="28"/>
        <v>43.131100000000004</v>
      </c>
      <c r="O126" s="123">
        <f t="shared" si="28"/>
        <v>30.9313</v>
      </c>
      <c r="P126" s="123">
        <f t="shared" si="28"/>
        <v>11.6782</v>
      </c>
      <c r="U126" s="131">
        <v>2003</v>
      </c>
      <c r="V126" s="123">
        <v>295.77743699143031</v>
      </c>
      <c r="W126" s="123">
        <v>121.06002428917898</v>
      </c>
      <c r="X126" s="123">
        <v>429.2268235620781</v>
      </c>
      <c r="Y126" s="123">
        <v>1463.1981464399848</v>
      </c>
      <c r="Z126" s="123">
        <v>1476.4573606313347</v>
      </c>
      <c r="AA126" s="123">
        <v>1350.437044186674</v>
      </c>
      <c r="AB126" s="123">
        <v>1604.6269504813192</v>
      </c>
      <c r="AC126" s="123">
        <v>897.56421380598135</v>
      </c>
      <c r="AD126" s="123">
        <v>374.73873319883472</v>
      </c>
      <c r="AE126" s="123">
        <v>547.21509884581712</v>
      </c>
      <c r="AF126" s="123">
        <v>1158.2158279494001</v>
      </c>
      <c r="AG126" s="123">
        <v>484.18382602351028</v>
      </c>
      <c r="AH126" s="123">
        <v>183.41878869809824</v>
      </c>
      <c r="AI126" s="123">
        <v>66.098830929415271</v>
      </c>
      <c r="AJ126" s="123">
        <v>46.914530563842774</v>
      </c>
    </row>
    <row r="127" spans="1:36" x14ac:dyDescent="0.15">
      <c r="A127" s="131">
        <v>2004</v>
      </c>
      <c r="B127" s="123">
        <f t="shared" si="28"/>
        <v>6640.46</v>
      </c>
      <c r="C127" s="123">
        <f t="shared" si="28"/>
        <v>5946.02</v>
      </c>
      <c r="D127" s="123">
        <f t="shared" si="28"/>
        <v>6193.41</v>
      </c>
      <c r="E127" s="123">
        <f t="shared" si="28"/>
        <v>6559.88</v>
      </c>
      <c r="F127" s="123">
        <f t="shared" si="28"/>
        <v>3301.22</v>
      </c>
      <c r="G127" s="123">
        <f t="shared" si="28"/>
        <v>1286.7</v>
      </c>
      <c r="H127" s="123">
        <f t="shared" si="28"/>
        <v>653.08100000000002</v>
      </c>
      <c r="I127" s="123">
        <f t="shared" si="28"/>
        <v>616.82600000000002</v>
      </c>
      <c r="J127" s="123">
        <f t="shared" si="28"/>
        <v>280.62599999999998</v>
      </c>
      <c r="K127" s="123">
        <f t="shared" si="28"/>
        <v>98.302499999999995</v>
      </c>
      <c r="L127" s="123">
        <f t="shared" si="28"/>
        <v>95.058800000000005</v>
      </c>
      <c r="M127" s="123">
        <f t="shared" si="28"/>
        <v>160.70500000000001</v>
      </c>
      <c r="N127" s="123">
        <f t="shared" si="28"/>
        <v>50.888800000000003</v>
      </c>
      <c r="O127" s="123">
        <f t="shared" si="28"/>
        <v>24.446300000000001</v>
      </c>
      <c r="P127" s="123">
        <f t="shared" si="28"/>
        <v>24.150600000000001</v>
      </c>
      <c r="U127" s="131">
        <v>2004</v>
      </c>
      <c r="V127" s="123">
        <v>293.34593644125027</v>
      </c>
      <c r="W127" s="123">
        <v>211.83943780135851</v>
      </c>
      <c r="X127" s="123">
        <v>121.15639738798167</v>
      </c>
      <c r="Y127" s="123">
        <v>946.08192888152143</v>
      </c>
      <c r="Z127" s="123">
        <v>1102.9667327192135</v>
      </c>
      <c r="AA127" s="123">
        <v>797.84012347021678</v>
      </c>
      <c r="AB127" s="123">
        <v>464.97867894411598</v>
      </c>
      <c r="AC127" s="123">
        <v>511.9251393574549</v>
      </c>
      <c r="AD127" s="123">
        <v>241.05922954295016</v>
      </c>
      <c r="AE127" s="123">
        <v>153.27673179794567</v>
      </c>
      <c r="AF127" s="123">
        <v>151.31328201794963</v>
      </c>
      <c r="AG127" s="123">
        <v>283.39098474413959</v>
      </c>
      <c r="AH127" s="123">
        <v>120.46320230247333</v>
      </c>
      <c r="AI127" s="123">
        <v>27.708032248551778</v>
      </c>
      <c r="AJ127" s="123">
        <v>22.113051774376689</v>
      </c>
    </row>
    <row r="128" spans="1:36" x14ac:dyDescent="0.15">
      <c r="A128" s="131">
        <v>2005</v>
      </c>
      <c r="B128" s="123">
        <f t="shared" si="28"/>
        <v>4831.7</v>
      </c>
      <c r="C128" s="123">
        <f t="shared" si="28"/>
        <v>2699.71</v>
      </c>
      <c r="D128" s="123">
        <f t="shared" si="28"/>
        <v>3784.62</v>
      </c>
      <c r="E128" s="123">
        <f t="shared" si="28"/>
        <v>4494.97</v>
      </c>
      <c r="F128" s="123">
        <f t="shared" si="28"/>
        <v>4148.91</v>
      </c>
      <c r="G128" s="123">
        <f t="shared" si="28"/>
        <v>2019.99</v>
      </c>
      <c r="H128" s="123">
        <f t="shared" si="28"/>
        <v>737.65899999999999</v>
      </c>
      <c r="I128" s="123">
        <f t="shared" si="28"/>
        <v>346.15100000000001</v>
      </c>
      <c r="J128" s="123">
        <f t="shared" si="28"/>
        <v>329.87299999999999</v>
      </c>
      <c r="K128" s="123">
        <f t="shared" si="28"/>
        <v>156.62899999999999</v>
      </c>
      <c r="L128" s="123">
        <f t="shared" si="28"/>
        <v>57.405700000000003</v>
      </c>
      <c r="M128" s="123">
        <f t="shared" si="28"/>
        <v>55.511400000000002</v>
      </c>
      <c r="N128" s="123">
        <f t="shared" si="28"/>
        <v>93.846699999999998</v>
      </c>
      <c r="O128" s="123">
        <f t="shared" si="28"/>
        <v>29.717500000000001</v>
      </c>
      <c r="P128" s="123">
        <f t="shared" si="28"/>
        <v>28.379100000000001</v>
      </c>
      <c r="U128" s="131">
        <v>2005</v>
      </c>
      <c r="V128" s="123">
        <v>335.58246460906685</v>
      </c>
      <c r="W128" s="123">
        <v>119.45631878886761</v>
      </c>
      <c r="X128" s="123">
        <v>154.55166364324791</v>
      </c>
      <c r="Y128" s="123">
        <v>835.56129701477323</v>
      </c>
      <c r="Z128" s="123">
        <v>2226.5873530453487</v>
      </c>
      <c r="AA128" s="123">
        <v>1643.4847641505892</v>
      </c>
      <c r="AB128" s="123">
        <v>875.89784323945696</v>
      </c>
      <c r="AC128" s="123">
        <v>385.23148150578243</v>
      </c>
      <c r="AD128" s="123">
        <v>296.16693661280704</v>
      </c>
      <c r="AE128" s="123">
        <v>236.46157557848167</v>
      </c>
      <c r="AF128" s="123">
        <v>60.131927946981378</v>
      </c>
      <c r="AG128" s="123">
        <v>121.1402514660643</v>
      </c>
      <c r="AH128" s="123">
        <v>214.25879769374379</v>
      </c>
      <c r="AI128" s="123">
        <v>79.334460656259012</v>
      </c>
      <c r="AJ128" s="123">
        <v>78.825587033030274</v>
      </c>
    </row>
    <row r="129" spans="1:36" x14ac:dyDescent="0.15">
      <c r="A129" s="131">
        <v>2006</v>
      </c>
      <c r="B129" s="123">
        <f t="shared" si="28"/>
        <v>12207.5</v>
      </c>
      <c r="C129" s="123">
        <f t="shared" si="28"/>
        <v>1964.36</v>
      </c>
      <c r="D129" s="123">
        <f t="shared" si="28"/>
        <v>1718.21</v>
      </c>
      <c r="E129" s="123">
        <f t="shared" si="28"/>
        <v>2748.41</v>
      </c>
      <c r="F129" s="123">
        <f t="shared" si="28"/>
        <v>2990.84</v>
      </c>
      <c r="G129" s="123">
        <f t="shared" si="28"/>
        <v>2322.33</v>
      </c>
      <c r="H129" s="123">
        <f t="shared" si="28"/>
        <v>1089.69</v>
      </c>
      <c r="I129" s="123">
        <f t="shared" si="28"/>
        <v>410.71</v>
      </c>
      <c r="J129" s="123">
        <f t="shared" si="28"/>
        <v>197.46299999999999</v>
      </c>
      <c r="K129" s="123">
        <f t="shared" si="28"/>
        <v>191.065</v>
      </c>
      <c r="L129" s="123">
        <f t="shared" si="28"/>
        <v>93.774500000000003</v>
      </c>
      <c r="M129" s="123">
        <f t="shared" si="28"/>
        <v>34.369</v>
      </c>
      <c r="N129" s="123">
        <f t="shared" si="28"/>
        <v>33.234999999999999</v>
      </c>
      <c r="O129" s="123">
        <f t="shared" si="28"/>
        <v>56.186399999999999</v>
      </c>
      <c r="P129" s="123">
        <f t="shared" si="28"/>
        <v>34.782699999999998</v>
      </c>
      <c r="U129" s="131">
        <v>2006</v>
      </c>
      <c r="V129" s="123">
        <v>780.07707332201414</v>
      </c>
      <c r="W129" s="123">
        <v>34.830227682019803</v>
      </c>
      <c r="X129" s="123">
        <v>36.208399446909809</v>
      </c>
      <c r="Y129" s="123">
        <v>298.32821435190516</v>
      </c>
      <c r="Z129" s="123">
        <v>796.71945625075602</v>
      </c>
      <c r="AA129" s="123">
        <v>1025.9219854506957</v>
      </c>
      <c r="AB129" s="123">
        <v>681.21835406123614</v>
      </c>
      <c r="AC129" s="123">
        <v>317.87320353626558</v>
      </c>
      <c r="AD129" s="123">
        <v>185.74709664713356</v>
      </c>
      <c r="AE129" s="123">
        <v>162.09245720712534</v>
      </c>
      <c r="AF129" s="123">
        <v>80.609175491553671</v>
      </c>
      <c r="AG129" s="123">
        <v>46.077242085191791</v>
      </c>
      <c r="AH129" s="123">
        <v>70.766716653787924</v>
      </c>
      <c r="AI129" s="123">
        <v>93.314958780544757</v>
      </c>
      <c r="AJ129" s="123">
        <v>92.262717004960535</v>
      </c>
    </row>
    <row r="130" spans="1:36" x14ac:dyDescent="0.15">
      <c r="A130" s="131">
        <v>2007</v>
      </c>
      <c r="B130" s="123">
        <f t="shared" si="28"/>
        <v>26390.5</v>
      </c>
      <c r="C130" s="123">
        <f t="shared" si="28"/>
        <v>4963.0200000000004</v>
      </c>
      <c r="D130" s="123">
        <f t="shared" si="28"/>
        <v>1248.8900000000001</v>
      </c>
      <c r="E130" s="123">
        <f t="shared" si="28"/>
        <v>1216.02</v>
      </c>
      <c r="F130" s="123">
        <f t="shared" si="28"/>
        <v>1792.36</v>
      </c>
      <c r="G130" s="123">
        <f t="shared" si="28"/>
        <v>1691.93</v>
      </c>
      <c r="H130" s="123">
        <f t="shared" si="28"/>
        <v>1190.48</v>
      </c>
      <c r="I130" s="123">
        <f t="shared" si="28"/>
        <v>568.45500000000004</v>
      </c>
      <c r="J130" s="123">
        <f t="shared" si="28"/>
        <v>217.92400000000001</v>
      </c>
      <c r="K130" s="123">
        <f t="shared" si="28"/>
        <v>108.28700000000001</v>
      </c>
      <c r="L130" s="123">
        <f t="shared" si="28"/>
        <v>107.93300000000001</v>
      </c>
      <c r="M130" s="123">
        <f t="shared" si="28"/>
        <v>52.973700000000001</v>
      </c>
      <c r="N130" s="123">
        <f t="shared" si="28"/>
        <v>19.415199999999999</v>
      </c>
      <c r="O130" s="123">
        <f t="shared" si="28"/>
        <v>18.7746</v>
      </c>
      <c r="P130" s="123">
        <f t="shared" si="28"/>
        <v>51.3889</v>
      </c>
      <c r="U130" s="131">
        <v>2007</v>
      </c>
      <c r="V130" s="123">
        <v>2113.3767290514256</v>
      </c>
      <c r="W130" s="123">
        <v>29.682564921589098</v>
      </c>
      <c r="X130" s="123">
        <v>72.140844776782941</v>
      </c>
      <c r="Y130" s="123">
        <v>321.24744875844959</v>
      </c>
      <c r="Z130" s="123">
        <v>1051.7374007338185</v>
      </c>
      <c r="AA130" s="123">
        <v>1252.3013880849855</v>
      </c>
      <c r="AB130" s="123">
        <v>927.206549507673</v>
      </c>
      <c r="AC130" s="123">
        <v>664.34557410744503</v>
      </c>
      <c r="AD130" s="123">
        <v>286.58656616531306</v>
      </c>
      <c r="AE130" s="123">
        <v>122.40700057356214</v>
      </c>
      <c r="AF130" s="123">
        <v>116.95112578821809</v>
      </c>
      <c r="AG130" s="123">
        <v>105.0166452303247</v>
      </c>
      <c r="AH130" s="123">
        <v>45.972373165397926</v>
      </c>
      <c r="AI130" s="123">
        <v>60.793271547793481</v>
      </c>
      <c r="AJ130" s="123">
        <v>108.98879062302122</v>
      </c>
    </row>
    <row r="131" spans="1:36" x14ac:dyDescent="0.15">
      <c r="A131" s="131">
        <v>2008</v>
      </c>
      <c r="B131" s="123">
        <f t="shared" si="28"/>
        <v>14622.4</v>
      </c>
      <c r="C131" s="123">
        <f t="shared" si="28"/>
        <v>10729.2</v>
      </c>
      <c r="D131" s="123">
        <f t="shared" si="28"/>
        <v>3154.19</v>
      </c>
      <c r="E131" s="123">
        <f t="shared" si="28"/>
        <v>884.49300000000005</v>
      </c>
      <c r="F131" s="123">
        <f t="shared" si="28"/>
        <v>794.95799999999997</v>
      </c>
      <c r="G131" s="123">
        <f t="shared" si="28"/>
        <v>1014.28</v>
      </c>
      <c r="H131" s="123">
        <f t="shared" si="28"/>
        <v>830.99199999999996</v>
      </c>
      <c r="I131" s="123">
        <f t="shared" si="28"/>
        <v>611.24099999999999</v>
      </c>
      <c r="J131" s="123">
        <f t="shared" si="28"/>
        <v>302.29700000000003</v>
      </c>
      <c r="K131" s="123">
        <f t="shared" si="28"/>
        <v>118.393</v>
      </c>
      <c r="L131" s="123">
        <f t="shared" si="28"/>
        <v>60.015099999999997</v>
      </c>
      <c r="M131" s="123">
        <f t="shared" si="28"/>
        <v>59.819099999999999</v>
      </c>
      <c r="N131" s="123">
        <f t="shared" si="28"/>
        <v>29.359200000000001</v>
      </c>
      <c r="O131" s="123">
        <f t="shared" si="28"/>
        <v>10.760400000000001</v>
      </c>
      <c r="P131" s="123">
        <f t="shared" si="28"/>
        <v>38.886200000000002</v>
      </c>
      <c r="U131" s="131">
        <v>2008</v>
      </c>
      <c r="V131" s="130">
        <v>439.61171015105583</v>
      </c>
      <c r="W131" s="130">
        <v>73.436873805179275</v>
      </c>
      <c r="X131" s="130">
        <v>53.420469164403642</v>
      </c>
      <c r="Y131" s="130">
        <v>114.52268952263708</v>
      </c>
      <c r="Z131" s="130">
        <v>421.13519618019063</v>
      </c>
      <c r="AA131" s="130">
        <v>910.66740996036538</v>
      </c>
      <c r="AB131" s="130">
        <v>677.3918902867216</v>
      </c>
      <c r="AC131" s="130">
        <v>478.49393973903926</v>
      </c>
      <c r="AD131" s="130">
        <v>318.86620368949951</v>
      </c>
      <c r="AE131" s="130">
        <v>118.51610939452208</v>
      </c>
      <c r="AF131" s="130">
        <v>103.63592738281072</v>
      </c>
      <c r="AG131" s="130">
        <v>79.589770201058585</v>
      </c>
      <c r="AH131" s="130">
        <v>38.928486756135122</v>
      </c>
      <c r="AI131" s="130">
        <v>22.458673723244338</v>
      </c>
      <c r="AJ131" s="130">
        <v>115.60724444493675</v>
      </c>
    </row>
    <row r="132" spans="1:36" x14ac:dyDescent="0.15">
      <c r="A132" s="131">
        <v>2009</v>
      </c>
      <c r="B132" s="123">
        <f t="shared" si="28"/>
        <v>56930.6</v>
      </c>
      <c r="C132" s="123">
        <f t="shared" si="28"/>
        <v>5944.81</v>
      </c>
      <c r="D132" s="123">
        <f t="shared" si="28"/>
        <v>6821.99</v>
      </c>
      <c r="E132" s="123">
        <f t="shared" si="28"/>
        <v>2278.16</v>
      </c>
      <c r="F132" s="123">
        <f t="shared" si="28"/>
        <v>584.37400000000002</v>
      </c>
      <c r="G132" s="123">
        <f t="shared" si="28"/>
        <v>458.71499999999997</v>
      </c>
      <c r="H132" s="123">
        <f t="shared" si="28"/>
        <v>488.79399999999998</v>
      </c>
      <c r="I132" s="123">
        <f t="shared" si="28"/>
        <v>411.07100000000003</v>
      </c>
      <c r="J132" s="123">
        <f t="shared" si="28"/>
        <v>316.09399999999999</v>
      </c>
      <c r="K132" s="123">
        <f t="shared" si="28"/>
        <v>157.244</v>
      </c>
      <c r="L132" s="123">
        <f t="shared" si="28"/>
        <v>63.575400000000002</v>
      </c>
      <c r="M132" s="123">
        <f t="shared" si="28"/>
        <v>32.2273</v>
      </c>
      <c r="N132" s="123">
        <f t="shared" si="28"/>
        <v>32.122</v>
      </c>
      <c r="O132" s="123">
        <f t="shared" si="28"/>
        <v>15.765499999999999</v>
      </c>
      <c r="P132" s="123">
        <f t="shared" si="28"/>
        <v>26.659500000000001</v>
      </c>
      <c r="U132" s="218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</row>
    <row r="133" spans="1:36" x14ac:dyDescent="0.15">
      <c r="A133" s="131">
        <v>2010</v>
      </c>
      <c r="B133" s="123">
        <f t="shared" si="28"/>
        <v>22500.1</v>
      </c>
      <c r="C133" s="123">
        <f t="shared" si="28"/>
        <v>23145.5</v>
      </c>
      <c r="D133" s="123">
        <f t="shared" si="28"/>
        <v>3783.56</v>
      </c>
      <c r="E133" s="123">
        <f t="shared" si="28"/>
        <v>4932.12</v>
      </c>
      <c r="F133" s="123">
        <f t="shared" si="28"/>
        <v>1522.99</v>
      </c>
      <c r="G133" s="123">
        <f t="shared" si="28"/>
        <v>363.69400000000002</v>
      </c>
      <c r="H133" s="123">
        <f t="shared" si="28"/>
        <v>250.19900000000001</v>
      </c>
      <c r="I133" s="123">
        <f t="shared" si="28"/>
        <v>256.20600000000002</v>
      </c>
      <c r="J133" s="123">
        <f t="shared" si="28"/>
        <v>217.315</v>
      </c>
      <c r="K133" s="123">
        <f t="shared" si="28"/>
        <v>165.65199999999999</v>
      </c>
      <c r="L133" s="123">
        <f t="shared" si="28"/>
        <v>82.972800000000007</v>
      </c>
      <c r="M133" s="123">
        <f t="shared" si="28"/>
        <v>33.546799999999998</v>
      </c>
      <c r="N133" s="123">
        <f t="shared" si="28"/>
        <v>17.005400000000002</v>
      </c>
      <c r="O133" s="123">
        <f t="shared" si="28"/>
        <v>16.9498</v>
      </c>
      <c r="P133" s="123">
        <f t="shared" si="28"/>
        <v>22.386399999999998</v>
      </c>
      <c r="U133" s="218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</row>
    <row r="134" spans="1:36" x14ac:dyDescent="0.15">
      <c r="A134" s="131">
        <v>2011</v>
      </c>
      <c r="B134" s="123">
        <f t="shared" si="28"/>
        <v>13479.2</v>
      </c>
      <c r="C134" s="123">
        <f t="shared" si="28"/>
        <v>9147.59</v>
      </c>
      <c r="D134" s="123">
        <f t="shared" si="28"/>
        <v>14734.1</v>
      </c>
      <c r="E134" s="123">
        <f t="shared" si="28"/>
        <v>2768.26</v>
      </c>
      <c r="F134" s="123">
        <f t="shared" si="28"/>
        <v>3180.79</v>
      </c>
      <c r="G134" s="123">
        <f t="shared" si="28"/>
        <v>936.346</v>
      </c>
      <c r="H134" s="123">
        <f t="shared" si="28"/>
        <v>216.465</v>
      </c>
      <c r="I134" s="123">
        <f t="shared" si="28"/>
        <v>142.62799999999999</v>
      </c>
      <c r="J134" s="123">
        <f t="shared" si="28"/>
        <v>142.64400000000001</v>
      </c>
      <c r="K134" s="123">
        <f t="shared" si="28"/>
        <v>121.753</v>
      </c>
      <c r="L134" s="123">
        <f t="shared" si="28"/>
        <v>93.365300000000005</v>
      </c>
      <c r="M134" s="123">
        <f t="shared" si="28"/>
        <v>46.7654</v>
      </c>
      <c r="N134" s="123">
        <f t="shared" si="28"/>
        <v>18.907800000000002</v>
      </c>
      <c r="O134" s="123">
        <f t="shared" si="28"/>
        <v>9.5846300000000006</v>
      </c>
      <c r="P134" s="123">
        <f t="shared" si="28"/>
        <v>22.1708</v>
      </c>
      <c r="U134" s="218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</row>
    <row r="135" spans="1:36" x14ac:dyDescent="0.15">
      <c r="A135" s="131">
        <v>2012</v>
      </c>
      <c r="B135" s="123">
        <f t="shared" si="28"/>
        <v>11200.8</v>
      </c>
      <c r="C135" s="123">
        <f t="shared" si="28"/>
        <v>5480.03</v>
      </c>
      <c r="D135" s="123">
        <f t="shared" si="28"/>
        <v>5819.27</v>
      </c>
      <c r="E135" s="123">
        <f t="shared" si="28"/>
        <v>10740.4</v>
      </c>
      <c r="F135" s="123">
        <f t="shared" si="28"/>
        <v>1928</v>
      </c>
      <c r="G135" s="123">
        <f t="shared" si="28"/>
        <v>1638.38</v>
      </c>
      <c r="H135" s="123">
        <f t="shared" si="28"/>
        <v>459.38400000000001</v>
      </c>
      <c r="I135" s="123">
        <f t="shared" si="28"/>
        <v>108.938</v>
      </c>
      <c r="J135" s="123">
        <f t="shared" si="28"/>
        <v>72.682699999999997</v>
      </c>
      <c r="K135" s="123">
        <f t="shared" si="28"/>
        <v>73.568299999999994</v>
      </c>
      <c r="L135" s="123">
        <f t="shared" si="28"/>
        <v>63.661499999999997</v>
      </c>
      <c r="M135" s="123">
        <f t="shared" si="28"/>
        <v>48.818199999999997</v>
      </c>
      <c r="N135" s="123">
        <f t="shared" si="28"/>
        <v>24.452400000000001</v>
      </c>
      <c r="O135" s="123">
        <f t="shared" si="28"/>
        <v>9.8863800000000008</v>
      </c>
      <c r="P135" s="123">
        <f t="shared" si="28"/>
        <v>16.604099999999999</v>
      </c>
      <c r="U135" s="218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</row>
    <row r="136" spans="1:36" x14ac:dyDescent="0.15">
      <c r="A136" s="131">
        <v>2013</v>
      </c>
      <c r="B136" s="123">
        <f t="shared" si="28"/>
        <v>63521.7</v>
      </c>
      <c r="C136" s="123">
        <f t="shared" si="28"/>
        <v>4553.7299999999996</v>
      </c>
      <c r="D136" s="123">
        <f t="shared" si="28"/>
        <v>3483.56</v>
      </c>
      <c r="E136" s="123">
        <f t="shared" si="28"/>
        <v>4212.12</v>
      </c>
      <c r="F136" s="123">
        <f t="shared" si="28"/>
        <v>7150.04</v>
      </c>
      <c r="G136" s="123">
        <f t="shared" si="28"/>
        <v>1264.1099999999999</v>
      </c>
      <c r="H136" s="123">
        <f t="shared" si="28"/>
        <v>825.11400000000003</v>
      </c>
      <c r="I136" s="123">
        <f t="shared" si="28"/>
        <v>230.24799999999999</v>
      </c>
      <c r="J136" s="123">
        <f t="shared" si="28"/>
        <v>54.814799999999998</v>
      </c>
      <c r="K136" s="123">
        <f t="shared" si="28"/>
        <v>37.356699999999996</v>
      </c>
      <c r="L136" s="123">
        <f t="shared" si="28"/>
        <v>38.193199999999997</v>
      </c>
      <c r="M136" s="123">
        <f t="shared" si="28"/>
        <v>33.049999999999997</v>
      </c>
      <c r="N136" s="123">
        <f t="shared" si="28"/>
        <v>25.344100000000001</v>
      </c>
      <c r="O136" s="123">
        <f t="shared" si="28"/>
        <v>12.6945</v>
      </c>
      <c r="P136" s="123">
        <f t="shared" si="28"/>
        <v>13.752599999999999</v>
      </c>
      <c r="U136" s="218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</row>
    <row r="137" spans="1:36" x14ac:dyDescent="0.15">
      <c r="A137" s="131">
        <v>2014</v>
      </c>
      <c r="B137" s="123">
        <f t="shared" si="28"/>
        <v>31883.200000000001</v>
      </c>
      <c r="C137" s="123">
        <f t="shared" si="28"/>
        <v>25825.200000000001</v>
      </c>
      <c r="D137" s="123">
        <f t="shared" si="28"/>
        <v>2897.69</v>
      </c>
      <c r="E137" s="123">
        <f t="shared" si="28"/>
        <v>2522.1799999999998</v>
      </c>
      <c r="F137" s="123">
        <f t="shared" si="28"/>
        <v>2820.03</v>
      </c>
      <c r="G137" s="123">
        <f t="shared" si="28"/>
        <v>4467.41</v>
      </c>
      <c r="H137" s="123">
        <f t="shared" si="28"/>
        <v>774.82600000000002</v>
      </c>
      <c r="I137" s="123">
        <f t="shared" si="28"/>
        <v>459</v>
      </c>
      <c r="J137" s="123">
        <f t="shared" si="28"/>
        <v>118.381</v>
      </c>
      <c r="K137" s="123">
        <f t="shared" si="28"/>
        <v>28.286100000000001</v>
      </c>
      <c r="L137" s="123">
        <f t="shared" si="28"/>
        <v>19.2986</v>
      </c>
      <c r="M137" s="123">
        <f t="shared" si="28"/>
        <v>19.730699999999999</v>
      </c>
      <c r="N137" s="123">
        <f t="shared" si="28"/>
        <v>17.073699999999999</v>
      </c>
      <c r="O137" s="123">
        <f t="shared" si="28"/>
        <v>13.0928</v>
      </c>
      <c r="P137" s="123">
        <f t="shared" si="28"/>
        <v>13.662599999999999</v>
      </c>
    </row>
    <row r="138" spans="1:36" x14ac:dyDescent="0.15">
      <c r="A138" s="131">
        <v>2015</v>
      </c>
      <c r="B138" s="123">
        <f t="shared" ref="B138:P138" si="29">VLOOKUP($A138,$A$3:$P$54,B$57+1)</f>
        <v>18179.5</v>
      </c>
      <c r="C138" s="123">
        <f t="shared" si="29"/>
        <v>12962.4</v>
      </c>
      <c r="D138" s="123">
        <f t="shared" si="29"/>
        <v>16435.900000000001</v>
      </c>
      <c r="E138" s="123">
        <f t="shared" si="29"/>
        <v>2106.9</v>
      </c>
      <c r="F138" s="123">
        <f t="shared" si="29"/>
        <v>1714.75</v>
      </c>
      <c r="G138" s="123">
        <f t="shared" si="29"/>
        <v>1745.56</v>
      </c>
      <c r="H138" s="123">
        <f t="shared" si="29"/>
        <v>2652.59</v>
      </c>
      <c r="I138" s="123">
        <f t="shared" si="29"/>
        <v>419.66</v>
      </c>
      <c r="J138" s="123">
        <f t="shared" si="29"/>
        <v>255.15100000000001</v>
      </c>
      <c r="K138" s="123">
        <f t="shared" si="29"/>
        <v>65.754199999999997</v>
      </c>
      <c r="L138" s="123">
        <f t="shared" si="29"/>
        <v>15.252000000000001</v>
      </c>
      <c r="M138" s="123">
        <f t="shared" si="29"/>
        <v>10.405900000000001</v>
      </c>
      <c r="N138" s="123">
        <f t="shared" si="29"/>
        <v>10.6389</v>
      </c>
      <c r="O138" s="123">
        <f t="shared" si="29"/>
        <v>9.2062399999999993</v>
      </c>
      <c r="P138" s="123">
        <f t="shared" si="29"/>
        <v>14.4267</v>
      </c>
    </row>
    <row r="158" spans="1:16" x14ac:dyDescent="0.15">
      <c r="A158" s="123" t="s">
        <v>132</v>
      </c>
      <c r="B158" s="123" t="s">
        <v>128</v>
      </c>
      <c r="C158" s="123" t="s">
        <v>167</v>
      </c>
      <c r="D158" s="123" t="s">
        <v>158</v>
      </c>
      <c r="E158" s="123" t="s">
        <v>159</v>
      </c>
    </row>
    <row r="159" spans="1:16" x14ac:dyDescent="0.15">
      <c r="A159" s="123">
        <v>1982</v>
      </c>
      <c r="B159" s="123">
        <v>8.3834400000000003E-2</v>
      </c>
      <c r="C159" s="123">
        <v>0.20538799999999999</v>
      </c>
      <c r="D159" s="123">
        <v>0.24086299999999999</v>
      </c>
      <c r="E159" s="123">
        <v>0.32531500000000002</v>
      </c>
      <c r="F159" s="123">
        <v>0.10702399999999999</v>
      </c>
      <c r="G159" s="123">
        <v>1.51255E-2</v>
      </c>
      <c r="H159" s="123">
        <v>1.0424900000000001E-2</v>
      </c>
      <c r="I159" s="123">
        <v>5.0337999999999997E-3</v>
      </c>
      <c r="J159" s="123">
        <v>3.3130299999999998E-3</v>
      </c>
      <c r="K159" s="123">
        <v>1.79441E-3</v>
      </c>
      <c r="L159" s="123">
        <v>9.0450999999999997E-4</v>
      </c>
      <c r="M159" s="123">
        <v>7.0190900000000002E-4</v>
      </c>
      <c r="N159" s="123">
        <v>1.8650200000000001E-4</v>
      </c>
      <c r="O159" s="123">
        <v>7.1709899999999996E-5</v>
      </c>
      <c r="P159" s="123">
        <v>1.8813300000000002E-5</v>
      </c>
    </row>
    <row r="160" spans="1:16" x14ac:dyDescent="0.15">
      <c r="A160" s="123">
        <v>1983</v>
      </c>
      <c r="B160" s="123">
        <v>3.1581100000000001E-2</v>
      </c>
      <c r="C160" s="123">
        <v>4.3741799999999997E-2</v>
      </c>
      <c r="D160" s="123">
        <v>0.10702399999999999</v>
      </c>
      <c r="E160" s="123">
        <v>0.19992299999999999</v>
      </c>
      <c r="F160" s="123">
        <v>0.43534899999999999</v>
      </c>
      <c r="G160" s="123">
        <v>0.12930800000000001</v>
      </c>
      <c r="H160" s="123">
        <v>2.4112999999999999E-2</v>
      </c>
      <c r="I160" s="123">
        <v>1.3029300000000001E-2</v>
      </c>
      <c r="J160" s="123">
        <v>5.1272000000000002E-3</v>
      </c>
      <c r="K160" s="123">
        <v>4.67667E-3</v>
      </c>
      <c r="L160" s="123">
        <v>3.63664E-3</v>
      </c>
      <c r="M160" s="123">
        <v>1.2301300000000001E-3</v>
      </c>
      <c r="N160" s="123">
        <v>6.0421599999999998E-4</v>
      </c>
      <c r="O160" s="123">
        <v>4.9106599999999996E-4</v>
      </c>
      <c r="P160" s="123">
        <v>1.6407499999999999E-4</v>
      </c>
    </row>
    <row r="161" spans="1:16" x14ac:dyDescent="0.15">
      <c r="A161" s="123">
        <v>1984</v>
      </c>
      <c r="B161" s="123">
        <v>3.4943500000000002E-2</v>
      </c>
      <c r="C161" s="123">
        <v>3.25639E-2</v>
      </c>
      <c r="D161" s="123">
        <v>4.3391699999999998E-2</v>
      </c>
      <c r="E161" s="123">
        <v>0.14927599999999999</v>
      </c>
      <c r="F161" s="123">
        <v>0.17468400000000001</v>
      </c>
      <c r="G161" s="123">
        <v>0.44317200000000001</v>
      </c>
      <c r="H161" s="123">
        <v>8.6562299999999995E-2</v>
      </c>
      <c r="I161" s="123">
        <v>1.9613700000000001E-2</v>
      </c>
      <c r="J161" s="123">
        <v>8.4851500000000003E-3</v>
      </c>
      <c r="K161" s="123">
        <v>3.1580599999999999E-3</v>
      </c>
      <c r="L161" s="123">
        <v>1.9857999999999998E-3</v>
      </c>
      <c r="M161" s="123">
        <v>8.1024700000000005E-4</v>
      </c>
      <c r="N161" s="123">
        <v>4.70717E-4</v>
      </c>
      <c r="O161" s="123">
        <v>5.842E-4</v>
      </c>
      <c r="P161" s="123">
        <v>2.9932199999999998E-4</v>
      </c>
    </row>
    <row r="162" spans="1:16" x14ac:dyDescent="0.15">
      <c r="A162" s="123">
        <v>1985</v>
      </c>
      <c r="B162" s="123">
        <v>0.19800000000000001</v>
      </c>
      <c r="C162" s="123">
        <v>3.7653499999999999E-2</v>
      </c>
      <c r="D162" s="123">
        <v>0.16805600000000001</v>
      </c>
      <c r="E162" s="123">
        <v>7.2057700000000002E-2</v>
      </c>
      <c r="F162" s="123">
        <v>0.24898000000000001</v>
      </c>
      <c r="G162" s="123">
        <v>0.140629</v>
      </c>
      <c r="H162" s="123">
        <v>0.102465</v>
      </c>
      <c r="I162" s="123">
        <v>2.07181E-2</v>
      </c>
      <c r="J162" s="123">
        <v>5.2521599999999996E-3</v>
      </c>
      <c r="K162" s="123">
        <v>4.1192700000000004E-3</v>
      </c>
      <c r="L162" s="123">
        <v>1.1619099999999999E-3</v>
      </c>
      <c r="M162" s="123">
        <v>3.9640900000000002E-4</v>
      </c>
      <c r="N162" s="123">
        <v>4.2881400000000002E-4</v>
      </c>
      <c r="O162" s="123">
        <v>6.2798499999999999E-5</v>
      </c>
      <c r="P162" s="123">
        <v>2.0595399999999999E-5</v>
      </c>
    </row>
    <row r="163" spans="1:16" x14ac:dyDescent="0.15">
      <c r="A163" s="123">
        <v>1986</v>
      </c>
      <c r="B163" s="123">
        <v>0.20388000000000001</v>
      </c>
      <c r="C163" s="123">
        <v>2.9348599999999999E-2</v>
      </c>
      <c r="D163" s="123">
        <v>3.2963300000000001E-2</v>
      </c>
      <c r="E163" s="123">
        <v>0.16356599999999999</v>
      </c>
      <c r="F163" s="123">
        <v>9.0704300000000002E-2</v>
      </c>
      <c r="G163" s="123">
        <v>0.16858500000000001</v>
      </c>
      <c r="H163" s="123">
        <v>0.13905799999999999</v>
      </c>
      <c r="I163" s="123">
        <v>0.119611</v>
      </c>
      <c r="J163" s="123">
        <v>4.1057999999999997E-2</v>
      </c>
      <c r="K163" s="123">
        <v>6.7757199999999998E-3</v>
      </c>
      <c r="L163" s="123">
        <v>2.8304799999999998E-3</v>
      </c>
      <c r="M163" s="123">
        <v>1.3071300000000001E-3</v>
      </c>
      <c r="N163" s="123">
        <v>2.64069E-5</v>
      </c>
      <c r="O163" s="123">
        <v>2.8620400000000003E-4</v>
      </c>
      <c r="P163" s="123">
        <v>0</v>
      </c>
    </row>
    <row r="164" spans="1:16" x14ac:dyDescent="0.15">
      <c r="A164" s="123">
        <v>1987</v>
      </c>
      <c r="B164" s="123">
        <v>2.7615799999999999E-2</v>
      </c>
      <c r="C164" s="123">
        <v>5.1610999999999997E-2</v>
      </c>
      <c r="D164" s="123">
        <v>7.0094299999999998E-2</v>
      </c>
      <c r="E164" s="123">
        <v>4.4975500000000002E-2</v>
      </c>
      <c r="F164" s="123">
        <v>0.40206500000000001</v>
      </c>
      <c r="G164" s="123">
        <v>8.8782600000000003E-2</v>
      </c>
      <c r="H164" s="123">
        <v>0.107928</v>
      </c>
      <c r="I164" s="123">
        <v>4.0981299999999998E-2</v>
      </c>
      <c r="J164" s="123">
        <v>0.135273</v>
      </c>
      <c r="K164" s="123">
        <v>1.9747600000000001E-2</v>
      </c>
      <c r="L164" s="123">
        <v>7.5196999999999998E-3</v>
      </c>
      <c r="M164" s="123">
        <v>2.6597000000000001E-3</v>
      </c>
      <c r="N164" s="123">
        <v>4.3238700000000001E-4</v>
      </c>
      <c r="O164" s="123">
        <v>1.6135100000000001E-4</v>
      </c>
      <c r="P164" s="123">
        <v>1.5276999999999999E-4</v>
      </c>
    </row>
    <row r="165" spans="1:16" x14ac:dyDescent="0.15">
      <c r="A165" s="123">
        <v>1988</v>
      </c>
      <c r="B165" s="123">
        <v>4.1309800000000001E-2</v>
      </c>
      <c r="C165" s="123">
        <v>3.4541099999999998E-2</v>
      </c>
      <c r="D165" s="123">
        <v>7.4523599999999995E-2</v>
      </c>
      <c r="E165" s="123">
        <v>0.18936500000000001</v>
      </c>
      <c r="F165" s="123">
        <v>7.7015899999999998E-2</v>
      </c>
      <c r="G165" s="123">
        <v>0.27596599999999999</v>
      </c>
      <c r="H165" s="123">
        <v>8.9029200000000003E-2</v>
      </c>
      <c r="I165" s="123">
        <v>6.9881799999999994E-2</v>
      </c>
      <c r="J165" s="123">
        <v>4.0113599999999999E-2</v>
      </c>
      <c r="K165" s="123">
        <v>9.0674400000000002E-2</v>
      </c>
      <c r="L165" s="123">
        <v>9.2538700000000008E-3</v>
      </c>
      <c r="M165" s="123">
        <v>5.0518200000000003E-3</v>
      </c>
      <c r="N165" s="123">
        <v>9.4184499999999997E-4</v>
      </c>
      <c r="O165" s="123">
        <v>1.6604E-3</v>
      </c>
      <c r="P165" s="123">
        <v>6.7130900000000003E-4</v>
      </c>
    </row>
    <row r="166" spans="1:16" x14ac:dyDescent="0.15">
      <c r="A166" s="123">
        <v>1989</v>
      </c>
      <c r="B166" s="123">
        <v>5.2661300000000001E-2</v>
      </c>
      <c r="C166" s="123">
        <v>2.01934E-2</v>
      </c>
      <c r="D166" s="123">
        <v>3.8792599999999997E-2</v>
      </c>
      <c r="E166" s="123">
        <v>0.125696</v>
      </c>
      <c r="F166" s="123">
        <v>0.28094200000000003</v>
      </c>
      <c r="G166" s="123">
        <v>6.3761899999999996E-2</v>
      </c>
      <c r="H166" s="123">
        <v>0.24477599999999999</v>
      </c>
      <c r="I166" s="123">
        <v>3.6276500000000003E-2</v>
      </c>
      <c r="J166" s="123">
        <v>4.7744799999999997E-2</v>
      </c>
      <c r="K166" s="123">
        <v>1.8095699999999999E-2</v>
      </c>
      <c r="L166" s="123">
        <v>4.6943400000000003E-2</v>
      </c>
      <c r="M166" s="123">
        <v>8.7912900000000002E-3</v>
      </c>
      <c r="N166" s="123">
        <v>6.9364500000000003E-3</v>
      </c>
      <c r="O166" s="123">
        <v>3.9272999999999999E-3</v>
      </c>
      <c r="P166" s="123">
        <v>4.4623099999999997E-3</v>
      </c>
    </row>
    <row r="167" spans="1:16" x14ac:dyDescent="0.15">
      <c r="A167" s="123">
        <v>1990</v>
      </c>
      <c r="B167" s="123">
        <v>0.11616700000000001</v>
      </c>
      <c r="C167" s="123">
        <v>1.9125900000000001E-2</v>
      </c>
      <c r="D167" s="123">
        <v>5.6446400000000002E-3</v>
      </c>
      <c r="E167" s="123">
        <v>5.1427399999999998E-2</v>
      </c>
      <c r="F167" s="123">
        <v>9.0437400000000001E-2</v>
      </c>
      <c r="G167" s="123">
        <v>0.33196399999999998</v>
      </c>
      <c r="H167" s="123">
        <v>7.3691800000000002E-2</v>
      </c>
      <c r="I167" s="123">
        <v>0.18918599999999999</v>
      </c>
      <c r="J167" s="123">
        <v>2.0838700000000002E-2</v>
      </c>
      <c r="K167" s="123">
        <v>3.5336199999999998E-2</v>
      </c>
      <c r="L167" s="123">
        <v>6.2381800000000003E-3</v>
      </c>
      <c r="M167" s="123">
        <v>4.85137E-2</v>
      </c>
      <c r="N167" s="123">
        <v>3.6530500000000001E-3</v>
      </c>
      <c r="O167" s="123">
        <v>4.35769E-3</v>
      </c>
      <c r="P167" s="123">
        <v>3.41829E-3</v>
      </c>
    </row>
    <row r="168" spans="1:16" x14ac:dyDescent="0.15">
      <c r="A168" s="123">
        <v>1991</v>
      </c>
      <c r="B168" s="123">
        <v>0.28323999999999999</v>
      </c>
      <c r="C168" s="123">
        <v>8.8428699999999999E-2</v>
      </c>
      <c r="D168" s="123">
        <v>1.1339200000000001E-2</v>
      </c>
      <c r="E168" s="123">
        <v>6.6476900000000004E-3</v>
      </c>
      <c r="F168" s="123">
        <v>5.5271399999999998E-2</v>
      </c>
      <c r="G168" s="123">
        <v>5.13003E-2</v>
      </c>
      <c r="H168" s="123">
        <v>0.16656299999999999</v>
      </c>
      <c r="I168" s="123">
        <v>6.2759499999999996E-2</v>
      </c>
      <c r="J168" s="123">
        <v>0.144731</v>
      </c>
      <c r="K168" s="123">
        <v>3.5520700000000002E-2</v>
      </c>
      <c r="L168" s="123">
        <v>4.9430300000000003E-2</v>
      </c>
      <c r="M168" s="123">
        <v>1.0324399999999999E-2</v>
      </c>
      <c r="N168" s="123">
        <v>2.7542500000000001E-2</v>
      </c>
      <c r="O168" s="123">
        <v>3.9365600000000004E-3</v>
      </c>
      <c r="P168" s="123">
        <v>2.9652900000000002E-3</v>
      </c>
    </row>
    <row r="169" spans="1:16" x14ac:dyDescent="0.15">
      <c r="A169" s="123">
        <v>1992</v>
      </c>
      <c r="B169" s="123">
        <v>0.16400500000000001</v>
      </c>
      <c r="C169" s="123">
        <v>4.3511599999999998E-2</v>
      </c>
      <c r="D169" s="123">
        <v>0.220918</v>
      </c>
      <c r="E169" s="123">
        <v>4.9447699999999997E-2</v>
      </c>
      <c r="F169" s="123">
        <v>5.15387E-2</v>
      </c>
      <c r="G169" s="123">
        <v>8.1613000000000005E-2</v>
      </c>
      <c r="H169" s="123">
        <v>6.46457E-2</v>
      </c>
      <c r="I169" s="123">
        <v>8.2966399999999996E-2</v>
      </c>
      <c r="J169" s="123">
        <v>3.9427700000000003E-2</v>
      </c>
      <c r="K169" s="123">
        <v>8.9380000000000001E-2</v>
      </c>
      <c r="L169" s="123">
        <v>3.2857299999999999E-2</v>
      </c>
      <c r="M169" s="123">
        <v>3.9778300000000003E-2</v>
      </c>
      <c r="N169" s="123">
        <v>1.7263000000000001E-2</v>
      </c>
      <c r="O169" s="123">
        <v>1.2161399999999999E-2</v>
      </c>
      <c r="P169" s="123">
        <v>1.0486199999999999E-2</v>
      </c>
    </row>
    <row r="170" spans="1:16" x14ac:dyDescent="0.15">
      <c r="A170" s="123">
        <v>1993</v>
      </c>
      <c r="B170" s="123">
        <v>0.15854199999999999</v>
      </c>
      <c r="C170" s="123">
        <v>2.91142E-2</v>
      </c>
      <c r="D170" s="123">
        <v>9.8741899999999994E-2</v>
      </c>
      <c r="E170" s="123">
        <v>0.34274700000000002</v>
      </c>
      <c r="F170" s="123">
        <v>6.2603400000000003E-2</v>
      </c>
      <c r="G170" s="123">
        <v>4.7602100000000001E-2</v>
      </c>
      <c r="H170" s="123">
        <v>2.8120900000000001E-2</v>
      </c>
      <c r="I170" s="123">
        <v>4.3543499999999999E-2</v>
      </c>
      <c r="J170" s="123">
        <v>5.8157899999999998E-2</v>
      </c>
      <c r="K170" s="123">
        <v>3.6242900000000002E-2</v>
      </c>
      <c r="L170" s="123">
        <v>3.2995200000000002E-2</v>
      </c>
      <c r="M170" s="123">
        <v>2.3568100000000002E-2</v>
      </c>
      <c r="N170" s="123">
        <v>1.5576100000000001E-2</v>
      </c>
      <c r="O170" s="123">
        <v>1.02164E-2</v>
      </c>
      <c r="P170" s="123">
        <v>1.22291E-2</v>
      </c>
    </row>
    <row r="171" spans="1:16" x14ac:dyDescent="0.15">
      <c r="A171" s="123">
        <v>1994</v>
      </c>
      <c r="B171" s="123">
        <v>0.109349</v>
      </c>
      <c r="C171" s="123">
        <v>5.3598100000000003E-2</v>
      </c>
      <c r="D171" s="123">
        <v>5.1517199999999999E-2</v>
      </c>
      <c r="E171" s="123">
        <v>0.15307699999999999</v>
      </c>
      <c r="F171" s="123">
        <v>0.38215199999999999</v>
      </c>
      <c r="G171" s="123">
        <v>7.4790099999999998E-2</v>
      </c>
      <c r="H171" s="123">
        <v>1.8555700000000001E-2</v>
      </c>
      <c r="I171" s="123">
        <v>1.9532799999999999E-2</v>
      </c>
      <c r="J171" s="123">
        <v>1.8505000000000001E-2</v>
      </c>
      <c r="K171" s="123">
        <v>3.4225499999999999E-2</v>
      </c>
      <c r="L171" s="123">
        <v>1.9886899999999999E-2</v>
      </c>
      <c r="M171" s="123">
        <v>2.9746999999999999E-2</v>
      </c>
      <c r="N171" s="123">
        <v>1.0430200000000001E-2</v>
      </c>
      <c r="O171" s="123">
        <v>9.1006200000000002E-3</v>
      </c>
      <c r="P171" s="123">
        <v>1.5532799999999999E-2</v>
      </c>
    </row>
    <row r="172" spans="1:16" x14ac:dyDescent="0.15">
      <c r="A172" s="123">
        <v>1995</v>
      </c>
      <c r="B172" s="123">
        <v>0.10716100000000001</v>
      </c>
      <c r="C172" s="123">
        <v>6.7465700000000003E-3</v>
      </c>
      <c r="D172" s="123">
        <v>3.15094E-2</v>
      </c>
      <c r="E172" s="123">
        <v>0.133774</v>
      </c>
      <c r="F172" s="123">
        <v>0.184835</v>
      </c>
      <c r="G172" s="123">
        <v>0.30349799999999999</v>
      </c>
      <c r="H172" s="123">
        <v>0.10929</v>
      </c>
      <c r="I172" s="123">
        <v>2.4461400000000001E-2</v>
      </c>
      <c r="J172" s="123">
        <v>1.8989800000000001E-2</v>
      </c>
      <c r="K172" s="123">
        <v>1.62186E-2</v>
      </c>
      <c r="L172" s="123">
        <v>2.2402600000000002E-2</v>
      </c>
      <c r="M172" s="123">
        <v>1.04575E-2</v>
      </c>
      <c r="N172" s="123">
        <v>1.6344000000000001E-2</v>
      </c>
      <c r="O172" s="123">
        <v>6.0070799999999997E-3</v>
      </c>
      <c r="P172" s="123">
        <v>8.30528E-3</v>
      </c>
    </row>
    <row r="173" spans="1:16" x14ac:dyDescent="0.15">
      <c r="A173" s="123">
        <v>1996</v>
      </c>
      <c r="B173" s="123">
        <v>0.227905</v>
      </c>
      <c r="C173" s="123">
        <v>5.4405000000000002E-2</v>
      </c>
      <c r="D173" s="123">
        <v>2.0655199999999999E-2</v>
      </c>
      <c r="E173" s="123">
        <v>5.8113100000000001E-2</v>
      </c>
      <c r="F173" s="123">
        <v>0.13628899999999999</v>
      </c>
      <c r="G173" s="123">
        <v>0.178754</v>
      </c>
      <c r="H173" s="123">
        <v>0.17685899999999999</v>
      </c>
      <c r="I173" s="123">
        <v>5.5406900000000002E-2</v>
      </c>
      <c r="J173" s="123">
        <v>1.4470999999999999E-2</v>
      </c>
      <c r="K173" s="123">
        <v>1.3533099999999999E-2</v>
      </c>
      <c r="L173" s="123">
        <v>1.11063E-2</v>
      </c>
      <c r="M173" s="123">
        <v>2.1188800000000001E-2</v>
      </c>
      <c r="N173" s="123">
        <v>5.8353600000000004E-3</v>
      </c>
      <c r="O173" s="123">
        <v>1.2238199999999999E-2</v>
      </c>
      <c r="P173" s="123">
        <v>1.32397E-2</v>
      </c>
    </row>
    <row r="174" spans="1:16" x14ac:dyDescent="0.15">
      <c r="A174" s="123">
        <v>1997</v>
      </c>
      <c r="B174" s="123">
        <v>0.27533299999999999</v>
      </c>
      <c r="C174" s="123">
        <v>3.2698100000000001E-2</v>
      </c>
      <c r="D174" s="123">
        <v>1.8247099999999999E-2</v>
      </c>
      <c r="E174" s="123">
        <v>2.0979600000000001E-2</v>
      </c>
      <c r="F174" s="123">
        <v>0.28299299999999999</v>
      </c>
      <c r="G174" s="123">
        <v>0.12532299999999999</v>
      </c>
      <c r="H174" s="123">
        <v>8.2975999999999994E-2</v>
      </c>
      <c r="I174" s="123">
        <v>9.9819400000000003E-2</v>
      </c>
      <c r="J174" s="123">
        <v>1.5826E-2</v>
      </c>
      <c r="K174" s="123">
        <v>5.5902599999999997E-3</v>
      </c>
      <c r="L174" s="123">
        <v>6.73246E-3</v>
      </c>
      <c r="M174" s="123">
        <v>8.3100899999999991E-3</v>
      </c>
      <c r="N174" s="123">
        <v>9.4421000000000001E-3</v>
      </c>
      <c r="O174" s="123">
        <v>3.3604300000000002E-3</v>
      </c>
      <c r="P174" s="123">
        <v>1.23702E-2</v>
      </c>
    </row>
    <row r="175" spans="1:16" x14ac:dyDescent="0.15">
      <c r="A175" s="123">
        <v>1998</v>
      </c>
      <c r="B175" s="123">
        <v>0.10545</v>
      </c>
      <c r="C175" s="123">
        <v>0.100857</v>
      </c>
      <c r="D175" s="123">
        <v>4.00895E-2</v>
      </c>
      <c r="E175" s="123">
        <v>3.0747799999999999E-2</v>
      </c>
      <c r="F175" s="123">
        <v>6.7778199999999997E-2</v>
      </c>
      <c r="G175" s="123">
        <v>0.38492900000000002</v>
      </c>
      <c r="H175" s="123">
        <v>0.10815900000000001</v>
      </c>
      <c r="I175" s="123">
        <v>7.09587E-2</v>
      </c>
      <c r="J175" s="123">
        <v>5.3152600000000001E-2</v>
      </c>
      <c r="K175" s="123">
        <v>1.36791E-2</v>
      </c>
      <c r="L175" s="123">
        <v>4.5591499999999997E-3</v>
      </c>
      <c r="M175" s="123">
        <v>1.81846E-3</v>
      </c>
      <c r="N175" s="123">
        <v>4.2878899999999999E-3</v>
      </c>
      <c r="O175" s="123">
        <v>4.0542299999999998E-3</v>
      </c>
      <c r="P175" s="123">
        <v>9.4801599999999996E-3</v>
      </c>
    </row>
    <row r="176" spans="1:16" x14ac:dyDescent="0.15">
      <c r="A176" s="123">
        <v>1999</v>
      </c>
      <c r="B176" s="123">
        <v>0.10960499999999999</v>
      </c>
      <c r="C176" s="123">
        <v>9.1264700000000004E-2</v>
      </c>
      <c r="D176" s="123">
        <v>8.1462400000000004E-2</v>
      </c>
      <c r="E176" s="123">
        <v>9.6815600000000002E-2</v>
      </c>
      <c r="F176" s="123">
        <v>5.6587100000000001E-2</v>
      </c>
      <c r="G176" s="123">
        <v>9.4082299999999994E-2</v>
      </c>
      <c r="H176" s="123">
        <v>0.276584</v>
      </c>
      <c r="I176" s="123">
        <v>7.6932100000000003E-2</v>
      </c>
      <c r="J176" s="123">
        <v>4.38208E-2</v>
      </c>
      <c r="K176" s="123">
        <v>3.6698599999999998E-2</v>
      </c>
      <c r="L176" s="123">
        <v>1.53137E-2</v>
      </c>
      <c r="M176" s="123">
        <v>5.2076600000000002E-3</v>
      </c>
      <c r="N176" s="123">
        <v>2.4108100000000002E-3</v>
      </c>
      <c r="O176" s="123">
        <v>3.1814299999999998E-3</v>
      </c>
      <c r="P176" s="123">
        <v>1.0034599999999999E-2</v>
      </c>
    </row>
    <row r="177" spans="1:18" x14ac:dyDescent="0.15">
      <c r="A177" s="123">
        <v>2000</v>
      </c>
      <c r="B177" s="123">
        <v>0.10341599999999999</v>
      </c>
      <c r="C177" s="123">
        <v>3.1363500000000002E-2</v>
      </c>
      <c r="D177" s="123">
        <v>3.00366E-2</v>
      </c>
      <c r="E177" s="123">
        <v>0.13497500000000001</v>
      </c>
      <c r="F177" s="123">
        <v>0.13583500000000001</v>
      </c>
      <c r="G177" s="123">
        <v>8.4411E-2</v>
      </c>
      <c r="H177" s="123">
        <v>6.4361100000000004E-2</v>
      </c>
      <c r="I177" s="123">
        <v>0.23677500000000001</v>
      </c>
      <c r="J177" s="123">
        <v>8.6189100000000005E-2</v>
      </c>
      <c r="K177" s="123">
        <v>4.7291399999999997E-2</v>
      </c>
      <c r="L177" s="123">
        <v>1.8362300000000002E-2</v>
      </c>
      <c r="M177" s="123">
        <v>1.44131E-2</v>
      </c>
      <c r="N177" s="123">
        <v>2.8065299999999998E-3</v>
      </c>
      <c r="O177" s="123">
        <v>1.4578200000000001E-3</v>
      </c>
      <c r="P177" s="123">
        <v>8.3079499999999997E-3</v>
      </c>
    </row>
    <row r="178" spans="1:18" x14ac:dyDescent="0.15">
      <c r="A178" s="123">
        <v>2001</v>
      </c>
      <c r="B178" s="123">
        <v>0.18323999999999999</v>
      </c>
      <c r="C178" s="123">
        <v>0.10021099999999999</v>
      </c>
      <c r="D178" s="123">
        <v>5.2163800000000003E-2</v>
      </c>
      <c r="E178" s="123">
        <v>5.33871E-2</v>
      </c>
      <c r="F178" s="123">
        <v>0.13026599999999999</v>
      </c>
      <c r="G178" s="123">
        <v>0.14930099999999999</v>
      </c>
      <c r="H178" s="123">
        <v>5.7696499999999998E-2</v>
      </c>
      <c r="I178" s="123">
        <v>3.1479199999999999E-2</v>
      </c>
      <c r="J178" s="123">
        <v>0.100198</v>
      </c>
      <c r="K178" s="123">
        <v>7.4045799999999995E-2</v>
      </c>
      <c r="L178" s="123">
        <v>2.6667900000000001E-2</v>
      </c>
      <c r="M178" s="123">
        <v>2.21219E-2</v>
      </c>
      <c r="N178" s="123">
        <v>7.6916600000000003E-3</v>
      </c>
      <c r="O178" s="123">
        <v>3.2332099999999998E-3</v>
      </c>
      <c r="P178" s="123">
        <v>8.2969299999999992E-3</v>
      </c>
    </row>
    <row r="179" spans="1:18" x14ac:dyDescent="0.15">
      <c r="A179" s="123">
        <v>2002</v>
      </c>
      <c r="B179" s="123">
        <v>8.1177100000000002E-2</v>
      </c>
      <c r="C179" s="123">
        <v>4.1157800000000001E-2</v>
      </c>
      <c r="D179" s="123">
        <v>7.1508299999999997E-2</v>
      </c>
      <c r="E179" s="123">
        <v>0.10428999999999999</v>
      </c>
      <c r="F179" s="123">
        <v>0.12551499999999999</v>
      </c>
      <c r="G179" s="123">
        <v>0.16253999999999999</v>
      </c>
      <c r="H179" s="123">
        <v>9.0123200000000001E-2</v>
      </c>
      <c r="I179" s="123">
        <v>4.6218200000000001E-2</v>
      </c>
      <c r="J179" s="123">
        <v>5.7017199999999997E-2</v>
      </c>
      <c r="K179" s="123">
        <v>0.115305</v>
      </c>
      <c r="L179" s="123">
        <v>5.5576199999999999E-2</v>
      </c>
      <c r="M179" s="123">
        <v>2.54494E-2</v>
      </c>
      <c r="N179" s="123">
        <v>1.5068E-2</v>
      </c>
      <c r="O179" s="123">
        <v>4.46927E-3</v>
      </c>
      <c r="P179" s="123">
        <v>4.5850300000000004E-3</v>
      </c>
    </row>
    <row r="180" spans="1:18" x14ac:dyDescent="0.15">
      <c r="A180" s="123">
        <v>2003</v>
      </c>
      <c r="B180" s="123">
        <v>2.83746E-2</v>
      </c>
      <c r="C180" s="123">
        <v>1.1647299999999999E-2</v>
      </c>
      <c r="D180" s="123">
        <v>4.1081100000000002E-2</v>
      </c>
      <c r="E180" s="123">
        <v>0.139459</v>
      </c>
      <c r="F180" s="123">
        <v>0.14024900000000001</v>
      </c>
      <c r="G180" s="123">
        <v>0.12837699999999999</v>
      </c>
      <c r="H180" s="123">
        <v>0.152755</v>
      </c>
      <c r="I180" s="123">
        <v>8.5467399999999999E-2</v>
      </c>
      <c r="J180" s="123">
        <v>3.5698899999999999E-2</v>
      </c>
      <c r="K180" s="123">
        <v>5.2135899999999999E-2</v>
      </c>
      <c r="L180" s="123">
        <v>0.110322</v>
      </c>
      <c r="M180" s="123">
        <v>4.6156700000000002E-2</v>
      </c>
      <c r="N180" s="123">
        <v>1.74904E-2</v>
      </c>
      <c r="O180" s="123">
        <v>6.3042200000000001E-3</v>
      </c>
      <c r="P180" s="123">
        <v>4.4818899999999997E-3</v>
      </c>
    </row>
    <row r="181" spans="1:18" x14ac:dyDescent="0.15">
      <c r="A181" s="123">
        <v>2004</v>
      </c>
      <c r="B181" s="123">
        <v>5.3830299999999998E-2</v>
      </c>
      <c r="C181" s="123">
        <v>3.8873499999999998E-2</v>
      </c>
      <c r="D181" s="123">
        <v>2.2232700000000001E-2</v>
      </c>
      <c r="E181" s="123">
        <v>0.17360999999999999</v>
      </c>
      <c r="F181" s="123">
        <v>0.202399</v>
      </c>
      <c r="G181" s="123">
        <v>0.14640700000000001</v>
      </c>
      <c r="H181" s="123">
        <v>8.5325700000000004E-2</v>
      </c>
      <c r="I181" s="123">
        <v>9.3940499999999996E-2</v>
      </c>
      <c r="J181" s="123">
        <v>4.4235400000000001E-2</v>
      </c>
      <c r="K181" s="123">
        <v>2.8126999999999999E-2</v>
      </c>
      <c r="L181" s="123">
        <v>2.7766699999999998E-2</v>
      </c>
      <c r="M181" s="123">
        <v>5.2003500000000001E-2</v>
      </c>
      <c r="N181" s="123">
        <v>2.21055E-2</v>
      </c>
      <c r="O181" s="123">
        <v>5.0845500000000002E-3</v>
      </c>
      <c r="P181" s="123">
        <v>4.0578400000000001E-3</v>
      </c>
    </row>
    <row r="182" spans="1:18" x14ac:dyDescent="0.15">
      <c r="A182" s="123">
        <v>2005</v>
      </c>
      <c r="B182" s="123">
        <v>4.3794399999999997E-2</v>
      </c>
      <c r="C182" s="123">
        <v>1.55894E-2</v>
      </c>
      <c r="D182" s="123">
        <v>2.0169400000000001E-2</v>
      </c>
      <c r="E182" s="123">
        <v>0.109248</v>
      </c>
      <c r="F182" s="123">
        <v>0.290576</v>
      </c>
      <c r="G182" s="123">
        <v>0.214479</v>
      </c>
      <c r="H182" s="123">
        <v>0.114287</v>
      </c>
      <c r="I182" s="123">
        <v>5.0253199999999998E-2</v>
      </c>
      <c r="J182" s="123">
        <v>3.86506E-2</v>
      </c>
      <c r="K182" s="123">
        <v>3.0817799999999999E-2</v>
      </c>
      <c r="L182" s="123">
        <v>7.8268599999999997E-3</v>
      </c>
      <c r="M182" s="123">
        <v>1.57886E-2</v>
      </c>
      <c r="N182" s="123">
        <v>2.7879299999999999E-2</v>
      </c>
      <c r="O182" s="123">
        <v>1.03534E-2</v>
      </c>
      <c r="P182" s="123">
        <v>1.0286999999999999E-2</v>
      </c>
    </row>
    <row r="183" spans="1:18" x14ac:dyDescent="0.15">
      <c r="A183" s="123">
        <v>2006</v>
      </c>
      <c r="B183" s="123">
        <v>0.16590199999999999</v>
      </c>
      <c r="C183" s="123">
        <v>7.4074600000000003E-3</v>
      </c>
      <c r="D183" s="123">
        <v>7.7005600000000004E-3</v>
      </c>
      <c r="E183" s="123">
        <v>6.3446500000000003E-2</v>
      </c>
      <c r="F183" s="123">
        <v>0.16944100000000001</v>
      </c>
      <c r="G183" s="123">
        <v>0.21818599999999999</v>
      </c>
      <c r="H183" s="123">
        <v>0.14487700000000001</v>
      </c>
      <c r="I183" s="123">
        <v>6.7603099999999999E-2</v>
      </c>
      <c r="J183" s="123">
        <v>3.9503499999999997E-2</v>
      </c>
      <c r="K183" s="123">
        <v>3.4472700000000002E-2</v>
      </c>
      <c r="L183" s="123">
        <v>1.71434E-2</v>
      </c>
      <c r="M183" s="123">
        <v>9.7993999999999998E-3</v>
      </c>
      <c r="N183" s="123">
        <v>1.50502E-2</v>
      </c>
      <c r="O183" s="123">
        <v>1.9845600000000001E-2</v>
      </c>
      <c r="P183" s="123">
        <v>1.9621799999999998E-2</v>
      </c>
    </row>
    <row r="184" spans="1:18" x14ac:dyDescent="0.15">
      <c r="A184" s="123">
        <v>2007</v>
      </c>
      <c r="B184" s="123">
        <v>0.29034900000000002</v>
      </c>
      <c r="C184" s="123">
        <v>4.0779700000000002E-3</v>
      </c>
      <c r="D184" s="123">
        <v>9.9111500000000005E-3</v>
      </c>
      <c r="E184" s="123">
        <v>4.4134899999999998E-2</v>
      </c>
      <c r="F184" s="123">
        <v>0.14449400000000001</v>
      </c>
      <c r="G184" s="123">
        <v>0.17204900000000001</v>
      </c>
      <c r="H184" s="123">
        <v>0.127385</v>
      </c>
      <c r="I184" s="123">
        <v>9.1271900000000003E-2</v>
      </c>
      <c r="J184" s="123">
        <v>3.9372999999999998E-2</v>
      </c>
      <c r="K184" s="123">
        <v>1.6816999999999999E-2</v>
      </c>
      <c r="L184" s="123">
        <v>1.6067499999999998E-2</v>
      </c>
      <c r="M184" s="123">
        <v>1.4427799999999999E-2</v>
      </c>
      <c r="N184" s="123">
        <v>6.3159699999999997E-3</v>
      </c>
      <c r="O184" s="123">
        <v>8.3521499999999992E-3</v>
      </c>
      <c r="P184" s="123">
        <v>1.4973500000000001E-2</v>
      </c>
    </row>
    <row r="185" spans="1:18" x14ac:dyDescent="0.15">
      <c r="A185" s="123" t="s">
        <v>169</v>
      </c>
      <c r="B185" s="123" t="s">
        <v>132</v>
      </c>
      <c r="C185" s="123" t="s">
        <v>128</v>
      </c>
      <c r="D185" s="123" t="s">
        <v>167</v>
      </c>
      <c r="E185" s="123" t="s">
        <v>158</v>
      </c>
      <c r="F185" s="123" t="s">
        <v>159</v>
      </c>
    </row>
    <row r="186" spans="1:18" x14ac:dyDescent="0.15">
      <c r="R186" s="123">
        <v>46314</v>
      </c>
    </row>
    <row r="187" spans="1:18" x14ac:dyDescent="0.15">
      <c r="R187" s="123">
        <v>17805</v>
      </c>
    </row>
    <row r="188" spans="1:18" x14ac:dyDescent="0.15">
      <c r="R188" s="123">
        <v>14965</v>
      </c>
    </row>
    <row r="189" spans="1:18" x14ac:dyDescent="0.15">
      <c r="R189" s="123">
        <v>12280</v>
      </c>
    </row>
    <row r="190" spans="1:18" x14ac:dyDescent="0.15">
      <c r="R190" s="123">
        <v>7729.52</v>
      </c>
    </row>
    <row r="191" spans="1:18" x14ac:dyDescent="0.15">
      <c r="R191" s="123">
        <v>9129.6200000000008</v>
      </c>
    </row>
    <row r="192" spans="1:18" x14ac:dyDescent="0.15">
      <c r="R192" s="123">
        <v>5552.9</v>
      </c>
    </row>
    <row r="193" spans="1:27" x14ac:dyDescent="0.15">
      <c r="R193" s="123">
        <v>6319.49</v>
      </c>
    </row>
    <row r="194" spans="1:27" x14ac:dyDescent="0.15">
      <c r="R194" s="123">
        <v>9488.7900000000009</v>
      </c>
    </row>
    <row r="195" spans="1:27" x14ac:dyDescent="0.15">
      <c r="R195" s="123">
        <v>7371.83</v>
      </c>
    </row>
    <row r="196" spans="1:27" x14ac:dyDescent="0.15">
      <c r="R196" s="123">
        <v>11560.4</v>
      </c>
    </row>
    <row r="197" spans="1:27" x14ac:dyDescent="0.15">
      <c r="R197" s="123">
        <v>6818.74</v>
      </c>
    </row>
    <row r="198" spans="1:27" x14ac:dyDescent="0.15">
      <c r="R198" s="123">
        <v>2940.09</v>
      </c>
    </row>
    <row r="199" spans="1:27" x14ac:dyDescent="0.15">
      <c r="R199" s="123">
        <v>3686.38</v>
      </c>
    </row>
    <row r="202" spans="1:27" x14ac:dyDescent="0.15">
      <c r="A202" s="123" t="s">
        <v>170</v>
      </c>
      <c r="B202" s="123" t="s">
        <v>132</v>
      </c>
      <c r="C202" s="123" t="s">
        <v>171</v>
      </c>
    </row>
    <row r="203" spans="1:27" x14ac:dyDescent="0.15">
      <c r="B203" s="123">
        <v>10858.3</v>
      </c>
      <c r="C203" s="123">
        <v>12923.7</v>
      </c>
      <c r="D203" s="123">
        <v>8106.25</v>
      </c>
      <c r="E203" s="123">
        <v>14017.3</v>
      </c>
      <c r="F203" s="123">
        <v>7769.78</v>
      </c>
      <c r="G203" s="123">
        <v>10299.799999999999</v>
      </c>
      <c r="H203" s="123">
        <v>12434.4</v>
      </c>
      <c r="I203" s="123">
        <v>11308.6</v>
      </c>
      <c r="J203" s="123">
        <v>8540.17</v>
      </c>
      <c r="K203" s="123">
        <v>5510.79</v>
      </c>
      <c r="L203" s="123">
        <v>5870.2</v>
      </c>
      <c r="M203" s="123">
        <v>7688.04</v>
      </c>
      <c r="N203" s="123">
        <v>7289.34</v>
      </c>
      <c r="O203" s="123">
        <v>6286.01</v>
      </c>
      <c r="P203" s="123">
        <v>4663.9799999999996</v>
      </c>
      <c r="Q203" s="123">
        <v>6128.13</v>
      </c>
      <c r="R203" s="123">
        <v>5558.54</v>
      </c>
      <c r="S203" s="123">
        <v>6576</v>
      </c>
      <c r="T203" s="123">
        <v>6762.21</v>
      </c>
      <c r="U203" s="123">
        <v>6474.42</v>
      </c>
      <c r="V203" s="123">
        <v>6642.5</v>
      </c>
      <c r="W203" s="123">
        <v>5852.59</v>
      </c>
      <c r="X203" s="123">
        <v>5356.93</v>
      </c>
      <c r="Y203" s="123">
        <v>6833.03</v>
      </c>
      <c r="Z203" s="123">
        <v>4214.7</v>
      </c>
      <c r="AA203" s="123">
        <v>5169.88</v>
      </c>
    </row>
    <row r="204" spans="1:27" x14ac:dyDescent="0.15">
      <c r="A204" s="123" t="s">
        <v>172</v>
      </c>
      <c r="B204" s="123" t="s">
        <v>132</v>
      </c>
      <c r="C204" s="123" t="s">
        <v>171</v>
      </c>
    </row>
    <row r="205" spans="1:27" x14ac:dyDescent="0.15">
      <c r="B205" s="123">
        <v>9406.6299999999992</v>
      </c>
      <c r="C205" s="123">
        <v>14822.6</v>
      </c>
      <c r="D205" s="123">
        <v>7732.44</v>
      </c>
      <c r="E205" s="123">
        <v>12367</v>
      </c>
      <c r="F205" s="123">
        <v>7541.5</v>
      </c>
      <c r="G205" s="123">
        <v>8927.42</v>
      </c>
      <c r="H205" s="123">
        <v>12471.9</v>
      </c>
      <c r="I205" s="123">
        <v>10438.5</v>
      </c>
      <c r="J205" s="123">
        <v>10143.1</v>
      </c>
      <c r="K205" s="123">
        <v>6216.68</v>
      </c>
      <c r="L205" s="123">
        <v>6142.55</v>
      </c>
      <c r="M205" s="123">
        <v>8387.7800000000007</v>
      </c>
      <c r="N205" s="123">
        <v>7447.58</v>
      </c>
      <c r="O205" s="123">
        <v>8622.8799999999992</v>
      </c>
      <c r="P205" s="123">
        <v>4693.7299999999996</v>
      </c>
      <c r="Q205" s="123">
        <v>5932.16</v>
      </c>
      <c r="R205" s="123">
        <v>4936.47</v>
      </c>
      <c r="S205" s="123">
        <v>6331.9</v>
      </c>
      <c r="T205" s="123">
        <v>7706.94</v>
      </c>
      <c r="U205" s="123">
        <v>6334.69</v>
      </c>
      <c r="V205" s="123">
        <v>6945.12</v>
      </c>
      <c r="W205" s="123">
        <v>10203</v>
      </c>
      <c r="X205" s="123">
        <v>5156.1099999999997</v>
      </c>
      <c r="Y205" s="123">
        <v>7327.09</v>
      </c>
      <c r="Z205" s="123">
        <v>3921.97</v>
      </c>
      <c r="AA205" s="123">
        <v>5165.38</v>
      </c>
    </row>
    <row r="206" spans="1:27" x14ac:dyDescent="0.15">
      <c r="A206" s="123" t="s">
        <v>170</v>
      </c>
      <c r="B206" s="123" t="s">
        <v>163</v>
      </c>
      <c r="C206" s="123" t="s">
        <v>132</v>
      </c>
      <c r="D206" s="123" t="s">
        <v>171</v>
      </c>
    </row>
    <row r="207" spans="1:27" x14ac:dyDescent="0.15">
      <c r="B207" s="123">
        <v>10914.1</v>
      </c>
      <c r="C207" s="123">
        <v>15982.3</v>
      </c>
      <c r="D207" s="123">
        <v>15009.4</v>
      </c>
      <c r="E207" s="123">
        <v>10014.700000000001</v>
      </c>
      <c r="F207" s="123">
        <v>9369.7099999999991</v>
      </c>
      <c r="G207" s="123">
        <v>10546</v>
      </c>
      <c r="H207" s="123">
        <v>7387.7</v>
      </c>
      <c r="I207" s="123">
        <v>8756.7800000000007</v>
      </c>
      <c r="J207" s="123">
        <v>8457.41</v>
      </c>
      <c r="K207" s="123">
        <v>7372.51</v>
      </c>
      <c r="L207" s="123">
        <v>9528.4599999999991</v>
      </c>
      <c r="M207" s="123">
        <v>7527.35</v>
      </c>
      <c r="N207" s="123">
        <v>3728.11</v>
      </c>
      <c r="O207" s="123">
        <v>3145.63</v>
      </c>
    </row>
    <row r="208" spans="1:27" x14ac:dyDescent="0.15">
      <c r="A208" s="123" t="s">
        <v>172</v>
      </c>
      <c r="B208" s="123" t="s">
        <v>163</v>
      </c>
      <c r="C208" s="123" t="s">
        <v>132</v>
      </c>
      <c r="D208" s="123" t="s">
        <v>171</v>
      </c>
    </row>
    <row r="209" spans="1:45" x14ac:dyDescent="0.15">
      <c r="B209" s="123">
        <v>46314</v>
      </c>
      <c r="C209" s="123">
        <v>17805</v>
      </c>
      <c r="D209" s="123">
        <v>14965</v>
      </c>
      <c r="E209" s="123">
        <v>12280</v>
      </c>
      <c r="F209" s="123">
        <v>7729.52</v>
      </c>
      <c r="G209" s="123">
        <v>9129.6200000000008</v>
      </c>
      <c r="H209" s="123">
        <v>5552.9</v>
      </c>
      <c r="I209" s="123">
        <v>6319.49</v>
      </c>
      <c r="J209" s="123">
        <v>9488.7900000000009</v>
      </c>
      <c r="K209" s="123">
        <v>7371.83</v>
      </c>
      <c r="L209" s="123">
        <v>11560.4</v>
      </c>
      <c r="M209" s="123">
        <v>6818.74</v>
      </c>
      <c r="N209" s="123">
        <v>2940.09</v>
      </c>
      <c r="O209" s="123">
        <v>3686.38</v>
      </c>
    </row>
    <row r="210" spans="1:45" x14ac:dyDescent="0.15">
      <c r="A210" s="123" t="s">
        <v>172</v>
      </c>
      <c r="B210" s="123" t="s">
        <v>293</v>
      </c>
      <c r="C210" s="123" t="s">
        <v>292</v>
      </c>
    </row>
    <row r="211" spans="1:45" x14ac:dyDescent="0.15">
      <c r="B211" s="123">
        <v>2816.44</v>
      </c>
      <c r="C211" s="123">
        <v>3473.58</v>
      </c>
      <c r="D211" s="123">
        <v>3802.17</v>
      </c>
      <c r="E211" s="123">
        <v>5257.3</v>
      </c>
      <c r="F211" s="123">
        <v>6712.47</v>
      </c>
      <c r="G211" s="123">
        <v>5679.81</v>
      </c>
      <c r="H211" s="123">
        <v>5257.33</v>
      </c>
      <c r="I211" s="123">
        <v>5726.74</v>
      </c>
      <c r="J211" s="123">
        <v>4787.92</v>
      </c>
      <c r="K211" s="123">
        <v>4740.99</v>
      </c>
      <c r="L211" s="123">
        <v>4271.57</v>
      </c>
      <c r="M211" s="123">
        <v>4318.5200000000004</v>
      </c>
    </row>
    <row r="212" spans="1:45" x14ac:dyDescent="0.15">
      <c r="A212" s="123" t="s">
        <v>209</v>
      </c>
      <c r="B212" s="123" t="s">
        <v>293</v>
      </c>
      <c r="C212" s="123" t="s">
        <v>292</v>
      </c>
    </row>
    <row r="213" spans="1:45" x14ac:dyDescent="0.15">
      <c r="B213" s="123">
        <v>2305.1799999999998</v>
      </c>
      <c r="C213" s="123">
        <v>2838.97</v>
      </c>
      <c r="D213" s="123">
        <v>3747.79</v>
      </c>
      <c r="E213" s="123">
        <v>4884.8100000000004</v>
      </c>
      <c r="F213" s="123">
        <v>6252.82</v>
      </c>
      <c r="G213" s="123">
        <v>5979.17</v>
      </c>
      <c r="H213" s="123">
        <v>6164.54</v>
      </c>
      <c r="I213" s="123">
        <v>6278.87</v>
      </c>
      <c r="J213" s="123">
        <v>4393.34</v>
      </c>
      <c r="K213" s="123">
        <v>4290.16</v>
      </c>
      <c r="L213" s="123">
        <v>5056.3599999999997</v>
      </c>
      <c r="M213" s="123">
        <v>4412.67</v>
      </c>
    </row>
    <row r="215" spans="1:45" x14ac:dyDescent="0.15">
      <c r="A215" s="123" t="s">
        <v>129</v>
      </c>
    </row>
    <row r="216" spans="1:45" x14ac:dyDescent="0.15">
      <c r="B216" s="123">
        <v>0.10499699999999999</v>
      </c>
      <c r="C216" s="123">
        <v>0.10376100000000001</v>
      </c>
      <c r="D216" s="123">
        <v>9.9578E-2</v>
      </c>
      <c r="E216" s="123">
        <v>0.17854900000000001</v>
      </c>
      <c r="F216" s="123">
        <v>0.18060100000000001</v>
      </c>
      <c r="G216" s="123">
        <v>0.17421500000000001</v>
      </c>
      <c r="H216" s="123">
        <v>0.26558900000000002</v>
      </c>
      <c r="I216" s="123">
        <v>0.33843299999999998</v>
      </c>
      <c r="J216" s="123">
        <v>0.34167399999999998</v>
      </c>
      <c r="K216" s="123">
        <v>0.446409</v>
      </c>
      <c r="L216" s="123">
        <v>0.522231</v>
      </c>
      <c r="M216" s="123">
        <v>0.41622100000000001</v>
      </c>
      <c r="N216" s="123">
        <v>0.37351800000000002</v>
      </c>
      <c r="O216" s="123">
        <v>0.30172700000000002</v>
      </c>
      <c r="P216" s="123">
        <v>0.344441</v>
      </c>
      <c r="Q216" s="123">
        <v>0.32008900000000001</v>
      </c>
      <c r="R216" s="123">
        <v>0.33372499999999999</v>
      </c>
      <c r="S216" s="123">
        <v>0.20847599999999999</v>
      </c>
      <c r="T216" s="123">
        <v>0.18001600000000001</v>
      </c>
      <c r="U216" s="123">
        <v>0.14152899999999999</v>
      </c>
      <c r="V216" s="123">
        <v>0.16763600000000001</v>
      </c>
      <c r="W216" s="123">
        <v>0.16458500000000001</v>
      </c>
      <c r="X216" s="123">
        <v>0.162968</v>
      </c>
      <c r="Y216" s="123">
        <v>0.116631</v>
      </c>
      <c r="Z216" s="123">
        <v>0.144846</v>
      </c>
      <c r="AA216" s="123">
        <v>0.14597299999999999</v>
      </c>
      <c r="AB216" s="123">
        <v>0.21338499999999999</v>
      </c>
      <c r="AC216" s="123">
        <v>0.22545599999999999</v>
      </c>
      <c r="AD216" s="123">
        <v>0.28411599999999998</v>
      </c>
      <c r="AE216" s="123">
        <v>0.18859699999999999</v>
      </c>
      <c r="AF216" s="123">
        <v>0.17615700000000001</v>
      </c>
      <c r="AG216" s="123">
        <v>0.137133</v>
      </c>
      <c r="AH216" s="123">
        <v>0.176513</v>
      </c>
      <c r="AI216" s="123">
        <v>0.16298899999999999</v>
      </c>
      <c r="AJ216" s="123">
        <v>0.139574</v>
      </c>
      <c r="AK216" s="123">
        <v>0.12814500000000001</v>
      </c>
      <c r="AL216" s="123">
        <v>0.14199999999999999</v>
      </c>
      <c r="AM216" s="123">
        <v>0.17361099999999999</v>
      </c>
      <c r="AN216" s="123">
        <v>0.186199</v>
      </c>
      <c r="AO216" s="123">
        <v>0.20034199999999999</v>
      </c>
      <c r="AP216" s="123">
        <v>0.16967399999999999</v>
      </c>
      <c r="AQ216" s="123">
        <v>0.17488100000000001</v>
      </c>
      <c r="AR216" s="123">
        <v>0.22848299999999999</v>
      </c>
      <c r="AS216" s="123">
        <v>0.26345800000000003</v>
      </c>
    </row>
    <row r="217" spans="1:45" x14ac:dyDescent="0.15">
      <c r="A217" s="123" t="s">
        <v>256</v>
      </c>
      <c r="B217" s="123" t="s">
        <v>257</v>
      </c>
    </row>
    <row r="218" spans="1:45" x14ac:dyDescent="0.15">
      <c r="B218" s="123">
        <v>0.9</v>
      </c>
      <c r="C218" s="123">
        <v>0.45</v>
      </c>
      <c r="D218" s="123">
        <v>0.3</v>
      </c>
      <c r="E218" s="123">
        <v>0.3</v>
      </c>
      <c r="F218" s="123">
        <v>0.3</v>
      </c>
      <c r="G218" s="123">
        <v>0.3</v>
      </c>
      <c r="H218" s="123">
        <v>0.3</v>
      </c>
      <c r="I218" s="123">
        <v>0.3</v>
      </c>
      <c r="J218" s="123">
        <v>0.3</v>
      </c>
      <c r="K218" s="123">
        <v>0.3</v>
      </c>
      <c r="L218" s="123">
        <v>0.3</v>
      </c>
      <c r="M218" s="123">
        <v>0.3</v>
      </c>
      <c r="N218" s="123">
        <v>0.3</v>
      </c>
      <c r="O218" s="123">
        <v>0.3</v>
      </c>
      <c r="P218" s="123">
        <v>0.3</v>
      </c>
    </row>
    <row r="219" spans="1:45" x14ac:dyDescent="0.15">
      <c r="A219" s="123" t="s">
        <v>155</v>
      </c>
      <c r="B219" s="123" t="s">
        <v>158</v>
      </c>
      <c r="C219" s="123" t="s">
        <v>159</v>
      </c>
      <c r="D219" s="123" t="s">
        <v>173</v>
      </c>
    </row>
    <row r="220" spans="1:45" x14ac:dyDescent="0.15">
      <c r="A220" s="123">
        <v>1964</v>
      </c>
      <c r="B220" s="123">
        <v>2.63022</v>
      </c>
      <c r="C220" s="123">
        <v>38.868099999999998</v>
      </c>
      <c r="D220" s="123">
        <v>109.315</v>
      </c>
      <c r="E220" s="123">
        <v>81.376900000000006</v>
      </c>
      <c r="F220" s="123">
        <v>36.128500000000003</v>
      </c>
      <c r="G220" s="123">
        <v>49.2453</v>
      </c>
      <c r="H220" s="123">
        <v>17.128399999999999</v>
      </c>
      <c r="I220" s="123">
        <v>6.1977799999999998</v>
      </c>
      <c r="J220" s="123">
        <v>2.9908700000000001</v>
      </c>
      <c r="K220" s="123">
        <v>2.8598300000000001</v>
      </c>
      <c r="L220" s="123">
        <v>2.7217199999999999</v>
      </c>
      <c r="M220" s="123">
        <v>2.6745000000000001</v>
      </c>
      <c r="N220" s="123">
        <v>2.5722499999999999</v>
      </c>
      <c r="O220" s="123">
        <v>2.4384700000000001</v>
      </c>
      <c r="P220" s="123">
        <v>2.4365100000000002</v>
      </c>
    </row>
    <row r="221" spans="1:45" x14ac:dyDescent="0.15">
      <c r="A221" s="123">
        <v>1965</v>
      </c>
      <c r="B221" s="123">
        <v>17.841100000000001</v>
      </c>
      <c r="C221" s="123">
        <v>12.728999999999999</v>
      </c>
      <c r="D221" s="123">
        <v>120.669</v>
      </c>
      <c r="E221" s="123">
        <v>227.523</v>
      </c>
      <c r="F221" s="123">
        <v>47.128900000000002</v>
      </c>
      <c r="G221" s="123">
        <v>19.343900000000001</v>
      </c>
      <c r="H221" s="123">
        <v>25.937799999999999</v>
      </c>
      <c r="I221" s="123">
        <v>9.3479399999999995</v>
      </c>
      <c r="J221" s="123">
        <v>3.5024000000000002</v>
      </c>
      <c r="K221" s="123">
        <v>1.7747599999999999</v>
      </c>
      <c r="L221" s="123">
        <v>1.7516799999999999</v>
      </c>
      <c r="M221" s="123">
        <v>1.8231999999999999</v>
      </c>
      <c r="N221" s="123">
        <v>1.79158</v>
      </c>
      <c r="O221" s="123">
        <v>1.7230799999999999</v>
      </c>
      <c r="P221" s="123">
        <v>3.2656200000000002</v>
      </c>
    </row>
    <row r="222" spans="1:45" x14ac:dyDescent="0.15">
      <c r="A222" s="123">
        <v>1966</v>
      </c>
      <c r="B222" s="123">
        <v>9.4491200000000006</v>
      </c>
      <c r="C222" s="123">
        <v>112.17400000000001</v>
      </c>
      <c r="D222" s="123">
        <v>56.471600000000002</v>
      </c>
      <c r="E222" s="123">
        <v>233.67</v>
      </c>
      <c r="F222" s="123">
        <v>116.36499999999999</v>
      </c>
      <c r="G222" s="123">
        <v>21.324999999999999</v>
      </c>
      <c r="H222" s="123">
        <v>9.0988600000000002</v>
      </c>
      <c r="I222" s="123">
        <v>13.2258</v>
      </c>
      <c r="J222" s="123">
        <v>5.1451500000000001</v>
      </c>
      <c r="K222" s="123">
        <v>2.1135999999999999</v>
      </c>
      <c r="L222" s="123">
        <v>1.1349100000000001</v>
      </c>
      <c r="M222" s="123">
        <v>1.22499</v>
      </c>
      <c r="N222" s="123">
        <v>1.27501</v>
      </c>
      <c r="O222" s="123">
        <v>1.2528900000000001</v>
      </c>
      <c r="P222" s="123">
        <v>3.4887199999999998</v>
      </c>
    </row>
    <row r="223" spans="1:45" x14ac:dyDescent="0.15">
      <c r="A223" s="123">
        <v>1967</v>
      </c>
      <c r="B223" s="123">
        <v>40.895600000000002</v>
      </c>
      <c r="C223" s="123">
        <v>127.136</v>
      </c>
      <c r="D223" s="123">
        <v>670.024</v>
      </c>
      <c r="E223" s="123">
        <v>126.538</v>
      </c>
      <c r="F223" s="123">
        <v>223.40700000000001</v>
      </c>
      <c r="G223" s="123">
        <v>105.736</v>
      </c>
      <c r="H223" s="123">
        <v>21.2258</v>
      </c>
      <c r="I223" s="123">
        <v>9.2189899999999998</v>
      </c>
      <c r="J223" s="123">
        <v>13.764200000000001</v>
      </c>
      <c r="K223" s="123">
        <v>5.61069</v>
      </c>
      <c r="L223" s="123">
        <v>2.3323200000000002</v>
      </c>
      <c r="M223" s="123">
        <v>1.3307800000000001</v>
      </c>
      <c r="N223" s="123">
        <v>1.43641</v>
      </c>
      <c r="O223" s="123">
        <v>1.4950600000000001</v>
      </c>
      <c r="P223" s="123">
        <v>5.5599400000000001</v>
      </c>
    </row>
    <row r="224" spans="1:45" x14ac:dyDescent="0.15">
      <c r="A224" s="123">
        <v>1968</v>
      </c>
      <c r="B224" s="123">
        <v>35.1905</v>
      </c>
      <c r="C224" s="123">
        <v>333.26600000000002</v>
      </c>
      <c r="D224" s="123">
        <v>408.43299999999999</v>
      </c>
      <c r="E224" s="123">
        <v>753.71699999999998</v>
      </c>
      <c r="F224" s="123">
        <v>55.2333</v>
      </c>
      <c r="G224" s="123">
        <v>96.203999999999994</v>
      </c>
      <c r="H224" s="123">
        <v>52.206800000000001</v>
      </c>
      <c r="I224" s="123">
        <v>11.239599999999999</v>
      </c>
      <c r="J224" s="123">
        <v>5.2947100000000002</v>
      </c>
      <c r="K224" s="123">
        <v>8.6029499999999999</v>
      </c>
      <c r="L224" s="123">
        <v>3.7432699999999999</v>
      </c>
      <c r="M224" s="123">
        <v>1.6573899999999999</v>
      </c>
      <c r="N224" s="123">
        <v>0.94567199999999996</v>
      </c>
      <c r="O224" s="123">
        <v>1.0207299999999999</v>
      </c>
      <c r="P224" s="123">
        <v>5.0133900000000002</v>
      </c>
    </row>
    <row r="225" spans="1:16" x14ac:dyDescent="0.15">
      <c r="A225" s="123">
        <v>1969</v>
      </c>
      <c r="B225" s="123">
        <v>34.983400000000003</v>
      </c>
      <c r="C225" s="123">
        <v>295.68299999999999</v>
      </c>
      <c r="D225" s="123">
        <v>950.40599999999995</v>
      </c>
      <c r="E225" s="123">
        <v>460.76299999999998</v>
      </c>
      <c r="F225" s="123">
        <v>349.464</v>
      </c>
      <c r="G225" s="123">
        <v>27.006399999999999</v>
      </c>
      <c r="H225" s="123">
        <v>51.578899999999997</v>
      </c>
      <c r="I225" s="123">
        <v>28.71</v>
      </c>
      <c r="J225" s="123">
        <v>6.3302500000000004</v>
      </c>
      <c r="K225" s="123">
        <v>3.0593400000000002</v>
      </c>
      <c r="L225" s="123">
        <v>5.1008100000000001</v>
      </c>
      <c r="M225" s="123">
        <v>2.2265100000000002</v>
      </c>
      <c r="N225" s="123">
        <v>0.98581799999999997</v>
      </c>
      <c r="O225" s="123">
        <v>0.56248900000000002</v>
      </c>
      <c r="P225" s="123">
        <v>3.5891099999999998</v>
      </c>
    </row>
    <row r="226" spans="1:16" x14ac:dyDescent="0.15">
      <c r="A226" s="123">
        <v>1970</v>
      </c>
      <c r="B226" s="123">
        <v>29.3858</v>
      </c>
      <c r="C226" s="123">
        <v>505.91800000000001</v>
      </c>
      <c r="D226" s="123">
        <v>1193.8900000000001</v>
      </c>
      <c r="E226" s="123">
        <v>932.37800000000004</v>
      </c>
      <c r="F226" s="123">
        <v>240.52</v>
      </c>
      <c r="G226" s="123">
        <v>200.59</v>
      </c>
      <c r="H226" s="123">
        <v>18.861000000000001</v>
      </c>
      <c r="I226" s="123">
        <v>38.758600000000001</v>
      </c>
      <c r="J226" s="123">
        <v>22.820799999999998</v>
      </c>
      <c r="K226" s="123">
        <v>5.2791899999999998</v>
      </c>
      <c r="L226" s="123">
        <v>3.6516199999999999</v>
      </c>
      <c r="M226" s="123">
        <v>6.1076600000000001</v>
      </c>
      <c r="N226" s="123">
        <v>2.6659999999999999</v>
      </c>
      <c r="O226" s="123">
        <v>1.18041</v>
      </c>
      <c r="P226" s="123">
        <v>4.9710900000000002</v>
      </c>
    </row>
    <row r="227" spans="1:16" x14ac:dyDescent="0.15">
      <c r="A227" s="123">
        <v>1971</v>
      </c>
      <c r="B227" s="123">
        <v>14.590299999999999</v>
      </c>
      <c r="C227" s="123">
        <v>453.28399999999999</v>
      </c>
      <c r="D227" s="123">
        <v>1494.93</v>
      </c>
      <c r="E227" s="123">
        <v>999.27499999999998</v>
      </c>
      <c r="F227" s="123">
        <v>756.53499999999997</v>
      </c>
      <c r="G227" s="123">
        <v>154.37</v>
      </c>
      <c r="H227" s="123">
        <v>148.613</v>
      </c>
      <c r="I227" s="123">
        <v>13.1822</v>
      </c>
      <c r="J227" s="123">
        <v>27.038499999999999</v>
      </c>
      <c r="K227" s="123">
        <v>16.071200000000001</v>
      </c>
      <c r="L227" s="123">
        <v>5.1079299999999996</v>
      </c>
      <c r="M227" s="123">
        <v>2.2482899999999999</v>
      </c>
      <c r="N227" s="123">
        <v>3.7604700000000002</v>
      </c>
      <c r="O227" s="123">
        <v>1.6414500000000001</v>
      </c>
      <c r="P227" s="123">
        <v>3.7874599999999998</v>
      </c>
    </row>
    <row r="228" spans="1:16" x14ac:dyDescent="0.15">
      <c r="A228" s="123">
        <v>1972</v>
      </c>
      <c r="B228" s="123">
        <v>17.495100000000001</v>
      </c>
      <c r="C228" s="123">
        <v>262.37400000000002</v>
      </c>
      <c r="D228" s="123">
        <v>1320.69</v>
      </c>
      <c r="E228" s="123">
        <v>1182.0999999999999</v>
      </c>
      <c r="F228" s="123">
        <v>663.86599999999999</v>
      </c>
      <c r="G228" s="123">
        <v>411.36500000000001</v>
      </c>
      <c r="H228" s="123">
        <v>93.152100000000004</v>
      </c>
      <c r="I228" s="123">
        <v>83.927199999999999</v>
      </c>
      <c r="J228" s="123">
        <v>7.6302700000000003</v>
      </c>
      <c r="K228" s="123">
        <v>15.7911</v>
      </c>
      <c r="L228" s="123">
        <v>10.233599999999999</v>
      </c>
      <c r="M228" s="123">
        <v>2.0296799999999999</v>
      </c>
      <c r="N228" s="123">
        <v>0.89338099999999998</v>
      </c>
      <c r="O228" s="123">
        <v>1.4942599999999999</v>
      </c>
      <c r="P228" s="123">
        <v>2.1572300000000002</v>
      </c>
    </row>
    <row r="229" spans="1:16" x14ac:dyDescent="0.15">
      <c r="A229" s="123">
        <v>1973</v>
      </c>
      <c r="B229" s="123">
        <v>61.859400000000001</v>
      </c>
      <c r="C229" s="123">
        <v>420.19799999999998</v>
      </c>
      <c r="D229" s="123">
        <v>619.12599999999998</v>
      </c>
      <c r="E229" s="123">
        <v>939.173</v>
      </c>
      <c r="F229" s="123">
        <v>717.245</v>
      </c>
      <c r="G229" s="123">
        <v>400.86500000000001</v>
      </c>
      <c r="H229" s="123">
        <v>261.40300000000002</v>
      </c>
      <c r="I229" s="123">
        <v>58.848799999999997</v>
      </c>
      <c r="J229" s="123">
        <v>54.773200000000003</v>
      </c>
      <c r="K229" s="123">
        <v>4.8402200000000004</v>
      </c>
      <c r="L229" s="123">
        <v>10.8825</v>
      </c>
      <c r="M229" s="123">
        <v>6.22323</v>
      </c>
      <c r="N229" s="123">
        <v>1.2342900000000001</v>
      </c>
      <c r="O229" s="123">
        <v>0.54328200000000004</v>
      </c>
      <c r="P229" s="123">
        <v>2.2205400000000002</v>
      </c>
    </row>
    <row r="230" spans="1:16" x14ac:dyDescent="0.15">
      <c r="A230" s="123">
        <v>1974</v>
      </c>
      <c r="B230" s="123">
        <v>46.002200000000002</v>
      </c>
      <c r="C230" s="123">
        <v>1446.89</v>
      </c>
      <c r="D230" s="123">
        <v>963.34199999999998</v>
      </c>
      <c r="E230" s="123">
        <v>354.95</v>
      </c>
      <c r="F230" s="123">
        <v>450.01100000000002</v>
      </c>
      <c r="G230" s="123">
        <v>343.07100000000003</v>
      </c>
      <c r="H230" s="123">
        <v>201.696</v>
      </c>
      <c r="I230" s="123">
        <v>134.76599999999999</v>
      </c>
      <c r="J230" s="123">
        <v>31.705500000000001</v>
      </c>
      <c r="K230" s="123">
        <v>28.944800000000001</v>
      </c>
      <c r="L230" s="123">
        <v>2.6305800000000001</v>
      </c>
      <c r="M230" s="123">
        <v>5.1808199999999998</v>
      </c>
      <c r="N230" s="123">
        <v>2.9626899999999998</v>
      </c>
      <c r="O230" s="123">
        <v>0.58760699999999999</v>
      </c>
      <c r="P230" s="123">
        <v>1.3157700000000001</v>
      </c>
    </row>
    <row r="231" spans="1:16" x14ac:dyDescent="0.15">
      <c r="A231" s="123">
        <v>1975</v>
      </c>
      <c r="B231" s="123">
        <v>32.295999999999999</v>
      </c>
      <c r="C231" s="123">
        <v>869.45699999999999</v>
      </c>
      <c r="D231" s="123">
        <v>2110.89</v>
      </c>
      <c r="E231" s="123">
        <v>299.33800000000002</v>
      </c>
      <c r="F231" s="123">
        <v>117.407</v>
      </c>
      <c r="G231" s="123">
        <v>152.089</v>
      </c>
      <c r="H231" s="123">
        <v>122.121</v>
      </c>
      <c r="I231" s="123">
        <v>74.111699999999999</v>
      </c>
      <c r="J231" s="123">
        <v>49.287999999999997</v>
      </c>
      <c r="K231" s="123">
        <v>11.14</v>
      </c>
      <c r="L231" s="123">
        <v>10.2843</v>
      </c>
      <c r="M231" s="123">
        <v>0.89332699999999998</v>
      </c>
      <c r="N231" s="123">
        <v>1.7593700000000001</v>
      </c>
      <c r="O231" s="123">
        <v>1.0061100000000001</v>
      </c>
      <c r="P231" s="123">
        <v>0.646374</v>
      </c>
    </row>
    <row r="232" spans="1:16" x14ac:dyDescent="0.15">
      <c r="A232" s="123">
        <v>1976</v>
      </c>
      <c r="B232" s="123">
        <v>17.7882</v>
      </c>
      <c r="C232" s="123">
        <v>553.05100000000004</v>
      </c>
      <c r="D232" s="123">
        <v>1240.67</v>
      </c>
      <c r="E232" s="123">
        <v>905.03</v>
      </c>
      <c r="F232" s="123">
        <v>134.65799999999999</v>
      </c>
      <c r="G232" s="123">
        <v>52.518500000000003</v>
      </c>
      <c r="H232" s="123">
        <v>70.094300000000004</v>
      </c>
      <c r="I232" s="123">
        <v>56.810899999999997</v>
      </c>
      <c r="J232" s="123">
        <v>33.802500000000002</v>
      </c>
      <c r="K232" s="123">
        <v>21.381900000000002</v>
      </c>
      <c r="L232" s="123">
        <v>4.7056199999999997</v>
      </c>
      <c r="M232" s="123">
        <v>4.1624100000000004</v>
      </c>
      <c r="N232" s="123">
        <v>0.36155900000000002</v>
      </c>
      <c r="O232" s="123">
        <v>0.71207500000000001</v>
      </c>
      <c r="P232" s="123">
        <v>0.66881400000000002</v>
      </c>
    </row>
    <row r="233" spans="1:16" x14ac:dyDescent="0.15">
      <c r="A233" s="123">
        <v>1977</v>
      </c>
      <c r="B233" s="123">
        <v>14.9611</v>
      </c>
      <c r="C233" s="123">
        <v>334.15800000000002</v>
      </c>
      <c r="D233" s="123">
        <v>948.85400000000004</v>
      </c>
      <c r="E233" s="123">
        <v>676.60500000000002</v>
      </c>
      <c r="F233" s="123">
        <v>330.91699999999997</v>
      </c>
      <c r="G233" s="123">
        <v>49.560699999999997</v>
      </c>
      <c r="H233" s="123">
        <v>20.652899999999999</v>
      </c>
      <c r="I233" s="123">
        <v>28.633299999999998</v>
      </c>
      <c r="J233" s="123">
        <v>23.546099999999999</v>
      </c>
      <c r="K233" s="123">
        <v>13.688800000000001</v>
      </c>
      <c r="L233" s="123">
        <v>8.5953400000000002</v>
      </c>
      <c r="M233" s="123">
        <v>1.9260999999999999</v>
      </c>
      <c r="N233" s="123">
        <v>1.7037599999999999</v>
      </c>
      <c r="O233" s="123">
        <v>0.14799300000000001</v>
      </c>
      <c r="P233" s="123">
        <v>0.56522499999999998</v>
      </c>
    </row>
    <row r="234" spans="1:16" x14ac:dyDescent="0.15">
      <c r="A234" s="123">
        <v>1978</v>
      </c>
      <c r="B234" s="123">
        <v>27.607700000000001</v>
      </c>
      <c r="C234" s="123">
        <v>299.13400000000001</v>
      </c>
      <c r="D234" s="123">
        <v>717.75699999999995</v>
      </c>
      <c r="E234" s="123">
        <v>625.149</v>
      </c>
      <c r="F234" s="123">
        <v>359.41</v>
      </c>
      <c r="G234" s="123">
        <v>176.51</v>
      </c>
      <c r="H234" s="123">
        <v>28.462</v>
      </c>
      <c r="I234" s="123">
        <v>12.9414</v>
      </c>
      <c r="J234" s="123">
        <v>17.935099999999998</v>
      </c>
      <c r="K234" s="123">
        <v>14.360900000000001</v>
      </c>
      <c r="L234" s="123">
        <v>8.2347699999999993</v>
      </c>
      <c r="M234" s="123">
        <v>5.2613300000000001</v>
      </c>
      <c r="N234" s="123">
        <v>1.179</v>
      </c>
      <c r="O234" s="123">
        <v>1.0428900000000001</v>
      </c>
      <c r="P234" s="123">
        <v>0.43657099999999999</v>
      </c>
    </row>
    <row r="235" spans="1:16" x14ac:dyDescent="0.15">
      <c r="A235" s="123">
        <v>1979</v>
      </c>
      <c r="B235" s="123">
        <v>58.637999999999998</v>
      </c>
      <c r="C235" s="123">
        <v>558.755</v>
      </c>
      <c r="D235" s="123">
        <v>709.31799999999998</v>
      </c>
      <c r="E235" s="123">
        <v>443.94200000000001</v>
      </c>
      <c r="F235" s="123">
        <v>342.98</v>
      </c>
      <c r="G235" s="123">
        <v>153.80500000000001</v>
      </c>
      <c r="H235" s="123">
        <v>81.607799999999997</v>
      </c>
      <c r="I235" s="123">
        <v>14.1556</v>
      </c>
      <c r="J235" s="123">
        <v>5.9675500000000001</v>
      </c>
      <c r="K235" s="123">
        <v>8.2221899999999994</v>
      </c>
      <c r="L235" s="123">
        <v>6.5352399999999999</v>
      </c>
      <c r="M235" s="123">
        <v>3.8529300000000002</v>
      </c>
      <c r="N235" s="123">
        <v>2.4617</v>
      </c>
      <c r="O235" s="123">
        <v>0.55163499999999999</v>
      </c>
      <c r="P235" s="123">
        <v>0.69221999999999995</v>
      </c>
    </row>
    <row r="236" spans="1:16" x14ac:dyDescent="0.15">
      <c r="A236" s="123">
        <v>1980</v>
      </c>
      <c r="B236" s="123">
        <v>14.597799999999999</v>
      </c>
      <c r="C236" s="123">
        <v>463.69</v>
      </c>
      <c r="D236" s="123">
        <v>768.46699999999998</v>
      </c>
      <c r="E236" s="123">
        <v>462.59500000000003</v>
      </c>
      <c r="F236" s="123">
        <v>282.46499999999997</v>
      </c>
      <c r="G236" s="123">
        <v>183.66499999999999</v>
      </c>
      <c r="H236" s="123">
        <v>86.692400000000006</v>
      </c>
      <c r="I236" s="123">
        <v>46.169800000000002</v>
      </c>
      <c r="J236" s="123">
        <v>7.4238</v>
      </c>
      <c r="K236" s="123">
        <v>3.1295600000000001</v>
      </c>
      <c r="L236" s="123">
        <v>4.4351900000000004</v>
      </c>
      <c r="M236" s="123">
        <v>3.6231100000000001</v>
      </c>
      <c r="N236" s="123">
        <v>2.13605</v>
      </c>
      <c r="O236" s="123">
        <v>1.36476</v>
      </c>
      <c r="P236" s="123">
        <v>0.68958699999999995</v>
      </c>
    </row>
    <row r="237" spans="1:16" x14ac:dyDescent="0.15">
      <c r="A237" s="123">
        <v>1981</v>
      </c>
      <c r="B237" s="123">
        <v>10.4558</v>
      </c>
      <c r="C237" s="123">
        <v>117.6</v>
      </c>
      <c r="D237" s="123">
        <v>1170.6500000000001</v>
      </c>
      <c r="E237" s="123">
        <v>705.81799999999998</v>
      </c>
      <c r="F237" s="123">
        <v>206.44300000000001</v>
      </c>
      <c r="G237" s="123">
        <v>92.754599999999996</v>
      </c>
      <c r="H237" s="123">
        <v>56.793199999999999</v>
      </c>
      <c r="I237" s="123">
        <v>27.934999999999999</v>
      </c>
      <c r="J237" s="123">
        <v>15.2479</v>
      </c>
      <c r="K237" s="123">
        <v>2.4557799999999999</v>
      </c>
      <c r="L237" s="123">
        <v>1.0572699999999999</v>
      </c>
      <c r="M237" s="123">
        <v>1.46122</v>
      </c>
      <c r="N237" s="123">
        <v>1.19367</v>
      </c>
      <c r="O237" s="123">
        <v>0.70374099999999995</v>
      </c>
      <c r="P237" s="123">
        <v>0.67682299999999995</v>
      </c>
    </row>
    <row r="238" spans="1:16" x14ac:dyDescent="0.15">
      <c r="A238" s="123">
        <v>1982</v>
      </c>
      <c r="B238" s="123">
        <v>3.0897100000000002</v>
      </c>
      <c r="C238" s="123">
        <v>57.918799999999997</v>
      </c>
      <c r="D238" s="123">
        <v>197.56</v>
      </c>
      <c r="E238" s="123">
        <v>1102.27</v>
      </c>
      <c r="F238" s="123">
        <v>394.86900000000003</v>
      </c>
      <c r="G238" s="123">
        <v>100.229</v>
      </c>
      <c r="H238" s="123">
        <v>42.432400000000001</v>
      </c>
      <c r="I238" s="123">
        <v>27.6158</v>
      </c>
      <c r="J238" s="123">
        <v>14.082700000000001</v>
      </c>
      <c r="K238" s="123">
        <v>7.6733500000000001</v>
      </c>
      <c r="L238" s="123">
        <v>1.4332499999999999</v>
      </c>
      <c r="M238" s="123">
        <v>0.60283799999999998</v>
      </c>
      <c r="N238" s="123">
        <v>0.83316100000000004</v>
      </c>
      <c r="O238" s="123">
        <v>0.68060900000000002</v>
      </c>
      <c r="P238" s="123">
        <v>0.78717499999999996</v>
      </c>
    </row>
    <row r="239" spans="1:16" x14ac:dyDescent="0.15">
      <c r="A239" s="123">
        <v>1983</v>
      </c>
      <c r="B239" s="123">
        <v>8.2585800000000003</v>
      </c>
      <c r="C239" s="123">
        <v>24.526900000000001</v>
      </c>
      <c r="D239" s="123">
        <v>180.19</v>
      </c>
      <c r="E239" s="123">
        <v>376.827</v>
      </c>
      <c r="F239" s="123">
        <v>860.78499999999997</v>
      </c>
      <c r="G239" s="123">
        <v>227.518</v>
      </c>
      <c r="H239" s="123">
        <v>45.62</v>
      </c>
      <c r="I239" s="123">
        <v>20.496300000000002</v>
      </c>
      <c r="J239" s="123">
        <v>13.409599999999999</v>
      </c>
      <c r="K239" s="123">
        <v>6.7117100000000001</v>
      </c>
      <c r="L239" s="123">
        <v>4.2725999999999997</v>
      </c>
      <c r="M239" s="123">
        <v>0.66423500000000002</v>
      </c>
      <c r="N239" s="123">
        <v>0.27938200000000002</v>
      </c>
      <c r="O239" s="123">
        <v>0.386125</v>
      </c>
      <c r="P239" s="123">
        <v>0.68023699999999998</v>
      </c>
    </row>
    <row r="240" spans="1:16" x14ac:dyDescent="0.15">
      <c r="A240" s="123">
        <v>1984</v>
      </c>
      <c r="B240" s="123">
        <v>1.67069</v>
      </c>
      <c r="C240" s="123">
        <v>74.451700000000002</v>
      </c>
      <c r="D240" s="123">
        <v>104.18600000000001</v>
      </c>
      <c r="E240" s="123">
        <v>340.79500000000002</v>
      </c>
      <c r="F240" s="123">
        <v>373.04599999999999</v>
      </c>
      <c r="G240" s="123">
        <v>671.10799999999995</v>
      </c>
      <c r="H240" s="123">
        <v>151.227</v>
      </c>
      <c r="I240" s="123">
        <v>32.683599999999998</v>
      </c>
      <c r="J240" s="123">
        <v>15.4762</v>
      </c>
      <c r="K240" s="123">
        <v>9.9824000000000002</v>
      </c>
      <c r="L240" s="123">
        <v>6.1159600000000003</v>
      </c>
      <c r="M240" s="123">
        <v>3.2553100000000001</v>
      </c>
      <c r="N240" s="123">
        <v>0.50608299999999995</v>
      </c>
      <c r="O240" s="123">
        <v>0.212862</v>
      </c>
      <c r="P240" s="123">
        <v>0.81246499999999999</v>
      </c>
    </row>
    <row r="241" spans="1:16" x14ac:dyDescent="0.15">
      <c r="A241" s="123">
        <v>1985</v>
      </c>
      <c r="B241" s="123">
        <v>4.3999699999999997</v>
      </c>
      <c r="C241" s="123">
        <v>17.677199999999999</v>
      </c>
      <c r="D241" s="123">
        <v>348.041</v>
      </c>
      <c r="E241" s="123">
        <v>180.09100000000001</v>
      </c>
      <c r="F241" s="123">
        <v>436.755</v>
      </c>
      <c r="G241" s="123">
        <v>291.791</v>
      </c>
      <c r="H241" s="123">
        <v>418.06599999999997</v>
      </c>
      <c r="I241" s="123">
        <v>93.180800000000005</v>
      </c>
      <c r="J241" s="123">
        <v>20.7971</v>
      </c>
      <c r="K241" s="123">
        <v>9.1623400000000004</v>
      </c>
      <c r="L241" s="123">
        <v>7.2018199999999997</v>
      </c>
      <c r="M241" s="123">
        <v>3.44923</v>
      </c>
      <c r="N241" s="123">
        <v>1.8359000000000001</v>
      </c>
      <c r="O241" s="123">
        <v>0.28541699999999998</v>
      </c>
      <c r="P241" s="123">
        <v>0.57825599999999999</v>
      </c>
    </row>
    <row r="242" spans="1:16" x14ac:dyDescent="0.15">
      <c r="A242" s="123">
        <v>1986</v>
      </c>
      <c r="B242" s="123">
        <v>1.2587200000000001</v>
      </c>
      <c r="C242" s="123">
        <v>55.0383</v>
      </c>
      <c r="D242" s="123">
        <v>75.377700000000004</v>
      </c>
      <c r="E242" s="123">
        <v>618.63699999999994</v>
      </c>
      <c r="F242" s="123">
        <v>181.852</v>
      </c>
      <c r="G242" s="123">
        <v>336.005</v>
      </c>
      <c r="H242" s="123">
        <v>189.233</v>
      </c>
      <c r="I242" s="123">
        <v>240.70699999999999</v>
      </c>
      <c r="J242" s="123">
        <v>64.135800000000003</v>
      </c>
      <c r="K242" s="123">
        <v>13.0921</v>
      </c>
      <c r="L242" s="123">
        <v>6.7891700000000004</v>
      </c>
      <c r="M242" s="123">
        <v>4.1737599999999997</v>
      </c>
      <c r="N242" s="123">
        <v>1.99898</v>
      </c>
      <c r="O242" s="123">
        <v>1.0639799999999999</v>
      </c>
      <c r="P242" s="123">
        <v>0.50053499999999995</v>
      </c>
    </row>
    <row r="243" spans="1:16" x14ac:dyDescent="0.15">
      <c r="A243" s="123">
        <v>1987</v>
      </c>
      <c r="B243" s="123">
        <v>0.57531100000000002</v>
      </c>
      <c r="C243" s="123">
        <v>14.6043</v>
      </c>
      <c r="D243" s="123">
        <v>145.11799999999999</v>
      </c>
      <c r="E243" s="123">
        <v>108.464</v>
      </c>
      <c r="F243" s="123">
        <v>449.06599999999997</v>
      </c>
      <c r="G243" s="123">
        <v>137.10400000000001</v>
      </c>
      <c r="H243" s="123">
        <v>166.96600000000001</v>
      </c>
      <c r="I243" s="123">
        <v>77.860399999999998</v>
      </c>
      <c r="J243" s="123">
        <v>135.53100000000001</v>
      </c>
      <c r="K243" s="123">
        <v>27.65</v>
      </c>
      <c r="L243" s="123">
        <v>6.8229199999999999</v>
      </c>
      <c r="M243" s="123">
        <v>2.8867099999999999</v>
      </c>
      <c r="N243" s="123">
        <v>1.7746500000000001</v>
      </c>
      <c r="O243" s="123">
        <v>0.84995100000000001</v>
      </c>
      <c r="P243" s="123">
        <v>0.66522199999999998</v>
      </c>
    </row>
    <row r="244" spans="1:16" x14ac:dyDescent="0.15">
      <c r="A244" s="123">
        <v>1988</v>
      </c>
      <c r="B244" s="123">
        <v>0.36154999999999998</v>
      </c>
      <c r="C244" s="123">
        <v>12.5311</v>
      </c>
      <c r="D244" s="123">
        <v>101.807</v>
      </c>
      <c r="E244" s="123">
        <v>436.57799999999997</v>
      </c>
      <c r="F244" s="123">
        <v>178.18899999999999</v>
      </c>
      <c r="G244" s="123">
        <v>567.45600000000002</v>
      </c>
      <c r="H244" s="123">
        <v>151.11199999999999</v>
      </c>
      <c r="I244" s="123">
        <v>141.238</v>
      </c>
      <c r="J244" s="123">
        <v>72.213099999999997</v>
      </c>
      <c r="K244" s="123">
        <v>97.173000000000002</v>
      </c>
      <c r="L244" s="123">
        <v>23.184899999999999</v>
      </c>
      <c r="M244" s="123">
        <v>4.6988899999999996</v>
      </c>
      <c r="N244" s="123">
        <v>1.9880500000000001</v>
      </c>
      <c r="O244" s="123">
        <v>1.2221900000000001</v>
      </c>
      <c r="P244" s="123">
        <v>1.04349</v>
      </c>
    </row>
    <row r="245" spans="1:16" x14ac:dyDescent="0.15">
      <c r="A245" s="123">
        <v>1989</v>
      </c>
      <c r="B245" s="123">
        <v>0.774007</v>
      </c>
      <c r="C245" s="123">
        <v>7.2446999999999999</v>
      </c>
      <c r="D245" s="123">
        <v>65.440899999999999</v>
      </c>
      <c r="E245" s="123">
        <v>160.46799999999999</v>
      </c>
      <c r="F245" s="123">
        <v>471.93</v>
      </c>
      <c r="G245" s="123">
        <v>134.727</v>
      </c>
      <c r="H245" s="123">
        <v>521.13</v>
      </c>
      <c r="I245" s="123">
        <v>76.702299999999994</v>
      </c>
      <c r="J245" s="123">
        <v>87.122200000000007</v>
      </c>
      <c r="K245" s="123">
        <v>44.295699999999997</v>
      </c>
      <c r="L245" s="123">
        <v>69.512200000000007</v>
      </c>
      <c r="M245" s="123">
        <v>14.0982</v>
      </c>
      <c r="N245" s="123">
        <v>2.8572799999999998</v>
      </c>
      <c r="O245" s="123">
        <v>1.20889</v>
      </c>
      <c r="P245" s="123">
        <v>1.3776999999999999</v>
      </c>
    </row>
    <row r="246" spans="1:16" x14ac:dyDescent="0.15">
      <c r="A246" s="123">
        <v>1990</v>
      </c>
      <c r="B246" s="123">
        <v>4.4107599999999998</v>
      </c>
      <c r="C246" s="123">
        <v>21.8736</v>
      </c>
      <c r="D246" s="123">
        <v>31.363800000000001</v>
      </c>
      <c r="E246" s="123">
        <v>183.18199999999999</v>
      </c>
      <c r="F246" s="123">
        <v>269.947</v>
      </c>
      <c r="G246" s="123">
        <v>560.46799999999996</v>
      </c>
      <c r="H246" s="123">
        <v>174.834</v>
      </c>
      <c r="I246" s="123">
        <v>370.98200000000003</v>
      </c>
      <c r="J246" s="123">
        <v>72.345699999999994</v>
      </c>
      <c r="K246" s="123">
        <v>70.532600000000002</v>
      </c>
      <c r="L246" s="123">
        <v>41.9176</v>
      </c>
      <c r="M246" s="123">
        <v>55.909599999999998</v>
      </c>
      <c r="N246" s="123">
        <v>11.339399999999999</v>
      </c>
      <c r="O246" s="123">
        <v>2.2981500000000001</v>
      </c>
      <c r="P246" s="123">
        <v>2.0804299999999998</v>
      </c>
    </row>
    <row r="247" spans="1:16" x14ac:dyDescent="0.15">
      <c r="A247" s="123">
        <v>1991</v>
      </c>
      <c r="B247" s="123">
        <v>2.4157299999999999</v>
      </c>
      <c r="C247" s="123">
        <v>115.602</v>
      </c>
      <c r="D247" s="123">
        <v>70.1999</v>
      </c>
      <c r="E247" s="123">
        <v>111.264</v>
      </c>
      <c r="F247" s="123">
        <v>169.05600000000001</v>
      </c>
      <c r="G247" s="123">
        <v>197.928</v>
      </c>
      <c r="H247" s="123">
        <v>436.327</v>
      </c>
      <c r="I247" s="123">
        <v>82.170500000000004</v>
      </c>
      <c r="J247" s="123">
        <v>237.96700000000001</v>
      </c>
      <c r="K247" s="123">
        <v>35.621099999999998</v>
      </c>
      <c r="L247" s="123">
        <v>49.229100000000003</v>
      </c>
      <c r="M247" s="123">
        <v>24.4954</v>
      </c>
      <c r="N247" s="123">
        <v>32.671799999999998</v>
      </c>
      <c r="O247" s="123">
        <v>6.62636</v>
      </c>
      <c r="P247" s="123">
        <v>2.5587</v>
      </c>
    </row>
    <row r="248" spans="1:16" x14ac:dyDescent="0.15">
      <c r="A248" s="123">
        <v>1992</v>
      </c>
      <c r="B248" s="123">
        <v>2.1057199999999998</v>
      </c>
      <c r="C248" s="123">
        <v>41.362499999999997</v>
      </c>
      <c r="D248" s="123">
        <v>698.18100000000004</v>
      </c>
      <c r="E248" s="123">
        <v>342.76799999999997</v>
      </c>
      <c r="F248" s="123">
        <v>87.263000000000005</v>
      </c>
      <c r="G248" s="123">
        <v>140.42099999999999</v>
      </c>
      <c r="H248" s="123">
        <v>161.72200000000001</v>
      </c>
      <c r="I248" s="123">
        <v>272.45499999999998</v>
      </c>
      <c r="J248" s="123">
        <v>64.776899999999998</v>
      </c>
      <c r="K248" s="123">
        <v>159.744</v>
      </c>
      <c r="L248" s="123">
        <v>26.974</v>
      </c>
      <c r="M248" s="123">
        <v>31.170300000000001</v>
      </c>
      <c r="N248" s="123">
        <v>15.5097</v>
      </c>
      <c r="O248" s="123">
        <v>20.686800000000002</v>
      </c>
      <c r="P248" s="123">
        <v>5.8156999999999996</v>
      </c>
    </row>
    <row r="249" spans="1:16" x14ac:dyDescent="0.15">
      <c r="A249" s="123">
        <v>1993</v>
      </c>
      <c r="B249" s="123">
        <v>3.2031299999999998</v>
      </c>
      <c r="C249" s="123">
        <v>23.557099999999998</v>
      </c>
      <c r="D249" s="123">
        <v>243.19399999999999</v>
      </c>
      <c r="E249" s="123">
        <v>1142.72</v>
      </c>
      <c r="F249" s="123">
        <v>116.73399999999999</v>
      </c>
      <c r="G249" s="123">
        <v>57.384399999999999</v>
      </c>
      <c r="H249" s="123">
        <v>63.060600000000001</v>
      </c>
      <c r="I249" s="123">
        <v>60.897399999999998</v>
      </c>
      <c r="J249" s="123">
        <v>92.636099999999999</v>
      </c>
      <c r="K249" s="123">
        <v>20.805800000000001</v>
      </c>
      <c r="L249" s="123">
        <v>50.6083</v>
      </c>
      <c r="M249" s="123">
        <v>9.80213</v>
      </c>
      <c r="N249" s="123">
        <v>11.327</v>
      </c>
      <c r="O249" s="123">
        <v>5.6360900000000003</v>
      </c>
      <c r="P249" s="123">
        <v>9.6307700000000001</v>
      </c>
    </row>
    <row r="250" spans="1:16" x14ac:dyDescent="0.15">
      <c r="A250" s="123">
        <v>1994</v>
      </c>
      <c r="B250" s="123">
        <v>0.68682299999999996</v>
      </c>
      <c r="C250" s="123">
        <v>46.767699999999998</v>
      </c>
      <c r="D250" s="123">
        <v>64.686499999999995</v>
      </c>
      <c r="E250" s="123">
        <v>288.72000000000003</v>
      </c>
      <c r="F250" s="123">
        <v>1006.36</v>
      </c>
      <c r="G250" s="123">
        <v>194.387</v>
      </c>
      <c r="H250" s="123">
        <v>46.4084</v>
      </c>
      <c r="I250" s="123">
        <v>34.695999999999998</v>
      </c>
      <c r="J250" s="123">
        <v>27.269400000000001</v>
      </c>
      <c r="K250" s="123">
        <v>38.556699999999999</v>
      </c>
      <c r="L250" s="123">
        <v>8.9658499999999997</v>
      </c>
      <c r="M250" s="123">
        <v>24.808599999999998</v>
      </c>
      <c r="N250" s="123">
        <v>4.8050899999999999</v>
      </c>
      <c r="O250" s="123">
        <v>5.5526099999999996</v>
      </c>
      <c r="P250" s="123">
        <v>7.4839500000000001</v>
      </c>
    </row>
    <row r="251" spans="1:16" x14ac:dyDescent="0.15">
      <c r="A251" s="123">
        <v>1995</v>
      </c>
      <c r="B251" s="123">
        <v>0.36464400000000002</v>
      </c>
      <c r="C251" s="123">
        <v>10.303699999999999</v>
      </c>
      <c r="D251" s="123">
        <v>115.605</v>
      </c>
      <c r="E251" s="123">
        <v>200.24</v>
      </c>
      <c r="F251" s="123">
        <v>463.03800000000001</v>
      </c>
      <c r="G251" s="123">
        <v>749.62300000000005</v>
      </c>
      <c r="H251" s="123">
        <v>66.311999999999998</v>
      </c>
      <c r="I251" s="123">
        <v>17.420999999999999</v>
      </c>
      <c r="J251" s="123">
        <v>14.1774</v>
      </c>
      <c r="K251" s="123">
        <v>11.887</v>
      </c>
      <c r="L251" s="123">
        <v>17.645199999999999</v>
      </c>
      <c r="M251" s="123">
        <v>4.3415499999999998</v>
      </c>
      <c r="N251" s="123">
        <v>12.0131</v>
      </c>
      <c r="O251" s="123">
        <v>2.3267799999999998</v>
      </c>
      <c r="P251" s="123">
        <v>6.3127199999999997</v>
      </c>
    </row>
    <row r="252" spans="1:16" x14ac:dyDescent="0.15">
      <c r="A252" s="123">
        <v>1996</v>
      </c>
      <c r="B252" s="123">
        <v>1.02488</v>
      </c>
      <c r="C252" s="123">
        <v>19.6892</v>
      </c>
      <c r="D252" s="123">
        <v>63.449399999999997</v>
      </c>
      <c r="E252" s="123">
        <v>386.03199999999998</v>
      </c>
      <c r="F252" s="123">
        <v>213.59899999999999</v>
      </c>
      <c r="G252" s="123">
        <v>345.678</v>
      </c>
      <c r="H252" s="123">
        <v>479.78899999999999</v>
      </c>
      <c r="I252" s="123">
        <v>49.049799999999998</v>
      </c>
      <c r="J252" s="123">
        <v>14.5777</v>
      </c>
      <c r="K252" s="123">
        <v>11.9626</v>
      </c>
      <c r="L252" s="123">
        <v>10.070499999999999</v>
      </c>
      <c r="M252" s="123">
        <v>15.797499999999999</v>
      </c>
      <c r="N252" s="123">
        <v>3.8869199999999999</v>
      </c>
      <c r="O252" s="123">
        <v>10.7552</v>
      </c>
      <c r="P252" s="123">
        <v>7.7348100000000004</v>
      </c>
    </row>
    <row r="253" spans="1:16" x14ac:dyDescent="0.15">
      <c r="A253" s="123">
        <v>1997</v>
      </c>
      <c r="B253" s="123">
        <v>1.2639499999999999</v>
      </c>
      <c r="C253" s="123">
        <v>43.831899999999997</v>
      </c>
      <c r="D253" s="123">
        <v>39.830599999999997</v>
      </c>
      <c r="E253" s="123">
        <v>100.127</v>
      </c>
      <c r="F253" s="123">
        <v>459.08699999999999</v>
      </c>
      <c r="G253" s="123">
        <v>315.70100000000002</v>
      </c>
      <c r="H253" s="123">
        <v>294.18099999999998</v>
      </c>
      <c r="I253" s="123">
        <v>212.74199999999999</v>
      </c>
      <c r="J253" s="123">
        <v>23.199400000000001</v>
      </c>
      <c r="K253" s="123">
        <v>6.6460900000000001</v>
      </c>
      <c r="L253" s="123">
        <v>5.91256</v>
      </c>
      <c r="M253" s="123">
        <v>5.5719500000000002</v>
      </c>
      <c r="N253" s="123">
        <v>8.74071</v>
      </c>
      <c r="O253" s="123">
        <v>2.15062</v>
      </c>
      <c r="P253" s="123">
        <v>10.230399999999999</v>
      </c>
    </row>
    <row r="254" spans="1:16" x14ac:dyDescent="0.15">
      <c r="A254" s="123">
        <v>1998</v>
      </c>
      <c r="B254" s="123">
        <v>0.51626799999999995</v>
      </c>
      <c r="C254" s="123">
        <v>33.889499999999998</v>
      </c>
      <c r="D254" s="123">
        <v>217.90299999999999</v>
      </c>
      <c r="E254" s="123">
        <v>94.742999999999995</v>
      </c>
      <c r="F254" s="123">
        <v>159.21899999999999</v>
      </c>
      <c r="G254" s="123">
        <v>666.23400000000004</v>
      </c>
      <c r="H254" s="123">
        <v>206.74700000000001</v>
      </c>
      <c r="I254" s="123">
        <v>120.429</v>
      </c>
      <c r="J254" s="123">
        <v>95.810599999999994</v>
      </c>
      <c r="K254" s="123">
        <v>9.5360300000000002</v>
      </c>
      <c r="L254" s="123">
        <v>3.1009099999999998</v>
      </c>
      <c r="M254" s="123">
        <v>3.08514</v>
      </c>
      <c r="N254" s="123">
        <v>2.9074200000000001</v>
      </c>
      <c r="O254" s="123">
        <v>4.5608500000000003</v>
      </c>
      <c r="P254" s="123">
        <v>6.4603700000000002</v>
      </c>
    </row>
    <row r="255" spans="1:16" x14ac:dyDescent="0.15">
      <c r="A255" s="123">
        <v>1999</v>
      </c>
      <c r="B255" s="123">
        <v>0.532416</v>
      </c>
      <c r="C255" s="123">
        <v>14.359400000000001</v>
      </c>
      <c r="D255" s="123">
        <v>268.25799999999998</v>
      </c>
      <c r="E255" s="123">
        <v>205.39500000000001</v>
      </c>
      <c r="F255" s="123">
        <v>98.125299999999996</v>
      </c>
      <c r="G255" s="123">
        <v>169.971</v>
      </c>
      <c r="H255" s="123">
        <v>456.3</v>
      </c>
      <c r="I255" s="123">
        <v>123.551</v>
      </c>
      <c r="J255" s="123">
        <v>62.872</v>
      </c>
      <c r="K255" s="123">
        <v>43.583199999999998</v>
      </c>
      <c r="L255" s="123">
        <v>5.2194599999999998</v>
      </c>
      <c r="M255" s="123">
        <v>1.7861</v>
      </c>
      <c r="N255" s="123">
        <v>1.77701</v>
      </c>
      <c r="O255" s="123">
        <v>1.67465</v>
      </c>
      <c r="P255" s="123">
        <v>6.3481300000000003</v>
      </c>
    </row>
    <row r="256" spans="1:16" x14ac:dyDescent="0.15">
      <c r="A256" s="123">
        <v>2000</v>
      </c>
      <c r="B256" s="123">
        <v>0.80310800000000004</v>
      </c>
      <c r="C256" s="123">
        <v>8.71889</v>
      </c>
      <c r="D256" s="123">
        <v>65.109099999999998</v>
      </c>
      <c r="E256" s="123">
        <v>392.20100000000002</v>
      </c>
      <c r="F256" s="123">
        <v>371.21300000000002</v>
      </c>
      <c r="G256" s="123">
        <v>137.56100000000001</v>
      </c>
      <c r="H256" s="123">
        <v>155.93600000000001</v>
      </c>
      <c r="I256" s="123">
        <v>354.42599999999999</v>
      </c>
      <c r="J256" s="123">
        <v>69.417299999999997</v>
      </c>
      <c r="K256" s="123">
        <v>32.308199999999999</v>
      </c>
      <c r="L256" s="123">
        <v>26.7028</v>
      </c>
      <c r="M256" s="123">
        <v>3.36402</v>
      </c>
      <c r="N256" s="123">
        <v>1.15117</v>
      </c>
      <c r="O256" s="123">
        <v>1.1453100000000001</v>
      </c>
      <c r="P256" s="123">
        <v>5.1707900000000002</v>
      </c>
    </row>
    <row r="257" spans="1:17" x14ac:dyDescent="0.15">
      <c r="A257" s="123">
        <v>2001</v>
      </c>
      <c r="B257" s="123">
        <v>1.5223599999999999</v>
      </c>
      <c r="C257" s="123">
        <v>16.933199999999999</v>
      </c>
      <c r="D257" s="123">
        <v>89.349599999999995</v>
      </c>
      <c r="E257" s="123">
        <v>223.53399999999999</v>
      </c>
      <c r="F257" s="123">
        <v>586.029</v>
      </c>
      <c r="G257" s="123">
        <v>368.16300000000001</v>
      </c>
      <c r="H257" s="123">
        <v>121</v>
      </c>
      <c r="I257" s="123">
        <v>112.639</v>
      </c>
      <c r="J257" s="123">
        <v>193.148</v>
      </c>
      <c r="K257" s="123">
        <v>44.042499999999997</v>
      </c>
      <c r="L257" s="123">
        <v>23.0654</v>
      </c>
      <c r="M257" s="123">
        <v>20.230699999999999</v>
      </c>
      <c r="N257" s="123">
        <v>2.54867</v>
      </c>
      <c r="O257" s="123">
        <v>0.87215399999999998</v>
      </c>
      <c r="P257" s="123">
        <v>4.7852499999999996</v>
      </c>
    </row>
    <row r="258" spans="1:17" x14ac:dyDescent="0.15">
      <c r="A258" s="123">
        <v>2002</v>
      </c>
      <c r="B258" s="123">
        <v>0.87434999999999996</v>
      </c>
      <c r="C258" s="123">
        <v>38.515000000000001</v>
      </c>
      <c r="D258" s="123">
        <v>238.309</v>
      </c>
      <c r="E258" s="123">
        <v>205.39699999999999</v>
      </c>
      <c r="F258" s="123">
        <v>293.28800000000001</v>
      </c>
      <c r="G258" s="123">
        <v>627.495</v>
      </c>
      <c r="H258" s="123">
        <v>284.38200000000001</v>
      </c>
      <c r="I258" s="123">
        <v>73.681899999999999</v>
      </c>
      <c r="J258" s="123">
        <v>58.268000000000001</v>
      </c>
      <c r="K258" s="123">
        <v>106.504</v>
      </c>
      <c r="L258" s="123">
        <v>23.811800000000002</v>
      </c>
      <c r="M258" s="123">
        <v>13.248799999999999</v>
      </c>
      <c r="N258" s="123">
        <v>11.6206</v>
      </c>
      <c r="O258" s="123">
        <v>1.4639599999999999</v>
      </c>
      <c r="P258" s="123">
        <v>3.2496200000000002</v>
      </c>
    </row>
    <row r="259" spans="1:17" x14ac:dyDescent="0.15">
      <c r="A259" s="123">
        <v>2003</v>
      </c>
      <c r="B259" s="123">
        <v>0.51865899999999998</v>
      </c>
      <c r="C259" s="123">
        <v>21.274799999999999</v>
      </c>
      <c r="D259" s="123">
        <v>396.6</v>
      </c>
      <c r="E259" s="123">
        <v>344.17599999999999</v>
      </c>
      <c r="F259" s="123">
        <v>357.36099999999999</v>
      </c>
      <c r="G259" s="123">
        <v>303.096</v>
      </c>
      <c r="H259" s="123">
        <v>348.02100000000002</v>
      </c>
      <c r="I259" s="123">
        <v>161.75200000000001</v>
      </c>
      <c r="J259" s="123">
        <v>37.361199999999997</v>
      </c>
      <c r="K259" s="123">
        <v>27.0898</v>
      </c>
      <c r="L259" s="123">
        <v>55.395000000000003</v>
      </c>
      <c r="M259" s="123">
        <v>15.6546</v>
      </c>
      <c r="N259" s="123">
        <v>8.7101699999999997</v>
      </c>
      <c r="O259" s="123">
        <v>7.63971</v>
      </c>
      <c r="P259" s="123">
        <v>3.0988500000000001</v>
      </c>
    </row>
    <row r="260" spans="1:17" x14ac:dyDescent="0.15">
      <c r="A260" s="123">
        <v>2004</v>
      </c>
      <c r="B260" s="123">
        <v>0.149728</v>
      </c>
      <c r="C260" s="123">
        <v>7.3382199999999997</v>
      </c>
      <c r="D260" s="123">
        <v>101.295</v>
      </c>
      <c r="E260" s="123">
        <v>801.779</v>
      </c>
      <c r="F260" s="123">
        <v>548.63499999999999</v>
      </c>
      <c r="G260" s="123">
        <v>280.245</v>
      </c>
      <c r="H260" s="123">
        <v>133.971</v>
      </c>
      <c r="I260" s="123">
        <v>152.43600000000001</v>
      </c>
      <c r="J260" s="123">
        <v>60.722299999999997</v>
      </c>
      <c r="K260" s="123">
        <v>13.651</v>
      </c>
      <c r="L260" s="123">
        <v>10.879300000000001</v>
      </c>
      <c r="M260" s="123">
        <v>28.172000000000001</v>
      </c>
      <c r="N260" s="123">
        <v>7.9613899999999997</v>
      </c>
      <c r="O260" s="123">
        <v>4.4296899999999999</v>
      </c>
      <c r="P260" s="123">
        <v>5.4612499999999997</v>
      </c>
    </row>
    <row r="261" spans="1:17" x14ac:dyDescent="0.15">
      <c r="A261" s="123">
        <v>2005</v>
      </c>
      <c r="B261" s="123">
        <v>0.162773</v>
      </c>
      <c r="C261" s="123">
        <v>2.7430300000000001</v>
      </c>
      <c r="D261" s="123">
        <v>57.607799999999997</v>
      </c>
      <c r="E261" s="123">
        <v>433.012</v>
      </c>
      <c r="F261" s="123">
        <v>831.404</v>
      </c>
      <c r="G261" s="123">
        <v>447.77600000000001</v>
      </c>
      <c r="H261" s="123">
        <v>166.37</v>
      </c>
      <c r="I261" s="123">
        <v>73.118200000000002</v>
      </c>
      <c r="J261" s="123">
        <v>74.796800000000005</v>
      </c>
      <c r="K261" s="123">
        <v>30.261099999999999</v>
      </c>
      <c r="L261" s="123">
        <v>6.8477300000000003</v>
      </c>
      <c r="M261" s="123">
        <v>7.0248799999999996</v>
      </c>
      <c r="N261" s="123">
        <v>18.190999999999999</v>
      </c>
      <c r="O261" s="123">
        <v>5.1407600000000002</v>
      </c>
      <c r="P261" s="123">
        <v>6.3866899999999998</v>
      </c>
    </row>
    <row r="262" spans="1:17" x14ac:dyDescent="0.15">
      <c r="A262" s="123">
        <v>2006</v>
      </c>
      <c r="B262" s="123">
        <v>0.52032699999999998</v>
      </c>
      <c r="C262" s="123">
        <v>3.7002199999999998</v>
      </c>
      <c r="D262" s="123">
        <v>32.546100000000003</v>
      </c>
      <c r="E262" s="123">
        <v>261.52800000000002</v>
      </c>
      <c r="F262" s="123">
        <v>576.40099999999995</v>
      </c>
      <c r="G262" s="123">
        <v>618.75400000000002</v>
      </c>
      <c r="H262" s="123">
        <v>313.48399999999998</v>
      </c>
      <c r="I262" s="123">
        <v>107.28</v>
      </c>
      <c r="J262" s="123">
        <v>44.143300000000004</v>
      </c>
      <c r="K262" s="123">
        <v>46.134900000000002</v>
      </c>
      <c r="L262" s="123">
        <v>20.712599999999998</v>
      </c>
      <c r="M262" s="123">
        <v>6.0376599999999998</v>
      </c>
      <c r="N262" s="123">
        <v>6.1938500000000003</v>
      </c>
      <c r="O262" s="123">
        <v>16.039000000000001</v>
      </c>
      <c r="P262" s="123">
        <v>10.1638</v>
      </c>
    </row>
    <row r="263" spans="1:17" x14ac:dyDescent="0.15">
      <c r="A263" s="123">
        <v>2007</v>
      </c>
      <c r="B263" s="123">
        <v>2.2049500000000002</v>
      </c>
      <c r="C263" s="123">
        <v>11.0032</v>
      </c>
      <c r="D263" s="123">
        <v>39.460700000000003</v>
      </c>
      <c r="E263" s="123">
        <v>106.851</v>
      </c>
      <c r="F263" s="123">
        <v>354.21300000000002</v>
      </c>
      <c r="G263" s="123">
        <v>337.10599999999999</v>
      </c>
      <c r="H263" s="123">
        <v>525.702</v>
      </c>
      <c r="I263" s="123">
        <v>170.84</v>
      </c>
      <c r="J263" s="123">
        <v>54.884700000000002</v>
      </c>
      <c r="K263" s="123">
        <v>22.2104</v>
      </c>
      <c r="L263" s="123">
        <v>26.073699999999999</v>
      </c>
      <c r="M263" s="123">
        <v>13.5532</v>
      </c>
      <c r="N263" s="123">
        <v>3.9507300000000001</v>
      </c>
      <c r="O263" s="123">
        <v>4.0529400000000004</v>
      </c>
      <c r="P263" s="123">
        <v>17.145800000000001</v>
      </c>
    </row>
    <row r="264" spans="1:17" x14ac:dyDescent="0.15">
      <c r="A264" s="123" t="s">
        <v>174</v>
      </c>
      <c r="B264" s="123" t="s">
        <v>175</v>
      </c>
      <c r="C264" s="123" t="s">
        <v>176</v>
      </c>
      <c r="D264" s="123" t="s">
        <v>173</v>
      </c>
    </row>
    <row r="265" spans="1:17" x14ac:dyDescent="0.15">
      <c r="A265" s="123">
        <v>1964</v>
      </c>
      <c r="B265" s="123">
        <v>1067.3599999999999</v>
      </c>
      <c r="C265" s="123">
        <v>0.12923799999999999</v>
      </c>
      <c r="D265" s="123">
        <v>40.503599999999999</v>
      </c>
      <c r="E265" s="123">
        <v>193.78700000000001</v>
      </c>
      <c r="F265" s="123">
        <v>227.17699999999999</v>
      </c>
      <c r="G265" s="123">
        <v>132.47499999999999</v>
      </c>
      <c r="H265" s="123">
        <v>218.95400000000001</v>
      </c>
      <c r="I265" s="123">
        <v>87.505700000000004</v>
      </c>
      <c r="J265" s="123">
        <v>35.157600000000002</v>
      </c>
      <c r="K265" s="123">
        <v>18.390699999999999</v>
      </c>
      <c r="L265" s="123">
        <v>18.735700000000001</v>
      </c>
      <c r="M265" s="123">
        <v>18.748100000000001</v>
      </c>
      <c r="N265" s="123">
        <v>19.199100000000001</v>
      </c>
      <c r="O265" s="123">
        <v>19.089700000000001</v>
      </c>
      <c r="P265" s="123">
        <v>18.573499999999999</v>
      </c>
      <c r="Q265" s="123">
        <v>18.933800000000002</v>
      </c>
    </row>
    <row r="266" spans="1:17" x14ac:dyDescent="0.15">
      <c r="A266" s="123">
        <v>1965</v>
      </c>
      <c r="B266" s="123">
        <v>1433.32</v>
      </c>
      <c r="C266" s="123">
        <v>0.88706700000000005</v>
      </c>
      <c r="D266" s="123">
        <v>13.4216</v>
      </c>
      <c r="E266" s="123">
        <v>216.387</v>
      </c>
      <c r="F266" s="123">
        <v>642.024</v>
      </c>
      <c r="G266" s="123">
        <v>174.68299999999999</v>
      </c>
      <c r="H266" s="123">
        <v>86.949200000000005</v>
      </c>
      <c r="I266" s="123">
        <v>133.983</v>
      </c>
      <c r="J266" s="123">
        <v>53.622</v>
      </c>
      <c r="K266" s="123">
        <v>21.779499999999999</v>
      </c>
      <c r="L266" s="123">
        <v>11.7592</v>
      </c>
      <c r="M266" s="123">
        <v>12.203900000000001</v>
      </c>
      <c r="N266" s="123">
        <v>13.237299999999999</v>
      </c>
      <c r="O266" s="123">
        <v>13.447699999999999</v>
      </c>
      <c r="P266" s="123">
        <v>13.2742</v>
      </c>
      <c r="Q266" s="123">
        <v>25.6662</v>
      </c>
    </row>
    <row r="267" spans="1:17" x14ac:dyDescent="0.15">
      <c r="A267" s="123">
        <v>1966</v>
      </c>
      <c r="B267" s="123">
        <v>1785.42</v>
      </c>
      <c r="C267" s="123">
        <v>0.51533499999999999</v>
      </c>
      <c r="D267" s="123">
        <v>129.97399999999999</v>
      </c>
      <c r="E267" s="123">
        <v>112.49299999999999</v>
      </c>
      <c r="F267" s="123">
        <v>717.43100000000004</v>
      </c>
      <c r="G267" s="123">
        <v>467.28</v>
      </c>
      <c r="H267" s="123">
        <v>103.685</v>
      </c>
      <c r="I267" s="123">
        <v>51.125799999999998</v>
      </c>
      <c r="J267" s="123">
        <v>82.834199999999996</v>
      </c>
      <c r="K267" s="123">
        <v>35.027799999999999</v>
      </c>
      <c r="L267" s="123">
        <v>15.3657</v>
      </c>
      <c r="M267" s="123">
        <v>8.6853899999999999</v>
      </c>
      <c r="N267" s="123">
        <v>9.7697599999999998</v>
      </c>
      <c r="O267" s="123">
        <v>10.512700000000001</v>
      </c>
      <c r="P267" s="123">
        <v>10.602399999999999</v>
      </c>
      <c r="Q267" s="123">
        <v>30.119499999999999</v>
      </c>
    </row>
    <row r="268" spans="1:17" x14ac:dyDescent="0.15">
      <c r="A268" s="123">
        <v>1967</v>
      </c>
      <c r="B268" s="123">
        <v>2157.27</v>
      </c>
      <c r="C268" s="123">
        <v>1.2443500000000001</v>
      </c>
      <c r="D268" s="123">
        <v>82.6631</v>
      </c>
      <c r="E268" s="123">
        <v>769.25900000000001</v>
      </c>
      <c r="F268" s="123">
        <v>231.47800000000001</v>
      </c>
      <c r="G268" s="123">
        <v>531.54600000000005</v>
      </c>
      <c r="H268" s="123">
        <v>301.79000000000002</v>
      </c>
      <c r="I268" s="123">
        <v>69.656599999999997</v>
      </c>
      <c r="J268" s="123">
        <v>33.566499999999998</v>
      </c>
      <c r="K268" s="123">
        <v>54.27</v>
      </c>
      <c r="L268" s="123">
        <v>23.571200000000001</v>
      </c>
      <c r="M268" s="123">
        <v>10.294499999999999</v>
      </c>
      <c r="N268" s="123">
        <v>6.1212999999999997</v>
      </c>
      <c r="O268" s="123">
        <v>6.8306699999999996</v>
      </c>
      <c r="P268" s="123">
        <v>7.2968200000000003</v>
      </c>
      <c r="Q268" s="123">
        <v>27.6846</v>
      </c>
    </row>
    <row r="269" spans="1:17" x14ac:dyDescent="0.15">
      <c r="A269" s="123">
        <v>1968</v>
      </c>
      <c r="B269" s="123">
        <v>3004.48</v>
      </c>
      <c r="C269" s="123">
        <v>1.1580999999999999</v>
      </c>
      <c r="D269" s="123">
        <v>234.66300000000001</v>
      </c>
      <c r="E269" s="123">
        <v>506.048</v>
      </c>
      <c r="F269" s="123">
        <v>1474.8</v>
      </c>
      <c r="G269" s="123">
        <v>139.67699999999999</v>
      </c>
      <c r="H269" s="123">
        <v>293.71800000000002</v>
      </c>
      <c r="I269" s="123">
        <v>184.14400000000001</v>
      </c>
      <c r="J269" s="123">
        <v>44.2149</v>
      </c>
      <c r="K269" s="123">
        <v>22.661300000000001</v>
      </c>
      <c r="L269" s="123">
        <v>39.344200000000001</v>
      </c>
      <c r="M269" s="123">
        <v>18.0624</v>
      </c>
      <c r="N269" s="123">
        <v>8.33432</v>
      </c>
      <c r="O269" s="123">
        <v>4.9162699999999999</v>
      </c>
      <c r="P269" s="123">
        <v>5.4462400000000004</v>
      </c>
      <c r="Q269" s="123">
        <v>27.290299999999998</v>
      </c>
    </row>
    <row r="270" spans="1:17" x14ac:dyDescent="0.15">
      <c r="A270" s="123">
        <v>1969</v>
      </c>
      <c r="B270" s="123">
        <v>3774.81</v>
      </c>
      <c r="C270" s="123">
        <v>1.19346</v>
      </c>
      <c r="D270" s="123">
        <v>215.71600000000001</v>
      </c>
      <c r="E270" s="123">
        <v>1217.6300000000001</v>
      </c>
      <c r="F270" s="123">
        <v>930.10500000000002</v>
      </c>
      <c r="G270" s="123">
        <v>912.30200000000002</v>
      </c>
      <c r="H270" s="123">
        <v>85.160899999999998</v>
      </c>
      <c r="I270" s="123">
        <v>187.95</v>
      </c>
      <c r="J270" s="123">
        <v>116.70099999999999</v>
      </c>
      <c r="K270" s="123">
        <v>27.999099999999999</v>
      </c>
      <c r="L270" s="123">
        <v>14.4602</v>
      </c>
      <c r="M270" s="123">
        <v>25.437799999999999</v>
      </c>
      <c r="N270" s="123">
        <v>11.5715</v>
      </c>
      <c r="O270" s="123">
        <v>5.2967500000000003</v>
      </c>
      <c r="P270" s="123">
        <v>3.10182</v>
      </c>
      <c r="Q270" s="123">
        <v>20.1921</v>
      </c>
    </row>
    <row r="271" spans="1:17" x14ac:dyDescent="0.15">
      <c r="A271" s="123">
        <v>1970</v>
      </c>
      <c r="B271" s="123">
        <v>4257.8599999999997</v>
      </c>
      <c r="C271" s="123">
        <v>0.77188299999999999</v>
      </c>
      <c r="D271" s="123">
        <v>286.959</v>
      </c>
      <c r="E271" s="123">
        <v>1210.69</v>
      </c>
      <c r="F271" s="123">
        <v>1413.95</v>
      </c>
      <c r="G271" s="123">
        <v>488.43700000000001</v>
      </c>
      <c r="H271" s="123">
        <v>493.98399999999998</v>
      </c>
      <c r="I271" s="123">
        <v>54.338700000000003</v>
      </c>
      <c r="J271" s="123">
        <v>125.146</v>
      </c>
      <c r="K271" s="123">
        <v>80.403199999999998</v>
      </c>
      <c r="L271" s="123">
        <v>19.916599999999999</v>
      </c>
      <c r="M271" s="123">
        <v>15.355700000000001</v>
      </c>
      <c r="N271" s="123">
        <v>26.765899999999998</v>
      </c>
      <c r="O271" s="123">
        <v>12.0786</v>
      </c>
      <c r="P271" s="123">
        <v>5.4888000000000003</v>
      </c>
      <c r="Q271" s="123">
        <v>23.5825</v>
      </c>
    </row>
    <row r="272" spans="1:17" x14ac:dyDescent="0.15">
      <c r="A272" s="123">
        <v>1971</v>
      </c>
      <c r="B272" s="123">
        <v>4773.55</v>
      </c>
      <c r="C272" s="123">
        <v>0.30083199999999999</v>
      </c>
      <c r="D272" s="123">
        <v>203.11600000000001</v>
      </c>
      <c r="E272" s="123">
        <v>1221.25</v>
      </c>
      <c r="F272" s="123">
        <v>1225.1400000000001</v>
      </c>
      <c r="G272" s="123">
        <v>1247.24</v>
      </c>
      <c r="H272" s="123">
        <v>307.77</v>
      </c>
      <c r="I272" s="123">
        <v>347.12</v>
      </c>
      <c r="J272" s="123">
        <v>34.502099999999999</v>
      </c>
      <c r="K272" s="123">
        <v>77.199299999999994</v>
      </c>
      <c r="L272" s="123">
        <v>49.132300000000001</v>
      </c>
      <c r="M272" s="123">
        <v>17.6493</v>
      </c>
      <c r="N272" s="123">
        <v>8.0958000000000006</v>
      </c>
      <c r="O272" s="123">
        <v>13.999000000000001</v>
      </c>
      <c r="P272" s="123">
        <v>6.2715100000000001</v>
      </c>
      <c r="Q272" s="123">
        <v>14.763400000000001</v>
      </c>
    </row>
    <row r="273" spans="1:17" x14ac:dyDescent="0.15">
      <c r="A273" s="123">
        <v>1972</v>
      </c>
      <c r="B273" s="123">
        <v>6248.59</v>
      </c>
      <c r="C273" s="123">
        <v>0.42764999999999997</v>
      </c>
      <c r="D273" s="123">
        <v>141.59700000000001</v>
      </c>
      <c r="E273" s="123">
        <v>1328.56</v>
      </c>
      <c r="F273" s="123">
        <v>1788.17</v>
      </c>
      <c r="G273" s="123">
        <v>1317.62</v>
      </c>
      <c r="H273" s="123">
        <v>993.42200000000003</v>
      </c>
      <c r="I273" s="123">
        <v>261.57799999999997</v>
      </c>
      <c r="J273" s="123">
        <v>263.75599999999997</v>
      </c>
      <c r="K273" s="123">
        <v>26.288799999999998</v>
      </c>
      <c r="L273" s="123">
        <v>58.243400000000001</v>
      </c>
      <c r="M273" s="123">
        <v>40.5473</v>
      </c>
      <c r="N273" s="123">
        <v>8.3808100000000003</v>
      </c>
      <c r="O273" s="123">
        <v>3.8136700000000001</v>
      </c>
      <c r="P273" s="123">
        <v>6.5466899999999999</v>
      </c>
      <c r="Q273" s="123">
        <v>9.6424000000000003</v>
      </c>
    </row>
    <row r="274" spans="1:17" x14ac:dyDescent="0.15">
      <c r="A274" s="123">
        <v>1973</v>
      </c>
      <c r="B274" s="123">
        <v>4724.91</v>
      </c>
      <c r="C274" s="123">
        <v>1.1577200000000001</v>
      </c>
      <c r="D274" s="123">
        <v>176.047</v>
      </c>
      <c r="E274" s="123">
        <v>499.93900000000002</v>
      </c>
      <c r="F274" s="123">
        <v>1146.52</v>
      </c>
      <c r="G274" s="123">
        <v>1147.47</v>
      </c>
      <c r="H274" s="123">
        <v>778.7</v>
      </c>
      <c r="I274" s="123">
        <v>590.36099999999999</v>
      </c>
      <c r="J274" s="123">
        <v>148.65899999999999</v>
      </c>
      <c r="K274" s="123">
        <v>151.84100000000001</v>
      </c>
      <c r="L274" s="123">
        <v>14.363</v>
      </c>
      <c r="M274" s="123">
        <v>34.861800000000002</v>
      </c>
      <c r="N274" s="123">
        <v>20.7759</v>
      </c>
      <c r="O274" s="123">
        <v>4.26</v>
      </c>
      <c r="P274" s="123">
        <v>1.9244600000000001</v>
      </c>
      <c r="Q274" s="123">
        <v>8.0248000000000008</v>
      </c>
    </row>
    <row r="275" spans="1:17" x14ac:dyDescent="0.15">
      <c r="A275" s="123">
        <v>1974</v>
      </c>
      <c r="B275" s="123">
        <v>3657.54</v>
      </c>
      <c r="C275" s="123">
        <v>0.71852400000000005</v>
      </c>
      <c r="D275" s="123">
        <v>514.98299999999995</v>
      </c>
      <c r="E275" s="123">
        <v>702.12199999999996</v>
      </c>
      <c r="F275" s="123">
        <v>374.57299999999998</v>
      </c>
      <c r="G275" s="123">
        <v>619.09699999999998</v>
      </c>
      <c r="H275" s="123">
        <v>572.43200000000002</v>
      </c>
      <c r="I275" s="123">
        <v>390.80599999999998</v>
      </c>
      <c r="J275" s="123">
        <v>294.661</v>
      </c>
      <c r="K275" s="123">
        <v>76.415700000000001</v>
      </c>
      <c r="L275" s="123">
        <v>74.928299999999993</v>
      </c>
      <c r="M275" s="123">
        <v>7.2484400000000004</v>
      </c>
      <c r="N275" s="123">
        <v>14.877000000000001</v>
      </c>
      <c r="O275" s="123">
        <v>8.7952899999999996</v>
      </c>
      <c r="P275" s="123">
        <v>1.79036</v>
      </c>
      <c r="Q275" s="123">
        <v>4.0900400000000001</v>
      </c>
    </row>
    <row r="276" spans="1:17" x14ac:dyDescent="0.15">
      <c r="A276" s="123">
        <v>1975</v>
      </c>
      <c r="B276" s="123">
        <v>3782.35</v>
      </c>
      <c r="C276" s="123">
        <v>0.63273800000000002</v>
      </c>
      <c r="D276" s="123">
        <v>382.19299999999998</v>
      </c>
      <c r="E276" s="123">
        <v>1825.69</v>
      </c>
      <c r="F276" s="123">
        <v>376.14699999999999</v>
      </c>
      <c r="G276" s="123">
        <v>192.71600000000001</v>
      </c>
      <c r="H276" s="123">
        <v>303.37599999999998</v>
      </c>
      <c r="I276" s="123">
        <v>282.97699999999998</v>
      </c>
      <c r="J276" s="123">
        <v>193.56200000000001</v>
      </c>
      <c r="K276" s="123">
        <v>141.661</v>
      </c>
      <c r="L276" s="123">
        <v>34.370699999999999</v>
      </c>
      <c r="M276" s="123">
        <v>33.721699999999998</v>
      </c>
      <c r="N276" s="123">
        <v>3.0525699999999998</v>
      </c>
      <c r="O276" s="123">
        <v>6.2152900000000004</v>
      </c>
      <c r="P276" s="123">
        <v>3.6478700000000002</v>
      </c>
      <c r="Q276" s="123">
        <v>2.3909500000000001</v>
      </c>
    </row>
    <row r="277" spans="1:17" x14ac:dyDescent="0.15">
      <c r="A277" s="123">
        <v>1976</v>
      </c>
      <c r="B277" s="123">
        <v>3367.6</v>
      </c>
      <c r="C277" s="123">
        <v>0.364514</v>
      </c>
      <c r="D277" s="123">
        <v>249.767</v>
      </c>
      <c r="E277" s="123">
        <v>1053.71</v>
      </c>
      <c r="F277" s="123">
        <v>1196.3699999999999</v>
      </c>
      <c r="G277" s="123">
        <v>231.928</v>
      </c>
      <c r="H277" s="123">
        <v>109.283</v>
      </c>
      <c r="I277" s="123">
        <v>168.708</v>
      </c>
      <c r="J277" s="123">
        <v>153.31800000000001</v>
      </c>
      <c r="K277" s="123">
        <v>99.944299999999998</v>
      </c>
      <c r="L277" s="123">
        <v>67.653700000000001</v>
      </c>
      <c r="M277" s="123">
        <v>15.6707</v>
      </c>
      <c r="N277" s="123">
        <v>14.4457</v>
      </c>
      <c r="O277" s="123">
        <v>1.2972399999999999</v>
      </c>
      <c r="P277" s="123">
        <v>2.62215</v>
      </c>
      <c r="Q277" s="123">
        <v>2.5126400000000002</v>
      </c>
    </row>
    <row r="278" spans="1:17" x14ac:dyDescent="0.15">
      <c r="A278" s="123">
        <v>1977</v>
      </c>
      <c r="B278" s="123">
        <v>3355.45</v>
      </c>
      <c r="C278" s="123">
        <v>0.37946299999999999</v>
      </c>
      <c r="D278" s="123">
        <v>185.227</v>
      </c>
      <c r="E278" s="123">
        <v>966.59699999999998</v>
      </c>
      <c r="F278" s="123">
        <v>1062.5</v>
      </c>
      <c r="G278" s="123">
        <v>678.42899999999997</v>
      </c>
      <c r="H278" s="123">
        <v>123.07599999999999</v>
      </c>
      <c r="I278" s="123">
        <v>59.386200000000002</v>
      </c>
      <c r="J278" s="123">
        <v>92.320099999999996</v>
      </c>
      <c r="K278" s="123">
        <v>83.130200000000002</v>
      </c>
      <c r="L278" s="123">
        <v>51.725000000000001</v>
      </c>
      <c r="M278" s="123">
        <v>34.200800000000001</v>
      </c>
      <c r="N278" s="123">
        <v>7.9868499999999996</v>
      </c>
      <c r="O278" s="123">
        <v>7.3038400000000001</v>
      </c>
      <c r="P278" s="123">
        <v>0.651142</v>
      </c>
      <c r="Q278" s="123">
        <v>2.5371600000000001</v>
      </c>
    </row>
    <row r="279" spans="1:17" x14ac:dyDescent="0.15">
      <c r="A279" s="123">
        <v>1978</v>
      </c>
      <c r="B279" s="123">
        <v>3136.18</v>
      </c>
      <c r="C279" s="123">
        <v>0.64889600000000003</v>
      </c>
      <c r="D279" s="123">
        <v>152.86600000000001</v>
      </c>
      <c r="E279" s="123">
        <v>677.72699999999998</v>
      </c>
      <c r="F279" s="123">
        <v>898.16200000000003</v>
      </c>
      <c r="G279" s="123">
        <v>698.77300000000002</v>
      </c>
      <c r="H279" s="123">
        <v>414.96199999999999</v>
      </c>
      <c r="I279" s="123">
        <v>77.601399999999998</v>
      </c>
      <c r="J279" s="123">
        <v>39.996699999999997</v>
      </c>
      <c r="K279" s="123">
        <v>60.531999999999996</v>
      </c>
      <c r="L279" s="123">
        <v>51.819400000000002</v>
      </c>
      <c r="M279" s="123">
        <v>31.232500000000002</v>
      </c>
      <c r="N279" s="123">
        <v>20.7957</v>
      </c>
      <c r="O279" s="123">
        <v>4.8176899999999998</v>
      </c>
      <c r="P279" s="123">
        <v>4.3737700000000004</v>
      </c>
      <c r="Q279" s="123">
        <v>1.86795</v>
      </c>
    </row>
    <row r="280" spans="1:17" x14ac:dyDescent="0.15">
      <c r="A280" s="123">
        <v>1979</v>
      </c>
      <c r="B280" s="123">
        <v>3187.59</v>
      </c>
      <c r="C280" s="123">
        <v>1.4830300000000001</v>
      </c>
      <c r="D280" s="123">
        <v>306.59300000000002</v>
      </c>
      <c r="E280" s="123">
        <v>713.91700000000003</v>
      </c>
      <c r="F280" s="123">
        <v>678.46900000000005</v>
      </c>
      <c r="G280" s="123">
        <v>708.08399999999995</v>
      </c>
      <c r="H280" s="123">
        <v>384.29899999999998</v>
      </c>
      <c r="I280" s="123">
        <v>236.53</v>
      </c>
      <c r="J280" s="123">
        <v>46.474400000000003</v>
      </c>
      <c r="K280" s="123">
        <v>21.395900000000001</v>
      </c>
      <c r="L280" s="123">
        <v>31.520900000000001</v>
      </c>
      <c r="M280" s="123">
        <v>26.341000000000001</v>
      </c>
      <c r="N280" s="123">
        <v>16.184000000000001</v>
      </c>
      <c r="O280" s="123">
        <v>10.69</v>
      </c>
      <c r="P280" s="123">
        <v>2.45858</v>
      </c>
      <c r="Q280" s="123">
        <v>3.1475300000000002</v>
      </c>
    </row>
    <row r="281" spans="1:17" x14ac:dyDescent="0.15">
      <c r="A281" s="123">
        <v>1980</v>
      </c>
      <c r="B281" s="123">
        <v>2972.77</v>
      </c>
      <c r="C281" s="123">
        <v>0.33822099999999999</v>
      </c>
      <c r="D281" s="123">
        <v>228.85400000000001</v>
      </c>
      <c r="E281" s="123">
        <v>665.76</v>
      </c>
      <c r="F281" s="123">
        <v>644.19600000000003</v>
      </c>
      <c r="G281" s="123">
        <v>541.55899999999997</v>
      </c>
      <c r="H281" s="123">
        <v>432.74700000000001</v>
      </c>
      <c r="I281" s="123">
        <v>235.482</v>
      </c>
      <c r="J281" s="123">
        <v>140.078</v>
      </c>
      <c r="K281" s="123">
        <v>24.590399999999999</v>
      </c>
      <c r="L281" s="123">
        <v>11.097</v>
      </c>
      <c r="M281" s="123">
        <v>16.657900000000001</v>
      </c>
      <c r="N281" s="123">
        <v>14.1812</v>
      </c>
      <c r="O281" s="123">
        <v>8.6435099999999991</v>
      </c>
      <c r="P281" s="123">
        <v>5.6679300000000001</v>
      </c>
      <c r="Q281" s="123">
        <v>2.9218099999999998</v>
      </c>
    </row>
    <row r="282" spans="1:17" x14ac:dyDescent="0.15">
      <c r="A282" s="123">
        <v>1981</v>
      </c>
      <c r="B282" s="123">
        <v>4557.1000000000004</v>
      </c>
      <c r="C282" s="123">
        <v>0.387743</v>
      </c>
      <c r="D282" s="123">
        <v>92.552300000000002</v>
      </c>
      <c r="E282" s="123">
        <v>1584.45</v>
      </c>
      <c r="F282" s="123">
        <v>1488.17</v>
      </c>
      <c r="G282" s="123">
        <v>589.90599999999995</v>
      </c>
      <c r="H282" s="123">
        <v>325.42399999999998</v>
      </c>
      <c r="I282" s="123">
        <v>230.46100000000001</v>
      </c>
      <c r="J282" s="123">
        <v>126.79600000000001</v>
      </c>
      <c r="K282" s="123">
        <v>75.575400000000002</v>
      </c>
      <c r="L282" s="123">
        <v>13.0319</v>
      </c>
      <c r="M282" s="123">
        <v>5.9350199999999997</v>
      </c>
      <c r="N282" s="123">
        <v>8.5481800000000003</v>
      </c>
      <c r="O282" s="123">
        <v>7.2192299999999996</v>
      </c>
      <c r="P282" s="123">
        <v>4.3682800000000004</v>
      </c>
      <c r="Q282" s="123">
        <v>4.28613</v>
      </c>
    </row>
    <row r="283" spans="1:17" x14ac:dyDescent="0.15">
      <c r="A283" s="123">
        <v>1982</v>
      </c>
      <c r="B283" s="123">
        <v>4695.1099999999997</v>
      </c>
      <c r="C283" s="123">
        <v>0.122141</v>
      </c>
      <c r="D283" s="123">
        <v>48.417200000000001</v>
      </c>
      <c r="E283" s="123">
        <v>278.202</v>
      </c>
      <c r="F283" s="123">
        <v>2385.77</v>
      </c>
      <c r="G283" s="123">
        <v>1160.77</v>
      </c>
      <c r="H283" s="123">
        <v>367.04599999999999</v>
      </c>
      <c r="I283" s="123">
        <v>179.90799999999999</v>
      </c>
      <c r="J283" s="123">
        <v>131.37100000000001</v>
      </c>
      <c r="K283" s="123">
        <v>73.266199999999998</v>
      </c>
      <c r="L283" s="123">
        <v>42.728499999999997</v>
      </c>
      <c r="M283" s="123">
        <v>8.5700800000000008</v>
      </c>
      <c r="N283" s="123">
        <v>3.7565200000000001</v>
      </c>
      <c r="O283" s="123">
        <v>5.3673799999999998</v>
      </c>
      <c r="P283" s="123">
        <v>4.5000900000000001</v>
      </c>
      <c r="Q283" s="123">
        <v>5.3099100000000004</v>
      </c>
    </row>
    <row r="284" spans="1:17" x14ac:dyDescent="0.15">
      <c r="A284" s="123">
        <v>1983</v>
      </c>
      <c r="B284" s="123">
        <v>6112.72</v>
      </c>
      <c r="C284" s="123">
        <v>0.415242</v>
      </c>
      <c r="D284" s="123">
        <v>26.063300000000002</v>
      </c>
      <c r="E284" s="123">
        <v>321.59899999999999</v>
      </c>
      <c r="F284" s="123">
        <v>1024.8</v>
      </c>
      <c r="G284" s="123">
        <v>3159.33</v>
      </c>
      <c r="H284" s="123">
        <v>1036.8</v>
      </c>
      <c r="I284" s="123">
        <v>240.934</v>
      </c>
      <c r="J284" s="123">
        <v>121.44</v>
      </c>
      <c r="K284" s="123">
        <v>86.869900000000001</v>
      </c>
      <c r="L284" s="123">
        <v>46.543199999999999</v>
      </c>
      <c r="M284" s="123">
        <v>31.702100000000002</v>
      </c>
      <c r="N284" s="123">
        <v>5.1361800000000004</v>
      </c>
      <c r="O284" s="123">
        <v>2.2334000000000001</v>
      </c>
      <c r="P284" s="123">
        <v>3.1679900000000001</v>
      </c>
      <c r="Q284" s="123">
        <v>5.6939000000000002</v>
      </c>
    </row>
    <row r="285" spans="1:17" x14ac:dyDescent="0.15">
      <c r="A285" s="123">
        <v>1984</v>
      </c>
      <c r="B285" s="123">
        <v>5339.91</v>
      </c>
      <c r="C285" s="123">
        <v>6.5201200000000001E-2</v>
      </c>
      <c r="D285" s="123">
        <v>61.3949</v>
      </c>
      <c r="E285" s="123">
        <v>144.471</v>
      </c>
      <c r="F285" s="123">
        <v>711.90300000000002</v>
      </c>
      <c r="G285" s="123">
        <v>1061.4100000000001</v>
      </c>
      <c r="H285" s="123">
        <v>2382.39</v>
      </c>
      <c r="I285" s="123">
        <v>626.16899999999998</v>
      </c>
      <c r="J285" s="123">
        <v>152.078</v>
      </c>
      <c r="K285" s="123">
        <v>79.124899999999997</v>
      </c>
      <c r="L285" s="123">
        <v>54.650599999999997</v>
      </c>
      <c r="M285" s="123">
        <v>36.158099999999997</v>
      </c>
      <c r="N285" s="123">
        <v>20.0565</v>
      </c>
      <c r="O285" s="123">
        <v>3.2235399999999998</v>
      </c>
      <c r="P285" s="123">
        <v>1.3915599999999999</v>
      </c>
      <c r="Q285" s="123">
        <v>5.4187500000000002</v>
      </c>
    </row>
    <row r="286" spans="1:17" x14ac:dyDescent="0.15">
      <c r="A286" s="123">
        <v>1985</v>
      </c>
      <c r="B286" s="123">
        <v>5649.91</v>
      </c>
      <c r="C286" s="123">
        <v>0.174898</v>
      </c>
      <c r="D286" s="123">
        <v>14.8468</v>
      </c>
      <c r="E286" s="123">
        <v>491.43799999999999</v>
      </c>
      <c r="F286" s="123">
        <v>382.93099999999998</v>
      </c>
      <c r="G286" s="123">
        <v>1264.17</v>
      </c>
      <c r="H286" s="123">
        <v>1053.42</v>
      </c>
      <c r="I286" s="123">
        <v>1760.34</v>
      </c>
      <c r="J286" s="123">
        <v>440.89600000000002</v>
      </c>
      <c r="K286" s="123">
        <v>108.113</v>
      </c>
      <c r="L286" s="123">
        <v>51.003100000000003</v>
      </c>
      <c r="M286" s="123">
        <v>43.275199999999998</v>
      </c>
      <c r="N286" s="123">
        <v>21.599399999999999</v>
      </c>
      <c r="O286" s="123">
        <v>11.8855</v>
      </c>
      <c r="P286" s="123">
        <v>1.8964300000000001</v>
      </c>
      <c r="Q286" s="123">
        <v>3.91987</v>
      </c>
    </row>
    <row r="287" spans="1:17" x14ac:dyDescent="0.15">
      <c r="A287" s="123">
        <v>1986</v>
      </c>
      <c r="B287" s="123">
        <v>5582.9</v>
      </c>
      <c r="C287" s="123">
        <v>4.9677100000000002E-2</v>
      </c>
      <c r="D287" s="123">
        <v>45.911000000000001</v>
      </c>
      <c r="E287" s="123">
        <v>105.523</v>
      </c>
      <c r="F287" s="123">
        <v>1306.5</v>
      </c>
      <c r="G287" s="123">
        <v>514.40700000000004</v>
      </c>
      <c r="H287" s="123">
        <v>1200.54</v>
      </c>
      <c r="I287" s="123">
        <v>792.63099999999997</v>
      </c>
      <c r="J287" s="123">
        <v>1121.81</v>
      </c>
      <c r="K287" s="123">
        <v>333.08699999999999</v>
      </c>
      <c r="L287" s="123">
        <v>72.671800000000005</v>
      </c>
      <c r="M287" s="123">
        <v>40.538699999999999</v>
      </c>
      <c r="N287" s="123">
        <v>25.971900000000002</v>
      </c>
      <c r="O287" s="123">
        <v>12.8597</v>
      </c>
      <c r="P287" s="123">
        <v>7.0250399999999997</v>
      </c>
      <c r="Q287" s="123">
        <v>3.3716400000000002</v>
      </c>
    </row>
    <row r="288" spans="1:17" x14ac:dyDescent="0.15">
      <c r="A288" s="123">
        <v>1987</v>
      </c>
      <c r="B288" s="123">
        <v>5757.47</v>
      </c>
      <c r="C288" s="123">
        <v>3.17256E-2</v>
      </c>
      <c r="D288" s="123">
        <v>17.011600000000001</v>
      </c>
      <c r="E288" s="123">
        <v>282.87400000000002</v>
      </c>
      <c r="F288" s="123">
        <v>316.94200000000001</v>
      </c>
      <c r="G288" s="123">
        <v>1749.54</v>
      </c>
      <c r="H288" s="123">
        <v>669.07100000000003</v>
      </c>
      <c r="I288" s="123">
        <v>953.18499999999995</v>
      </c>
      <c r="J288" s="123">
        <v>495.64499999999998</v>
      </c>
      <c r="K288" s="123">
        <v>956.12900000000002</v>
      </c>
      <c r="L288" s="123">
        <v>208.59800000000001</v>
      </c>
      <c r="M288" s="123">
        <v>55.080100000000002</v>
      </c>
      <c r="N288" s="123">
        <v>24.285699999999999</v>
      </c>
      <c r="O288" s="123">
        <v>15.4351</v>
      </c>
      <c r="P288" s="123">
        <v>7.5871700000000004</v>
      </c>
      <c r="Q288" s="123">
        <v>6.0582200000000004</v>
      </c>
    </row>
    <row r="289" spans="1:17" x14ac:dyDescent="0.15">
      <c r="A289" s="123">
        <v>1988</v>
      </c>
      <c r="B289" s="123">
        <v>6961.56</v>
      </c>
      <c r="C289" s="123">
        <v>1.6601299999999999E-2</v>
      </c>
      <c r="D289" s="123">
        <v>12.160600000000001</v>
      </c>
      <c r="E289" s="123">
        <v>166.56399999999999</v>
      </c>
      <c r="F289" s="123">
        <v>1075.68</v>
      </c>
      <c r="G289" s="123">
        <v>591.58799999999997</v>
      </c>
      <c r="H289" s="123">
        <v>2331.5300000000002</v>
      </c>
      <c r="I289" s="123">
        <v>746.02300000000002</v>
      </c>
      <c r="J289" s="123">
        <v>768.91700000000003</v>
      </c>
      <c r="K289" s="123">
        <v>429.10199999999998</v>
      </c>
      <c r="L289" s="123">
        <v>617.48599999999999</v>
      </c>
      <c r="M289" s="123">
        <v>157.49700000000001</v>
      </c>
      <c r="N289" s="123">
        <v>33.264800000000001</v>
      </c>
      <c r="O289" s="123">
        <v>14.5501</v>
      </c>
      <c r="P289" s="123">
        <v>9.1805000000000003</v>
      </c>
      <c r="Q289" s="123">
        <v>7.9966499999999998</v>
      </c>
    </row>
    <row r="290" spans="1:17" x14ac:dyDescent="0.15">
      <c r="A290" s="123">
        <v>1989</v>
      </c>
      <c r="B290" s="123">
        <v>6981.96</v>
      </c>
      <c r="C290" s="123">
        <v>3.5265600000000001E-2</v>
      </c>
      <c r="D290" s="123">
        <v>6.9763200000000003</v>
      </c>
      <c r="E290" s="123">
        <v>106.253</v>
      </c>
      <c r="F290" s="123">
        <v>392.43599999999998</v>
      </c>
      <c r="G290" s="123">
        <v>1555.42</v>
      </c>
      <c r="H290" s="123">
        <v>549.57299999999998</v>
      </c>
      <c r="I290" s="123">
        <v>2554.87</v>
      </c>
      <c r="J290" s="123">
        <v>414.62200000000001</v>
      </c>
      <c r="K290" s="123">
        <v>514.02599999999995</v>
      </c>
      <c r="L290" s="123">
        <v>279.47899999999998</v>
      </c>
      <c r="M290" s="123">
        <v>468.89600000000002</v>
      </c>
      <c r="N290" s="123">
        <v>99.106300000000005</v>
      </c>
      <c r="O290" s="123">
        <v>20.7654</v>
      </c>
      <c r="P290" s="123">
        <v>9.0169999999999995</v>
      </c>
      <c r="Q290" s="123">
        <v>10.484</v>
      </c>
    </row>
    <row r="291" spans="1:17" x14ac:dyDescent="0.15">
      <c r="A291" s="123">
        <v>1990</v>
      </c>
      <c r="B291" s="123">
        <v>5720.02</v>
      </c>
      <c r="C291" s="123">
        <v>0.13423599999999999</v>
      </c>
      <c r="D291" s="123">
        <v>14.082100000000001</v>
      </c>
      <c r="E291" s="123">
        <v>33.918799999999997</v>
      </c>
      <c r="F291" s="123">
        <v>308.82799999999997</v>
      </c>
      <c r="G291" s="123">
        <v>616.78399999999999</v>
      </c>
      <c r="H291" s="123">
        <v>1597.2</v>
      </c>
      <c r="I291" s="123">
        <v>601.52499999999998</v>
      </c>
      <c r="J291" s="123">
        <v>1393.23</v>
      </c>
      <c r="K291" s="123">
        <v>300.14999999999998</v>
      </c>
      <c r="L291" s="123">
        <v>306.38900000000001</v>
      </c>
      <c r="M291" s="123">
        <v>195.76900000000001</v>
      </c>
      <c r="N291" s="123">
        <v>272.11700000000002</v>
      </c>
      <c r="O291" s="123">
        <v>57.056600000000003</v>
      </c>
      <c r="P291" s="123">
        <v>11.8682</v>
      </c>
      <c r="Q291" s="123">
        <v>10.9611</v>
      </c>
    </row>
    <row r="292" spans="1:17" x14ac:dyDescent="0.15">
      <c r="A292" s="123">
        <v>1991</v>
      </c>
      <c r="B292" s="123">
        <v>4549.8999999999996</v>
      </c>
      <c r="C292" s="123">
        <v>6.9583599999999995E-2</v>
      </c>
      <c r="D292" s="123">
        <v>70.451499999999996</v>
      </c>
      <c r="E292" s="123">
        <v>68.384299999999996</v>
      </c>
      <c r="F292" s="123">
        <v>189.8</v>
      </c>
      <c r="G292" s="123">
        <v>376.82799999999997</v>
      </c>
      <c r="H292" s="123">
        <v>537.74900000000002</v>
      </c>
      <c r="I292" s="123">
        <v>1438.8</v>
      </c>
      <c r="J292" s="123">
        <v>275.53899999999999</v>
      </c>
      <c r="K292" s="123">
        <v>916.12</v>
      </c>
      <c r="L292" s="123">
        <v>150.52600000000001</v>
      </c>
      <c r="M292" s="123">
        <v>211.29900000000001</v>
      </c>
      <c r="N292" s="123">
        <v>116.26300000000001</v>
      </c>
      <c r="O292" s="123">
        <v>153.79</v>
      </c>
      <c r="P292" s="123">
        <v>32.260599999999997</v>
      </c>
      <c r="Q292" s="123">
        <v>12.018800000000001</v>
      </c>
    </row>
    <row r="293" spans="1:17" x14ac:dyDescent="0.15">
      <c r="A293" s="123">
        <v>1992</v>
      </c>
      <c r="B293" s="123">
        <v>4295.3999999999996</v>
      </c>
      <c r="C293" s="123">
        <v>4.9008799999999998E-2</v>
      </c>
      <c r="D293" s="123">
        <v>20.3474</v>
      </c>
      <c r="E293" s="123">
        <v>767.58900000000006</v>
      </c>
      <c r="F293" s="123">
        <v>477.798</v>
      </c>
      <c r="G293" s="123">
        <v>166.21899999999999</v>
      </c>
      <c r="H293" s="123">
        <v>312.25900000000001</v>
      </c>
      <c r="I293" s="123">
        <v>425.20600000000002</v>
      </c>
      <c r="J293" s="123">
        <v>876.97400000000005</v>
      </c>
      <c r="K293" s="123">
        <v>216.41300000000001</v>
      </c>
      <c r="L293" s="123">
        <v>630.30399999999997</v>
      </c>
      <c r="M293" s="123">
        <v>105.273</v>
      </c>
      <c r="N293" s="123">
        <v>125.051</v>
      </c>
      <c r="O293" s="123">
        <v>57.5473</v>
      </c>
      <c r="P293" s="123">
        <v>88.038700000000006</v>
      </c>
      <c r="Q293" s="123">
        <v>26.336400000000001</v>
      </c>
    </row>
    <row r="294" spans="1:17" x14ac:dyDescent="0.15">
      <c r="A294" s="123">
        <v>1993</v>
      </c>
      <c r="B294" s="123">
        <v>5866.3</v>
      </c>
      <c r="C294" s="123">
        <v>0.112305</v>
      </c>
      <c r="D294" s="123">
        <v>17.444600000000001</v>
      </c>
      <c r="E294" s="123">
        <v>497.85500000000002</v>
      </c>
      <c r="F294" s="123">
        <v>3040.75</v>
      </c>
      <c r="G294" s="123">
        <v>328.32900000000001</v>
      </c>
      <c r="H294" s="123">
        <v>197.762</v>
      </c>
      <c r="I294" s="123">
        <v>269.24599999999998</v>
      </c>
      <c r="J294" s="123">
        <v>296.19900000000001</v>
      </c>
      <c r="K294" s="123">
        <v>514.74099999999999</v>
      </c>
      <c r="L294" s="123">
        <v>117.992</v>
      </c>
      <c r="M294" s="123">
        <v>322.40899999999999</v>
      </c>
      <c r="N294" s="123">
        <v>68.147499999999994</v>
      </c>
      <c r="O294" s="123">
        <v>82.352000000000004</v>
      </c>
      <c r="P294" s="123">
        <v>42.6357</v>
      </c>
      <c r="Q294" s="123">
        <v>70.332999999999998</v>
      </c>
    </row>
    <row r="295" spans="1:17" x14ac:dyDescent="0.15">
      <c r="A295" s="123">
        <v>1994</v>
      </c>
      <c r="B295" s="123">
        <v>4546.97</v>
      </c>
      <c r="C295" s="123">
        <v>1.8386400000000001E-2</v>
      </c>
      <c r="D295" s="123">
        <v>26.438099999999999</v>
      </c>
      <c r="E295" s="123">
        <v>79.149100000000004</v>
      </c>
      <c r="F295" s="123">
        <v>598.44600000000003</v>
      </c>
      <c r="G295" s="123">
        <v>2522.36</v>
      </c>
      <c r="H295" s="123">
        <v>532.94000000000005</v>
      </c>
      <c r="I295" s="123">
        <v>116.517</v>
      </c>
      <c r="J295" s="123">
        <v>122.28400000000001</v>
      </c>
      <c r="K295" s="123">
        <v>129.4</v>
      </c>
      <c r="L295" s="123">
        <v>175.21700000000001</v>
      </c>
      <c r="M295" s="123">
        <v>40.762599999999999</v>
      </c>
      <c r="N295" s="123">
        <v>120.63</v>
      </c>
      <c r="O295" s="123">
        <v>22.520700000000001</v>
      </c>
      <c r="P295" s="123">
        <v>24.742999999999999</v>
      </c>
      <c r="Q295" s="123">
        <v>35.544899999999998</v>
      </c>
    </row>
    <row r="296" spans="1:17" x14ac:dyDescent="0.15">
      <c r="A296" s="123">
        <v>1995</v>
      </c>
      <c r="B296" s="123">
        <v>5641.15</v>
      </c>
      <c r="C296" s="123">
        <v>1.2539399999999999E-2</v>
      </c>
      <c r="D296" s="123">
        <v>7.4802400000000002</v>
      </c>
      <c r="E296" s="123">
        <v>173.35400000000001</v>
      </c>
      <c r="F296" s="123">
        <v>408.733</v>
      </c>
      <c r="G296" s="123">
        <v>1456.45</v>
      </c>
      <c r="H296" s="123">
        <v>2872.91</v>
      </c>
      <c r="I296" s="123">
        <v>251.39400000000001</v>
      </c>
      <c r="J296" s="123">
        <v>73.668599999999998</v>
      </c>
      <c r="K296" s="123">
        <v>74.273300000000006</v>
      </c>
      <c r="L296" s="123">
        <v>67.668099999999995</v>
      </c>
      <c r="M296" s="123">
        <v>107.093</v>
      </c>
      <c r="N296" s="123">
        <v>27.707699999999999</v>
      </c>
      <c r="O296" s="123">
        <v>71.282600000000002</v>
      </c>
      <c r="P296" s="123">
        <v>12.344200000000001</v>
      </c>
      <c r="Q296" s="123">
        <v>36.777099999999997</v>
      </c>
    </row>
    <row r="297" spans="1:17" x14ac:dyDescent="0.15">
      <c r="A297" s="123">
        <v>1996</v>
      </c>
      <c r="B297" s="123">
        <v>4521.29</v>
      </c>
      <c r="C297" s="123">
        <v>2.9766899999999999E-2</v>
      </c>
      <c r="D297" s="123">
        <v>12.094200000000001</v>
      </c>
      <c r="E297" s="123">
        <v>68.397499999999994</v>
      </c>
      <c r="F297" s="123">
        <v>546.82899999999995</v>
      </c>
      <c r="G297" s="123">
        <v>515.93899999999996</v>
      </c>
      <c r="H297" s="123">
        <v>1017.87</v>
      </c>
      <c r="I297" s="123">
        <v>1795.76</v>
      </c>
      <c r="J297" s="123">
        <v>180.59299999999999</v>
      </c>
      <c r="K297" s="123">
        <v>57.055199999999999</v>
      </c>
      <c r="L297" s="123">
        <v>49.107500000000002</v>
      </c>
      <c r="M297" s="123">
        <v>52.775300000000001</v>
      </c>
      <c r="N297" s="123">
        <v>88.369900000000001</v>
      </c>
      <c r="O297" s="123">
        <v>21.975200000000001</v>
      </c>
      <c r="P297" s="123">
        <v>69.846000000000004</v>
      </c>
      <c r="Q297" s="123">
        <v>44.650199999999998</v>
      </c>
    </row>
    <row r="298" spans="1:17" x14ac:dyDescent="0.15">
      <c r="A298" s="123">
        <v>1997</v>
      </c>
      <c r="B298" s="123">
        <v>4537.28</v>
      </c>
      <c r="C298" s="123">
        <v>3.9756300000000001E-2</v>
      </c>
      <c r="D298" s="123">
        <v>29.151900000000001</v>
      </c>
      <c r="E298" s="123">
        <v>45.457700000000003</v>
      </c>
      <c r="F298" s="123">
        <v>173.279</v>
      </c>
      <c r="G298" s="123">
        <v>960.97</v>
      </c>
      <c r="H298" s="123">
        <v>940.69399999999996</v>
      </c>
      <c r="I298" s="123">
        <v>1105.1199999999999</v>
      </c>
      <c r="J298" s="123">
        <v>948.82500000000005</v>
      </c>
      <c r="K298" s="123">
        <v>103.7</v>
      </c>
      <c r="L298" s="123">
        <v>33.268500000000003</v>
      </c>
      <c r="M298" s="123">
        <v>33.656599999999997</v>
      </c>
      <c r="N298" s="123">
        <v>32.778500000000001</v>
      </c>
      <c r="O298" s="123">
        <v>59.858400000000003</v>
      </c>
      <c r="P298" s="123">
        <v>12.5398</v>
      </c>
      <c r="Q298" s="123">
        <v>57.936500000000002</v>
      </c>
    </row>
    <row r="299" spans="1:17" x14ac:dyDescent="0.15">
      <c r="A299" s="123">
        <v>1998</v>
      </c>
      <c r="B299" s="123">
        <v>5904.55</v>
      </c>
      <c r="C299" s="123">
        <v>2.2221299999999999E-2</v>
      </c>
      <c r="D299" s="123">
        <v>30.809699999999999</v>
      </c>
      <c r="E299" s="123">
        <v>410.60599999999999</v>
      </c>
      <c r="F299" s="123">
        <v>285.34899999999999</v>
      </c>
      <c r="G299" s="123">
        <v>517.71900000000005</v>
      </c>
      <c r="H299" s="123">
        <v>2238.4499999999998</v>
      </c>
      <c r="I299" s="123">
        <v>881.07</v>
      </c>
      <c r="J299" s="123">
        <v>690.04499999999996</v>
      </c>
      <c r="K299" s="123">
        <v>622.43299999999999</v>
      </c>
      <c r="L299" s="123">
        <v>64.078599999999994</v>
      </c>
      <c r="M299" s="123">
        <v>21.6645</v>
      </c>
      <c r="N299" s="123">
        <v>23.5291</v>
      </c>
      <c r="O299" s="123">
        <v>24.2608</v>
      </c>
      <c r="P299" s="123">
        <v>38.042400000000001</v>
      </c>
      <c r="Q299" s="123">
        <v>56.469700000000003</v>
      </c>
    </row>
    <row r="300" spans="1:17" x14ac:dyDescent="0.15">
      <c r="A300" s="123">
        <v>1999</v>
      </c>
      <c r="B300" s="123">
        <v>5713.8</v>
      </c>
      <c r="C300" s="123">
        <v>2.4960099999999999E-2</v>
      </c>
      <c r="D300" s="123">
        <v>14.217000000000001</v>
      </c>
      <c r="E300" s="123">
        <v>588.255</v>
      </c>
      <c r="F300" s="123">
        <v>573.18499999999995</v>
      </c>
      <c r="G300" s="123">
        <v>354.21199999999999</v>
      </c>
      <c r="H300" s="123">
        <v>698.84</v>
      </c>
      <c r="I300" s="123">
        <v>1973.09</v>
      </c>
      <c r="J300" s="123">
        <v>669.57799999999997</v>
      </c>
      <c r="K300" s="123">
        <v>391.82799999999997</v>
      </c>
      <c r="L300" s="123">
        <v>325.63299999999998</v>
      </c>
      <c r="M300" s="123">
        <v>36.9236</v>
      </c>
      <c r="N300" s="123">
        <v>14.7844</v>
      </c>
      <c r="O300" s="123">
        <v>13.247</v>
      </c>
      <c r="P300" s="123">
        <v>11.268599999999999</v>
      </c>
      <c r="Q300" s="123">
        <v>48.709099999999999</v>
      </c>
    </row>
    <row r="301" spans="1:17" x14ac:dyDescent="0.15">
      <c r="A301" s="123">
        <v>2000</v>
      </c>
      <c r="B301" s="123">
        <v>5490.09</v>
      </c>
      <c r="C301" s="123">
        <v>3.1219E-2</v>
      </c>
      <c r="D301" s="123">
        <v>7.1533300000000004</v>
      </c>
      <c r="E301" s="123">
        <v>103.89400000000001</v>
      </c>
      <c r="F301" s="123">
        <v>958.95799999999997</v>
      </c>
      <c r="G301" s="123">
        <v>1125.6199999999999</v>
      </c>
      <c r="H301" s="123">
        <v>495.524</v>
      </c>
      <c r="I301" s="123">
        <v>614.35699999999997</v>
      </c>
      <c r="J301" s="123">
        <v>1442.54</v>
      </c>
      <c r="K301" s="123">
        <v>332.63</v>
      </c>
      <c r="L301" s="123">
        <v>160.22999999999999</v>
      </c>
      <c r="M301" s="123">
        <v>164.964</v>
      </c>
      <c r="N301" s="123">
        <v>21.491099999999999</v>
      </c>
      <c r="O301" s="123">
        <v>7.3446899999999999</v>
      </c>
      <c r="P301" s="123">
        <v>9.5814500000000002</v>
      </c>
      <c r="Q301" s="123">
        <v>45.767899999999997</v>
      </c>
    </row>
    <row r="302" spans="1:17" x14ac:dyDescent="0.15">
      <c r="A302" s="123">
        <v>2001</v>
      </c>
      <c r="B302" s="123">
        <v>5615.29</v>
      </c>
      <c r="C302" s="123">
        <v>4.8403300000000003E-2</v>
      </c>
      <c r="D302" s="123">
        <v>11.365</v>
      </c>
      <c r="E302" s="123">
        <v>107.129</v>
      </c>
      <c r="F302" s="123">
        <v>427.637</v>
      </c>
      <c r="G302" s="123">
        <v>1570.13</v>
      </c>
      <c r="H302" s="123">
        <v>1190.33</v>
      </c>
      <c r="I302" s="123">
        <v>492.31700000000001</v>
      </c>
      <c r="J302" s="123">
        <v>476.25</v>
      </c>
      <c r="K302" s="123">
        <v>842.29399999999998</v>
      </c>
      <c r="L302" s="123">
        <v>202.49100000000001</v>
      </c>
      <c r="M302" s="123">
        <v>123.464</v>
      </c>
      <c r="N302" s="123">
        <v>118.398</v>
      </c>
      <c r="O302" s="123">
        <v>16.253399999999999</v>
      </c>
      <c r="P302" s="123">
        <v>5.1444400000000003</v>
      </c>
      <c r="Q302" s="123">
        <v>32.035800000000002</v>
      </c>
    </row>
    <row r="303" spans="1:17" x14ac:dyDescent="0.15">
      <c r="A303" s="123">
        <v>2002</v>
      </c>
      <c r="B303" s="123">
        <v>5741.8</v>
      </c>
      <c r="C303" s="123">
        <v>2.57995E-2</v>
      </c>
      <c r="D303" s="123">
        <v>24</v>
      </c>
      <c r="E303" s="123">
        <v>313.99</v>
      </c>
      <c r="F303" s="123">
        <v>369.14600000000002</v>
      </c>
      <c r="G303" s="123">
        <v>734.38</v>
      </c>
      <c r="H303" s="123">
        <v>1990.75</v>
      </c>
      <c r="I303" s="123">
        <v>1027.78</v>
      </c>
      <c r="J303" s="123">
        <v>301.11700000000002</v>
      </c>
      <c r="K303" s="123">
        <v>254.523</v>
      </c>
      <c r="L303" s="123">
        <v>443.822</v>
      </c>
      <c r="M303" s="123">
        <v>114.965</v>
      </c>
      <c r="N303" s="123">
        <v>70.699299999999994</v>
      </c>
      <c r="O303" s="123">
        <v>69.674300000000002</v>
      </c>
      <c r="P303" s="123">
        <v>7.2081400000000002</v>
      </c>
      <c r="Q303" s="123">
        <v>19.730699999999999</v>
      </c>
    </row>
    <row r="304" spans="1:17" x14ac:dyDescent="0.15">
      <c r="A304" s="123">
        <v>2003</v>
      </c>
      <c r="B304" s="123">
        <v>5309.04</v>
      </c>
      <c r="C304" s="123">
        <v>1.4223700000000001E-2</v>
      </c>
      <c r="D304" s="123">
        <v>12.3224</v>
      </c>
      <c r="E304" s="123">
        <v>622.60799999999995</v>
      </c>
      <c r="F304" s="123">
        <v>623.08000000000004</v>
      </c>
      <c r="G304" s="123">
        <v>813.01800000000003</v>
      </c>
      <c r="H304" s="123">
        <v>871.94200000000001</v>
      </c>
      <c r="I304" s="123">
        <v>1122.3699999999999</v>
      </c>
      <c r="J304" s="123">
        <v>577.61599999999999</v>
      </c>
      <c r="K304" s="123">
        <v>149.185</v>
      </c>
      <c r="L304" s="123">
        <v>117.696</v>
      </c>
      <c r="M304" s="123">
        <v>234.03</v>
      </c>
      <c r="N304" s="123">
        <v>66.675700000000006</v>
      </c>
      <c r="O304" s="123">
        <v>43.793700000000001</v>
      </c>
      <c r="P304" s="123">
        <v>35.709899999999998</v>
      </c>
      <c r="Q304" s="123">
        <v>18.983599999999999</v>
      </c>
    </row>
    <row r="305" spans="1:17" x14ac:dyDescent="0.15">
      <c r="A305" s="123">
        <v>2004</v>
      </c>
      <c r="B305" s="123">
        <v>6199.05</v>
      </c>
      <c r="C305" s="123">
        <v>4.9063900000000001E-3</v>
      </c>
      <c r="D305" s="123">
        <v>5.0759600000000002</v>
      </c>
      <c r="E305" s="123">
        <v>156.75200000000001</v>
      </c>
      <c r="F305" s="123">
        <v>1878.12</v>
      </c>
      <c r="G305" s="123">
        <v>1467.73</v>
      </c>
      <c r="H305" s="123">
        <v>935.21900000000005</v>
      </c>
      <c r="I305" s="123">
        <v>520.74900000000002</v>
      </c>
      <c r="J305" s="123">
        <v>615.43100000000004</v>
      </c>
      <c r="K305" s="123">
        <v>265.69099999999997</v>
      </c>
      <c r="L305" s="123">
        <v>68.855699999999999</v>
      </c>
      <c r="M305" s="123">
        <v>52.000399999999999</v>
      </c>
      <c r="N305" s="123">
        <v>137.00399999999999</v>
      </c>
      <c r="O305" s="123">
        <v>44.738599999999998</v>
      </c>
      <c r="P305" s="123">
        <v>23.633299999999998</v>
      </c>
      <c r="Q305" s="123">
        <v>28.047499999999999</v>
      </c>
    </row>
    <row r="306" spans="1:17" x14ac:dyDescent="0.15">
      <c r="A306" s="123">
        <v>2005</v>
      </c>
      <c r="B306" s="123">
        <v>6106.44</v>
      </c>
      <c r="C306" s="123">
        <v>5.1750299999999997E-3</v>
      </c>
      <c r="D306" s="123">
        <v>1.8409500000000001</v>
      </c>
      <c r="E306" s="123">
        <v>75.200800000000001</v>
      </c>
      <c r="F306" s="123">
        <v>860.33199999999999</v>
      </c>
      <c r="G306" s="123">
        <v>2164.31</v>
      </c>
      <c r="H306" s="123">
        <v>1398.4</v>
      </c>
      <c r="I306" s="123">
        <v>621.33500000000004</v>
      </c>
      <c r="J306" s="123">
        <v>293.214</v>
      </c>
      <c r="K306" s="123">
        <v>329.37200000000001</v>
      </c>
      <c r="L306" s="123">
        <v>135.72200000000001</v>
      </c>
      <c r="M306" s="123">
        <v>34.697099999999999</v>
      </c>
      <c r="N306" s="123">
        <v>36.712699999999998</v>
      </c>
      <c r="O306" s="123">
        <v>95.332099999999997</v>
      </c>
      <c r="P306" s="123">
        <v>23.8004</v>
      </c>
      <c r="Q306" s="123">
        <v>36.172499999999999</v>
      </c>
    </row>
    <row r="307" spans="1:17" x14ac:dyDescent="0.15">
      <c r="A307" s="123">
        <v>2006</v>
      </c>
      <c r="B307" s="123">
        <v>4966.3599999999997</v>
      </c>
      <c r="C307" s="123">
        <v>1.30432E-2</v>
      </c>
      <c r="D307" s="123">
        <v>1.95851</v>
      </c>
      <c r="E307" s="123">
        <v>29.188199999999998</v>
      </c>
      <c r="F307" s="123">
        <v>364.18</v>
      </c>
      <c r="G307" s="123">
        <v>1157.0999999999999</v>
      </c>
      <c r="H307" s="123">
        <v>1539.97</v>
      </c>
      <c r="I307" s="123">
        <v>932.76099999999997</v>
      </c>
      <c r="J307" s="123">
        <v>356.02600000000001</v>
      </c>
      <c r="K307" s="123">
        <v>158.30699999999999</v>
      </c>
      <c r="L307" s="123">
        <v>172.017</v>
      </c>
      <c r="M307" s="123">
        <v>82.145600000000002</v>
      </c>
      <c r="N307" s="123">
        <v>25.848800000000001</v>
      </c>
      <c r="O307" s="123">
        <v>26.501300000000001</v>
      </c>
      <c r="P307" s="123">
        <v>72.084400000000002</v>
      </c>
      <c r="Q307" s="123">
        <v>48.265900000000002</v>
      </c>
    </row>
    <row r="308" spans="1:17" x14ac:dyDescent="0.15">
      <c r="A308" s="123">
        <v>2007</v>
      </c>
      <c r="B308" s="123">
        <v>3997.45</v>
      </c>
      <c r="C308" s="123">
        <v>4.79348E-2</v>
      </c>
      <c r="D308" s="123">
        <v>5.0516800000000002</v>
      </c>
      <c r="E308" s="123">
        <v>35.722099999999998</v>
      </c>
      <c r="F308" s="123">
        <v>149.08199999999999</v>
      </c>
      <c r="G308" s="123">
        <v>655.18200000000002</v>
      </c>
      <c r="H308" s="123">
        <v>742.16800000000001</v>
      </c>
      <c r="I308" s="123">
        <v>1425.85</v>
      </c>
      <c r="J308" s="123">
        <v>497.65499999999997</v>
      </c>
      <c r="K308" s="123">
        <v>173.46799999999999</v>
      </c>
      <c r="L308" s="123">
        <v>74.443700000000007</v>
      </c>
      <c r="M308" s="123">
        <v>91.317899999999995</v>
      </c>
      <c r="N308" s="123">
        <v>49.507100000000001</v>
      </c>
      <c r="O308" s="123">
        <v>15.140599999999999</v>
      </c>
      <c r="P308" s="123">
        <v>14.9247</v>
      </c>
      <c r="Q308" s="123">
        <v>67.884399999999999</v>
      </c>
    </row>
    <row r="310" spans="1:17" x14ac:dyDescent="0.15">
      <c r="A310" s="123" t="s">
        <v>539</v>
      </c>
    </row>
    <row r="311" spans="1:17" x14ac:dyDescent="0.15">
      <c r="A311" s="123" t="s">
        <v>540</v>
      </c>
      <c r="B311" s="123">
        <v>0.21996299999999999</v>
      </c>
    </row>
    <row r="312" spans="1:17" x14ac:dyDescent="0.15">
      <c r="A312" s="123" t="s">
        <v>295</v>
      </c>
      <c r="B312" s="123">
        <v>2.1019700000000001</v>
      </c>
    </row>
    <row r="313" spans="1:17" x14ac:dyDescent="0.15">
      <c r="A313" s="123" t="s">
        <v>541</v>
      </c>
      <c r="B313" s="123">
        <v>9.9355799999999999</v>
      </c>
    </row>
    <row r="314" spans="1:17" x14ac:dyDescent="0.15">
      <c r="A314" s="123" t="s">
        <v>542</v>
      </c>
      <c r="B314" s="123">
        <v>6.6449299999999996</v>
      </c>
    </row>
    <row r="315" spans="1:17" x14ac:dyDescent="0.15">
      <c r="A315" s="123" t="s">
        <v>543</v>
      </c>
      <c r="B315" s="123">
        <v>19.511800000000001</v>
      </c>
    </row>
    <row r="317" spans="1:17" x14ac:dyDescent="0.15">
      <c r="A317" s="123" t="s">
        <v>544</v>
      </c>
    </row>
    <row r="318" spans="1:17" x14ac:dyDescent="0.15">
      <c r="A318" s="123" t="s">
        <v>545</v>
      </c>
      <c r="B318" s="123">
        <v>-900.73299999999995</v>
      </c>
    </row>
    <row r="319" spans="1:17" x14ac:dyDescent="0.15">
      <c r="A319" s="123" t="s">
        <v>546</v>
      </c>
      <c r="B319" s="123">
        <v>-30.8216</v>
      </c>
    </row>
    <row r="320" spans="1:17" x14ac:dyDescent="0.15">
      <c r="A320" s="123" t="s">
        <v>547</v>
      </c>
      <c r="B320" s="123">
        <v>-434.44200000000001</v>
      </c>
    </row>
    <row r="321" spans="1:2" x14ac:dyDescent="0.15">
      <c r="A321" s="123" t="s">
        <v>548</v>
      </c>
      <c r="B321" s="123">
        <v>1148.28</v>
      </c>
    </row>
    <row r="323" spans="1:2" x14ac:dyDescent="0.15">
      <c r="A323" s="123" t="s">
        <v>549</v>
      </c>
      <c r="B323" s="123" t="s">
        <v>550</v>
      </c>
    </row>
    <row r="324" spans="1:2" x14ac:dyDescent="0.15">
      <c r="A324" s="123" t="s">
        <v>551</v>
      </c>
      <c r="B324" s="123">
        <v>7.1653000000000002</v>
      </c>
    </row>
    <row r="325" spans="1:2" x14ac:dyDescent="0.15">
      <c r="A325" s="123" t="s">
        <v>552</v>
      </c>
      <c r="B325" s="123">
        <v>6.89236</v>
      </c>
    </row>
    <row r="326" spans="1:2" x14ac:dyDescent="0.15">
      <c r="A326" s="123" t="s">
        <v>553</v>
      </c>
      <c r="B326" s="123">
        <v>2.14791</v>
      </c>
    </row>
    <row r="327" spans="1:2" x14ac:dyDescent="0.15">
      <c r="A327" s="123" t="s">
        <v>554</v>
      </c>
      <c r="B327" s="123">
        <v>0</v>
      </c>
    </row>
    <row r="328" spans="1:2" x14ac:dyDescent="0.15">
      <c r="A328" s="123" t="s">
        <v>555</v>
      </c>
      <c r="B328" s="123">
        <v>3.47939</v>
      </c>
    </row>
    <row r="329" spans="1:2" x14ac:dyDescent="0.15">
      <c r="A329" s="123" t="s">
        <v>556</v>
      </c>
      <c r="B329" s="123">
        <v>0</v>
      </c>
    </row>
    <row r="330" spans="1:2" x14ac:dyDescent="0.15">
      <c r="A330" s="123" t="s">
        <v>557</v>
      </c>
      <c r="B330" s="123">
        <v>0</v>
      </c>
    </row>
    <row r="331" spans="1:2" x14ac:dyDescent="0.15">
      <c r="A331" s="123" t="s">
        <v>558</v>
      </c>
      <c r="B331" s="123">
        <v>6.3952499999999999</v>
      </c>
    </row>
    <row r="332" spans="1:2" x14ac:dyDescent="0.15">
      <c r="A332" s="123" t="s">
        <v>559</v>
      </c>
      <c r="B332" s="123">
        <v>0</v>
      </c>
    </row>
    <row r="333" spans="1:2" x14ac:dyDescent="0.15">
      <c r="A333" s="123" t="s">
        <v>560</v>
      </c>
      <c r="B333" s="123">
        <v>9.2917E-2</v>
      </c>
    </row>
    <row r="334" spans="1:2" x14ac:dyDescent="0.15">
      <c r="A334" s="123" t="s">
        <v>561</v>
      </c>
      <c r="B334" s="123">
        <v>24.104700000000001</v>
      </c>
    </row>
    <row r="335" spans="1:2" x14ac:dyDescent="0.15">
      <c r="A335" s="123" t="s">
        <v>562</v>
      </c>
      <c r="B335" s="123">
        <v>17.553599999999999</v>
      </c>
    </row>
    <row r="336" spans="1:2" x14ac:dyDescent="0.15">
      <c r="A336" s="123" t="s">
        <v>563</v>
      </c>
      <c r="B336" s="123">
        <v>7.0907600000000004</v>
      </c>
    </row>
    <row r="337" spans="1:45" x14ac:dyDescent="0.15">
      <c r="A337" s="123" t="s">
        <v>564</v>
      </c>
      <c r="B337" s="123">
        <v>3.0134799999999999E-18</v>
      </c>
    </row>
    <row r="338" spans="1:45" x14ac:dyDescent="0.15">
      <c r="A338" s="123" t="s">
        <v>565</v>
      </c>
      <c r="B338" s="123">
        <v>0</v>
      </c>
    </row>
    <row r="339" spans="1:45" x14ac:dyDescent="0.15">
      <c r="A339" s="123" t="s">
        <v>566</v>
      </c>
      <c r="B339" s="123">
        <v>3.6573299999999999E-3</v>
      </c>
    </row>
    <row r="340" spans="1:45" x14ac:dyDescent="0.15">
      <c r="A340" s="123" t="s">
        <v>528</v>
      </c>
      <c r="B340" s="123">
        <v>8.5620600000000007</v>
      </c>
      <c r="C340" s="123">
        <v>3.9312999999999998</v>
      </c>
      <c r="D340" s="123">
        <v>8.6488700000000005</v>
      </c>
      <c r="E340" s="123" t="s">
        <v>113</v>
      </c>
    </row>
    <row r="341" spans="1:45" x14ac:dyDescent="0.15">
      <c r="A341" s="123" t="s">
        <v>529</v>
      </c>
      <c r="B341" s="123">
        <v>0</v>
      </c>
    </row>
    <row r="343" spans="1:45" x14ac:dyDescent="0.15">
      <c r="A343" s="123" t="s">
        <v>567</v>
      </c>
    </row>
    <row r="344" spans="1:45" x14ac:dyDescent="0.15">
      <c r="A344" s="123" t="s">
        <v>568</v>
      </c>
      <c r="B344" s="123">
        <v>-172.131</v>
      </c>
    </row>
    <row r="345" spans="1:45" x14ac:dyDescent="0.15">
      <c r="A345" s="123" t="s">
        <v>569</v>
      </c>
      <c r="B345" s="123">
        <v>-95.8125</v>
      </c>
    </row>
    <row r="347" spans="1:45" x14ac:dyDescent="0.15">
      <c r="A347" s="123" t="s">
        <v>120</v>
      </c>
    </row>
    <row r="348" spans="1:45" x14ac:dyDescent="0.15">
      <c r="B348" s="123">
        <v>510.387</v>
      </c>
      <c r="C348" s="123">
        <v>609.46100000000001</v>
      </c>
      <c r="D348" s="123">
        <v>679.89700000000005</v>
      </c>
      <c r="E348" s="123">
        <v>815.10599999999999</v>
      </c>
      <c r="F348" s="123">
        <v>984.745</v>
      </c>
      <c r="G348" s="123">
        <v>1271.73</v>
      </c>
      <c r="H348" s="123">
        <v>1664.32</v>
      </c>
      <c r="I348" s="123">
        <v>1945.31</v>
      </c>
      <c r="J348" s="123">
        <v>1917.87</v>
      </c>
      <c r="K348" s="123">
        <v>1550.24</v>
      </c>
      <c r="L348" s="123">
        <v>1058.93</v>
      </c>
      <c r="M348" s="123">
        <v>855.81</v>
      </c>
      <c r="N348" s="123">
        <v>870.92200000000003</v>
      </c>
      <c r="O348" s="123">
        <v>922.46400000000006</v>
      </c>
      <c r="P348" s="123">
        <v>950.096</v>
      </c>
      <c r="Q348" s="123">
        <v>932.59500000000003</v>
      </c>
      <c r="R348" s="123">
        <v>1066.94</v>
      </c>
      <c r="S348" s="123">
        <v>1762.76</v>
      </c>
      <c r="T348" s="123">
        <v>2665.53</v>
      </c>
      <c r="U348" s="123">
        <v>3268.14</v>
      </c>
      <c r="V348" s="123">
        <v>3476.38</v>
      </c>
      <c r="W348" s="123">
        <v>3757.18</v>
      </c>
      <c r="X348" s="123">
        <v>4015.9</v>
      </c>
      <c r="Y348" s="123">
        <v>4157.57</v>
      </c>
      <c r="Z348" s="123">
        <v>4138.66</v>
      </c>
      <c r="AA348" s="123">
        <v>3717.94</v>
      </c>
      <c r="AB348" s="123">
        <v>2994.17</v>
      </c>
      <c r="AC348" s="123">
        <v>2229.2600000000002</v>
      </c>
      <c r="AD348" s="123">
        <v>2344.35</v>
      </c>
      <c r="AE348" s="123">
        <v>3237.62</v>
      </c>
      <c r="AF348" s="123">
        <v>3561.71</v>
      </c>
      <c r="AG348" s="123">
        <v>3827.72</v>
      </c>
      <c r="AH348" s="123">
        <v>3852.73</v>
      </c>
      <c r="AI348" s="123">
        <v>3669.93</v>
      </c>
      <c r="AJ348" s="123">
        <v>3382.62</v>
      </c>
      <c r="AK348" s="123">
        <v>3396.7</v>
      </c>
      <c r="AL348" s="123">
        <v>3416.91</v>
      </c>
      <c r="AM348" s="123">
        <v>3426.88</v>
      </c>
      <c r="AN348" s="123">
        <v>3226.36</v>
      </c>
      <c r="AO348" s="123">
        <v>3471.79</v>
      </c>
      <c r="AP348" s="123">
        <v>3612.84</v>
      </c>
      <c r="AQ348" s="123">
        <v>3263.87</v>
      </c>
      <c r="AR348" s="123">
        <v>2616.8000000000002</v>
      </c>
      <c r="AS348" s="123">
        <v>1946.04</v>
      </c>
    </row>
    <row r="349" spans="1:45" x14ac:dyDescent="0.15">
      <c r="A349" s="123" t="s">
        <v>200</v>
      </c>
    </row>
    <row r="350" spans="1:45" x14ac:dyDescent="0.15">
      <c r="B350" s="123">
        <v>0</v>
      </c>
      <c r="C350" s="123">
        <v>0</v>
      </c>
      <c r="D350" s="123">
        <v>0</v>
      </c>
      <c r="E350" s="123">
        <v>0</v>
      </c>
      <c r="F350" s="123">
        <v>0</v>
      </c>
      <c r="G350" s="123">
        <v>0</v>
      </c>
      <c r="H350" s="123">
        <v>0</v>
      </c>
      <c r="I350" s="123">
        <v>0</v>
      </c>
      <c r="J350" s="123">
        <v>0</v>
      </c>
      <c r="K350" s="123">
        <v>0</v>
      </c>
      <c r="L350" s="123">
        <v>0</v>
      </c>
    </row>
    <row r="351" spans="1:45" x14ac:dyDescent="0.15">
      <c r="B351" s="123">
        <v>0</v>
      </c>
      <c r="C351" s="123">
        <v>0</v>
      </c>
      <c r="D351" s="123">
        <v>0</v>
      </c>
      <c r="E351" s="123">
        <v>0</v>
      </c>
      <c r="F351" s="123">
        <v>0</v>
      </c>
      <c r="G351" s="123">
        <v>0</v>
      </c>
      <c r="H351" s="123">
        <v>0</v>
      </c>
      <c r="I351" s="123">
        <v>0</v>
      </c>
      <c r="J351" s="123">
        <v>0</v>
      </c>
      <c r="K351" s="123">
        <v>0</v>
      </c>
      <c r="L351" s="123">
        <v>0</v>
      </c>
    </row>
    <row r="352" spans="1:45" x14ac:dyDescent="0.15">
      <c r="B352" s="123">
        <v>0</v>
      </c>
      <c r="C352" s="123">
        <v>0</v>
      </c>
      <c r="D352" s="123">
        <v>0</v>
      </c>
      <c r="E352" s="123">
        <v>0</v>
      </c>
      <c r="F352" s="123">
        <v>0</v>
      </c>
      <c r="G352" s="123">
        <v>0</v>
      </c>
      <c r="H352" s="123">
        <v>0</v>
      </c>
      <c r="I352" s="123">
        <v>0</v>
      </c>
      <c r="J352" s="123">
        <v>0</v>
      </c>
      <c r="K352" s="123">
        <v>0</v>
      </c>
      <c r="L352" s="123">
        <v>0</v>
      </c>
    </row>
    <row r="353" spans="1:21" x14ac:dyDescent="0.15">
      <c r="B353" s="123">
        <v>0</v>
      </c>
      <c r="C353" s="123">
        <v>0</v>
      </c>
      <c r="D353" s="123">
        <v>0</v>
      </c>
      <c r="E353" s="123">
        <v>0</v>
      </c>
      <c r="F353" s="123">
        <v>0</v>
      </c>
      <c r="G353" s="123">
        <v>0</v>
      </c>
      <c r="H353" s="123">
        <v>0</v>
      </c>
      <c r="I353" s="123">
        <v>0</v>
      </c>
      <c r="J353" s="123">
        <v>0</v>
      </c>
      <c r="K353" s="123">
        <v>0</v>
      </c>
      <c r="L353" s="123">
        <v>0</v>
      </c>
    </row>
    <row r="354" spans="1:21" x14ac:dyDescent="0.15">
      <c r="B354" s="123">
        <v>0</v>
      </c>
      <c r="C354" s="123">
        <v>0</v>
      </c>
      <c r="D354" s="123">
        <v>0</v>
      </c>
      <c r="E354" s="123">
        <v>0</v>
      </c>
      <c r="F354" s="123">
        <v>0</v>
      </c>
      <c r="G354" s="123">
        <v>0</v>
      </c>
      <c r="H354" s="123">
        <v>0</v>
      </c>
      <c r="I354" s="123">
        <v>0</v>
      </c>
      <c r="J354" s="123">
        <v>0</v>
      </c>
      <c r="K354" s="123">
        <v>0</v>
      </c>
      <c r="L354" s="123">
        <v>0</v>
      </c>
    </row>
    <row r="355" spans="1:21" x14ac:dyDescent="0.15">
      <c r="B355" s="123">
        <v>0</v>
      </c>
      <c r="C355" s="123">
        <v>0</v>
      </c>
      <c r="D355" s="123">
        <v>0</v>
      </c>
      <c r="E355" s="123">
        <v>0</v>
      </c>
      <c r="F355" s="123">
        <v>0</v>
      </c>
      <c r="G355" s="123">
        <v>0</v>
      </c>
      <c r="H355" s="123">
        <v>0</v>
      </c>
      <c r="I355" s="123">
        <v>0</v>
      </c>
      <c r="J355" s="123">
        <v>0</v>
      </c>
      <c r="K355" s="123">
        <v>0</v>
      </c>
      <c r="L355" s="123">
        <v>0</v>
      </c>
    </row>
    <row r="356" spans="1:21" x14ac:dyDescent="0.15">
      <c r="B356" s="123">
        <v>0</v>
      </c>
      <c r="C356" s="123">
        <v>0</v>
      </c>
      <c r="D356" s="123">
        <v>0</v>
      </c>
      <c r="E356" s="123">
        <v>0</v>
      </c>
      <c r="F356" s="123">
        <v>0</v>
      </c>
      <c r="G356" s="123">
        <v>0</v>
      </c>
      <c r="H356" s="123">
        <v>0</v>
      </c>
      <c r="I356" s="123">
        <v>0</v>
      </c>
      <c r="J356" s="123">
        <v>0</v>
      </c>
      <c r="K356" s="123">
        <v>0</v>
      </c>
      <c r="L356" s="123">
        <v>0</v>
      </c>
    </row>
    <row r="357" spans="1:21" x14ac:dyDescent="0.15">
      <c r="B357" s="123">
        <v>0</v>
      </c>
      <c r="C357" s="123">
        <v>0</v>
      </c>
      <c r="D357" s="123">
        <v>0</v>
      </c>
      <c r="E357" s="123">
        <v>0</v>
      </c>
      <c r="F357" s="123">
        <v>0</v>
      </c>
      <c r="G357" s="123">
        <v>0</v>
      </c>
      <c r="H357" s="123">
        <v>0</v>
      </c>
      <c r="I357" s="123">
        <v>0</v>
      </c>
      <c r="J357" s="123">
        <v>0</v>
      </c>
      <c r="K357" s="123">
        <v>0</v>
      </c>
      <c r="L357" s="123">
        <v>0</v>
      </c>
    </row>
    <row r="358" spans="1:21" x14ac:dyDescent="0.15">
      <c r="B358" s="123">
        <v>0</v>
      </c>
      <c r="C358" s="123">
        <v>0</v>
      </c>
      <c r="D358" s="123">
        <v>0</v>
      </c>
      <c r="E358" s="123">
        <v>0</v>
      </c>
      <c r="F358" s="123">
        <v>0</v>
      </c>
      <c r="G358" s="123">
        <v>0</v>
      </c>
      <c r="H358" s="123">
        <v>0</v>
      </c>
      <c r="I358" s="123">
        <v>0</v>
      </c>
      <c r="J358" s="123">
        <v>0</v>
      </c>
      <c r="K358" s="123">
        <v>0</v>
      </c>
      <c r="L358" s="123">
        <v>0</v>
      </c>
    </row>
    <row r="359" spans="1:21" x14ac:dyDescent="0.15">
      <c r="B359" s="123">
        <v>0</v>
      </c>
      <c r="C359" s="123">
        <v>0</v>
      </c>
      <c r="D359" s="123">
        <v>0</v>
      </c>
      <c r="E359" s="123">
        <v>0</v>
      </c>
      <c r="F359" s="123">
        <v>0</v>
      </c>
      <c r="G359" s="123">
        <v>0</v>
      </c>
      <c r="H359" s="123">
        <v>0</v>
      </c>
      <c r="I359" s="123">
        <v>0</v>
      </c>
      <c r="J359" s="123">
        <v>0</v>
      </c>
      <c r="K359" s="123">
        <v>0</v>
      </c>
      <c r="L359" s="123">
        <v>0</v>
      </c>
    </row>
    <row r="360" spans="1:21" x14ac:dyDescent="0.15">
      <c r="B360" s="123">
        <v>0</v>
      </c>
      <c r="C360" s="123">
        <v>0</v>
      </c>
      <c r="D360" s="123">
        <v>0</v>
      </c>
      <c r="E360" s="123">
        <v>0</v>
      </c>
      <c r="F360" s="123">
        <v>0</v>
      </c>
      <c r="G360" s="123">
        <v>0</v>
      </c>
      <c r="H360" s="123">
        <v>0</v>
      </c>
      <c r="I360" s="123">
        <v>0</v>
      </c>
      <c r="J360" s="123">
        <v>0</v>
      </c>
      <c r="K360" s="123">
        <v>0</v>
      </c>
      <c r="L360" s="123">
        <v>0</v>
      </c>
    </row>
    <row r="361" spans="1:21" x14ac:dyDescent="0.15">
      <c r="B361" s="123" t="s">
        <v>203</v>
      </c>
      <c r="C361" s="123" t="s">
        <v>156</v>
      </c>
      <c r="D361" s="123" t="s">
        <v>201</v>
      </c>
      <c r="E361" s="123" t="s">
        <v>204</v>
      </c>
      <c r="F361" s="123" t="s">
        <v>205</v>
      </c>
    </row>
    <row r="362" spans="1:21" x14ac:dyDescent="0.15">
      <c r="B362" s="123">
        <v>141.39500000000001</v>
      </c>
      <c r="C362" s="123">
        <v>424.18400000000003</v>
      </c>
      <c r="D362" s="123">
        <v>706.97400000000005</v>
      </c>
      <c r="E362" s="123">
        <v>989.76300000000003</v>
      </c>
      <c r="F362" s="123">
        <v>1272.55</v>
      </c>
      <c r="G362" s="123">
        <v>1555.34</v>
      </c>
      <c r="H362" s="123">
        <v>1838.13</v>
      </c>
      <c r="I362" s="123">
        <v>2120.92</v>
      </c>
      <c r="J362" s="123">
        <v>2403.71</v>
      </c>
      <c r="K362" s="123">
        <v>2686.5</v>
      </c>
      <c r="L362" s="123">
        <v>2969.29</v>
      </c>
      <c r="M362" s="123">
        <v>3252.08</v>
      </c>
      <c r="N362" s="123">
        <v>3534.87</v>
      </c>
      <c r="O362" s="123">
        <v>3817.66</v>
      </c>
      <c r="P362" s="123">
        <v>4100.45</v>
      </c>
      <c r="Q362" s="123">
        <v>4383.24</v>
      </c>
      <c r="R362" s="123">
        <v>4666.03</v>
      </c>
      <c r="S362" s="123">
        <v>4948.82</v>
      </c>
      <c r="T362" s="123">
        <v>5231.6099999999997</v>
      </c>
      <c r="U362" s="123">
        <v>5514.39</v>
      </c>
    </row>
    <row r="363" spans="1:21" x14ac:dyDescent="0.15">
      <c r="B363" s="123">
        <v>4479.99</v>
      </c>
      <c r="C363" s="123">
        <v>11901.9</v>
      </c>
      <c r="D363" s="123">
        <v>17566.400000000001</v>
      </c>
      <c r="E363" s="123">
        <v>21778.6</v>
      </c>
      <c r="F363" s="123">
        <v>24796.6</v>
      </c>
      <c r="G363" s="123">
        <v>26838.6</v>
      </c>
      <c r="H363" s="123">
        <v>28088.6</v>
      </c>
      <c r="I363" s="123">
        <v>28700.9</v>
      </c>
      <c r="J363" s="123">
        <v>28805.200000000001</v>
      </c>
      <c r="K363" s="123">
        <v>28509.8</v>
      </c>
      <c r="L363" s="123">
        <v>27904.7</v>
      </c>
      <c r="M363" s="123">
        <v>27064.799999999999</v>
      </c>
      <c r="N363" s="123">
        <v>26051.599999999999</v>
      </c>
      <c r="O363" s="123">
        <v>24915.9</v>
      </c>
      <c r="P363" s="123">
        <v>23699</v>
      </c>
      <c r="Q363" s="123">
        <v>22434.2</v>
      </c>
      <c r="R363" s="123">
        <v>21148.6</v>
      </c>
      <c r="S363" s="123">
        <v>19863.400000000001</v>
      </c>
      <c r="T363" s="123">
        <v>18595.400000000001</v>
      </c>
      <c r="U363" s="123">
        <v>17357.5</v>
      </c>
    </row>
    <row r="364" spans="1:21" x14ac:dyDescent="0.15">
      <c r="A364" s="123">
        <v>-168.655</v>
      </c>
      <c r="B364" s="123">
        <v>54.640099999999997</v>
      </c>
      <c r="C364" s="123">
        <v>1</v>
      </c>
    </row>
    <row r="365" spans="1:21" x14ac:dyDescent="0.15">
      <c r="A365" s="123">
        <v>-167.821</v>
      </c>
      <c r="B365" s="123">
        <v>54.640099999999997</v>
      </c>
      <c r="C365" s="123">
        <v>1</v>
      </c>
    </row>
    <row r="366" spans="1:21" x14ac:dyDescent="0.15">
      <c r="A366" s="123">
        <v>-166.988</v>
      </c>
      <c r="B366" s="123">
        <v>54.640099999999997</v>
      </c>
      <c r="C366" s="123">
        <v>1</v>
      </c>
    </row>
    <row r="367" spans="1:21" x14ac:dyDescent="0.15">
      <c r="A367" s="123">
        <v>-166.154</v>
      </c>
      <c r="B367" s="123">
        <v>54.640099999999997</v>
      </c>
      <c r="C367" s="123">
        <v>1</v>
      </c>
    </row>
    <row r="368" spans="1:21" x14ac:dyDescent="0.15">
      <c r="A368" s="123">
        <v>-165.321</v>
      </c>
      <c r="B368" s="123">
        <v>54.640099999999997</v>
      </c>
      <c r="C368" s="123">
        <v>1</v>
      </c>
    </row>
    <row r="369" spans="1:3" x14ac:dyDescent="0.15">
      <c r="A369" s="123">
        <v>-164.488</v>
      </c>
      <c r="B369" s="123">
        <v>54.640099999999997</v>
      </c>
      <c r="C369" s="123">
        <v>1</v>
      </c>
    </row>
    <row r="370" spans="1:3" x14ac:dyDescent="0.15">
      <c r="A370" s="123">
        <v>-163.654</v>
      </c>
      <c r="B370" s="123">
        <v>54.640099999999997</v>
      </c>
      <c r="C370" s="123">
        <v>1</v>
      </c>
    </row>
    <row r="371" spans="1:3" x14ac:dyDescent="0.15">
      <c r="A371" s="123">
        <v>-162.821</v>
      </c>
      <c r="B371" s="123">
        <v>54.640099999999997</v>
      </c>
      <c r="C371" s="123">
        <v>1</v>
      </c>
    </row>
    <row r="372" spans="1:3" x14ac:dyDescent="0.15">
      <c r="A372" s="123">
        <v>-161.98699999999999</v>
      </c>
      <c r="B372" s="123">
        <v>54.640099999999997</v>
      </c>
      <c r="C372" s="123">
        <v>1</v>
      </c>
    </row>
    <row r="373" spans="1:3" x14ac:dyDescent="0.15">
      <c r="A373" s="123">
        <v>-161.154</v>
      </c>
      <c r="B373" s="123">
        <v>54.640099999999997</v>
      </c>
      <c r="C373" s="123">
        <v>1</v>
      </c>
    </row>
    <row r="374" spans="1:3" x14ac:dyDescent="0.15">
      <c r="A374" s="123">
        <v>-160.321</v>
      </c>
      <c r="B374" s="123">
        <v>54.640099999999997</v>
      </c>
      <c r="C374" s="123">
        <v>1</v>
      </c>
    </row>
    <row r="375" spans="1:3" x14ac:dyDescent="0.15">
      <c r="A375" s="123">
        <v>-168.655</v>
      </c>
      <c r="B375" s="123">
        <v>54.950899999999997</v>
      </c>
      <c r="C375" s="123">
        <v>1</v>
      </c>
    </row>
    <row r="376" spans="1:3" x14ac:dyDescent="0.15">
      <c r="A376" s="123">
        <v>-167.821</v>
      </c>
      <c r="B376" s="123">
        <v>54.950899999999997</v>
      </c>
      <c r="C376" s="123">
        <v>1</v>
      </c>
    </row>
    <row r="377" spans="1:3" x14ac:dyDescent="0.15">
      <c r="A377" s="123">
        <v>-166.988</v>
      </c>
      <c r="B377" s="123">
        <v>54.950899999999997</v>
      </c>
      <c r="C377" s="123">
        <v>1</v>
      </c>
    </row>
    <row r="378" spans="1:3" x14ac:dyDescent="0.15">
      <c r="A378" s="123">
        <v>-166.154</v>
      </c>
      <c r="B378" s="123">
        <v>54.950899999999997</v>
      </c>
      <c r="C378" s="123">
        <v>1</v>
      </c>
    </row>
    <row r="379" spans="1:3" x14ac:dyDescent="0.15">
      <c r="A379" s="123">
        <v>-165.321</v>
      </c>
      <c r="B379" s="123">
        <v>54.950899999999997</v>
      </c>
      <c r="C379" s="123">
        <v>1</v>
      </c>
    </row>
    <row r="380" spans="1:3" x14ac:dyDescent="0.15">
      <c r="A380" s="123">
        <v>-164.488</v>
      </c>
      <c r="B380" s="123">
        <v>54.950899999999997</v>
      </c>
      <c r="C380" s="123">
        <v>1</v>
      </c>
    </row>
    <row r="381" spans="1:3" x14ac:dyDescent="0.15">
      <c r="A381" s="123">
        <v>-163.654</v>
      </c>
      <c r="B381" s="123">
        <v>54.950899999999997</v>
      </c>
      <c r="C381" s="123">
        <v>1</v>
      </c>
    </row>
    <row r="382" spans="1:3" x14ac:dyDescent="0.15">
      <c r="A382" s="123">
        <v>-162.821</v>
      </c>
      <c r="B382" s="123">
        <v>54.950899999999997</v>
      </c>
      <c r="C382" s="123">
        <v>1</v>
      </c>
    </row>
    <row r="383" spans="1:3" x14ac:dyDescent="0.15">
      <c r="A383" s="123">
        <v>-161.98699999999999</v>
      </c>
      <c r="B383" s="123">
        <v>54.950899999999997</v>
      </c>
      <c r="C383" s="123">
        <v>1</v>
      </c>
    </row>
    <row r="384" spans="1:3" x14ac:dyDescent="0.15">
      <c r="A384" s="123">
        <v>-161.154</v>
      </c>
      <c r="B384" s="123">
        <v>54.950899999999997</v>
      </c>
      <c r="C384" s="123">
        <v>1</v>
      </c>
    </row>
    <row r="385" spans="1:3" x14ac:dyDescent="0.15">
      <c r="A385" s="123">
        <v>-160.321</v>
      </c>
      <c r="B385" s="123">
        <v>54.950899999999997</v>
      </c>
      <c r="C385" s="123">
        <v>1</v>
      </c>
    </row>
    <row r="386" spans="1:3" x14ac:dyDescent="0.15">
      <c r="A386" s="123">
        <v>-168.655</v>
      </c>
      <c r="B386" s="123">
        <v>55.261699999999998</v>
      </c>
      <c r="C386" s="123">
        <v>1</v>
      </c>
    </row>
    <row r="387" spans="1:3" x14ac:dyDescent="0.15">
      <c r="A387" s="123">
        <v>-167.821</v>
      </c>
      <c r="B387" s="123">
        <v>55.261699999999998</v>
      </c>
      <c r="C387" s="123">
        <v>1</v>
      </c>
    </row>
    <row r="388" spans="1:3" x14ac:dyDescent="0.15">
      <c r="A388" s="123">
        <v>-166.988</v>
      </c>
      <c r="B388" s="123">
        <v>55.261699999999998</v>
      </c>
      <c r="C388" s="123">
        <v>1</v>
      </c>
    </row>
    <row r="389" spans="1:3" x14ac:dyDescent="0.15">
      <c r="A389" s="123">
        <v>-166.154</v>
      </c>
      <c r="B389" s="123">
        <v>55.261699999999998</v>
      </c>
      <c r="C389" s="123">
        <v>1</v>
      </c>
    </row>
    <row r="390" spans="1:3" x14ac:dyDescent="0.15">
      <c r="A390" s="123">
        <v>-165.321</v>
      </c>
      <c r="B390" s="123">
        <v>55.261699999999998</v>
      </c>
      <c r="C390" s="123">
        <v>1</v>
      </c>
    </row>
    <row r="391" spans="1:3" x14ac:dyDescent="0.15">
      <c r="A391" s="123">
        <v>-164.488</v>
      </c>
      <c r="B391" s="123">
        <v>55.261699999999998</v>
      </c>
      <c r="C391" s="123">
        <v>1</v>
      </c>
    </row>
    <row r="392" spans="1:3" x14ac:dyDescent="0.15">
      <c r="A392" s="123">
        <v>-163.654</v>
      </c>
      <c r="B392" s="123">
        <v>55.261699999999998</v>
      </c>
      <c r="C392" s="123">
        <v>1</v>
      </c>
    </row>
    <row r="393" spans="1:3" x14ac:dyDescent="0.15">
      <c r="A393" s="123">
        <v>-162.821</v>
      </c>
      <c r="B393" s="123">
        <v>55.261699999999998</v>
      </c>
      <c r="C393" s="123">
        <v>1</v>
      </c>
    </row>
    <row r="394" spans="1:3" x14ac:dyDescent="0.15">
      <c r="A394" s="123">
        <v>-161.98699999999999</v>
      </c>
      <c r="B394" s="123">
        <v>55.261699999999998</v>
      </c>
      <c r="C394" s="123">
        <v>1</v>
      </c>
    </row>
    <row r="395" spans="1:3" x14ac:dyDescent="0.15">
      <c r="A395" s="123">
        <v>-161.154</v>
      </c>
      <c r="B395" s="123">
        <v>55.261699999999998</v>
      </c>
      <c r="C395" s="123">
        <v>1</v>
      </c>
    </row>
    <row r="396" spans="1:3" x14ac:dyDescent="0.15">
      <c r="A396" s="123">
        <v>-160.321</v>
      </c>
      <c r="B396" s="123">
        <v>55.261699999999998</v>
      </c>
      <c r="C396" s="123">
        <v>1</v>
      </c>
    </row>
    <row r="397" spans="1:3" x14ac:dyDescent="0.15">
      <c r="A397" s="123">
        <v>-168.655</v>
      </c>
      <c r="B397" s="123">
        <v>55.572600000000001</v>
      </c>
      <c r="C397" s="123">
        <v>1</v>
      </c>
    </row>
    <row r="398" spans="1:3" x14ac:dyDescent="0.15">
      <c r="A398" s="123">
        <v>-167.821</v>
      </c>
      <c r="B398" s="123">
        <v>55.572600000000001</v>
      </c>
      <c r="C398" s="123">
        <v>1</v>
      </c>
    </row>
    <row r="399" spans="1:3" x14ac:dyDescent="0.15">
      <c r="A399" s="123">
        <v>-166.988</v>
      </c>
      <c r="B399" s="123">
        <v>55.572600000000001</v>
      </c>
      <c r="C399" s="123">
        <v>1</v>
      </c>
    </row>
    <row r="400" spans="1:3" x14ac:dyDescent="0.15">
      <c r="A400" s="123">
        <v>-166.154</v>
      </c>
      <c r="B400" s="123">
        <v>55.572600000000001</v>
      </c>
      <c r="C400" s="123">
        <v>1</v>
      </c>
    </row>
    <row r="401" spans="1:3" x14ac:dyDescent="0.15">
      <c r="A401" s="123">
        <v>-165.321</v>
      </c>
      <c r="B401" s="123">
        <v>55.572600000000001</v>
      </c>
      <c r="C401" s="123">
        <v>1</v>
      </c>
    </row>
    <row r="402" spans="1:3" x14ac:dyDescent="0.15">
      <c r="A402" s="123">
        <v>-164.488</v>
      </c>
      <c r="B402" s="123">
        <v>55.572600000000001</v>
      </c>
      <c r="C402" s="123">
        <v>1</v>
      </c>
    </row>
    <row r="403" spans="1:3" x14ac:dyDescent="0.15">
      <c r="A403" s="123">
        <v>-163.654</v>
      </c>
      <c r="B403" s="123">
        <v>55.572600000000001</v>
      </c>
      <c r="C403" s="123">
        <v>1</v>
      </c>
    </row>
    <row r="404" spans="1:3" x14ac:dyDescent="0.15">
      <c r="A404" s="123">
        <v>-162.821</v>
      </c>
      <c r="B404" s="123">
        <v>55.572600000000001</v>
      </c>
      <c r="C404" s="123">
        <v>1</v>
      </c>
    </row>
    <row r="405" spans="1:3" x14ac:dyDescent="0.15">
      <c r="A405" s="123">
        <v>-161.98699999999999</v>
      </c>
      <c r="B405" s="123">
        <v>55.572600000000001</v>
      </c>
      <c r="C405" s="123">
        <v>1</v>
      </c>
    </row>
    <row r="406" spans="1:3" x14ac:dyDescent="0.15">
      <c r="A406" s="123">
        <v>-161.154</v>
      </c>
      <c r="B406" s="123">
        <v>55.572600000000001</v>
      </c>
      <c r="C406" s="123">
        <v>1</v>
      </c>
    </row>
    <row r="407" spans="1:3" x14ac:dyDescent="0.15">
      <c r="A407" s="123">
        <v>-160.321</v>
      </c>
      <c r="B407" s="123">
        <v>55.572600000000001</v>
      </c>
      <c r="C407" s="123">
        <v>1</v>
      </c>
    </row>
    <row r="408" spans="1:3" x14ac:dyDescent="0.15">
      <c r="A408" s="123">
        <v>-168.655</v>
      </c>
      <c r="B408" s="123">
        <v>55.883400000000002</v>
      </c>
      <c r="C408" s="123">
        <v>1</v>
      </c>
    </row>
    <row r="409" spans="1:3" x14ac:dyDescent="0.15">
      <c r="A409" s="123">
        <v>-167.821</v>
      </c>
      <c r="B409" s="123">
        <v>55.883400000000002</v>
      </c>
      <c r="C409" s="123">
        <v>1</v>
      </c>
    </row>
    <row r="410" spans="1:3" x14ac:dyDescent="0.15">
      <c r="A410" s="123">
        <v>-166.988</v>
      </c>
      <c r="B410" s="123">
        <v>55.883400000000002</v>
      </c>
      <c r="C410" s="123">
        <v>1</v>
      </c>
    </row>
    <row r="411" spans="1:3" x14ac:dyDescent="0.15">
      <c r="A411" s="123">
        <v>-166.154</v>
      </c>
      <c r="B411" s="123">
        <v>55.883400000000002</v>
      </c>
      <c r="C411" s="123">
        <v>1</v>
      </c>
    </row>
    <row r="412" spans="1:3" x14ac:dyDescent="0.15">
      <c r="A412" s="123">
        <v>-165.321</v>
      </c>
      <c r="B412" s="123">
        <v>55.883400000000002</v>
      </c>
      <c r="C412" s="123">
        <v>1</v>
      </c>
    </row>
    <row r="413" spans="1:3" x14ac:dyDescent="0.15">
      <c r="A413" s="123">
        <v>-164.488</v>
      </c>
      <c r="B413" s="123">
        <v>55.883400000000002</v>
      </c>
      <c r="C413" s="123">
        <v>1</v>
      </c>
    </row>
    <row r="414" spans="1:3" x14ac:dyDescent="0.15">
      <c r="A414" s="123">
        <v>-163.654</v>
      </c>
      <c r="B414" s="123">
        <v>55.883400000000002</v>
      </c>
      <c r="C414" s="123">
        <v>1</v>
      </c>
    </row>
    <row r="415" spans="1:3" x14ac:dyDescent="0.15">
      <c r="A415" s="123">
        <v>-162.821</v>
      </c>
      <c r="B415" s="123">
        <v>55.883400000000002</v>
      </c>
      <c r="C415" s="123">
        <v>1</v>
      </c>
    </row>
    <row r="416" spans="1:3" x14ac:dyDescent="0.15">
      <c r="A416" s="123">
        <v>-161.98699999999999</v>
      </c>
      <c r="B416" s="123">
        <v>55.883400000000002</v>
      </c>
      <c r="C416" s="123">
        <v>1</v>
      </c>
    </row>
    <row r="417" spans="1:3" x14ac:dyDescent="0.15">
      <c r="A417" s="123">
        <v>-161.154</v>
      </c>
      <c r="B417" s="123">
        <v>55.883400000000002</v>
      </c>
      <c r="C417" s="123">
        <v>1</v>
      </c>
    </row>
    <row r="418" spans="1:3" x14ac:dyDescent="0.15">
      <c r="A418" s="123">
        <v>-160.321</v>
      </c>
      <c r="B418" s="123">
        <v>55.883400000000002</v>
      </c>
      <c r="C418" s="123">
        <v>1</v>
      </c>
    </row>
    <row r="419" spans="1:3" x14ac:dyDescent="0.15">
      <c r="A419" s="123">
        <v>-168.655</v>
      </c>
      <c r="B419" s="123">
        <v>56.194200000000002</v>
      </c>
      <c r="C419" s="123">
        <v>1</v>
      </c>
    </row>
    <row r="420" spans="1:3" x14ac:dyDescent="0.15">
      <c r="A420" s="123">
        <v>-167.821</v>
      </c>
      <c r="B420" s="123">
        <v>56.194200000000002</v>
      </c>
      <c r="C420" s="123">
        <v>1</v>
      </c>
    </row>
    <row r="421" spans="1:3" x14ac:dyDescent="0.15">
      <c r="A421" s="123">
        <v>-166.988</v>
      </c>
      <c r="B421" s="123">
        <v>56.194200000000002</v>
      </c>
      <c r="C421" s="123">
        <v>1</v>
      </c>
    </row>
    <row r="422" spans="1:3" x14ac:dyDescent="0.15">
      <c r="A422" s="123">
        <v>-166.154</v>
      </c>
      <c r="B422" s="123">
        <v>56.194200000000002</v>
      </c>
      <c r="C422" s="123">
        <v>1</v>
      </c>
    </row>
    <row r="423" spans="1:3" x14ac:dyDescent="0.15">
      <c r="A423" s="123">
        <v>-165.321</v>
      </c>
      <c r="B423" s="123">
        <v>56.194200000000002</v>
      </c>
      <c r="C423" s="123">
        <v>1</v>
      </c>
    </row>
    <row r="424" spans="1:3" x14ac:dyDescent="0.15">
      <c r="A424" s="123">
        <v>-164.488</v>
      </c>
      <c r="B424" s="123">
        <v>56.194200000000002</v>
      </c>
      <c r="C424" s="123">
        <v>1</v>
      </c>
    </row>
    <row r="425" spans="1:3" x14ac:dyDescent="0.15">
      <c r="A425" s="123">
        <v>-163.654</v>
      </c>
      <c r="B425" s="123">
        <v>56.194200000000002</v>
      </c>
      <c r="C425" s="123">
        <v>1</v>
      </c>
    </row>
    <row r="426" spans="1:3" x14ac:dyDescent="0.15">
      <c r="A426" s="123">
        <v>-162.821</v>
      </c>
      <c r="B426" s="123">
        <v>56.194200000000002</v>
      </c>
      <c r="C426" s="123">
        <v>1</v>
      </c>
    </row>
    <row r="427" spans="1:3" x14ac:dyDescent="0.15">
      <c r="A427" s="123">
        <v>-161.98699999999999</v>
      </c>
      <c r="B427" s="123">
        <v>56.194200000000002</v>
      </c>
      <c r="C427" s="123">
        <v>1</v>
      </c>
    </row>
    <row r="428" spans="1:3" x14ac:dyDescent="0.15">
      <c r="A428" s="123">
        <v>-161.154</v>
      </c>
      <c r="B428" s="123">
        <v>56.194200000000002</v>
      </c>
      <c r="C428" s="123">
        <v>1</v>
      </c>
    </row>
    <row r="429" spans="1:3" x14ac:dyDescent="0.15">
      <c r="A429" s="123">
        <v>-160.321</v>
      </c>
      <c r="B429" s="123">
        <v>56.194200000000002</v>
      </c>
      <c r="C429" s="123">
        <v>1</v>
      </c>
    </row>
    <row r="430" spans="1:3" x14ac:dyDescent="0.15">
      <c r="A430" s="123">
        <v>-168.655</v>
      </c>
      <c r="B430" s="123">
        <v>56.505000000000003</v>
      </c>
      <c r="C430" s="123">
        <v>1</v>
      </c>
    </row>
    <row r="431" spans="1:3" x14ac:dyDescent="0.15">
      <c r="A431" s="123">
        <v>-167.821</v>
      </c>
      <c r="B431" s="123">
        <v>56.505000000000003</v>
      </c>
      <c r="C431" s="123">
        <v>1</v>
      </c>
    </row>
    <row r="432" spans="1:3" x14ac:dyDescent="0.15">
      <c r="A432" s="123">
        <v>-166.988</v>
      </c>
      <c r="B432" s="123">
        <v>56.505000000000003</v>
      </c>
      <c r="C432" s="123">
        <v>1</v>
      </c>
    </row>
    <row r="433" spans="1:3" x14ac:dyDescent="0.15">
      <c r="A433" s="123">
        <v>-166.154</v>
      </c>
      <c r="B433" s="123">
        <v>56.505000000000003</v>
      </c>
      <c r="C433" s="123">
        <v>1</v>
      </c>
    </row>
    <row r="434" spans="1:3" x14ac:dyDescent="0.15">
      <c r="A434" s="123">
        <v>-165.321</v>
      </c>
      <c r="B434" s="123">
        <v>56.505000000000003</v>
      </c>
      <c r="C434" s="123">
        <v>1</v>
      </c>
    </row>
    <row r="435" spans="1:3" x14ac:dyDescent="0.15">
      <c r="A435" s="123">
        <v>-164.488</v>
      </c>
      <c r="B435" s="123">
        <v>56.505000000000003</v>
      </c>
      <c r="C435" s="123">
        <v>1</v>
      </c>
    </row>
    <row r="436" spans="1:3" x14ac:dyDescent="0.15">
      <c r="A436" s="123">
        <v>-163.654</v>
      </c>
      <c r="B436" s="123">
        <v>56.505000000000003</v>
      </c>
      <c r="C436" s="123">
        <v>1</v>
      </c>
    </row>
    <row r="437" spans="1:3" x14ac:dyDescent="0.15">
      <c r="A437" s="123">
        <v>-162.821</v>
      </c>
      <c r="B437" s="123">
        <v>56.505000000000003</v>
      </c>
      <c r="C437" s="123">
        <v>1</v>
      </c>
    </row>
    <row r="438" spans="1:3" x14ac:dyDescent="0.15">
      <c r="A438" s="123">
        <v>-161.98699999999999</v>
      </c>
      <c r="B438" s="123">
        <v>56.505000000000003</v>
      </c>
      <c r="C438" s="123">
        <v>1</v>
      </c>
    </row>
    <row r="439" spans="1:3" x14ac:dyDescent="0.15">
      <c r="A439" s="123">
        <v>-161.154</v>
      </c>
      <c r="B439" s="123">
        <v>56.505000000000003</v>
      </c>
      <c r="C439" s="123">
        <v>1</v>
      </c>
    </row>
    <row r="440" spans="1:3" x14ac:dyDescent="0.15">
      <c r="A440" s="123">
        <v>-160.321</v>
      </c>
      <c r="B440" s="123">
        <v>56.505000000000003</v>
      </c>
      <c r="C440" s="123">
        <v>1</v>
      </c>
    </row>
    <row r="441" spans="1:3" x14ac:dyDescent="0.15">
      <c r="A441" s="123">
        <v>-168.655</v>
      </c>
      <c r="B441" s="123">
        <v>56.815800000000003</v>
      </c>
      <c r="C441" s="123">
        <v>1</v>
      </c>
    </row>
    <row r="442" spans="1:3" x14ac:dyDescent="0.15">
      <c r="A442" s="123">
        <v>-167.821</v>
      </c>
      <c r="B442" s="123">
        <v>56.815800000000003</v>
      </c>
      <c r="C442" s="123">
        <v>1</v>
      </c>
    </row>
    <row r="443" spans="1:3" x14ac:dyDescent="0.15">
      <c r="A443" s="123">
        <v>-166.988</v>
      </c>
      <c r="B443" s="123">
        <v>56.815800000000003</v>
      </c>
      <c r="C443" s="123">
        <v>1</v>
      </c>
    </row>
    <row r="444" spans="1:3" x14ac:dyDescent="0.15">
      <c r="A444" s="123">
        <v>-166.154</v>
      </c>
      <c r="B444" s="123">
        <v>56.815800000000003</v>
      </c>
      <c r="C444" s="123">
        <v>1</v>
      </c>
    </row>
    <row r="445" spans="1:3" x14ac:dyDescent="0.15">
      <c r="A445" s="123">
        <v>-165.321</v>
      </c>
      <c r="B445" s="123">
        <v>56.815800000000003</v>
      </c>
      <c r="C445" s="123">
        <v>1</v>
      </c>
    </row>
    <row r="446" spans="1:3" x14ac:dyDescent="0.15">
      <c r="A446" s="123">
        <v>-164.488</v>
      </c>
      <c r="B446" s="123">
        <v>56.815800000000003</v>
      </c>
      <c r="C446" s="123">
        <v>1</v>
      </c>
    </row>
    <row r="447" spans="1:3" x14ac:dyDescent="0.15">
      <c r="A447" s="123">
        <v>-163.654</v>
      </c>
      <c r="B447" s="123">
        <v>56.815800000000003</v>
      </c>
      <c r="C447" s="123">
        <v>1</v>
      </c>
    </row>
    <row r="448" spans="1:3" x14ac:dyDescent="0.15">
      <c r="A448" s="123">
        <v>-162.821</v>
      </c>
      <c r="B448" s="123">
        <v>56.815800000000003</v>
      </c>
      <c r="C448" s="123">
        <v>1</v>
      </c>
    </row>
    <row r="449" spans="1:3" x14ac:dyDescent="0.15">
      <c r="A449" s="123">
        <v>-161.98699999999999</v>
      </c>
      <c r="B449" s="123">
        <v>56.815800000000003</v>
      </c>
      <c r="C449" s="123">
        <v>1</v>
      </c>
    </row>
    <row r="450" spans="1:3" x14ac:dyDescent="0.15">
      <c r="A450" s="123">
        <v>-161.154</v>
      </c>
      <c r="B450" s="123">
        <v>56.815800000000003</v>
      </c>
      <c r="C450" s="123">
        <v>1</v>
      </c>
    </row>
    <row r="451" spans="1:3" x14ac:dyDescent="0.15">
      <c r="A451" s="123">
        <v>-160.321</v>
      </c>
      <c r="B451" s="123">
        <v>56.815800000000003</v>
      </c>
      <c r="C451" s="123">
        <v>1</v>
      </c>
    </row>
    <row r="452" spans="1:3" x14ac:dyDescent="0.15">
      <c r="A452" s="123">
        <v>-168.655</v>
      </c>
      <c r="B452" s="123">
        <v>57.1267</v>
      </c>
      <c r="C452" s="123">
        <v>1</v>
      </c>
    </row>
    <row r="453" spans="1:3" x14ac:dyDescent="0.15">
      <c r="A453" s="123">
        <v>-167.821</v>
      </c>
      <c r="B453" s="123">
        <v>57.1267</v>
      </c>
      <c r="C453" s="123">
        <v>1</v>
      </c>
    </row>
    <row r="454" spans="1:3" x14ac:dyDescent="0.15">
      <c r="A454" s="123">
        <v>-166.988</v>
      </c>
      <c r="B454" s="123">
        <v>57.1267</v>
      </c>
      <c r="C454" s="123">
        <v>1</v>
      </c>
    </row>
    <row r="455" spans="1:3" x14ac:dyDescent="0.15">
      <c r="A455" s="123">
        <v>-166.154</v>
      </c>
      <c r="B455" s="123">
        <v>57.1267</v>
      </c>
      <c r="C455" s="123">
        <v>1</v>
      </c>
    </row>
    <row r="456" spans="1:3" x14ac:dyDescent="0.15">
      <c r="A456" s="123">
        <v>-165.321</v>
      </c>
      <c r="B456" s="123">
        <v>57.1267</v>
      </c>
      <c r="C456" s="123">
        <v>1</v>
      </c>
    </row>
    <row r="457" spans="1:3" x14ac:dyDescent="0.15">
      <c r="A457" s="123">
        <v>-164.488</v>
      </c>
      <c r="B457" s="123">
        <v>57.1267</v>
      </c>
      <c r="C457" s="123">
        <v>1</v>
      </c>
    </row>
    <row r="458" spans="1:3" x14ac:dyDescent="0.15">
      <c r="A458" s="123">
        <v>-163.654</v>
      </c>
      <c r="B458" s="123">
        <v>57.1267</v>
      </c>
      <c r="C458" s="123">
        <v>1</v>
      </c>
    </row>
    <row r="459" spans="1:3" x14ac:dyDescent="0.15">
      <c r="A459" s="123">
        <v>-162.821</v>
      </c>
      <c r="B459" s="123">
        <v>57.1267</v>
      </c>
      <c r="C459" s="123">
        <v>1</v>
      </c>
    </row>
    <row r="460" spans="1:3" x14ac:dyDescent="0.15">
      <c r="A460" s="123">
        <v>-161.98699999999999</v>
      </c>
      <c r="B460" s="123">
        <v>57.1267</v>
      </c>
      <c r="C460" s="123">
        <v>1</v>
      </c>
    </row>
    <row r="461" spans="1:3" x14ac:dyDescent="0.15">
      <c r="A461" s="123">
        <v>-161.154</v>
      </c>
      <c r="B461" s="123">
        <v>57.1267</v>
      </c>
      <c r="C461" s="123">
        <v>1</v>
      </c>
    </row>
    <row r="462" spans="1:3" x14ac:dyDescent="0.15">
      <c r="A462" s="123">
        <v>-160.321</v>
      </c>
      <c r="B462" s="123">
        <v>57.1267</v>
      </c>
      <c r="C462" s="123">
        <v>1</v>
      </c>
    </row>
    <row r="463" spans="1:3" x14ac:dyDescent="0.15">
      <c r="A463" s="123">
        <v>-168.655</v>
      </c>
      <c r="B463" s="123">
        <v>57.4375</v>
      </c>
      <c r="C463" s="123">
        <v>1</v>
      </c>
    </row>
    <row r="464" spans="1:3" x14ac:dyDescent="0.15">
      <c r="A464" s="123">
        <v>-167.821</v>
      </c>
      <c r="B464" s="123">
        <v>57.4375</v>
      </c>
      <c r="C464" s="123">
        <v>1</v>
      </c>
    </row>
    <row r="465" spans="1:3" x14ac:dyDescent="0.15">
      <c r="A465" s="123">
        <v>-166.988</v>
      </c>
      <c r="B465" s="123">
        <v>57.4375</v>
      </c>
      <c r="C465" s="123">
        <v>1</v>
      </c>
    </row>
    <row r="466" spans="1:3" x14ac:dyDescent="0.15">
      <c r="A466" s="123">
        <v>-166.154</v>
      </c>
      <c r="B466" s="123">
        <v>57.4375</v>
      </c>
      <c r="C466" s="123">
        <v>1</v>
      </c>
    </row>
    <row r="467" spans="1:3" x14ac:dyDescent="0.15">
      <c r="A467" s="123">
        <v>-165.321</v>
      </c>
      <c r="B467" s="123">
        <v>57.4375</v>
      </c>
      <c r="C467" s="123">
        <v>1</v>
      </c>
    </row>
    <row r="468" spans="1:3" x14ac:dyDescent="0.15">
      <c r="A468" s="123">
        <v>-164.488</v>
      </c>
      <c r="B468" s="123">
        <v>57.4375</v>
      </c>
      <c r="C468" s="123">
        <v>1</v>
      </c>
    </row>
    <row r="469" spans="1:3" x14ac:dyDescent="0.15">
      <c r="A469" s="123">
        <v>-163.654</v>
      </c>
      <c r="B469" s="123">
        <v>57.4375</v>
      </c>
      <c r="C469" s="123">
        <v>1</v>
      </c>
    </row>
    <row r="470" spans="1:3" x14ac:dyDescent="0.15">
      <c r="A470" s="123">
        <v>-162.821</v>
      </c>
      <c r="B470" s="123">
        <v>57.4375</v>
      </c>
      <c r="C470" s="123">
        <v>1</v>
      </c>
    </row>
    <row r="471" spans="1:3" x14ac:dyDescent="0.15">
      <c r="A471" s="123">
        <v>-161.98699999999999</v>
      </c>
      <c r="B471" s="123">
        <v>57.4375</v>
      </c>
      <c r="C471" s="123">
        <v>1</v>
      </c>
    </row>
    <row r="472" spans="1:3" x14ac:dyDescent="0.15">
      <c r="A472" s="123">
        <v>-161.154</v>
      </c>
      <c r="B472" s="123">
        <v>57.4375</v>
      </c>
      <c r="C472" s="123">
        <v>1</v>
      </c>
    </row>
    <row r="473" spans="1:3" x14ac:dyDescent="0.15">
      <c r="A473" s="123">
        <v>-160.321</v>
      </c>
      <c r="B473" s="123">
        <v>57.4375</v>
      </c>
      <c r="C473" s="123">
        <v>1</v>
      </c>
    </row>
    <row r="474" spans="1:3" x14ac:dyDescent="0.15">
      <c r="A474" s="123">
        <v>-168.655</v>
      </c>
      <c r="B474" s="123">
        <v>57.7483</v>
      </c>
      <c r="C474" s="123">
        <v>1</v>
      </c>
    </row>
    <row r="475" spans="1:3" x14ac:dyDescent="0.15">
      <c r="A475" s="123">
        <v>-167.821</v>
      </c>
      <c r="B475" s="123">
        <v>57.7483</v>
      </c>
      <c r="C475" s="123">
        <v>1</v>
      </c>
    </row>
    <row r="476" spans="1:3" x14ac:dyDescent="0.15">
      <c r="A476" s="123">
        <v>-166.988</v>
      </c>
      <c r="B476" s="123">
        <v>57.7483</v>
      </c>
      <c r="C476" s="123">
        <v>1</v>
      </c>
    </row>
    <row r="477" spans="1:3" x14ac:dyDescent="0.15">
      <c r="A477" s="123">
        <v>-166.154</v>
      </c>
      <c r="B477" s="123">
        <v>57.7483</v>
      </c>
      <c r="C477" s="123">
        <v>1</v>
      </c>
    </row>
    <row r="478" spans="1:3" x14ac:dyDescent="0.15">
      <c r="A478" s="123">
        <v>-165.321</v>
      </c>
      <c r="B478" s="123">
        <v>57.7483</v>
      </c>
      <c r="C478" s="123">
        <v>1</v>
      </c>
    </row>
    <row r="479" spans="1:3" x14ac:dyDescent="0.15">
      <c r="A479" s="123">
        <v>-164.488</v>
      </c>
      <c r="B479" s="123">
        <v>57.7483</v>
      </c>
      <c r="C479" s="123">
        <v>1</v>
      </c>
    </row>
    <row r="480" spans="1:3" x14ac:dyDescent="0.15">
      <c r="A480" s="123">
        <v>-163.654</v>
      </c>
      <c r="B480" s="123">
        <v>57.7483</v>
      </c>
      <c r="C480" s="123">
        <v>1</v>
      </c>
    </row>
    <row r="481" spans="1:45" x14ac:dyDescent="0.15">
      <c r="A481" s="123">
        <v>-162.821</v>
      </c>
      <c r="B481" s="123">
        <v>57.7483</v>
      </c>
      <c r="C481" s="123">
        <v>1</v>
      </c>
    </row>
    <row r="482" spans="1:45" x14ac:dyDescent="0.15">
      <c r="A482" s="123">
        <v>-161.98699999999999</v>
      </c>
      <c r="B482" s="123">
        <v>57.7483</v>
      </c>
      <c r="C482" s="123">
        <v>1</v>
      </c>
    </row>
    <row r="483" spans="1:45" x14ac:dyDescent="0.15">
      <c r="A483" s="123">
        <v>-161.154</v>
      </c>
      <c r="B483" s="123">
        <v>57.7483</v>
      </c>
      <c r="C483" s="123">
        <v>1</v>
      </c>
    </row>
    <row r="484" spans="1:45" x14ac:dyDescent="0.15">
      <c r="A484" s="123">
        <v>-160.321</v>
      </c>
      <c r="B484" s="123">
        <v>57.7483</v>
      </c>
      <c r="C484" s="123">
        <v>1</v>
      </c>
    </row>
    <row r="485" spans="1:45" x14ac:dyDescent="0.15">
      <c r="B485" s="123">
        <v>0</v>
      </c>
      <c r="C485" s="123">
        <v>0</v>
      </c>
      <c r="D485" s="123">
        <v>0</v>
      </c>
      <c r="E485" s="123">
        <v>0</v>
      </c>
      <c r="F485" s="123">
        <v>0</v>
      </c>
      <c r="G485" s="123">
        <v>0</v>
      </c>
      <c r="H485" s="123">
        <v>0</v>
      </c>
      <c r="I485" s="123">
        <v>0</v>
      </c>
      <c r="J485" s="123">
        <v>0</v>
      </c>
      <c r="K485" s="123">
        <v>0</v>
      </c>
      <c r="L485" s="123">
        <v>0</v>
      </c>
      <c r="M485" s="123">
        <v>0</v>
      </c>
      <c r="N485" s="123">
        <v>0</v>
      </c>
      <c r="O485" s="123">
        <v>0</v>
      </c>
      <c r="P485" s="123">
        <v>0</v>
      </c>
      <c r="Q485" s="123">
        <v>0</v>
      </c>
      <c r="R485" s="123">
        <v>0</v>
      </c>
      <c r="S485" s="123">
        <v>0</v>
      </c>
      <c r="T485" s="123">
        <v>0</v>
      </c>
      <c r="U485" s="123">
        <v>0</v>
      </c>
      <c r="V485" s="123">
        <v>0</v>
      </c>
      <c r="W485" s="123">
        <v>0</v>
      </c>
      <c r="X485" s="123">
        <v>0</v>
      </c>
      <c r="Y485" s="123">
        <v>0</v>
      </c>
      <c r="Z485" s="123">
        <v>0</v>
      </c>
      <c r="AA485" s="123">
        <v>0</v>
      </c>
      <c r="AB485" s="123">
        <v>0</v>
      </c>
      <c r="AC485" s="123">
        <v>0</v>
      </c>
      <c r="AD485" s="123">
        <v>0</v>
      </c>
      <c r="AE485" s="123">
        <v>0</v>
      </c>
      <c r="AF485" s="123">
        <v>0</v>
      </c>
      <c r="AG485" s="123">
        <v>0</v>
      </c>
      <c r="AH485" s="123">
        <v>0</v>
      </c>
      <c r="AI485" s="123">
        <v>0</v>
      </c>
      <c r="AJ485" s="123">
        <v>0</v>
      </c>
      <c r="AK485" s="123">
        <v>0</v>
      </c>
      <c r="AL485" s="123">
        <v>0</v>
      </c>
      <c r="AM485" s="123">
        <v>0</v>
      </c>
      <c r="AN485" s="123">
        <v>0</v>
      </c>
      <c r="AO485" s="123">
        <v>0</v>
      </c>
      <c r="AP485" s="123">
        <v>0</v>
      </c>
      <c r="AQ485" s="123">
        <v>0</v>
      </c>
      <c r="AR485" s="123">
        <v>0</v>
      </c>
      <c r="AS485" s="123">
        <v>0</v>
      </c>
    </row>
    <row r="487" spans="1:45" x14ac:dyDescent="0.15">
      <c r="A487" s="123" t="s">
        <v>147</v>
      </c>
      <c r="B487" s="123" t="s">
        <v>308</v>
      </c>
      <c r="C487" s="123" t="s">
        <v>309</v>
      </c>
      <c r="D487" s="123" t="s">
        <v>310</v>
      </c>
    </row>
    <row r="488" spans="1:45" x14ac:dyDescent="0.15">
      <c r="A488" s="123">
        <v>1982</v>
      </c>
      <c r="B488" s="123">
        <v>8.0243899999999993E-3</v>
      </c>
      <c r="C488" s="123">
        <v>1.4506399999999999</v>
      </c>
      <c r="D488" s="123">
        <v>1.4506399999999999</v>
      </c>
    </row>
    <row r="489" spans="1:45" x14ac:dyDescent="0.15">
      <c r="A489" s="123">
        <v>1983</v>
      </c>
      <c r="B489" s="123">
        <v>6.6316799999999995E-2</v>
      </c>
      <c r="C489" s="123">
        <v>1.4506399999999999</v>
      </c>
      <c r="D489" s="123">
        <v>1.4506399999999999</v>
      </c>
    </row>
    <row r="490" spans="1:45" x14ac:dyDescent="0.15">
      <c r="A490" s="123">
        <v>1984</v>
      </c>
      <c r="B490" s="123">
        <v>-0.16967299999999999</v>
      </c>
      <c r="C490" s="123">
        <v>1.4506399999999999</v>
      </c>
      <c r="D490" s="123">
        <v>1.4506399999999999</v>
      </c>
    </row>
    <row r="491" spans="1:45" x14ac:dyDescent="0.15">
      <c r="A491" s="123">
        <v>1985</v>
      </c>
      <c r="B491" s="123">
        <v>-2.1246099999999999E-3</v>
      </c>
      <c r="C491" s="123">
        <v>1.4506399999999999</v>
      </c>
      <c r="D491" s="123">
        <v>1.4506399999999999</v>
      </c>
    </row>
    <row r="492" spans="1:45" x14ac:dyDescent="0.15">
      <c r="A492" s="123">
        <v>1986</v>
      </c>
      <c r="B492" s="123">
        <v>-7.2091799999999998E-2</v>
      </c>
      <c r="C492" s="123">
        <v>1.4506399999999999</v>
      </c>
      <c r="D492" s="123">
        <v>1.4506399999999999</v>
      </c>
    </row>
    <row r="493" spans="1:45" x14ac:dyDescent="0.15">
      <c r="A493" s="123">
        <v>1987</v>
      </c>
      <c r="B493" s="123">
        <v>0.119607</v>
      </c>
      <c r="C493" s="123">
        <v>1.4506399999999999</v>
      </c>
      <c r="D493" s="123">
        <v>1.4506399999999999</v>
      </c>
    </row>
    <row r="494" spans="1:45" x14ac:dyDescent="0.15">
      <c r="A494" s="123">
        <v>1988</v>
      </c>
      <c r="B494" s="123">
        <v>5.7073999999999996E-3</v>
      </c>
      <c r="C494" s="123">
        <v>1.4506399999999999</v>
      </c>
      <c r="D494" s="123">
        <v>1.4506399999999999</v>
      </c>
    </row>
    <row r="495" spans="1:45" x14ac:dyDescent="0.15">
      <c r="A495" s="123">
        <v>1989</v>
      </c>
      <c r="B495" s="123">
        <v>0.195303</v>
      </c>
      <c r="C495" s="123">
        <v>1.4506399999999999</v>
      </c>
      <c r="D495" s="123">
        <v>1.4506399999999999</v>
      </c>
    </row>
    <row r="496" spans="1:45" x14ac:dyDescent="0.15">
      <c r="A496" s="123">
        <v>1990</v>
      </c>
      <c r="B496" s="123">
        <v>-8.5860099999999998E-3</v>
      </c>
      <c r="C496" s="123">
        <v>1.4506399999999999</v>
      </c>
      <c r="D496" s="123">
        <v>1.4506399999999999</v>
      </c>
    </row>
    <row r="497" spans="1:4" x14ac:dyDescent="0.15">
      <c r="A497" s="123">
        <v>1991</v>
      </c>
      <c r="B497" s="123">
        <v>-2.76085E-3</v>
      </c>
      <c r="C497" s="123">
        <v>1.4506399999999999</v>
      </c>
      <c r="D497" s="123">
        <v>1.4506399999999999</v>
      </c>
    </row>
    <row r="498" spans="1:4" x14ac:dyDescent="0.15">
      <c r="A498" s="123">
        <v>1992</v>
      </c>
      <c r="B498" s="123">
        <v>-0.211675</v>
      </c>
      <c r="C498" s="123">
        <v>1.4506399999999999</v>
      </c>
      <c r="D498" s="123">
        <v>1.4506399999999999</v>
      </c>
    </row>
    <row r="499" spans="1:4" x14ac:dyDescent="0.15">
      <c r="A499" s="123">
        <v>1993</v>
      </c>
      <c r="B499" s="123">
        <v>0.103324</v>
      </c>
      <c r="C499" s="123">
        <v>1.4506399999999999</v>
      </c>
      <c r="D499" s="123">
        <v>1.4506399999999999</v>
      </c>
    </row>
    <row r="500" spans="1:4" x14ac:dyDescent="0.15">
      <c r="A500" s="123">
        <v>1994</v>
      </c>
      <c r="B500" s="123">
        <v>-0.18227499999999999</v>
      </c>
      <c r="C500" s="123">
        <v>1.4506399999999999</v>
      </c>
      <c r="D500" s="123">
        <v>1.4506399999999999</v>
      </c>
    </row>
    <row r="501" spans="1:4" x14ac:dyDescent="0.15">
      <c r="A501" s="123">
        <v>1995</v>
      </c>
      <c r="B501" s="123">
        <v>-0.19040799999999999</v>
      </c>
      <c r="C501" s="123">
        <v>1.4506399999999999</v>
      </c>
      <c r="D501" s="123">
        <v>1.4506399999999999</v>
      </c>
    </row>
    <row r="502" spans="1:4" x14ac:dyDescent="0.15">
      <c r="A502" s="123">
        <v>1996</v>
      </c>
      <c r="B502" s="123">
        <v>3.6986900000000003E-2</v>
      </c>
      <c r="C502" s="123">
        <v>1.4506399999999999</v>
      </c>
      <c r="D502" s="123">
        <v>1.4506399999999999</v>
      </c>
    </row>
    <row r="503" spans="1:4" x14ac:dyDescent="0.15">
      <c r="A503" s="123">
        <v>1997</v>
      </c>
      <c r="B503" s="123">
        <v>6.5125699999999995E-2</v>
      </c>
      <c r="C503" s="123">
        <v>1.4506399999999999</v>
      </c>
      <c r="D503" s="123">
        <v>1.4506399999999999</v>
      </c>
    </row>
    <row r="504" spans="1:4" x14ac:dyDescent="0.15">
      <c r="A504" s="123">
        <v>1998</v>
      </c>
      <c r="B504" s="123">
        <v>0.163797</v>
      </c>
      <c r="C504" s="123">
        <v>1.4506399999999999</v>
      </c>
      <c r="D504" s="123">
        <v>1.4506399999999999</v>
      </c>
    </row>
    <row r="505" spans="1:4" x14ac:dyDescent="0.15">
      <c r="A505" s="123">
        <v>1999</v>
      </c>
      <c r="B505" s="123">
        <v>-0.30985499999999999</v>
      </c>
      <c r="C505" s="123">
        <v>1.4506399999999999</v>
      </c>
      <c r="D505" s="123">
        <v>1.4506399999999999</v>
      </c>
    </row>
    <row r="506" spans="1:4" x14ac:dyDescent="0.15">
      <c r="A506" s="123">
        <v>2000</v>
      </c>
      <c r="B506" s="123">
        <v>0.11065999999999999</v>
      </c>
      <c r="C506" s="123">
        <v>1.4506399999999999</v>
      </c>
      <c r="D506" s="123">
        <v>1.4506399999999999</v>
      </c>
    </row>
    <row r="507" spans="1:4" x14ac:dyDescent="0.15">
      <c r="A507" s="123">
        <v>2001</v>
      </c>
      <c r="B507" s="123">
        <v>0.13506000000000001</v>
      </c>
      <c r="C507" s="123">
        <v>1.4506399999999999</v>
      </c>
      <c r="D507" s="123">
        <v>1.4506399999999999</v>
      </c>
    </row>
    <row r="508" spans="1:4" x14ac:dyDescent="0.15">
      <c r="A508" s="123">
        <v>2002</v>
      </c>
      <c r="B508" s="123">
        <v>0.17690700000000001</v>
      </c>
      <c r="C508" s="123">
        <v>1.4506399999999999</v>
      </c>
      <c r="D508" s="123">
        <v>1.4506399999999999</v>
      </c>
    </row>
    <row r="509" spans="1:4" x14ac:dyDescent="0.15">
      <c r="A509" s="123">
        <v>2003</v>
      </c>
      <c r="B509" s="123">
        <v>-5.5239099999999999E-2</v>
      </c>
      <c r="C509" s="123">
        <v>1.4506399999999999</v>
      </c>
      <c r="D509" s="123">
        <v>1.4506399999999999</v>
      </c>
    </row>
    <row r="510" spans="1:4" x14ac:dyDescent="0.15">
      <c r="A510" s="123">
        <v>2004</v>
      </c>
      <c r="B510" s="123">
        <v>8.4665299999999999E-2</v>
      </c>
      <c r="C510" s="123">
        <v>1.4506399999999999</v>
      </c>
      <c r="D510" s="123">
        <v>1.4506399999999999</v>
      </c>
    </row>
    <row r="511" spans="1:4" x14ac:dyDescent="0.15">
      <c r="A511" s="123">
        <v>2005</v>
      </c>
      <c r="B511" s="123">
        <v>3.7161600000000003E-2</v>
      </c>
      <c r="C511" s="123">
        <v>1.4506399999999999</v>
      </c>
      <c r="D511" s="123">
        <v>1.4506399999999999</v>
      </c>
    </row>
    <row r="512" spans="1:4" x14ac:dyDescent="0.15">
      <c r="A512" s="123">
        <v>2006</v>
      </c>
      <c r="B512" s="123">
        <v>-0.10395799999999999</v>
      </c>
      <c r="C512" s="123">
        <v>1.4506399999999999</v>
      </c>
      <c r="D512" s="123">
        <v>1.4506399999999999</v>
      </c>
    </row>
    <row r="513" spans="1:16" x14ac:dyDescent="0.15">
      <c r="A513" s="123">
        <v>2007</v>
      </c>
      <c r="B513" s="123">
        <v>-0.10395799999999999</v>
      </c>
      <c r="C513" s="123">
        <v>1.4506399999999999</v>
      </c>
      <c r="D513" s="123">
        <v>1.4506399999999999</v>
      </c>
    </row>
    <row r="515" spans="1:16" x14ac:dyDescent="0.15">
      <c r="A515" s="123" t="s">
        <v>220</v>
      </c>
      <c r="B515" s="123" t="s">
        <v>221</v>
      </c>
    </row>
    <row r="516" spans="1:16" x14ac:dyDescent="0.15">
      <c r="A516" s="123">
        <v>0.27463799999999999</v>
      </c>
      <c r="B516" s="123">
        <v>0.34805599999999998</v>
      </c>
    </row>
    <row r="517" spans="1:16" x14ac:dyDescent="0.15">
      <c r="A517" s="123" t="s">
        <v>570</v>
      </c>
    </row>
    <row r="518" spans="1:16" x14ac:dyDescent="0.15">
      <c r="B518" s="129">
        <v>3.06612E-4</v>
      </c>
      <c r="C518" s="129">
        <v>1.1218199999999999E-2</v>
      </c>
      <c r="D518" s="129">
        <v>0.14519899999999999</v>
      </c>
      <c r="E518" s="129">
        <v>0.69257400000000002</v>
      </c>
      <c r="F518" s="129">
        <v>1.2905</v>
      </c>
      <c r="G518" s="129">
        <v>1.3880300000000001</v>
      </c>
      <c r="H518" s="129">
        <v>1.7652399999999999</v>
      </c>
      <c r="I518" s="129">
        <v>1.7139899999999999</v>
      </c>
      <c r="J518" s="129">
        <v>1.4976799999999999</v>
      </c>
      <c r="K518" s="129">
        <v>1.23505</v>
      </c>
      <c r="L518" s="129">
        <v>1.0520400000000001</v>
      </c>
      <c r="M518" s="129">
        <v>1.0520400000000001</v>
      </c>
      <c r="N518" s="129">
        <v>1.0520400000000001</v>
      </c>
      <c r="O518" s="129">
        <v>1.0520400000000001</v>
      </c>
      <c r="P518" s="129">
        <v>1.0520400000000001</v>
      </c>
    </row>
    <row r="519" spans="1:16" x14ac:dyDescent="0.15">
      <c r="A519" s="123" t="s">
        <v>269</v>
      </c>
      <c r="B519" s="123" t="s">
        <v>239</v>
      </c>
    </row>
    <row r="520" spans="1:16" x14ac:dyDescent="0.15">
      <c r="A520" s="123">
        <v>0.28788999999999998</v>
      </c>
      <c r="B520" s="123">
        <v>0.34227299999999999</v>
      </c>
      <c r="C520" s="123">
        <v>0.237232</v>
      </c>
      <c r="D520" s="123">
        <v>0.16689599999999999</v>
      </c>
      <c r="E520" s="123">
        <v>0.13997599999999999</v>
      </c>
    </row>
    <row r="521" spans="1:16" x14ac:dyDescent="0.15">
      <c r="A521" s="123" t="s">
        <v>270</v>
      </c>
      <c r="B521" s="123" t="s">
        <v>158</v>
      </c>
      <c r="C521" s="123" t="s">
        <v>159</v>
      </c>
      <c r="D521" s="123" t="s">
        <v>271</v>
      </c>
      <c r="E521" s="123" t="s">
        <v>269</v>
      </c>
      <c r="F521" s="123" t="s">
        <v>272</v>
      </c>
      <c r="G521" s="123" t="s">
        <v>273</v>
      </c>
    </row>
    <row r="522" spans="1:16" x14ac:dyDescent="0.15">
      <c r="B522" s="123">
        <v>28389.9</v>
      </c>
      <c r="C522" s="123">
        <v>17134.2</v>
      </c>
      <c r="D522" s="123">
        <v>2964.12</v>
      </c>
      <c r="E522" s="123">
        <v>817.85699999999997</v>
      </c>
      <c r="F522" s="123">
        <v>486.61799999999999</v>
      </c>
      <c r="G522" s="123">
        <v>728.84900000000005</v>
      </c>
      <c r="H522" s="123">
        <v>752.36599999999999</v>
      </c>
      <c r="I522" s="123">
        <v>762.11099999999999</v>
      </c>
      <c r="J522" s="123">
        <v>256.85599999999999</v>
      </c>
      <c r="K522" s="123">
        <v>95.830699999999993</v>
      </c>
      <c r="L522" s="123">
        <v>48.9009</v>
      </c>
      <c r="M522" s="123">
        <v>66.664299999999997</v>
      </c>
      <c r="N522" s="123">
        <v>34.6524</v>
      </c>
      <c r="O522" s="123">
        <v>10.101100000000001</v>
      </c>
      <c r="P522" s="123">
        <v>54.2</v>
      </c>
    </row>
    <row r="523" spans="1:16" x14ac:dyDescent="0.15">
      <c r="B523" s="123">
        <v>25417.9</v>
      </c>
      <c r="C523" s="123">
        <v>11541</v>
      </c>
      <c r="D523" s="123">
        <v>10875.8</v>
      </c>
      <c r="E523" s="123">
        <v>2070.58</v>
      </c>
      <c r="F523" s="123">
        <v>457.81599999999997</v>
      </c>
      <c r="G523" s="123">
        <v>213.863</v>
      </c>
      <c r="H523" s="123">
        <v>307.92599999999999</v>
      </c>
      <c r="I523" s="123">
        <v>272.86900000000003</v>
      </c>
      <c r="J523" s="123">
        <v>282.19499999999999</v>
      </c>
      <c r="K523" s="123">
        <v>103.80800000000001</v>
      </c>
      <c r="L523" s="123">
        <v>43.072000000000003</v>
      </c>
      <c r="M523" s="123">
        <v>23.668199999999999</v>
      </c>
      <c r="N523" s="123">
        <v>32.265700000000002</v>
      </c>
      <c r="O523" s="123">
        <v>16.771799999999999</v>
      </c>
      <c r="P523" s="123">
        <v>31.1219</v>
      </c>
    </row>
    <row r="524" spans="1:16" x14ac:dyDescent="0.15">
      <c r="B524" s="123">
        <v>25818.7</v>
      </c>
      <c r="C524" s="123">
        <v>10332.799999999999</v>
      </c>
      <c r="D524" s="123">
        <v>7324.18</v>
      </c>
      <c r="E524" s="123">
        <v>7578.7</v>
      </c>
      <c r="F524" s="123">
        <v>1145.6199999999999</v>
      </c>
      <c r="G524" s="123">
        <v>196.87700000000001</v>
      </c>
      <c r="H524" s="123">
        <v>88.265000000000001</v>
      </c>
      <c r="I524" s="123">
        <v>108.407</v>
      </c>
      <c r="J524" s="123">
        <v>98.162400000000005</v>
      </c>
      <c r="K524" s="123">
        <v>111.20699999999999</v>
      </c>
      <c r="L524" s="123">
        <v>45.6967</v>
      </c>
      <c r="M524" s="123">
        <v>20.480799999999999</v>
      </c>
      <c r="N524" s="123">
        <v>11.254200000000001</v>
      </c>
      <c r="O524" s="123">
        <v>15.3424</v>
      </c>
      <c r="P524" s="123">
        <v>22.773499999999999</v>
      </c>
    </row>
    <row r="525" spans="1:16" x14ac:dyDescent="0.15">
      <c r="B525" s="123">
        <v>28223.200000000001</v>
      </c>
      <c r="C525" s="123">
        <v>10495.2</v>
      </c>
      <c r="D525" s="123">
        <v>6546.11</v>
      </c>
      <c r="E525" s="123">
        <v>4990.92</v>
      </c>
      <c r="F525" s="123">
        <v>3768.88</v>
      </c>
      <c r="G525" s="123">
        <v>403.84800000000001</v>
      </c>
      <c r="H525" s="123">
        <v>65.6143</v>
      </c>
      <c r="I525" s="123">
        <v>23.676300000000001</v>
      </c>
      <c r="J525" s="123">
        <v>29.9496</v>
      </c>
      <c r="K525" s="123">
        <v>30.714400000000001</v>
      </c>
      <c r="L525" s="123">
        <v>40.473399999999998</v>
      </c>
      <c r="M525" s="123">
        <v>18.478200000000001</v>
      </c>
      <c r="N525" s="123">
        <v>8.2817399999999992</v>
      </c>
      <c r="O525" s="123">
        <v>4.55084</v>
      </c>
      <c r="P525" s="123">
        <v>15.412800000000001</v>
      </c>
    </row>
    <row r="526" spans="1:16" x14ac:dyDescent="0.15">
      <c r="B526" s="123">
        <v>28436.1</v>
      </c>
      <c r="C526" s="123">
        <v>11472.7</v>
      </c>
      <c r="D526" s="123">
        <v>6649</v>
      </c>
      <c r="E526" s="123">
        <v>4460.72</v>
      </c>
      <c r="F526" s="123">
        <v>2481.98</v>
      </c>
      <c r="G526" s="123">
        <v>1328.59</v>
      </c>
      <c r="H526" s="123">
        <v>134.59200000000001</v>
      </c>
      <c r="I526" s="123">
        <v>17.6005</v>
      </c>
      <c r="J526" s="123">
        <v>6.54108</v>
      </c>
      <c r="K526" s="123">
        <v>9.3710500000000003</v>
      </c>
      <c r="L526" s="123">
        <v>11.1784</v>
      </c>
      <c r="M526" s="123">
        <v>16.366099999999999</v>
      </c>
      <c r="N526" s="123">
        <v>7.4719800000000003</v>
      </c>
      <c r="O526" s="123">
        <v>3.3488600000000002</v>
      </c>
      <c r="P526" s="123">
        <v>8.0726200000000006</v>
      </c>
    </row>
    <row r="527" spans="1:16" s="126" customFormat="1" x14ac:dyDescent="0.15">
      <c r="A527" s="126" t="s">
        <v>24</v>
      </c>
      <c r="B527" s="126" t="s">
        <v>25</v>
      </c>
      <c r="C527" s="126" t="s">
        <v>26</v>
      </c>
      <c r="D527" s="126" t="s">
        <v>27</v>
      </c>
      <c r="E527" s="126" t="s">
        <v>28</v>
      </c>
      <c r="F527" s="126" t="s">
        <v>29</v>
      </c>
      <c r="G527" s="126" t="s">
        <v>30</v>
      </c>
      <c r="H527" s="126" t="s">
        <v>31</v>
      </c>
      <c r="I527" s="126" t="s">
        <v>32</v>
      </c>
      <c r="J527" s="126" t="s">
        <v>33</v>
      </c>
      <c r="K527" s="126" t="s">
        <v>34</v>
      </c>
      <c r="L527" s="126" t="s">
        <v>59</v>
      </c>
    </row>
    <row r="528" spans="1:16" x14ac:dyDescent="0.15">
      <c r="A528" s="123">
        <v>0.57548299999999997</v>
      </c>
      <c r="B528" s="123">
        <v>2145.2399999999998</v>
      </c>
      <c r="C528" s="123">
        <v>0.68312799999999996</v>
      </c>
      <c r="D528" s="123">
        <v>19573.2</v>
      </c>
      <c r="E528" s="123">
        <v>5013.09</v>
      </c>
      <c r="F528" s="123">
        <v>0.25612000000000001</v>
      </c>
      <c r="G528" s="123">
        <v>2.15448</v>
      </c>
      <c r="H528" s="123">
        <v>0</v>
      </c>
      <c r="I528" s="123">
        <v>6225.17</v>
      </c>
      <c r="J528" s="123">
        <v>2490.0700000000002</v>
      </c>
      <c r="K528" s="123">
        <v>0.37819700000000001</v>
      </c>
      <c r="L528" s="123">
        <v>5672.28</v>
      </c>
    </row>
    <row r="529" spans="1:31" x14ac:dyDescent="0.15">
      <c r="A529" s="123" t="s">
        <v>64</v>
      </c>
      <c r="B529" s="123">
        <v>544</v>
      </c>
    </row>
    <row r="530" spans="1:31" x14ac:dyDescent="0.15">
      <c r="B530" s="123">
        <v>950.096</v>
      </c>
      <c r="C530" s="123">
        <v>932.59500000000003</v>
      </c>
      <c r="D530" s="123">
        <v>1066.94</v>
      </c>
      <c r="E530" s="123">
        <v>1762.76</v>
      </c>
      <c r="F530" s="123">
        <v>2665.53</v>
      </c>
      <c r="G530" s="123">
        <v>3268.14</v>
      </c>
      <c r="H530" s="123">
        <v>3476.38</v>
      </c>
      <c r="I530" s="123">
        <v>3757.18</v>
      </c>
      <c r="J530" s="123">
        <v>4015.9</v>
      </c>
      <c r="K530" s="123">
        <v>4157.57</v>
      </c>
      <c r="L530" s="123">
        <v>4138.66</v>
      </c>
      <c r="M530" s="123">
        <v>3717.94</v>
      </c>
      <c r="N530" s="123">
        <v>2994.17</v>
      </c>
      <c r="O530" s="123">
        <v>2229.2600000000002</v>
      </c>
      <c r="P530" s="123">
        <v>2344.35</v>
      </c>
      <c r="Q530" s="123">
        <v>3237.62</v>
      </c>
      <c r="R530" s="123">
        <v>3561.71</v>
      </c>
      <c r="S530" s="123">
        <v>3827.72</v>
      </c>
      <c r="T530" s="123">
        <v>3852.73</v>
      </c>
      <c r="U530" s="123">
        <v>3669.93</v>
      </c>
      <c r="V530" s="123">
        <v>3382.62</v>
      </c>
      <c r="W530" s="123">
        <v>3396.7</v>
      </c>
      <c r="X530" s="123">
        <v>3416.91</v>
      </c>
      <c r="Y530" s="123">
        <v>3426.88</v>
      </c>
      <c r="Z530" s="123">
        <v>3226.36</v>
      </c>
      <c r="AA530" s="123">
        <v>3471.79</v>
      </c>
      <c r="AB530" s="123">
        <v>3612.84</v>
      </c>
      <c r="AC530" s="123">
        <v>3263.87</v>
      </c>
      <c r="AD530" s="123">
        <v>2616.8000000000002</v>
      </c>
      <c r="AE530" s="123">
        <v>1946.04</v>
      </c>
    </row>
    <row r="531" spans="1:31" x14ac:dyDescent="0.15">
      <c r="B531" s="123">
        <v>28034.9</v>
      </c>
      <c r="C531" s="123">
        <v>64072.7</v>
      </c>
      <c r="D531" s="123">
        <v>25898.3</v>
      </c>
      <c r="E531" s="123">
        <v>29690.3</v>
      </c>
      <c r="F531" s="123">
        <v>15978.7</v>
      </c>
      <c r="G531" s="123">
        <v>54322.6</v>
      </c>
      <c r="H531" s="123">
        <v>13136.1</v>
      </c>
      <c r="I531" s="123">
        <v>35236.699999999997</v>
      </c>
      <c r="J531" s="123">
        <v>13055.9</v>
      </c>
      <c r="K531" s="123">
        <v>8337.9599999999991</v>
      </c>
      <c r="L531" s="123">
        <v>4783.38</v>
      </c>
      <c r="M531" s="123">
        <v>10161.200000000001</v>
      </c>
      <c r="N531" s="123">
        <v>50836.3</v>
      </c>
      <c r="O531" s="123">
        <v>26351.9</v>
      </c>
      <c r="P531" s="123">
        <v>22592.6</v>
      </c>
      <c r="Q531" s="123">
        <v>51771.8</v>
      </c>
      <c r="R531" s="123">
        <v>14647.6</v>
      </c>
      <c r="S531" s="123">
        <v>9989.61</v>
      </c>
      <c r="T531" s="123">
        <v>24079.1</v>
      </c>
      <c r="U531" s="123">
        <v>32159.8</v>
      </c>
      <c r="V531" s="123">
        <v>14839.8</v>
      </c>
      <c r="W531" s="123">
        <v>16668.900000000001</v>
      </c>
      <c r="X531" s="123">
        <v>26483</v>
      </c>
      <c r="Y531" s="123">
        <v>41060.5</v>
      </c>
      <c r="Z531" s="123">
        <v>21082</v>
      </c>
      <c r="AA531" s="123">
        <v>11622.9</v>
      </c>
      <c r="AB531" s="123">
        <v>4215.32</v>
      </c>
      <c r="AC531" s="123">
        <v>4446.12</v>
      </c>
      <c r="AD531" s="123">
        <v>11468.3</v>
      </c>
      <c r="AE531" s="123">
        <v>42146.6</v>
      </c>
    </row>
    <row r="532" spans="1:31" x14ac:dyDescent="0.15">
      <c r="B532" s="123">
        <v>21265.200000000001</v>
      </c>
      <c r="C532" s="123">
        <v>21031.1</v>
      </c>
      <c r="D532" s="123">
        <v>22710.799999999999</v>
      </c>
      <c r="E532" s="123">
        <v>27823.599999999999</v>
      </c>
      <c r="F532" s="123">
        <v>28543.4</v>
      </c>
      <c r="G532" s="123">
        <v>27011.4</v>
      </c>
      <c r="H532" s="123">
        <v>26272.799999999999</v>
      </c>
      <c r="I532" s="123">
        <v>25166.9</v>
      </c>
      <c r="J532" s="123">
        <v>24069.200000000001</v>
      </c>
      <c r="K532" s="123">
        <v>23446.400000000001</v>
      </c>
      <c r="L532" s="123">
        <v>23530.2</v>
      </c>
      <c r="M532" s="123">
        <v>25327.599999999999</v>
      </c>
      <c r="N532" s="123">
        <v>27839.3</v>
      </c>
      <c r="O532" s="123">
        <v>28794.6</v>
      </c>
      <c r="P532" s="123">
        <v>28819.8</v>
      </c>
      <c r="Q532" s="123">
        <v>27112.400000000001</v>
      </c>
      <c r="R532" s="123">
        <v>25948.400000000001</v>
      </c>
      <c r="S532" s="123">
        <v>24873.8</v>
      </c>
      <c r="T532" s="123">
        <v>24768.6</v>
      </c>
      <c r="U532" s="123">
        <v>25521.8</v>
      </c>
      <c r="V532" s="123">
        <v>26615.3</v>
      </c>
      <c r="W532" s="123">
        <v>26564.9</v>
      </c>
      <c r="X532" s="123">
        <v>26491.8</v>
      </c>
      <c r="Y532" s="123">
        <v>26455.5</v>
      </c>
      <c r="Z532" s="123">
        <v>27149.200000000001</v>
      </c>
      <c r="AA532" s="123">
        <v>26289.9</v>
      </c>
      <c r="AB532" s="123">
        <v>25748.799999999999</v>
      </c>
      <c r="AC532" s="123">
        <v>27025.599999999999</v>
      </c>
      <c r="AD532" s="123">
        <v>28614.6</v>
      </c>
      <c r="AE532" s="123">
        <v>28389.9</v>
      </c>
    </row>
    <row r="533" spans="1:31" x14ac:dyDescent="0.15">
      <c r="B533" s="123">
        <v>0.27637800000000001</v>
      </c>
      <c r="C533" s="123">
        <v>1.11402</v>
      </c>
      <c r="D533" s="123">
        <v>0.13133600000000001</v>
      </c>
      <c r="E533" s="123">
        <v>6.4934400000000003E-2</v>
      </c>
      <c r="F533" s="123">
        <v>-0.58016999999999996</v>
      </c>
      <c r="G533" s="123">
        <v>0.69868300000000005</v>
      </c>
      <c r="H533" s="123">
        <v>-0.69317200000000001</v>
      </c>
      <c r="I533" s="123">
        <v>0.336557</v>
      </c>
      <c r="J533" s="123">
        <v>-0.61169499999999999</v>
      </c>
      <c r="K533" s="123">
        <v>-1.0339</v>
      </c>
      <c r="L533" s="123">
        <v>-1.59314</v>
      </c>
      <c r="M533" s="123">
        <v>-0.91332400000000002</v>
      </c>
      <c r="N533" s="123">
        <v>0.60216199999999998</v>
      </c>
      <c r="O533" s="123">
        <v>-8.8646000000000003E-2</v>
      </c>
      <c r="P533" s="123">
        <v>-0.24344099999999999</v>
      </c>
      <c r="Q533" s="123">
        <v>0.64685400000000004</v>
      </c>
      <c r="R533" s="123">
        <v>-0.57182999999999995</v>
      </c>
      <c r="S533" s="123">
        <v>-0.91227000000000003</v>
      </c>
      <c r="T533" s="123">
        <v>-2.8233600000000001E-2</v>
      </c>
      <c r="U533" s="123">
        <v>0.231185</v>
      </c>
      <c r="V533" s="123">
        <v>-0.58417200000000002</v>
      </c>
      <c r="W533" s="123">
        <v>-0.46604600000000002</v>
      </c>
      <c r="X533" s="123">
        <v>-3.3308399999999998E-4</v>
      </c>
      <c r="Y533" s="123">
        <v>0.43958000000000003</v>
      </c>
      <c r="Z533" s="123">
        <v>-0.25292900000000001</v>
      </c>
      <c r="AA533" s="123">
        <v>-0.81620899999999996</v>
      </c>
      <c r="AB533" s="123">
        <v>-1.80966</v>
      </c>
      <c r="AC533" s="123">
        <v>-1.8047500000000001</v>
      </c>
      <c r="AD533" s="123">
        <v>-0.91433299999999995</v>
      </c>
      <c r="AE533" s="123">
        <v>0.39512199999999997</v>
      </c>
    </row>
    <row r="534" spans="1:31" x14ac:dyDescent="0.15">
      <c r="B534" s="123">
        <v>0.27637800000000001</v>
      </c>
      <c r="C534" s="123">
        <v>1.11402</v>
      </c>
      <c r="D534" s="123">
        <v>0.13133600000000001</v>
      </c>
      <c r="E534" s="123">
        <v>6.4934400000000003E-2</v>
      </c>
      <c r="F534" s="123">
        <v>-0.58016999999999996</v>
      </c>
      <c r="G534" s="123">
        <v>0.69868300000000005</v>
      </c>
      <c r="H534" s="123">
        <v>-0.69317200000000001</v>
      </c>
      <c r="I534" s="123">
        <v>0.336557</v>
      </c>
      <c r="J534" s="123">
        <v>-0.61169499999999999</v>
      </c>
      <c r="K534" s="123">
        <v>-1.0339</v>
      </c>
      <c r="L534" s="123">
        <v>-1.59314</v>
      </c>
      <c r="M534" s="123">
        <v>-0.91332400000000002</v>
      </c>
      <c r="N534" s="123">
        <v>0.60216199999999998</v>
      </c>
      <c r="O534" s="123">
        <v>-8.8646000000000003E-2</v>
      </c>
      <c r="P534" s="123">
        <v>-0.24344099999999999</v>
      </c>
      <c r="Q534" s="123">
        <v>0.64685400000000004</v>
      </c>
      <c r="R534" s="123">
        <v>-0.57182999999999995</v>
      </c>
      <c r="S534" s="123">
        <v>-0.91227000000000003</v>
      </c>
      <c r="T534" s="123">
        <v>-2.8233600000000001E-2</v>
      </c>
      <c r="U534" s="123">
        <v>0.231185</v>
      </c>
      <c r="V534" s="123">
        <v>-0.58417200000000002</v>
      </c>
      <c r="W534" s="123">
        <v>-0.46604600000000002</v>
      </c>
      <c r="X534" s="123">
        <v>-3.3308399999999998E-4</v>
      </c>
      <c r="Y534" s="123">
        <v>0.43958000000000003</v>
      </c>
      <c r="Z534" s="123">
        <v>-0.25292900000000001</v>
      </c>
      <c r="AA534" s="123">
        <v>-0.81620899999999996</v>
      </c>
      <c r="AB534" s="123">
        <v>-1.80966</v>
      </c>
      <c r="AC534" s="123">
        <v>-1.8047500000000001</v>
      </c>
      <c r="AD534" s="123">
        <v>-0.91433299999999995</v>
      </c>
      <c r="AE534" s="123">
        <v>0.39512199999999997</v>
      </c>
    </row>
    <row r="535" spans="1:31" x14ac:dyDescent="0.15">
      <c r="A535" s="123" t="s">
        <v>14</v>
      </c>
      <c r="B535" s="123" t="s">
        <v>180</v>
      </c>
    </row>
    <row r="536" spans="1:31" x14ac:dyDescent="0.15">
      <c r="B536" s="123">
        <v>1979</v>
      </c>
      <c r="C536" s="123">
        <v>1982</v>
      </c>
      <c r="D536" s="123">
        <v>1985</v>
      </c>
      <c r="E536" s="123">
        <v>1988</v>
      </c>
      <c r="F536" s="123">
        <v>1991</v>
      </c>
      <c r="G536" s="123">
        <v>1994</v>
      </c>
      <c r="H536" s="123">
        <v>1996</v>
      </c>
      <c r="I536" s="123">
        <v>1997</v>
      </c>
      <c r="J536" s="123">
        <v>1999</v>
      </c>
      <c r="K536" s="123">
        <v>2000</v>
      </c>
      <c r="L536" s="123">
        <v>2002</v>
      </c>
      <c r="M536" s="123">
        <v>2004</v>
      </c>
      <c r="N536" s="123">
        <v>2006</v>
      </c>
      <c r="O536" s="123">
        <v>2007</v>
      </c>
    </row>
    <row r="537" spans="1:31" x14ac:dyDescent="0.15">
      <c r="B537" s="123">
        <v>69110</v>
      </c>
      <c r="C537" s="123">
        <v>108</v>
      </c>
      <c r="D537" s="123">
        <v>2076</v>
      </c>
      <c r="E537" s="123">
        <v>10.854699999999999</v>
      </c>
      <c r="F537" s="123">
        <v>639.26800000000003</v>
      </c>
      <c r="G537" s="123">
        <v>452.85500000000002</v>
      </c>
      <c r="H537" s="123">
        <v>972.33600000000001</v>
      </c>
      <c r="I537" s="123">
        <v>12383.8</v>
      </c>
      <c r="J537" s="123">
        <v>111.866</v>
      </c>
      <c r="K537" s="123">
        <v>257.92200000000003</v>
      </c>
      <c r="L537" s="123">
        <v>561.31399999999996</v>
      </c>
      <c r="M537" s="123">
        <v>15.7537</v>
      </c>
      <c r="N537" s="123">
        <v>455.565</v>
      </c>
      <c r="O537" s="123">
        <v>5698.61</v>
      </c>
    </row>
    <row r="538" spans="1:31" x14ac:dyDescent="0.15">
      <c r="B538" s="123">
        <v>1895.66</v>
      </c>
      <c r="C538" s="123">
        <v>473.005</v>
      </c>
      <c r="D538" s="123">
        <v>1043.1400000000001</v>
      </c>
      <c r="E538" s="123">
        <v>141.61199999999999</v>
      </c>
      <c r="F538" s="123">
        <v>780.13699999999994</v>
      </c>
      <c r="G538" s="123">
        <v>433.65199999999999</v>
      </c>
      <c r="H538" s="123">
        <v>712.87800000000004</v>
      </c>
      <c r="I538" s="123">
        <v>952.11500000000001</v>
      </c>
      <c r="J538" s="123">
        <v>493.49700000000001</v>
      </c>
      <c r="K538" s="123">
        <v>784.05399999999997</v>
      </c>
      <c r="L538" s="123">
        <v>624.14599999999996</v>
      </c>
      <c r="M538" s="123">
        <v>124.798</v>
      </c>
      <c r="N538" s="123">
        <v>339.52499999999998</v>
      </c>
      <c r="O538" s="123">
        <v>1247.77</v>
      </c>
    </row>
    <row r="539" spans="1:31" x14ac:dyDescent="0.15">
      <c r="B539" s="123">
        <v>40826.199999999997</v>
      </c>
      <c r="C539" s="123">
        <v>10186.9</v>
      </c>
      <c r="D539" s="123">
        <v>22465.8</v>
      </c>
      <c r="E539" s="123">
        <v>3049.84</v>
      </c>
      <c r="F539" s="123">
        <v>16801.599999999999</v>
      </c>
      <c r="G539" s="123">
        <v>9339.42</v>
      </c>
      <c r="H539" s="123">
        <v>15353</v>
      </c>
      <c r="I539" s="123">
        <v>20505.400000000001</v>
      </c>
      <c r="J539" s="123">
        <v>10628.3</v>
      </c>
      <c r="K539" s="123">
        <v>16885.900000000001</v>
      </c>
      <c r="L539" s="123">
        <v>13442</v>
      </c>
      <c r="M539" s="123">
        <v>2687.74</v>
      </c>
      <c r="N539" s="123">
        <v>7312.23</v>
      </c>
      <c r="O539" s="123">
        <v>26872.799999999999</v>
      </c>
    </row>
    <row r="540" spans="1:31" x14ac:dyDescent="0.15">
      <c r="A540" s="123" t="s">
        <v>287</v>
      </c>
    </row>
    <row r="541" spans="1:31" x14ac:dyDescent="0.15">
      <c r="A541" s="123" t="s">
        <v>287</v>
      </c>
    </row>
    <row r="542" spans="1:31" x14ac:dyDescent="0.15">
      <c r="A542" s="123" t="s">
        <v>574</v>
      </c>
    </row>
    <row r="543" spans="1:31" x14ac:dyDescent="0.15">
      <c r="B543" s="123">
        <v>1</v>
      </c>
      <c r="C543" s="123" t="s">
        <v>124</v>
      </c>
      <c r="D543" s="123">
        <v>9.8054000000000006</v>
      </c>
      <c r="E543" s="123">
        <v>0.33934999999999998</v>
      </c>
    </row>
    <row r="544" spans="1:31" x14ac:dyDescent="0.15">
      <c r="B544" s="123">
        <v>3</v>
      </c>
      <c r="C544" s="123" t="s">
        <v>184</v>
      </c>
      <c r="D544" s="123">
        <v>-1.603</v>
      </c>
      <c r="E544" s="123">
        <v>0.10724</v>
      </c>
    </row>
    <row r="545" spans="2:5" x14ac:dyDescent="0.15">
      <c r="B545" s="123">
        <v>24</v>
      </c>
      <c r="C545" s="123" t="s">
        <v>206</v>
      </c>
      <c r="D545" s="123">
        <v>-1.8021</v>
      </c>
      <c r="E545" s="123">
        <v>0.61477000000000004</v>
      </c>
    </row>
    <row r="546" spans="2:5" x14ac:dyDescent="0.15">
      <c r="B546" s="123">
        <v>25</v>
      </c>
      <c r="C546" s="123" t="s">
        <v>206</v>
      </c>
      <c r="D546" s="123">
        <v>0.12413</v>
      </c>
      <c r="E546" s="123">
        <v>0.3957</v>
      </c>
    </row>
    <row r="547" spans="2:5" x14ac:dyDescent="0.15">
      <c r="B547" s="123">
        <v>26</v>
      </c>
      <c r="C547" s="123" t="s">
        <v>206</v>
      </c>
      <c r="D547" s="123">
        <v>-0.32865</v>
      </c>
      <c r="E547" s="123">
        <v>0.48046</v>
      </c>
    </row>
    <row r="548" spans="2:5" x14ac:dyDescent="0.15">
      <c r="B548" s="123">
        <v>27</v>
      </c>
      <c r="C548" s="123" t="s">
        <v>206</v>
      </c>
      <c r="D548" s="123">
        <v>0.55289999999999995</v>
      </c>
      <c r="E548" s="123">
        <v>0.40361999999999998</v>
      </c>
    </row>
    <row r="549" spans="2:5" x14ac:dyDescent="0.15">
      <c r="B549" s="123">
        <v>28</v>
      </c>
      <c r="C549" s="123" t="s">
        <v>206</v>
      </c>
      <c r="D549" s="123">
        <v>0.46859000000000001</v>
      </c>
      <c r="E549" s="123">
        <v>0.40950999999999999</v>
      </c>
    </row>
    <row r="550" spans="2:5" x14ac:dyDescent="0.15">
      <c r="B550" s="123">
        <v>29</v>
      </c>
      <c r="C550" s="123" t="s">
        <v>206</v>
      </c>
      <c r="D550" s="123">
        <v>0.49865999999999999</v>
      </c>
      <c r="E550" s="123">
        <v>0.41209000000000001</v>
      </c>
    </row>
    <row r="551" spans="2:5" x14ac:dyDescent="0.15">
      <c r="B551" s="123">
        <v>30</v>
      </c>
      <c r="C551" s="123" t="s">
        <v>206</v>
      </c>
      <c r="D551" s="123">
        <v>0.15343000000000001</v>
      </c>
      <c r="E551" s="123">
        <v>0.42804999999999999</v>
      </c>
    </row>
    <row r="552" spans="2:5" x14ac:dyDescent="0.15">
      <c r="B552" s="123">
        <v>31</v>
      </c>
      <c r="C552" s="123" t="s">
        <v>206</v>
      </c>
      <c r="D552" s="123">
        <v>-0.78885000000000005</v>
      </c>
      <c r="E552" s="123">
        <v>0.54022999999999999</v>
      </c>
    </row>
    <row r="553" spans="2:5" x14ac:dyDescent="0.15">
      <c r="B553" s="123">
        <v>32</v>
      </c>
      <c r="C553" s="123" t="s">
        <v>206</v>
      </c>
      <c r="D553" s="123">
        <v>-0.57118000000000002</v>
      </c>
      <c r="E553" s="123">
        <v>0.47752</v>
      </c>
    </row>
    <row r="554" spans="2:5" x14ac:dyDescent="0.15">
      <c r="B554" s="123">
        <v>33</v>
      </c>
      <c r="C554" s="123" t="s">
        <v>206</v>
      </c>
      <c r="D554" s="123">
        <v>0.42471999999999999</v>
      </c>
      <c r="E554" s="123">
        <v>0.37563000000000002</v>
      </c>
    </row>
    <row r="555" spans="2:5" x14ac:dyDescent="0.15">
      <c r="B555" s="123">
        <v>34</v>
      </c>
      <c r="C555" s="123" t="s">
        <v>206</v>
      </c>
      <c r="D555" s="123">
        <v>0.12651999999999999</v>
      </c>
      <c r="E555" s="123">
        <v>0.38022</v>
      </c>
    </row>
    <row r="556" spans="2:5" x14ac:dyDescent="0.15">
      <c r="B556" s="123">
        <v>35</v>
      </c>
      <c r="C556" s="123" t="s">
        <v>206</v>
      </c>
      <c r="D556" s="123">
        <v>-6.2728000000000003E-4</v>
      </c>
      <c r="E556" s="123">
        <v>0.37021999999999999</v>
      </c>
    </row>
    <row r="557" spans="2:5" x14ac:dyDescent="0.15">
      <c r="B557" s="123">
        <v>36</v>
      </c>
      <c r="C557" s="123" t="s">
        <v>206</v>
      </c>
      <c r="D557" s="123">
        <v>-0.30026999999999998</v>
      </c>
      <c r="E557" s="123">
        <v>0.36853000000000002</v>
      </c>
    </row>
    <row r="558" spans="2:5" x14ac:dyDescent="0.15">
      <c r="B558" s="123">
        <v>37</v>
      </c>
      <c r="C558" s="123" t="s">
        <v>206</v>
      </c>
      <c r="D558" s="123">
        <v>-0.26007999999999998</v>
      </c>
      <c r="E558" s="123">
        <v>0.36304999999999998</v>
      </c>
    </row>
    <row r="559" spans="2:5" x14ac:dyDescent="0.15">
      <c r="B559" s="123">
        <v>38</v>
      </c>
      <c r="C559" s="123" t="s">
        <v>206</v>
      </c>
      <c r="D559" s="123">
        <v>0.43575999999999998</v>
      </c>
      <c r="E559" s="123">
        <v>0.34841</v>
      </c>
    </row>
    <row r="560" spans="2:5" x14ac:dyDescent="0.15">
      <c r="B560" s="123">
        <v>39</v>
      </c>
      <c r="C560" s="123" t="s">
        <v>206</v>
      </c>
      <c r="D560" s="123">
        <v>1.2623</v>
      </c>
      <c r="E560" s="123">
        <v>0.34349000000000002</v>
      </c>
    </row>
    <row r="561" spans="2:5" x14ac:dyDescent="0.15">
      <c r="B561" s="123">
        <v>40</v>
      </c>
      <c r="C561" s="123" t="s">
        <v>206</v>
      </c>
      <c r="D561" s="123">
        <v>0.35648000000000002</v>
      </c>
      <c r="E561" s="123">
        <v>0.34695999999999999</v>
      </c>
    </row>
    <row r="562" spans="2:5" x14ac:dyDescent="0.15">
      <c r="B562" s="123">
        <v>41</v>
      </c>
      <c r="C562" s="123" t="s">
        <v>206</v>
      </c>
      <c r="D562" s="123">
        <v>0.49313000000000001</v>
      </c>
      <c r="E562" s="123">
        <v>0.34714</v>
      </c>
    </row>
    <row r="563" spans="2:5" x14ac:dyDescent="0.15">
      <c r="B563" s="123">
        <v>42</v>
      </c>
      <c r="C563" s="123" t="s">
        <v>206</v>
      </c>
      <c r="D563" s="123">
        <v>-0.12644</v>
      </c>
      <c r="E563" s="123">
        <v>0.35433999999999999</v>
      </c>
    </row>
    <row r="564" spans="2:5" x14ac:dyDescent="0.15">
      <c r="B564" s="123">
        <v>43</v>
      </c>
      <c r="C564" s="123" t="s">
        <v>206</v>
      </c>
      <c r="D564" s="123">
        <v>1.0972</v>
      </c>
      <c r="E564" s="123">
        <v>0.34288000000000002</v>
      </c>
    </row>
    <row r="565" spans="2:5" x14ac:dyDescent="0.15">
      <c r="B565" s="123">
        <v>44</v>
      </c>
      <c r="C565" s="123" t="s">
        <v>206</v>
      </c>
      <c r="D565" s="123">
        <v>-0.32233000000000001</v>
      </c>
      <c r="E565" s="123">
        <v>0.35515000000000002</v>
      </c>
    </row>
    <row r="566" spans="2:5" x14ac:dyDescent="0.15">
      <c r="B566" s="123">
        <v>45</v>
      </c>
      <c r="C566" s="123" t="s">
        <v>206</v>
      </c>
      <c r="D566" s="123">
        <v>0.66439000000000004</v>
      </c>
      <c r="E566" s="123">
        <v>0.34362999999999999</v>
      </c>
    </row>
    <row r="567" spans="2:5" x14ac:dyDescent="0.15">
      <c r="B567" s="123">
        <v>46</v>
      </c>
      <c r="C567" s="123" t="s">
        <v>206</v>
      </c>
      <c r="D567" s="123">
        <v>-0.32845999999999997</v>
      </c>
      <c r="E567" s="123">
        <v>0.35149000000000002</v>
      </c>
    </row>
    <row r="568" spans="2:5" x14ac:dyDescent="0.15">
      <c r="B568" s="123">
        <v>47</v>
      </c>
      <c r="C568" s="123" t="s">
        <v>206</v>
      </c>
      <c r="D568" s="123">
        <v>-0.77688000000000001</v>
      </c>
      <c r="E568" s="123">
        <v>0.35587000000000002</v>
      </c>
    </row>
    <row r="569" spans="2:5" x14ac:dyDescent="0.15">
      <c r="B569" s="123">
        <v>48</v>
      </c>
      <c r="C569" s="123" t="s">
        <v>206</v>
      </c>
      <c r="D569" s="123">
        <v>-1.3325</v>
      </c>
      <c r="E569" s="123">
        <v>0.36636999999999997</v>
      </c>
    </row>
    <row r="570" spans="2:5" x14ac:dyDescent="0.15">
      <c r="B570" s="123">
        <v>49</v>
      </c>
      <c r="C570" s="123" t="s">
        <v>206</v>
      </c>
      <c r="D570" s="123">
        <v>-0.57911999999999997</v>
      </c>
      <c r="E570" s="123">
        <v>0.35594999999999999</v>
      </c>
    </row>
    <row r="571" spans="2:5" x14ac:dyDescent="0.15">
      <c r="B571" s="123">
        <v>50</v>
      </c>
      <c r="C571" s="123" t="s">
        <v>206</v>
      </c>
      <c r="D571" s="123">
        <v>1.0308999999999999</v>
      </c>
      <c r="E571" s="123">
        <v>0.34067999999999998</v>
      </c>
    </row>
    <row r="572" spans="2:5" x14ac:dyDescent="0.15">
      <c r="B572" s="123">
        <v>51</v>
      </c>
      <c r="C572" s="123" t="s">
        <v>206</v>
      </c>
      <c r="D572" s="123">
        <v>0.37385000000000002</v>
      </c>
      <c r="E572" s="123">
        <v>0.34329999999999999</v>
      </c>
    </row>
    <row r="573" spans="2:5" x14ac:dyDescent="0.15">
      <c r="B573" s="123">
        <v>52</v>
      </c>
      <c r="C573" s="123" t="s">
        <v>206</v>
      </c>
      <c r="D573" s="123">
        <v>0.21992999999999999</v>
      </c>
      <c r="E573" s="123">
        <v>0.34462999999999999</v>
      </c>
    </row>
    <row r="574" spans="2:5" x14ac:dyDescent="0.15">
      <c r="B574" s="123">
        <v>53</v>
      </c>
      <c r="C574" s="123" t="s">
        <v>206</v>
      </c>
      <c r="D574" s="123">
        <v>1.0491999999999999</v>
      </c>
      <c r="E574" s="123">
        <v>0.34134999999999999</v>
      </c>
    </row>
    <row r="575" spans="2:5" x14ac:dyDescent="0.15">
      <c r="B575" s="123">
        <v>54</v>
      </c>
      <c r="C575" s="123" t="s">
        <v>206</v>
      </c>
      <c r="D575" s="123">
        <v>-0.21340999999999999</v>
      </c>
      <c r="E575" s="123">
        <v>0.34594000000000003</v>
      </c>
    </row>
    <row r="576" spans="2:5" x14ac:dyDescent="0.15">
      <c r="B576" s="123">
        <v>55</v>
      </c>
      <c r="C576" s="123" t="s">
        <v>206</v>
      </c>
      <c r="D576" s="123">
        <v>-0.59614999999999996</v>
      </c>
      <c r="E576" s="123">
        <v>0.34858</v>
      </c>
    </row>
    <row r="577" spans="2:5" x14ac:dyDescent="0.15">
      <c r="B577" s="123">
        <v>56</v>
      </c>
      <c r="C577" s="123" t="s">
        <v>206</v>
      </c>
      <c r="D577" s="123">
        <v>0.28365000000000001</v>
      </c>
      <c r="E577" s="123">
        <v>0.34239999999999998</v>
      </c>
    </row>
    <row r="578" spans="2:5" x14ac:dyDescent="0.15">
      <c r="B578" s="123">
        <v>57</v>
      </c>
      <c r="C578" s="123" t="s">
        <v>206</v>
      </c>
      <c r="D578" s="123">
        <v>0.57301999999999997</v>
      </c>
      <c r="E578" s="123">
        <v>0.3412</v>
      </c>
    </row>
    <row r="579" spans="2:5" x14ac:dyDescent="0.15">
      <c r="B579" s="123">
        <v>58</v>
      </c>
      <c r="C579" s="123" t="s">
        <v>206</v>
      </c>
      <c r="D579" s="123">
        <v>-0.20038</v>
      </c>
      <c r="E579" s="123">
        <v>0.34422999999999998</v>
      </c>
    </row>
    <row r="580" spans="2:5" x14ac:dyDescent="0.15">
      <c r="B580" s="123">
        <v>59</v>
      </c>
      <c r="C580" s="123" t="s">
        <v>206</v>
      </c>
      <c r="D580" s="123">
        <v>-8.4151000000000004E-2</v>
      </c>
      <c r="E580" s="123">
        <v>0.34461000000000003</v>
      </c>
    </row>
    <row r="581" spans="2:5" x14ac:dyDescent="0.15">
      <c r="B581" s="123">
        <v>60</v>
      </c>
      <c r="C581" s="123" t="s">
        <v>206</v>
      </c>
      <c r="D581" s="123">
        <v>0.37880999999999998</v>
      </c>
      <c r="E581" s="123">
        <v>0.34416000000000002</v>
      </c>
    </row>
    <row r="582" spans="2:5" x14ac:dyDescent="0.15">
      <c r="B582" s="123">
        <v>61</v>
      </c>
      <c r="C582" s="123" t="s">
        <v>206</v>
      </c>
      <c r="D582" s="123">
        <v>0.81735000000000002</v>
      </c>
      <c r="E582" s="123">
        <v>0.34438999999999997</v>
      </c>
    </row>
    <row r="583" spans="2:5" x14ac:dyDescent="0.15">
      <c r="B583" s="123">
        <v>62</v>
      </c>
      <c r="C583" s="123" t="s">
        <v>206</v>
      </c>
      <c r="D583" s="123">
        <v>0.15071999999999999</v>
      </c>
      <c r="E583" s="123">
        <v>0.35166999999999998</v>
      </c>
    </row>
    <row r="584" spans="2:5" x14ac:dyDescent="0.15">
      <c r="B584" s="123">
        <v>63</v>
      </c>
      <c r="C584" s="123" t="s">
        <v>206</v>
      </c>
      <c r="D584" s="123">
        <v>-0.44472</v>
      </c>
      <c r="E584" s="123">
        <v>0.37265999999999999</v>
      </c>
    </row>
    <row r="585" spans="2:5" x14ac:dyDescent="0.15">
      <c r="B585" s="123">
        <v>64</v>
      </c>
      <c r="C585" s="123" t="s">
        <v>206</v>
      </c>
      <c r="D585" s="123">
        <v>-1.4590000000000001</v>
      </c>
      <c r="E585" s="123">
        <v>0.44085000000000002</v>
      </c>
    </row>
    <row r="586" spans="2:5" x14ac:dyDescent="0.15">
      <c r="B586" s="123">
        <v>65</v>
      </c>
      <c r="C586" s="123" t="s">
        <v>206</v>
      </c>
      <c r="D586" s="123">
        <v>-1.4056999999999999</v>
      </c>
      <c r="E586" s="123">
        <v>0.49375000000000002</v>
      </c>
    </row>
    <row r="587" spans="2:5" x14ac:dyDescent="0.15">
      <c r="B587" s="123">
        <v>66</v>
      </c>
      <c r="C587" s="123" t="s">
        <v>206</v>
      </c>
      <c r="D587" s="123">
        <v>-0.45811000000000002</v>
      </c>
      <c r="E587" s="123">
        <v>0.51417000000000002</v>
      </c>
    </row>
    <row r="588" spans="2:5" x14ac:dyDescent="0.15">
      <c r="B588" s="123">
        <v>67</v>
      </c>
      <c r="C588" s="123" t="s">
        <v>206</v>
      </c>
      <c r="D588" s="123">
        <v>0.84345999999999999</v>
      </c>
      <c r="E588" s="123">
        <v>0.66405000000000003</v>
      </c>
    </row>
    <row r="589" spans="2:5" x14ac:dyDescent="0.15">
      <c r="B589" s="123">
        <v>68</v>
      </c>
      <c r="C589" s="123" t="s">
        <v>185</v>
      </c>
      <c r="D589" s="123">
        <v>-0.65081999999999995</v>
      </c>
      <c r="E589" s="123">
        <v>0.25713000000000003</v>
      </c>
    </row>
    <row r="590" spans="2:5" x14ac:dyDescent="0.15">
      <c r="B590" s="123">
        <v>69</v>
      </c>
      <c r="C590" s="123" t="s">
        <v>185</v>
      </c>
      <c r="D590" s="123">
        <v>-0.66264999999999996</v>
      </c>
      <c r="E590" s="123">
        <v>0.21179000000000001</v>
      </c>
    </row>
    <row r="591" spans="2:5" x14ac:dyDescent="0.15">
      <c r="B591" s="123">
        <v>70</v>
      </c>
      <c r="C591" s="123" t="s">
        <v>185</v>
      </c>
      <c r="D591" s="123">
        <v>-0.70381000000000005</v>
      </c>
      <c r="E591" s="123">
        <v>0.19322</v>
      </c>
    </row>
    <row r="592" spans="2:5" x14ac:dyDescent="0.15">
      <c r="B592" s="123">
        <v>71</v>
      </c>
      <c r="C592" s="123" t="s">
        <v>185</v>
      </c>
      <c r="D592" s="123">
        <v>-0.11989</v>
      </c>
      <c r="E592" s="123">
        <v>0.18103</v>
      </c>
    </row>
    <row r="593" spans="2:5" x14ac:dyDescent="0.15">
      <c r="B593" s="123">
        <v>72</v>
      </c>
      <c r="C593" s="123" t="s">
        <v>185</v>
      </c>
      <c r="D593" s="123">
        <v>-0.10846</v>
      </c>
      <c r="E593" s="123">
        <v>0.18495</v>
      </c>
    </row>
    <row r="594" spans="2:5" x14ac:dyDescent="0.15">
      <c r="B594" s="123">
        <v>73</v>
      </c>
      <c r="C594" s="123" t="s">
        <v>185</v>
      </c>
      <c r="D594" s="123">
        <v>-0.14446000000000001</v>
      </c>
      <c r="E594" s="123">
        <v>0.17121</v>
      </c>
    </row>
    <row r="595" spans="2:5" x14ac:dyDescent="0.15">
      <c r="B595" s="123">
        <v>74</v>
      </c>
      <c r="C595" s="123" t="s">
        <v>185</v>
      </c>
      <c r="D595" s="123">
        <v>0.2772</v>
      </c>
      <c r="E595" s="123">
        <v>0.19122</v>
      </c>
    </row>
    <row r="596" spans="2:5" x14ac:dyDescent="0.15">
      <c r="B596" s="123">
        <v>75</v>
      </c>
      <c r="C596" s="123" t="s">
        <v>185</v>
      </c>
      <c r="D596" s="123">
        <v>0.51958000000000004</v>
      </c>
      <c r="E596" s="123">
        <v>0.17383999999999999</v>
      </c>
    </row>
    <row r="597" spans="2:5" x14ac:dyDescent="0.15">
      <c r="B597" s="123">
        <v>76</v>
      </c>
      <c r="C597" s="123" t="s">
        <v>185</v>
      </c>
      <c r="D597" s="123">
        <v>0.52910999999999997</v>
      </c>
      <c r="E597" s="123">
        <v>0.17541000000000001</v>
      </c>
    </row>
    <row r="598" spans="2:5" x14ac:dyDescent="0.15">
      <c r="B598" s="123">
        <v>77</v>
      </c>
      <c r="C598" s="123" t="s">
        <v>185</v>
      </c>
      <c r="D598" s="123">
        <v>0.79649000000000003</v>
      </c>
      <c r="E598" s="123">
        <v>0.18024000000000001</v>
      </c>
    </row>
    <row r="599" spans="2:5" x14ac:dyDescent="0.15">
      <c r="B599" s="123">
        <v>78</v>
      </c>
      <c r="C599" s="123" t="s">
        <v>185</v>
      </c>
      <c r="D599" s="123">
        <v>0.95335999999999999</v>
      </c>
      <c r="E599" s="123">
        <v>0.20569999999999999</v>
      </c>
    </row>
    <row r="600" spans="2:5" x14ac:dyDescent="0.15">
      <c r="B600" s="123">
        <v>79</v>
      </c>
      <c r="C600" s="123" t="s">
        <v>185</v>
      </c>
      <c r="D600" s="123">
        <v>0.72646999999999995</v>
      </c>
      <c r="E600" s="123">
        <v>0.17596000000000001</v>
      </c>
    </row>
    <row r="601" spans="2:5" x14ac:dyDescent="0.15">
      <c r="B601" s="123">
        <v>80</v>
      </c>
      <c r="C601" s="123" t="s">
        <v>185</v>
      </c>
      <c r="D601" s="123">
        <v>0.61821999999999999</v>
      </c>
      <c r="E601" s="123">
        <v>0.17038</v>
      </c>
    </row>
    <row r="602" spans="2:5" x14ac:dyDescent="0.15">
      <c r="B602" s="123">
        <v>81</v>
      </c>
      <c r="C602" s="123" t="s">
        <v>185</v>
      </c>
      <c r="D602" s="123">
        <v>0.40477000000000002</v>
      </c>
      <c r="E602" s="123">
        <v>0.16077</v>
      </c>
    </row>
    <row r="603" spans="2:5" x14ac:dyDescent="0.15">
      <c r="B603" s="123">
        <v>82</v>
      </c>
      <c r="C603" s="123" t="s">
        <v>185</v>
      </c>
      <c r="D603" s="123">
        <v>0.53717999999999999</v>
      </c>
      <c r="E603" s="123">
        <v>0.19237000000000001</v>
      </c>
    </row>
    <row r="604" spans="2:5" x14ac:dyDescent="0.15">
      <c r="B604" s="123">
        <v>83</v>
      </c>
      <c r="C604" s="123" t="s">
        <v>185</v>
      </c>
      <c r="D604" s="123">
        <v>0.46384999999999998</v>
      </c>
      <c r="E604" s="123">
        <v>0.18847</v>
      </c>
    </row>
    <row r="605" spans="2:5" x14ac:dyDescent="0.15">
      <c r="B605" s="123">
        <v>84</v>
      </c>
      <c r="C605" s="123" t="s">
        <v>185</v>
      </c>
      <c r="D605" s="123">
        <v>0.50556999999999996</v>
      </c>
      <c r="E605" s="123">
        <v>0.21559</v>
      </c>
    </row>
    <row r="606" spans="2:5" x14ac:dyDescent="0.15">
      <c r="B606" s="123">
        <v>85</v>
      </c>
      <c r="C606" s="123" t="s">
        <v>185</v>
      </c>
      <c r="D606" s="123">
        <v>3.5077999999999998E-2</v>
      </c>
      <c r="E606" s="123">
        <v>0.22251000000000001</v>
      </c>
    </row>
    <row r="607" spans="2:5" x14ac:dyDescent="0.15">
      <c r="B607" s="123">
        <v>86</v>
      </c>
      <c r="C607" s="123" t="s">
        <v>185</v>
      </c>
      <c r="D607" s="123">
        <v>-0.11169999999999999</v>
      </c>
      <c r="E607" s="123">
        <v>0.26123000000000002</v>
      </c>
    </row>
    <row r="608" spans="2:5" x14ac:dyDescent="0.15">
      <c r="B608" s="123">
        <v>87</v>
      </c>
      <c r="C608" s="123" t="s">
        <v>185</v>
      </c>
      <c r="D608" s="123">
        <v>-0.35224</v>
      </c>
      <c r="E608" s="123">
        <v>0.25812000000000002</v>
      </c>
    </row>
    <row r="609" spans="2:5" x14ac:dyDescent="0.15">
      <c r="B609" s="123">
        <v>88</v>
      </c>
      <c r="C609" s="123" t="s">
        <v>185</v>
      </c>
      <c r="D609" s="123">
        <v>-0.18295</v>
      </c>
      <c r="E609" s="123">
        <v>0.26767000000000002</v>
      </c>
    </row>
    <row r="610" spans="2:5" x14ac:dyDescent="0.15">
      <c r="B610" s="123">
        <v>89</v>
      </c>
      <c r="C610" s="123" t="s">
        <v>185</v>
      </c>
      <c r="D610" s="123">
        <v>-0.20132</v>
      </c>
      <c r="E610" s="123">
        <v>0.26362999999999998</v>
      </c>
    </row>
    <row r="611" spans="2:5" x14ac:dyDescent="0.15">
      <c r="B611" s="123">
        <v>90</v>
      </c>
      <c r="C611" s="123" t="s">
        <v>185</v>
      </c>
      <c r="D611" s="123">
        <v>-0.21118999999999999</v>
      </c>
      <c r="E611" s="123">
        <v>0.24934999999999999</v>
      </c>
    </row>
    <row r="612" spans="2:5" x14ac:dyDescent="0.15">
      <c r="B612" s="123">
        <v>91</v>
      </c>
      <c r="C612" s="123" t="s">
        <v>185</v>
      </c>
      <c r="D612" s="123">
        <v>-0.54573000000000005</v>
      </c>
      <c r="E612" s="123">
        <v>0.24568999999999999</v>
      </c>
    </row>
    <row r="613" spans="2:5" x14ac:dyDescent="0.15">
      <c r="B613" s="123">
        <v>92</v>
      </c>
      <c r="C613" s="123" t="s">
        <v>185</v>
      </c>
      <c r="D613" s="123">
        <v>-0.32907999999999998</v>
      </c>
      <c r="E613" s="123">
        <v>0.1822</v>
      </c>
    </row>
    <row r="614" spans="2:5" x14ac:dyDescent="0.15">
      <c r="B614" s="123">
        <v>93</v>
      </c>
      <c r="C614" s="123" t="s">
        <v>185</v>
      </c>
      <c r="D614" s="123">
        <v>-0.32131999999999999</v>
      </c>
      <c r="E614" s="123">
        <v>0.16419</v>
      </c>
    </row>
    <row r="615" spans="2:5" x14ac:dyDescent="0.15">
      <c r="B615" s="123">
        <v>94</v>
      </c>
      <c r="C615" s="123" t="s">
        <v>185</v>
      </c>
      <c r="D615" s="123">
        <v>5.8352000000000001E-2</v>
      </c>
      <c r="E615" s="123">
        <v>0.13803000000000001</v>
      </c>
    </row>
    <row r="616" spans="2:5" x14ac:dyDescent="0.15">
      <c r="B616" s="123">
        <v>95</v>
      </c>
      <c r="C616" s="123" t="s">
        <v>185</v>
      </c>
      <c r="D616" s="123">
        <v>0.11337999999999999</v>
      </c>
      <c r="E616" s="123">
        <v>0.13385</v>
      </c>
    </row>
    <row r="617" spans="2:5" x14ac:dyDescent="0.15">
      <c r="B617" s="123">
        <v>96</v>
      </c>
      <c r="C617" s="123" t="s">
        <v>185</v>
      </c>
      <c r="D617" s="123">
        <v>0.34464</v>
      </c>
      <c r="E617" s="123">
        <v>0.12581999999999999</v>
      </c>
    </row>
    <row r="618" spans="2:5" x14ac:dyDescent="0.15">
      <c r="B618" s="123">
        <v>97</v>
      </c>
      <c r="C618" s="123" t="s">
        <v>185</v>
      </c>
      <c r="D618" s="123">
        <v>-6.5137E-2</v>
      </c>
      <c r="E618" s="123">
        <v>0.13222</v>
      </c>
    </row>
    <row r="619" spans="2:5" x14ac:dyDescent="0.15">
      <c r="B619" s="123">
        <v>98</v>
      </c>
      <c r="C619" s="123" t="s">
        <v>185</v>
      </c>
      <c r="D619" s="123">
        <v>-0.13336999999999999</v>
      </c>
      <c r="E619" s="123">
        <v>0.14149999999999999</v>
      </c>
    </row>
    <row r="620" spans="2:5" x14ac:dyDescent="0.15">
      <c r="B620" s="123">
        <v>99</v>
      </c>
      <c r="C620" s="123" t="s">
        <v>185</v>
      </c>
      <c r="D620" s="123">
        <v>-0.38379999999999997</v>
      </c>
      <c r="E620" s="123">
        <v>0.14147999999999999</v>
      </c>
    </row>
    <row r="621" spans="2:5" x14ac:dyDescent="0.15">
      <c r="B621" s="123">
        <v>100</v>
      </c>
      <c r="C621" s="123" t="s">
        <v>185</v>
      </c>
      <c r="D621" s="123">
        <v>-0.13134999999999999</v>
      </c>
      <c r="E621" s="123">
        <v>0.14989</v>
      </c>
    </row>
    <row r="622" spans="2:5" x14ac:dyDescent="0.15">
      <c r="B622" s="123">
        <v>101</v>
      </c>
      <c r="C622" s="123" t="s">
        <v>185</v>
      </c>
      <c r="D622" s="123">
        <v>-0.21107000000000001</v>
      </c>
      <c r="E622" s="123">
        <v>0.14799999999999999</v>
      </c>
    </row>
    <row r="623" spans="2:5" x14ac:dyDescent="0.15">
      <c r="B623" s="123">
        <v>102</v>
      </c>
      <c r="C623" s="123" t="s">
        <v>185</v>
      </c>
      <c r="D623" s="123">
        <v>-0.36614999999999998</v>
      </c>
      <c r="E623" s="123">
        <v>0.14360000000000001</v>
      </c>
    </row>
    <row r="624" spans="2:5" x14ac:dyDescent="0.15">
      <c r="B624" s="123">
        <v>103</v>
      </c>
      <c r="C624" s="123" t="s">
        <v>185</v>
      </c>
      <c r="D624" s="123">
        <v>-0.45158999999999999</v>
      </c>
      <c r="E624" s="123">
        <v>0.13938</v>
      </c>
    </row>
    <row r="625" spans="2:5" x14ac:dyDescent="0.15">
      <c r="B625" s="123">
        <v>104</v>
      </c>
      <c r="C625" s="123" t="s">
        <v>185</v>
      </c>
      <c r="D625" s="123">
        <v>-0.34892000000000001</v>
      </c>
      <c r="E625" s="123">
        <v>0.12486</v>
      </c>
    </row>
    <row r="626" spans="2:5" x14ac:dyDescent="0.15">
      <c r="B626" s="123">
        <v>105</v>
      </c>
      <c r="C626" s="123" t="s">
        <v>185</v>
      </c>
      <c r="D626" s="123">
        <v>-0.14793000000000001</v>
      </c>
      <c r="E626" s="123">
        <v>0.12259</v>
      </c>
    </row>
    <row r="627" spans="2:5" x14ac:dyDescent="0.15">
      <c r="B627" s="123">
        <v>106</v>
      </c>
      <c r="C627" s="123" t="s">
        <v>185</v>
      </c>
      <c r="D627" s="123">
        <v>-7.7931E-2</v>
      </c>
      <c r="E627" s="123">
        <v>0.11924</v>
      </c>
    </row>
    <row r="628" spans="2:5" x14ac:dyDescent="0.15">
      <c r="B628" s="123">
        <v>107</v>
      </c>
      <c r="C628" s="123" t="s">
        <v>185</v>
      </c>
      <c r="D628" s="123">
        <v>-4.7193000000000001E-3</v>
      </c>
      <c r="E628" s="123">
        <v>0.11887</v>
      </c>
    </row>
    <row r="629" spans="2:5" x14ac:dyDescent="0.15">
      <c r="B629" s="123">
        <v>108</v>
      </c>
      <c r="C629" s="123" t="s">
        <v>185</v>
      </c>
      <c r="D629" s="123">
        <v>-0.17086999999999999</v>
      </c>
      <c r="E629" s="123">
        <v>0.13109999999999999</v>
      </c>
    </row>
    <row r="630" spans="2:5" x14ac:dyDescent="0.15">
      <c r="B630" s="123">
        <v>109</v>
      </c>
      <c r="C630" s="123" t="s">
        <v>185</v>
      </c>
      <c r="D630" s="123">
        <v>-0.14063999999999999</v>
      </c>
      <c r="E630" s="123">
        <v>0.13220000000000001</v>
      </c>
    </row>
    <row r="631" spans="2:5" x14ac:dyDescent="0.15">
      <c r="B631" s="123">
        <v>110</v>
      </c>
      <c r="C631" s="123" t="s">
        <v>185</v>
      </c>
      <c r="D631" s="123">
        <v>0.12670999999999999</v>
      </c>
      <c r="E631" s="123">
        <v>0.14749999999999999</v>
      </c>
    </row>
    <row r="632" spans="2:5" x14ac:dyDescent="0.15">
      <c r="B632" s="123">
        <v>111</v>
      </c>
      <c r="C632" s="123" t="s">
        <v>185</v>
      </c>
      <c r="D632" s="123">
        <v>0.26915</v>
      </c>
      <c r="E632" s="123">
        <v>0.17254</v>
      </c>
    </row>
    <row r="633" spans="2:5" x14ac:dyDescent="0.15">
      <c r="B633" s="123">
        <v>4</v>
      </c>
      <c r="C633" s="123" t="s">
        <v>350</v>
      </c>
      <c r="D633" s="123">
        <v>0.37201000000000001</v>
      </c>
      <c r="E633" s="123">
        <v>0.10396</v>
      </c>
    </row>
    <row r="634" spans="2:5" x14ac:dyDescent="0.15">
      <c r="B634" s="123">
        <v>6</v>
      </c>
      <c r="C634" s="123" t="s">
        <v>351</v>
      </c>
      <c r="D634" s="123">
        <v>-0.94301000000000001</v>
      </c>
      <c r="E634" s="123">
        <v>0.10717</v>
      </c>
    </row>
    <row r="635" spans="2:5" x14ac:dyDescent="0.15">
      <c r="B635" s="123">
        <v>591</v>
      </c>
      <c r="C635" s="123" t="s">
        <v>186</v>
      </c>
      <c r="D635" s="123">
        <v>2359.4</v>
      </c>
      <c r="E635" s="123">
        <v>460.59</v>
      </c>
    </row>
    <row r="636" spans="2:5" x14ac:dyDescent="0.15">
      <c r="B636" s="123">
        <v>592</v>
      </c>
      <c r="C636" s="123" t="s">
        <v>187</v>
      </c>
      <c r="D636" s="123">
        <v>3.8129</v>
      </c>
      <c r="E636" s="123">
        <v>1.1727000000000001</v>
      </c>
    </row>
    <row r="637" spans="2:5" x14ac:dyDescent="0.15">
      <c r="B637" s="123">
        <v>592</v>
      </c>
      <c r="C637" s="123" t="s">
        <v>187</v>
      </c>
      <c r="D637" s="123">
        <v>3.8129</v>
      </c>
      <c r="E637" s="123">
        <v>1.1727000000000001</v>
      </c>
    </row>
    <row r="638" spans="2:5" x14ac:dyDescent="0.15">
      <c r="B638" s="123">
        <v>594</v>
      </c>
      <c r="C638" s="123" t="s">
        <v>188</v>
      </c>
      <c r="D638" s="123">
        <v>1946</v>
      </c>
      <c r="E638" s="123">
        <v>289.07</v>
      </c>
    </row>
    <row r="639" spans="2:5" x14ac:dyDescent="0.15">
      <c r="B639" s="123">
        <v>639</v>
      </c>
      <c r="C639" s="123" t="s">
        <v>254</v>
      </c>
      <c r="D639" s="123">
        <v>1716.6</v>
      </c>
      <c r="E639" s="123">
        <v>401.39</v>
      </c>
    </row>
    <row r="640" spans="2:5" x14ac:dyDescent="0.15">
      <c r="B640" s="123">
        <v>640</v>
      </c>
      <c r="C640" s="123" t="s">
        <v>254</v>
      </c>
      <c r="D640" s="123">
        <v>2141.4</v>
      </c>
      <c r="E640" s="123">
        <v>445.68</v>
      </c>
    </row>
    <row r="641" spans="2:5" x14ac:dyDescent="0.15">
      <c r="B641" s="123">
        <v>641</v>
      </c>
      <c r="C641" s="123" t="s">
        <v>254</v>
      </c>
      <c r="D641" s="123">
        <v>2037.4</v>
      </c>
      <c r="E641" s="123">
        <v>449.45</v>
      </c>
    </row>
    <row r="642" spans="2:5" x14ac:dyDescent="0.15">
      <c r="B642" s="123">
        <v>642</v>
      </c>
      <c r="C642" s="123" t="s">
        <v>254</v>
      </c>
      <c r="D642" s="123">
        <v>3206.1</v>
      </c>
      <c r="E642" s="123">
        <v>561.95000000000005</v>
      </c>
    </row>
    <row r="643" spans="2:5" x14ac:dyDescent="0.15">
      <c r="B643" s="123">
        <v>643</v>
      </c>
      <c r="C643" s="123" t="s">
        <v>254</v>
      </c>
      <c r="D643" s="123">
        <v>3558.1</v>
      </c>
      <c r="E643" s="123">
        <v>668.3</v>
      </c>
    </row>
    <row r="644" spans="2:5" x14ac:dyDescent="0.15">
      <c r="B644" s="123">
        <v>644</v>
      </c>
      <c r="C644" s="123" t="s">
        <v>254</v>
      </c>
      <c r="D644" s="123">
        <v>5117.6000000000004</v>
      </c>
      <c r="E644" s="123">
        <v>857.6</v>
      </c>
    </row>
    <row r="645" spans="2:5" x14ac:dyDescent="0.15">
      <c r="B645" s="123">
        <v>645</v>
      </c>
      <c r="C645" s="123" t="s">
        <v>254</v>
      </c>
      <c r="D645" s="123">
        <v>6368.2</v>
      </c>
      <c r="E645" s="123">
        <v>964.69</v>
      </c>
    </row>
    <row r="646" spans="2:5" x14ac:dyDescent="0.15">
      <c r="B646" s="123">
        <v>646</v>
      </c>
      <c r="C646" s="123" t="s">
        <v>254</v>
      </c>
      <c r="D646" s="123">
        <v>7163.5</v>
      </c>
      <c r="E646" s="123">
        <v>953.89</v>
      </c>
    </row>
    <row r="647" spans="2:5" x14ac:dyDescent="0.15">
      <c r="B647" s="123">
        <v>647</v>
      </c>
      <c r="C647" s="123" t="s">
        <v>254</v>
      </c>
      <c r="D647" s="123">
        <v>6665.8</v>
      </c>
      <c r="E647" s="123">
        <v>876.54</v>
      </c>
    </row>
    <row r="648" spans="2:5" x14ac:dyDescent="0.15">
      <c r="B648" s="123">
        <v>648</v>
      </c>
      <c r="C648" s="123" t="s">
        <v>254</v>
      </c>
      <c r="D648" s="123">
        <v>4941.8</v>
      </c>
      <c r="E648" s="123">
        <v>786.44</v>
      </c>
    </row>
    <row r="649" spans="2:5" x14ac:dyDescent="0.15">
      <c r="B649" s="123">
        <v>649</v>
      </c>
      <c r="C649" s="123" t="s">
        <v>254</v>
      </c>
      <c r="D649" s="123">
        <v>3474.7</v>
      </c>
      <c r="E649" s="123">
        <v>687.9</v>
      </c>
    </row>
    <row r="650" spans="2:5" x14ac:dyDescent="0.15">
      <c r="B650" s="123">
        <v>650</v>
      </c>
      <c r="C650" s="123" t="s">
        <v>254</v>
      </c>
      <c r="D650" s="123">
        <v>3604.2</v>
      </c>
      <c r="E650" s="123">
        <v>508.67</v>
      </c>
    </row>
    <row r="651" spans="2:5" x14ac:dyDescent="0.15">
      <c r="B651" s="123">
        <v>651</v>
      </c>
      <c r="C651" s="123" t="s">
        <v>254</v>
      </c>
      <c r="D651" s="123">
        <v>3583.8</v>
      </c>
      <c r="E651" s="123">
        <v>407.22</v>
      </c>
    </row>
    <row r="652" spans="2:5" x14ac:dyDescent="0.15">
      <c r="B652" s="123">
        <v>652</v>
      </c>
      <c r="C652" s="123" t="s">
        <v>254</v>
      </c>
      <c r="D652" s="123">
        <v>3602.2</v>
      </c>
      <c r="E652" s="123">
        <v>352.12</v>
      </c>
    </row>
    <row r="653" spans="2:5" x14ac:dyDescent="0.15">
      <c r="B653" s="123">
        <v>653</v>
      </c>
      <c r="C653" s="123" t="s">
        <v>254</v>
      </c>
      <c r="D653" s="123">
        <v>3475.7</v>
      </c>
      <c r="E653" s="123">
        <v>326.69</v>
      </c>
    </row>
    <row r="654" spans="2:5" x14ac:dyDescent="0.15">
      <c r="B654" s="123">
        <v>654</v>
      </c>
      <c r="C654" s="123" t="s">
        <v>254</v>
      </c>
      <c r="D654" s="123">
        <v>3363</v>
      </c>
      <c r="E654" s="123">
        <v>308.39</v>
      </c>
    </row>
    <row r="655" spans="2:5" x14ac:dyDescent="0.15">
      <c r="B655" s="123">
        <v>655</v>
      </c>
      <c r="C655" s="123" t="s">
        <v>254</v>
      </c>
      <c r="D655" s="123">
        <v>4383.8999999999996</v>
      </c>
      <c r="E655" s="123">
        <v>338.67</v>
      </c>
    </row>
    <row r="656" spans="2:5" x14ac:dyDescent="0.15">
      <c r="B656" s="123">
        <v>656</v>
      </c>
      <c r="C656" s="123" t="s">
        <v>254</v>
      </c>
      <c r="D656" s="123">
        <v>8307.4</v>
      </c>
      <c r="E656" s="123">
        <v>525.1</v>
      </c>
    </row>
    <row r="657" spans="2:5" x14ac:dyDescent="0.15">
      <c r="B657" s="123">
        <v>657</v>
      </c>
      <c r="C657" s="123" t="s">
        <v>254</v>
      </c>
      <c r="D657" s="123">
        <v>9439</v>
      </c>
      <c r="E657" s="123">
        <v>575.53</v>
      </c>
    </row>
    <row r="658" spans="2:5" x14ac:dyDescent="0.15">
      <c r="B658" s="123">
        <v>658</v>
      </c>
      <c r="C658" s="123" t="s">
        <v>254</v>
      </c>
      <c r="D658" s="123">
        <v>10493</v>
      </c>
      <c r="E658" s="123">
        <v>611.22</v>
      </c>
    </row>
    <row r="659" spans="2:5" x14ac:dyDescent="0.15">
      <c r="B659" s="123">
        <v>659</v>
      </c>
      <c r="C659" s="123" t="s">
        <v>254</v>
      </c>
      <c r="D659" s="123">
        <v>10200</v>
      </c>
      <c r="E659" s="123">
        <v>595.21</v>
      </c>
    </row>
    <row r="660" spans="2:5" x14ac:dyDescent="0.15">
      <c r="B660" s="123">
        <v>660</v>
      </c>
      <c r="C660" s="123" t="s">
        <v>254</v>
      </c>
      <c r="D660" s="123">
        <v>12531</v>
      </c>
      <c r="E660" s="123">
        <v>613.77</v>
      </c>
    </row>
    <row r="661" spans="2:5" x14ac:dyDescent="0.15">
      <c r="B661" s="123">
        <v>661</v>
      </c>
      <c r="C661" s="123" t="s">
        <v>254</v>
      </c>
      <c r="D661" s="123">
        <v>11773</v>
      </c>
      <c r="E661" s="123">
        <v>573.47</v>
      </c>
    </row>
    <row r="662" spans="2:5" x14ac:dyDescent="0.15">
      <c r="B662" s="123">
        <v>662</v>
      </c>
      <c r="C662" s="123" t="s">
        <v>254</v>
      </c>
      <c r="D662" s="123">
        <v>12401</v>
      </c>
      <c r="E662" s="123">
        <v>542.37</v>
      </c>
    </row>
    <row r="663" spans="2:5" x14ac:dyDescent="0.15">
      <c r="B663" s="123">
        <v>663</v>
      </c>
      <c r="C663" s="123" t="s">
        <v>254</v>
      </c>
      <c r="D663" s="123">
        <v>11617</v>
      </c>
      <c r="E663" s="123">
        <v>492.97</v>
      </c>
    </row>
    <row r="664" spans="2:5" x14ac:dyDescent="0.15">
      <c r="B664" s="123">
        <v>664</v>
      </c>
      <c r="C664" s="123" t="s">
        <v>254</v>
      </c>
      <c r="D664" s="123">
        <v>9874.5</v>
      </c>
      <c r="E664" s="123">
        <v>435.39</v>
      </c>
    </row>
    <row r="665" spans="2:5" x14ac:dyDescent="0.15">
      <c r="B665" s="123">
        <v>665</v>
      </c>
      <c r="C665" s="123" t="s">
        <v>254</v>
      </c>
      <c r="D665" s="123">
        <v>7846.9</v>
      </c>
      <c r="E665" s="123">
        <v>376.18</v>
      </c>
    </row>
    <row r="666" spans="2:5" x14ac:dyDescent="0.15">
      <c r="B666" s="123">
        <v>666</v>
      </c>
      <c r="C666" s="123" t="s">
        <v>254</v>
      </c>
      <c r="D666" s="123">
        <v>6096.8</v>
      </c>
      <c r="E666" s="123">
        <v>325.55</v>
      </c>
    </row>
    <row r="667" spans="2:5" x14ac:dyDescent="0.15">
      <c r="B667" s="123">
        <v>667</v>
      </c>
      <c r="C667" s="123" t="s">
        <v>254</v>
      </c>
      <c r="D667" s="123">
        <v>9557</v>
      </c>
      <c r="E667" s="123">
        <v>394.39</v>
      </c>
    </row>
    <row r="668" spans="2:5" x14ac:dyDescent="0.15">
      <c r="B668" s="123">
        <v>668</v>
      </c>
      <c r="C668" s="123" t="s">
        <v>254</v>
      </c>
      <c r="D668" s="123">
        <v>11832</v>
      </c>
      <c r="E668" s="123">
        <v>473.21</v>
      </c>
    </row>
    <row r="669" spans="2:5" x14ac:dyDescent="0.15">
      <c r="B669" s="123">
        <v>669</v>
      </c>
      <c r="C669" s="123" t="s">
        <v>254</v>
      </c>
      <c r="D669" s="123">
        <v>11485</v>
      </c>
      <c r="E669" s="123">
        <v>476.97</v>
      </c>
    </row>
    <row r="670" spans="2:5" x14ac:dyDescent="0.15">
      <c r="B670" s="123">
        <v>670</v>
      </c>
      <c r="C670" s="123" t="s">
        <v>254</v>
      </c>
      <c r="D670" s="123">
        <v>13615</v>
      </c>
      <c r="E670" s="123">
        <v>554.66</v>
      </c>
    </row>
    <row r="671" spans="2:5" x14ac:dyDescent="0.15">
      <c r="B671" s="123">
        <v>671</v>
      </c>
      <c r="C671" s="123" t="s">
        <v>254</v>
      </c>
      <c r="D671" s="123">
        <v>11537</v>
      </c>
      <c r="E671" s="123">
        <v>505.27</v>
      </c>
    </row>
    <row r="672" spans="2:5" x14ac:dyDescent="0.15">
      <c r="B672" s="123">
        <v>672</v>
      </c>
      <c r="C672" s="123" t="s">
        <v>254</v>
      </c>
      <c r="D672" s="123">
        <v>10104</v>
      </c>
      <c r="E672" s="123">
        <v>470.19</v>
      </c>
    </row>
    <row r="673" spans="2:5" x14ac:dyDescent="0.15">
      <c r="B673" s="123">
        <v>673</v>
      </c>
      <c r="C673" s="123" t="s">
        <v>254</v>
      </c>
      <c r="D673" s="123">
        <v>10178</v>
      </c>
      <c r="E673" s="123">
        <v>468.09</v>
      </c>
    </row>
    <row r="674" spans="2:5" x14ac:dyDescent="0.15">
      <c r="B674" s="123">
        <v>674</v>
      </c>
      <c r="C674" s="123" t="s">
        <v>254</v>
      </c>
      <c r="D674" s="123">
        <v>11081</v>
      </c>
      <c r="E674" s="123">
        <v>483.74</v>
      </c>
    </row>
    <row r="675" spans="2:5" x14ac:dyDescent="0.15">
      <c r="B675" s="123">
        <v>675</v>
      </c>
      <c r="C675" s="123" t="s">
        <v>254</v>
      </c>
      <c r="D675" s="123">
        <v>10201</v>
      </c>
      <c r="E675" s="123">
        <v>457.42</v>
      </c>
    </row>
    <row r="676" spans="2:5" x14ac:dyDescent="0.15">
      <c r="B676" s="123">
        <v>676</v>
      </c>
      <c r="C676" s="123" t="s">
        <v>254</v>
      </c>
      <c r="D676" s="123">
        <v>9897.5</v>
      </c>
      <c r="E676" s="123">
        <v>471.05</v>
      </c>
    </row>
    <row r="677" spans="2:5" x14ac:dyDescent="0.15">
      <c r="B677" s="123">
        <v>677</v>
      </c>
      <c r="C677" s="123" t="s">
        <v>254</v>
      </c>
      <c r="D677" s="123">
        <v>10224</v>
      </c>
      <c r="E677" s="123">
        <v>522.79999999999995</v>
      </c>
    </row>
    <row r="678" spans="2:5" x14ac:dyDescent="0.15">
      <c r="B678" s="123">
        <v>678</v>
      </c>
      <c r="C678" s="123" t="s">
        <v>254</v>
      </c>
      <c r="D678" s="123">
        <v>12865</v>
      </c>
      <c r="E678" s="123">
        <v>769.59</v>
      </c>
    </row>
    <row r="679" spans="2:5" x14ac:dyDescent="0.15">
      <c r="B679" s="123">
        <v>679</v>
      </c>
      <c r="C679" s="123" t="s">
        <v>254</v>
      </c>
      <c r="D679" s="123">
        <v>11784</v>
      </c>
      <c r="E679" s="123">
        <v>825.68</v>
      </c>
    </row>
    <row r="680" spans="2:5" x14ac:dyDescent="0.15">
      <c r="B680" s="123">
        <v>680</v>
      </c>
      <c r="C680" s="123" t="s">
        <v>254</v>
      </c>
      <c r="D680" s="123">
        <v>9597.5</v>
      </c>
      <c r="E680" s="123">
        <v>803.68</v>
      </c>
    </row>
    <row r="681" spans="2:5" x14ac:dyDescent="0.15">
      <c r="B681" s="123">
        <v>681</v>
      </c>
      <c r="C681" s="123" t="s">
        <v>254</v>
      </c>
      <c r="D681" s="123">
        <v>7178.1</v>
      </c>
      <c r="E681" s="123">
        <v>741.28</v>
      </c>
    </row>
    <row r="682" spans="2:5" x14ac:dyDescent="0.15">
      <c r="B682" s="123">
        <v>682</v>
      </c>
      <c r="C682" s="123" t="s">
        <v>254</v>
      </c>
      <c r="D682" s="123">
        <v>5363.4</v>
      </c>
      <c r="E682" s="123">
        <v>733.5</v>
      </c>
    </row>
    <row r="683" spans="2:5" x14ac:dyDescent="0.15">
      <c r="B683" s="123">
        <v>683</v>
      </c>
      <c r="C683" s="123" t="s">
        <v>254</v>
      </c>
      <c r="D683" s="123">
        <v>4356.7</v>
      </c>
      <c r="E683" s="123">
        <v>852.66</v>
      </c>
    </row>
    <row r="684" spans="2:5" x14ac:dyDescent="0.15">
      <c r="B684" s="123">
        <v>684</v>
      </c>
      <c r="C684" s="123" t="s">
        <v>254</v>
      </c>
      <c r="D684" s="123">
        <v>6657.9</v>
      </c>
      <c r="E684" s="123">
        <v>2564.8000000000002</v>
      </c>
    </row>
    <row r="685" spans="2:5" x14ac:dyDescent="0.15">
      <c r="B685" s="123">
        <v>687</v>
      </c>
      <c r="C685" s="123" t="s">
        <v>207</v>
      </c>
      <c r="D685" s="123">
        <v>4480</v>
      </c>
      <c r="E685" s="123">
        <v>1527.4</v>
      </c>
    </row>
    <row r="686" spans="2:5" x14ac:dyDescent="0.15">
      <c r="B686" s="123">
        <v>688</v>
      </c>
      <c r="C686" s="123" t="s">
        <v>207</v>
      </c>
      <c r="D686" s="123">
        <v>11902</v>
      </c>
      <c r="E686" s="123">
        <v>3792.9</v>
      </c>
    </row>
    <row r="687" spans="2:5" x14ac:dyDescent="0.15">
      <c r="B687" s="123">
        <v>689</v>
      </c>
      <c r="C687" s="123" t="s">
        <v>207</v>
      </c>
      <c r="D687" s="123">
        <v>17566</v>
      </c>
      <c r="E687" s="123">
        <v>5212.3999999999996</v>
      </c>
    </row>
    <row r="688" spans="2:5" x14ac:dyDescent="0.15">
      <c r="B688" s="123">
        <v>690</v>
      </c>
      <c r="C688" s="123" t="s">
        <v>207</v>
      </c>
      <c r="D688" s="123">
        <v>21779</v>
      </c>
      <c r="E688" s="123">
        <v>5991.9</v>
      </c>
    </row>
    <row r="689" spans="2:5" x14ac:dyDescent="0.15">
      <c r="B689" s="123">
        <v>691</v>
      </c>
      <c r="C689" s="123" t="s">
        <v>207</v>
      </c>
      <c r="D689" s="123">
        <v>24797</v>
      </c>
      <c r="E689" s="123">
        <v>6298</v>
      </c>
    </row>
    <row r="690" spans="2:5" x14ac:dyDescent="0.15">
      <c r="B690" s="123">
        <v>692</v>
      </c>
      <c r="C690" s="123" t="s">
        <v>207</v>
      </c>
      <c r="D690" s="123">
        <v>26839</v>
      </c>
      <c r="E690" s="123">
        <v>6264.8</v>
      </c>
    </row>
    <row r="691" spans="2:5" x14ac:dyDescent="0.15">
      <c r="B691" s="123">
        <v>693</v>
      </c>
      <c r="C691" s="123" t="s">
        <v>207</v>
      </c>
      <c r="D691" s="123">
        <v>28089</v>
      </c>
      <c r="E691" s="123">
        <v>5999.8</v>
      </c>
    </row>
    <row r="692" spans="2:5" x14ac:dyDescent="0.15">
      <c r="B692" s="123">
        <v>694</v>
      </c>
      <c r="C692" s="123" t="s">
        <v>207</v>
      </c>
      <c r="D692" s="123">
        <v>28701</v>
      </c>
      <c r="E692" s="123">
        <v>5589.6</v>
      </c>
    </row>
    <row r="693" spans="2:5" x14ac:dyDescent="0.15">
      <c r="B693" s="123">
        <v>695</v>
      </c>
      <c r="C693" s="123" t="s">
        <v>207</v>
      </c>
      <c r="D693" s="123">
        <v>28805</v>
      </c>
      <c r="E693" s="123">
        <v>5103.8999999999996</v>
      </c>
    </row>
    <row r="694" spans="2:5" x14ac:dyDescent="0.15">
      <c r="B694" s="123">
        <v>696</v>
      </c>
      <c r="C694" s="123" t="s">
        <v>207</v>
      </c>
      <c r="D694" s="123">
        <v>28510</v>
      </c>
      <c r="E694" s="123">
        <v>4599.2</v>
      </c>
    </row>
    <row r="695" spans="2:5" x14ac:dyDescent="0.15">
      <c r="B695" s="123">
        <v>697</v>
      </c>
      <c r="C695" s="123" t="s">
        <v>207</v>
      </c>
      <c r="D695" s="123">
        <v>27905</v>
      </c>
      <c r="E695" s="123">
        <v>4121.6000000000004</v>
      </c>
    </row>
    <row r="696" spans="2:5" x14ac:dyDescent="0.15">
      <c r="B696" s="123">
        <v>698</v>
      </c>
      <c r="C696" s="123" t="s">
        <v>207</v>
      </c>
      <c r="D696" s="123">
        <v>27065</v>
      </c>
      <c r="E696" s="123">
        <v>3708.1</v>
      </c>
    </row>
    <row r="697" spans="2:5" x14ac:dyDescent="0.15">
      <c r="B697" s="123">
        <v>699</v>
      </c>
      <c r="C697" s="123" t="s">
        <v>207</v>
      </c>
      <c r="D697" s="123">
        <v>26052</v>
      </c>
      <c r="E697" s="123">
        <v>3385.6</v>
      </c>
    </row>
    <row r="698" spans="2:5" x14ac:dyDescent="0.15">
      <c r="B698" s="123">
        <v>700</v>
      </c>
      <c r="C698" s="123" t="s">
        <v>207</v>
      </c>
      <c r="D698" s="123">
        <v>24916</v>
      </c>
      <c r="E698" s="123">
        <v>3168.3</v>
      </c>
    </row>
    <row r="699" spans="2:5" x14ac:dyDescent="0.15">
      <c r="B699" s="123">
        <v>701</v>
      </c>
      <c r="C699" s="123" t="s">
        <v>207</v>
      </c>
      <c r="D699" s="123">
        <v>23699</v>
      </c>
      <c r="E699" s="123">
        <v>3054.7</v>
      </c>
    </row>
    <row r="700" spans="2:5" x14ac:dyDescent="0.15">
      <c r="B700" s="123">
        <v>702</v>
      </c>
      <c r="C700" s="123" t="s">
        <v>207</v>
      </c>
      <c r="D700" s="123">
        <v>22434</v>
      </c>
      <c r="E700" s="123">
        <v>3028.3</v>
      </c>
    </row>
    <row r="701" spans="2:5" x14ac:dyDescent="0.15">
      <c r="B701" s="123">
        <v>703</v>
      </c>
      <c r="C701" s="123" t="s">
        <v>207</v>
      </c>
      <c r="D701" s="123">
        <v>21149</v>
      </c>
      <c r="E701" s="123">
        <v>3064.1</v>
      </c>
    </row>
    <row r="702" spans="2:5" x14ac:dyDescent="0.15">
      <c r="B702" s="123">
        <v>704</v>
      </c>
      <c r="C702" s="123" t="s">
        <v>207</v>
      </c>
      <c r="D702" s="123">
        <v>19863</v>
      </c>
      <c r="E702" s="123">
        <v>3135.9</v>
      </c>
    </row>
    <row r="703" spans="2:5" x14ac:dyDescent="0.15">
      <c r="B703" s="123">
        <v>705</v>
      </c>
      <c r="C703" s="123" t="s">
        <v>207</v>
      </c>
      <c r="D703" s="123">
        <v>18595</v>
      </c>
      <c r="E703" s="123">
        <v>3221.9</v>
      </c>
    </row>
    <row r="704" spans="2:5" x14ac:dyDescent="0.15">
      <c r="B704" s="123">
        <v>706</v>
      </c>
      <c r="C704" s="123" t="s">
        <v>207</v>
      </c>
      <c r="D704" s="123">
        <v>17357</v>
      </c>
      <c r="E704" s="123">
        <v>3306.1</v>
      </c>
    </row>
    <row r="705" spans="1:5" x14ac:dyDescent="0.15">
      <c r="A705" s="123">
        <v>1964</v>
      </c>
      <c r="B705" s="123">
        <v>595</v>
      </c>
      <c r="C705" s="123" t="s">
        <v>125</v>
      </c>
      <c r="D705" s="125">
        <v>2990.9</v>
      </c>
      <c r="E705" s="123">
        <v>1570.9</v>
      </c>
    </row>
    <row r="706" spans="1:5" x14ac:dyDescent="0.15">
      <c r="A706" s="123">
        <v>1965</v>
      </c>
      <c r="B706" s="123">
        <v>596</v>
      </c>
      <c r="C706" s="123" t="s">
        <v>125</v>
      </c>
      <c r="D706" s="125">
        <v>20529</v>
      </c>
      <c r="E706" s="123">
        <v>4292.2</v>
      </c>
    </row>
    <row r="707" spans="1:5" x14ac:dyDescent="0.15">
      <c r="A707" s="123">
        <v>1966</v>
      </c>
      <c r="B707" s="123">
        <v>597</v>
      </c>
      <c r="C707" s="123" t="s">
        <v>125</v>
      </c>
      <c r="D707" s="125">
        <v>13053</v>
      </c>
      <c r="E707" s="123">
        <v>4523.6000000000004</v>
      </c>
    </row>
    <row r="708" spans="1:5" x14ac:dyDescent="0.15">
      <c r="A708" s="123">
        <v>1967</v>
      </c>
      <c r="B708" s="123">
        <v>598</v>
      </c>
      <c r="C708" s="123" t="s">
        <v>125</v>
      </c>
      <c r="D708" s="125">
        <v>31519</v>
      </c>
      <c r="E708" s="123">
        <v>6932</v>
      </c>
    </row>
    <row r="709" spans="1:5" x14ac:dyDescent="0.15">
      <c r="A709" s="123">
        <v>1968</v>
      </c>
      <c r="B709" s="123">
        <v>599</v>
      </c>
      <c r="C709" s="123" t="s">
        <v>125</v>
      </c>
      <c r="D709" s="125">
        <v>28971</v>
      </c>
      <c r="E709" s="123">
        <v>6651.9</v>
      </c>
    </row>
    <row r="710" spans="1:5" x14ac:dyDescent="0.15">
      <c r="A710" s="123">
        <v>1969</v>
      </c>
      <c r="B710" s="123">
        <v>600</v>
      </c>
      <c r="C710" s="123" t="s">
        <v>125</v>
      </c>
      <c r="D710" s="125">
        <v>29855</v>
      </c>
      <c r="E710" s="123">
        <v>6964.7</v>
      </c>
    </row>
    <row r="711" spans="1:5" x14ac:dyDescent="0.15">
      <c r="A711" s="123">
        <v>1970</v>
      </c>
      <c r="B711" s="123">
        <v>601</v>
      </c>
      <c r="C711" s="123" t="s">
        <v>125</v>
      </c>
      <c r="D711" s="125">
        <v>21139</v>
      </c>
      <c r="E711" s="123">
        <v>5529.9</v>
      </c>
    </row>
    <row r="712" spans="1:5" x14ac:dyDescent="0.15">
      <c r="A712" s="123">
        <v>1971</v>
      </c>
      <c r="B712" s="123">
        <v>602</v>
      </c>
      <c r="C712" s="123" t="s">
        <v>125</v>
      </c>
      <c r="D712" s="125">
        <v>8238.7000000000007</v>
      </c>
      <c r="E712" s="123">
        <v>3518.2</v>
      </c>
    </row>
    <row r="713" spans="1:5" x14ac:dyDescent="0.15">
      <c r="A713" s="123">
        <v>1972</v>
      </c>
      <c r="B713" s="123">
        <v>603</v>
      </c>
      <c r="C713" s="123" t="s">
        <v>125</v>
      </c>
      <c r="D713" s="125">
        <v>10242</v>
      </c>
      <c r="E713" s="123">
        <v>3483.7</v>
      </c>
    </row>
    <row r="714" spans="1:5" x14ac:dyDescent="0.15">
      <c r="A714" s="123">
        <v>1973</v>
      </c>
      <c r="B714" s="123">
        <v>604</v>
      </c>
      <c r="C714" s="123" t="s">
        <v>125</v>
      </c>
      <c r="D714" s="125">
        <v>27727</v>
      </c>
      <c r="E714" s="123">
        <v>4375.5</v>
      </c>
    </row>
    <row r="715" spans="1:5" x14ac:dyDescent="0.15">
      <c r="A715" s="123">
        <v>1974</v>
      </c>
      <c r="B715" s="123">
        <v>605</v>
      </c>
      <c r="C715" s="123" t="s">
        <v>125</v>
      </c>
      <c r="D715" s="125">
        <v>20578</v>
      </c>
      <c r="E715" s="123">
        <v>3518.7</v>
      </c>
    </row>
    <row r="716" spans="1:5" x14ac:dyDescent="0.15">
      <c r="A716" s="123">
        <v>1975</v>
      </c>
      <c r="B716" s="123">
        <v>606</v>
      </c>
      <c r="C716" s="123" t="s">
        <v>125</v>
      </c>
      <c r="D716" s="125">
        <v>18121</v>
      </c>
      <c r="E716" s="123">
        <v>2698.7</v>
      </c>
    </row>
    <row r="717" spans="1:5" x14ac:dyDescent="0.15">
      <c r="A717" s="123">
        <v>1976</v>
      </c>
      <c r="B717" s="123">
        <v>607</v>
      </c>
      <c r="C717" s="123" t="s">
        <v>125</v>
      </c>
      <c r="D717" s="125">
        <v>13429</v>
      </c>
      <c r="E717" s="123">
        <v>1970.5</v>
      </c>
    </row>
    <row r="718" spans="1:5" x14ac:dyDescent="0.15">
      <c r="A718" s="123">
        <v>1977</v>
      </c>
      <c r="B718" s="123">
        <v>608</v>
      </c>
      <c r="C718" s="123" t="s">
        <v>125</v>
      </c>
      <c r="D718" s="125">
        <v>13980</v>
      </c>
      <c r="E718" s="123">
        <v>1859.2</v>
      </c>
    </row>
    <row r="719" spans="1:5" x14ac:dyDescent="0.15">
      <c r="A719" s="123">
        <v>1978</v>
      </c>
      <c r="B719" s="123">
        <v>609</v>
      </c>
      <c r="C719" s="123" t="s">
        <v>125</v>
      </c>
      <c r="D719" s="125">
        <v>28035</v>
      </c>
      <c r="E719" s="123">
        <v>2411.6999999999998</v>
      </c>
    </row>
    <row r="720" spans="1:5" x14ac:dyDescent="0.15">
      <c r="A720" s="123">
        <v>1979</v>
      </c>
      <c r="B720" s="123">
        <v>610</v>
      </c>
      <c r="C720" s="123" t="s">
        <v>125</v>
      </c>
      <c r="D720" s="125">
        <v>64073</v>
      </c>
      <c r="E720" s="123">
        <v>4167.8</v>
      </c>
    </row>
    <row r="721" spans="1:5" x14ac:dyDescent="0.15">
      <c r="A721" s="123">
        <v>1980</v>
      </c>
      <c r="B721" s="123">
        <v>611</v>
      </c>
      <c r="C721" s="123" t="s">
        <v>125</v>
      </c>
      <c r="D721" s="125">
        <v>25898</v>
      </c>
      <c r="E721" s="123">
        <v>2082.9</v>
      </c>
    </row>
    <row r="722" spans="1:5" x14ac:dyDescent="0.15">
      <c r="A722" s="123">
        <v>1981</v>
      </c>
      <c r="B722" s="123">
        <v>612</v>
      </c>
      <c r="C722" s="123" t="s">
        <v>125</v>
      </c>
      <c r="D722" s="125">
        <v>29690</v>
      </c>
      <c r="E722" s="123">
        <v>2426</v>
      </c>
    </row>
    <row r="723" spans="1:5" x14ac:dyDescent="0.15">
      <c r="A723" s="123">
        <v>1982</v>
      </c>
      <c r="B723" s="123">
        <v>613</v>
      </c>
      <c r="C723" s="123" t="s">
        <v>125</v>
      </c>
      <c r="D723" s="125">
        <v>15979</v>
      </c>
      <c r="E723" s="123">
        <v>1727.6</v>
      </c>
    </row>
    <row r="724" spans="1:5" x14ac:dyDescent="0.15">
      <c r="A724" s="123">
        <v>1983</v>
      </c>
      <c r="B724" s="123">
        <v>614</v>
      </c>
      <c r="C724" s="123" t="s">
        <v>125</v>
      </c>
      <c r="D724" s="125">
        <v>54323</v>
      </c>
      <c r="E724" s="123">
        <v>3058.9</v>
      </c>
    </row>
    <row r="725" spans="1:5" x14ac:dyDescent="0.15">
      <c r="A725" s="123">
        <v>1984</v>
      </c>
      <c r="B725" s="123">
        <v>615</v>
      </c>
      <c r="C725" s="123" t="s">
        <v>125</v>
      </c>
      <c r="D725" s="125">
        <v>13136</v>
      </c>
      <c r="E725" s="123">
        <v>1439.6</v>
      </c>
    </row>
    <row r="726" spans="1:5" x14ac:dyDescent="0.15">
      <c r="A726" s="123">
        <v>1985</v>
      </c>
      <c r="B726" s="123">
        <v>616</v>
      </c>
      <c r="C726" s="123" t="s">
        <v>125</v>
      </c>
      <c r="D726" s="125">
        <v>35237</v>
      </c>
      <c r="E726" s="123">
        <v>2113</v>
      </c>
    </row>
    <row r="727" spans="1:5" x14ac:dyDescent="0.15">
      <c r="A727" s="123">
        <v>1986</v>
      </c>
      <c r="B727" s="123">
        <v>617</v>
      </c>
      <c r="C727" s="123" t="s">
        <v>125</v>
      </c>
      <c r="D727" s="125">
        <v>13056</v>
      </c>
      <c r="E727" s="123">
        <v>1263</v>
      </c>
    </row>
    <row r="728" spans="1:5" x14ac:dyDescent="0.15">
      <c r="A728" s="123">
        <v>1987</v>
      </c>
      <c r="B728" s="123">
        <v>618</v>
      </c>
      <c r="C728" s="123" t="s">
        <v>125</v>
      </c>
      <c r="D728" s="125">
        <v>8338</v>
      </c>
      <c r="E728" s="123">
        <v>941.16</v>
      </c>
    </row>
    <row r="729" spans="1:5" x14ac:dyDescent="0.15">
      <c r="A729" s="123">
        <v>1988</v>
      </c>
      <c r="B729" s="123">
        <v>619</v>
      </c>
      <c r="C729" s="123" t="s">
        <v>125</v>
      </c>
      <c r="D729" s="125">
        <v>4783.3999999999996</v>
      </c>
      <c r="E729" s="123">
        <v>691.82</v>
      </c>
    </row>
    <row r="730" spans="1:5" x14ac:dyDescent="0.15">
      <c r="A730" s="123">
        <v>1989</v>
      </c>
      <c r="B730" s="123">
        <v>620</v>
      </c>
      <c r="C730" s="123" t="s">
        <v>125</v>
      </c>
      <c r="D730" s="125">
        <v>10161</v>
      </c>
      <c r="E730" s="123">
        <v>1147.8</v>
      </c>
    </row>
    <row r="731" spans="1:5" x14ac:dyDescent="0.15">
      <c r="A731" s="123">
        <v>1990</v>
      </c>
      <c r="B731" s="123">
        <v>621</v>
      </c>
      <c r="C731" s="123" t="s">
        <v>125</v>
      </c>
      <c r="D731" s="125">
        <v>50836</v>
      </c>
      <c r="E731" s="123">
        <v>2031</v>
      </c>
    </row>
    <row r="732" spans="1:5" x14ac:dyDescent="0.15">
      <c r="A732" s="123">
        <v>1991</v>
      </c>
      <c r="B732" s="123">
        <v>622</v>
      </c>
      <c r="C732" s="123" t="s">
        <v>125</v>
      </c>
      <c r="D732" s="125">
        <v>26352</v>
      </c>
      <c r="E732" s="123">
        <v>1556.8</v>
      </c>
    </row>
    <row r="733" spans="1:5" x14ac:dyDescent="0.15">
      <c r="A733" s="123">
        <v>1992</v>
      </c>
      <c r="B733" s="123">
        <v>623</v>
      </c>
      <c r="C733" s="123" t="s">
        <v>125</v>
      </c>
      <c r="D733" s="125">
        <v>22593</v>
      </c>
      <c r="E733" s="123">
        <v>1558.5</v>
      </c>
    </row>
    <row r="734" spans="1:5" x14ac:dyDescent="0.15">
      <c r="A734" s="123">
        <v>1993</v>
      </c>
      <c r="B734" s="123">
        <v>624</v>
      </c>
      <c r="C734" s="123" t="s">
        <v>125</v>
      </c>
      <c r="D734" s="125">
        <v>51772</v>
      </c>
      <c r="E734" s="123">
        <v>2583.6</v>
      </c>
    </row>
    <row r="735" spans="1:5" x14ac:dyDescent="0.15">
      <c r="A735" s="123">
        <v>1994</v>
      </c>
      <c r="B735" s="123">
        <v>625</v>
      </c>
      <c r="C735" s="123" t="s">
        <v>125</v>
      </c>
      <c r="D735" s="125">
        <v>14648</v>
      </c>
      <c r="E735" s="123">
        <v>1116.8</v>
      </c>
    </row>
    <row r="736" spans="1:5" x14ac:dyDescent="0.15">
      <c r="A736" s="123">
        <v>1995</v>
      </c>
      <c r="B736" s="123">
        <v>626</v>
      </c>
      <c r="C736" s="123" t="s">
        <v>125</v>
      </c>
      <c r="D736" s="125">
        <v>9989.6</v>
      </c>
      <c r="E736" s="123">
        <v>876.27</v>
      </c>
    </row>
    <row r="737" spans="1:5" x14ac:dyDescent="0.15">
      <c r="A737" s="123">
        <v>1996</v>
      </c>
      <c r="B737" s="123">
        <v>627</v>
      </c>
      <c r="C737" s="123" t="s">
        <v>125</v>
      </c>
      <c r="D737" s="125">
        <v>24079</v>
      </c>
      <c r="E737" s="123">
        <v>1363.3</v>
      </c>
    </row>
    <row r="738" spans="1:5" x14ac:dyDescent="0.15">
      <c r="A738" s="123">
        <v>1997</v>
      </c>
      <c r="B738" s="123">
        <v>628</v>
      </c>
      <c r="C738" s="123" t="s">
        <v>125</v>
      </c>
      <c r="D738" s="125">
        <v>32160</v>
      </c>
      <c r="E738" s="123">
        <v>1562</v>
      </c>
    </row>
    <row r="739" spans="1:5" x14ac:dyDescent="0.15">
      <c r="A739" s="123">
        <v>1998</v>
      </c>
      <c r="B739" s="123">
        <v>629</v>
      </c>
      <c r="C739" s="123" t="s">
        <v>125</v>
      </c>
      <c r="D739" s="125">
        <v>14840</v>
      </c>
      <c r="E739" s="123">
        <v>1014.7</v>
      </c>
    </row>
    <row r="740" spans="1:5" x14ac:dyDescent="0.15">
      <c r="A740" s="123">
        <v>1999</v>
      </c>
      <c r="B740" s="123">
        <v>630</v>
      </c>
      <c r="C740" s="123" t="s">
        <v>125</v>
      </c>
      <c r="D740" s="125">
        <v>16669</v>
      </c>
      <c r="E740" s="123">
        <v>1205</v>
      </c>
    </row>
    <row r="741" spans="1:5" x14ac:dyDescent="0.15">
      <c r="A741" s="123">
        <v>2000</v>
      </c>
      <c r="B741" s="123">
        <v>631</v>
      </c>
      <c r="C741" s="123" t="s">
        <v>125</v>
      </c>
      <c r="D741" s="125">
        <v>26483</v>
      </c>
      <c r="E741" s="123">
        <v>1942.2</v>
      </c>
    </row>
    <row r="742" spans="1:5" x14ac:dyDescent="0.15">
      <c r="A742" s="123">
        <v>2001</v>
      </c>
      <c r="B742" s="123">
        <v>632</v>
      </c>
      <c r="C742" s="123" t="s">
        <v>125</v>
      </c>
      <c r="D742" s="125">
        <v>41060</v>
      </c>
      <c r="E742" s="123">
        <v>3297.5</v>
      </c>
    </row>
    <row r="743" spans="1:5" x14ac:dyDescent="0.15">
      <c r="A743" s="123">
        <v>2002</v>
      </c>
      <c r="B743" s="123">
        <v>633</v>
      </c>
      <c r="C743" s="123" t="s">
        <v>125</v>
      </c>
      <c r="D743" s="125">
        <v>21082</v>
      </c>
      <c r="E743" s="123">
        <v>2375.3000000000002</v>
      </c>
    </row>
    <row r="744" spans="1:5" x14ac:dyDescent="0.15">
      <c r="A744" s="123">
        <v>2003</v>
      </c>
      <c r="B744" s="123">
        <v>634</v>
      </c>
      <c r="C744" s="123" t="s">
        <v>125</v>
      </c>
      <c r="D744" s="125">
        <v>11623</v>
      </c>
      <c r="E744" s="123">
        <v>2019.3</v>
      </c>
    </row>
    <row r="745" spans="1:5" x14ac:dyDescent="0.15">
      <c r="A745" s="123">
        <v>2004</v>
      </c>
      <c r="B745" s="123">
        <v>635</v>
      </c>
      <c r="C745" s="123" t="s">
        <v>125</v>
      </c>
      <c r="D745" s="125">
        <v>4215.3</v>
      </c>
      <c r="E745" s="123">
        <v>1256.3</v>
      </c>
    </row>
    <row r="746" spans="1:5" x14ac:dyDescent="0.15">
      <c r="A746" s="123">
        <v>2005</v>
      </c>
      <c r="B746" s="123">
        <v>636</v>
      </c>
      <c r="C746" s="123" t="s">
        <v>125</v>
      </c>
      <c r="D746" s="125">
        <v>4446.1000000000004</v>
      </c>
      <c r="E746" s="123">
        <v>1681.4</v>
      </c>
    </row>
    <row r="747" spans="1:5" x14ac:dyDescent="0.15">
      <c r="A747" s="123">
        <v>2006</v>
      </c>
      <c r="B747" s="123">
        <v>637</v>
      </c>
      <c r="C747" s="123" t="s">
        <v>125</v>
      </c>
      <c r="D747" s="125">
        <v>11468</v>
      </c>
      <c r="E747" s="123">
        <v>4661.8</v>
      </c>
    </row>
    <row r="748" spans="1:5" x14ac:dyDescent="0.15">
      <c r="A748" s="123">
        <v>2007</v>
      </c>
      <c r="B748" s="123">
        <v>638</v>
      </c>
      <c r="C748" s="123" t="s">
        <v>125</v>
      </c>
      <c r="D748" s="125">
        <v>42147</v>
      </c>
      <c r="E748" s="123">
        <v>24862</v>
      </c>
    </row>
    <row r="749" spans="1:5" x14ac:dyDescent="0.15">
      <c r="B749" s="123">
        <v>540</v>
      </c>
      <c r="C749" s="123" t="s">
        <v>218</v>
      </c>
      <c r="D749" s="123">
        <v>0</v>
      </c>
      <c r="E749" s="123">
        <v>0.84645000000000004</v>
      </c>
    </row>
    <row r="750" spans="1:5" x14ac:dyDescent="0.15">
      <c r="B750" s="123">
        <v>541</v>
      </c>
      <c r="C750" s="123" t="s">
        <v>218</v>
      </c>
      <c r="D750" s="123">
        <v>0</v>
      </c>
      <c r="E750" s="123">
        <v>0.84645000000000004</v>
      </c>
    </row>
    <row r="751" spans="1:5" x14ac:dyDescent="0.15">
      <c r="B751" s="123">
        <v>542</v>
      </c>
      <c r="C751" s="123" t="s">
        <v>218</v>
      </c>
      <c r="D751" s="123">
        <v>0</v>
      </c>
      <c r="E751" s="123">
        <v>0.84645000000000004</v>
      </c>
    </row>
    <row r="752" spans="1:5" x14ac:dyDescent="0.15">
      <c r="B752" s="123">
        <v>543</v>
      </c>
      <c r="C752" s="123" t="s">
        <v>218</v>
      </c>
      <c r="D752" s="123">
        <v>0</v>
      </c>
      <c r="E752" s="123">
        <v>0.84645000000000004</v>
      </c>
    </row>
    <row r="753" spans="2:5" x14ac:dyDescent="0.15">
      <c r="B753" s="123">
        <v>544</v>
      </c>
      <c r="C753" s="123" t="s">
        <v>218</v>
      </c>
      <c r="D753" s="123">
        <v>0</v>
      </c>
      <c r="E753" s="123">
        <v>0.84645000000000004</v>
      </c>
    </row>
    <row r="754" spans="2:5" x14ac:dyDescent="0.15">
      <c r="B754" s="123">
        <v>751</v>
      </c>
      <c r="C754" s="123" t="s">
        <v>497</v>
      </c>
      <c r="D754" s="123">
        <v>0.1186</v>
      </c>
      <c r="E754" s="123">
        <v>3.2069E-2</v>
      </c>
    </row>
    <row r="755" spans="2:5" x14ac:dyDescent="0.15">
      <c r="B755" s="123">
        <v>752</v>
      </c>
      <c r="C755" s="123" t="s">
        <v>497</v>
      </c>
      <c r="D755" s="123">
        <v>9.9630999999999997E-2</v>
      </c>
      <c r="E755" s="123">
        <v>1.8679999999999999E-2</v>
      </c>
    </row>
    <row r="756" spans="2:5" x14ac:dyDescent="0.15">
      <c r="B756" s="123">
        <v>753</v>
      </c>
      <c r="C756" s="123" t="s">
        <v>497</v>
      </c>
      <c r="D756" s="123">
        <v>0.1512</v>
      </c>
      <c r="E756" s="123">
        <v>3.9689000000000002E-2</v>
      </c>
    </row>
    <row r="757" spans="2:5" x14ac:dyDescent="0.15">
      <c r="B757" s="123">
        <v>754</v>
      </c>
      <c r="C757" s="123" t="s">
        <v>497</v>
      </c>
      <c r="D757" s="123">
        <v>0.18618999999999999</v>
      </c>
      <c r="E757" s="123">
        <v>3.5593E-2</v>
      </c>
    </row>
    <row r="758" spans="2:5" x14ac:dyDescent="0.15">
      <c r="B758" s="123">
        <v>755</v>
      </c>
      <c r="C758" s="123" t="s">
        <v>497</v>
      </c>
      <c r="D758" s="123">
        <v>0.19144</v>
      </c>
      <c r="E758" s="123">
        <v>3.7803000000000003E-2</v>
      </c>
    </row>
    <row r="759" spans="2:5" x14ac:dyDescent="0.15">
      <c r="B759" s="123">
        <v>756</v>
      </c>
      <c r="C759" s="123" t="s">
        <v>497</v>
      </c>
      <c r="D759" s="123">
        <v>0.14433000000000001</v>
      </c>
      <c r="E759" s="123">
        <v>3.8514E-2</v>
      </c>
    </row>
    <row r="760" spans="2:5" x14ac:dyDescent="0.15">
      <c r="B760" s="123">
        <v>757</v>
      </c>
      <c r="C760" s="123" t="s">
        <v>497</v>
      </c>
      <c r="D760" s="123">
        <v>0.11573</v>
      </c>
      <c r="E760" s="123">
        <v>2.0882999999999999E-2</v>
      </c>
    </row>
    <row r="761" spans="2:5" x14ac:dyDescent="0.15">
      <c r="B761" s="123">
        <v>758</v>
      </c>
      <c r="C761" s="123" t="s">
        <v>497</v>
      </c>
      <c r="D761" s="123">
        <v>0.17477999999999999</v>
      </c>
      <c r="E761" s="123">
        <v>4.6192999999999998E-2</v>
      </c>
    </row>
    <row r="762" spans="2:5" x14ac:dyDescent="0.15">
      <c r="B762" s="123">
        <v>759</v>
      </c>
      <c r="C762" s="123" t="s">
        <v>497</v>
      </c>
      <c r="D762" s="123">
        <v>0.22283</v>
      </c>
      <c r="E762" s="123">
        <v>4.2945999999999998E-2</v>
      </c>
    </row>
    <row r="763" spans="2:5" x14ac:dyDescent="0.15">
      <c r="B763" s="123">
        <v>760</v>
      </c>
      <c r="C763" s="123" t="s">
        <v>497</v>
      </c>
      <c r="D763" s="123">
        <v>0.22552</v>
      </c>
      <c r="E763" s="123">
        <v>4.5842000000000001E-2</v>
      </c>
    </row>
    <row r="764" spans="2:5" x14ac:dyDescent="0.15">
      <c r="B764" s="123">
        <v>761</v>
      </c>
      <c r="C764" s="123" t="s">
        <v>497</v>
      </c>
      <c r="D764" s="123">
        <v>0.26193</v>
      </c>
      <c r="E764" s="123">
        <v>0.13836999999999999</v>
      </c>
    </row>
    <row r="765" spans="2:5" x14ac:dyDescent="0.15">
      <c r="B765" s="123">
        <v>762</v>
      </c>
      <c r="C765" s="123" t="s">
        <v>497</v>
      </c>
      <c r="D765" s="123">
        <v>0.17119000000000001</v>
      </c>
      <c r="E765" s="123">
        <v>5.1563999999999999E-2</v>
      </c>
    </row>
    <row r="766" spans="2:5" x14ac:dyDescent="0.15">
      <c r="B766" s="123">
        <v>763</v>
      </c>
      <c r="C766" s="123" t="s">
        <v>497</v>
      </c>
      <c r="D766" s="123">
        <v>0.26343</v>
      </c>
      <c r="E766" s="123">
        <v>9.1904E-2</v>
      </c>
    </row>
    <row r="767" spans="2:5" x14ac:dyDescent="0.15">
      <c r="B767" s="123">
        <v>764</v>
      </c>
      <c r="C767" s="123" t="s">
        <v>497</v>
      </c>
      <c r="D767" s="123">
        <v>0.30531000000000003</v>
      </c>
      <c r="E767" s="123">
        <v>0.1027</v>
      </c>
    </row>
    <row r="768" spans="2:5" x14ac:dyDescent="0.15">
      <c r="B768" s="123">
        <v>765</v>
      </c>
      <c r="C768" s="123" t="s">
        <v>497</v>
      </c>
      <c r="D768" s="123">
        <v>0.29772999999999999</v>
      </c>
      <c r="E768" s="123">
        <v>0.13841000000000001</v>
      </c>
    </row>
    <row r="769" spans="2:5" x14ac:dyDescent="0.15">
      <c r="B769" s="123">
        <v>766</v>
      </c>
      <c r="C769" s="123" t="s">
        <v>497</v>
      </c>
      <c r="D769" s="123">
        <v>0.20115</v>
      </c>
      <c r="E769" s="123">
        <v>4.5516000000000001E-2</v>
      </c>
    </row>
    <row r="770" spans="2:5" x14ac:dyDescent="0.15">
      <c r="B770" s="123">
        <v>767</v>
      </c>
      <c r="C770" s="123" t="s">
        <v>497</v>
      </c>
      <c r="D770" s="123">
        <v>0.15429000000000001</v>
      </c>
      <c r="E770" s="123">
        <v>5.3474000000000001E-2</v>
      </c>
    </row>
    <row r="771" spans="2:5" x14ac:dyDescent="0.15">
      <c r="B771" s="123">
        <v>768</v>
      </c>
      <c r="C771" s="123" t="s">
        <v>497</v>
      </c>
      <c r="D771" s="123">
        <v>0.12969</v>
      </c>
      <c r="E771" s="123">
        <v>5.2969000000000002E-2</v>
      </c>
    </row>
    <row r="772" spans="2:5" x14ac:dyDescent="0.15">
      <c r="B772" s="123">
        <v>769</v>
      </c>
      <c r="C772" s="123" t="s">
        <v>497</v>
      </c>
      <c r="D772" s="123">
        <v>0.11811000000000001</v>
      </c>
      <c r="E772" s="123">
        <v>5.2617999999999998E-2</v>
      </c>
    </row>
    <row r="773" spans="2:5" x14ac:dyDescent="0.15">
      <c r="B773" s="123">
        <v>770</v>
      </c>
      <c r="C773" s="123" t="s">
        <v>497</v>
      </c>
      <c r="D773" s="123">
        <v>0.10854999999999999</v>
      </c>
      <c r="E773" s="123">
        <v>5.0505000000000001E-2</v>
      </c>
    </row>
    <row r="774" spans="2:5" x14ac:dyDescent="0.15">
      <c r="B774" s="123">
        <v>771</v>
      </c>
      <c r="C774" s="123" t="s">
        <v>497</v>
      </c>
      <c r="D774" s="123">
        <v>0.24067</v>
      </c>
      <c r="E774" s="123">
        <v>5.4336000000000002E-2</v>
      </c>
    </row>
    <row r="775" spans="2:5" x14ac:dyDescent="0.15">
      <c r="B775" s="123">
        <v>772</v>
      </c>
      <c r="C775" s="123" t="s">
        <v>497</v>
      </c>
      <c r="D775" s="123">
        <v>0.18895000000000001</v>
      </c>
      <c r="E775" s="123">
        <v>6.6975999999999994E-2</v>
      </c>
    </row>
    <row r="776" spans="2:5" x14ac:dyDescent="0.15">
      <c r="B776" s="123">
        <v>773</v>
      </c>
      <c r="C776" s="123" t="s">
        <v>497</v>
      </c>
      <c r="D776" s="123">
        <v>0.16194</v>
      </c>
      <c r="E776" s="123">
        <v>6.8762000000000004E-2</v>
      </c>
    </row>
    <row r="777" spans="2:5" x14ac:dyDescent="0.15">
      <c r="B777" s="123">
        <v>774</v>
      </c>
      <c r="C777" s="123" t="s">
        <v>497</v>
      </c>
      <c r="D777" s="123">
        <v>0.15010999999999999</v>
      </c>
      <c r="E777" s="123">
        <v>7.0842000000000002E-2</v>
      </c>
    </row>
    <row r="778" spans="2:5" x14ac:dyDescent="0.15">
      <c r="B778" s="123">
        <v>775</v>
      </c>
      <c r="C778" s="123" t="s">
        <v>497</v>
      </c>
      <c r="D778" s="123">
        <v>0.13982</v>
      </c>
      <c r="E778" s="123">
        <v>7.0275000000000004E-2</v>
      </c>
    </row>
    <row r="779" spans="2:5" x14ac:dyDescent="0.15">
      <c r="B779" s="123">
        <v>2008</v>
      </c>
      <c r="C779" s="123" t="s">
        <v>219</v>
      </c>
      <c r="D779" s="123">
        <v>586.45000000000005</v>
      </c>
      <c r="E779" s="123">
        <v>206.98</v>
      </c>
    </row>
    <row r="780" spans="2:5" x14ac:dyDescent="0.15">
      <c r="B780" s="123">
        <v>2009</v>
      </c>
      <c r="C780" s="123" t="s">
        <v>219</v>
      </c>
      <c r="D780" s="123">
        <v>674.86</v>
      </c>
      <c r="E780" s="123">
        <v>237.73</v>
      </c>
    </row>
    <row r="781" spans="2:5" x14ac:dyDescent="0.15">
      <c r="B781" s="123">
        <v>2010</v>
      </c>
      <c r="C781" s="123" t="s">
        <v>219</v>
      </c>
      <c r="D781" s="123">
        <v>1253.8</v>
      </c>
      <c r="E781" s="123">
        <v>680.8</v>
      </c>
    </row>
    <row r="782" spans="2:5" x14ac:dyDescent="0.15">
      <c r="B782" s="123">
        <v>2011</v>
      </c>
      <c r="C782" s="123" t="s">
        <v>219</v>
      </c>
      <c r="D782" s="123">
        <v>1642.9</v>
      </c>
      <c r="E782" s="123">
        <v>538.15</v>
      </c>
    </row>
    <row r="783" spans="2:5" x14ac:dyDescent="0.15">
      <c r="B783" s="123">
        <v>2012</v>
      </c>
      <c r="C783" s="123" t="s">
        <v>219</v>
      </c>
      <c r="D783" s="123">
        <v>1727.2</v>
      </c>
      <c r="E783" s="123">
        <v>659.29</v>
      </c>
    </row>
    <row r="784" spans="2:5" x14ac:dyDescent="0.15">
      <c r="B784" s="123">
        <v>2008</v>
      </c>
      <c r="C784" s="123" t="s">
        <v>219</v>
      </c>
      <c r="D784" s="123">
        <v>714.78</v>
      </c>
      <c r="E784" s="123">
        <v>249.72</v>
      </c>
    </row>
    <row r="785" spans="2:5" x14ac:dyDescent="0.15">
      <c r="B785" s="123">
        <v>2009</v>
      </c>
      <c r="C785" s="123" t="s">
        <v>219</v>
      </c>
      <c r="D785" s="123">
        <v>773.22</v>
      </c>
      <c r="E785" s="123">
        <v>270.17</v>
      </c>
    </row>
    <row r="786" spans="2:5" x14ac:dyDescent="0.15">
      <c r="B786" s="123">
        <v>2010</v>
      </c>
      <c r="C786" s="123" t="s">
        <v>219</v>
      </c>
      <c r="D786" s="123">
        <v>1420.9</v>
      </c>
      <c r="E786" s="123">
        <v>777.27</v>
      </c>
    </row>
    <row r="787" spans="2:5" x14ac:dyDescent="0.15">
      <c r="B787" s="123">
        <v>2011</v>
      </c>
      <c r="C787" s="123" t="s">
        <v>219</v>
      </c>
      <c r="D787" s="123">
        <v>1901</v>
      </c>
      <c r="E787" s="123">
        <v>622.09</v>
      </c>
    </row>
    <row r="788" spans="2:5" x14ac:dyDescent="0.15">
      <c r="B788" s="123">
        <v>2012</v>
      </c>
      <c r="C788" s="123" t="s">
        <v>219</v>
      </c>
      <c r="D788" s="123">
        <v>1924.2</v>
      </c>
      <c r="E788" s="123">
        <v>752.95</v>
      </c>
    </row>
    <row r="789" spans="2:5" x14ac:dyDescent="0.15">
      <c r="B789" s="123">
        <v>2008</v>
      </c>
      <c r="C789" s="123" t="s">
        <v>219</v>
      </c>
      <c r="D789" s="123">
        <v>1308.2</v>
      </c>
      <c r="E789" s="123">
        <v>796.6</v>
      </c>
    </row>
    <row r="790" spans="2:5" x14ac:dyDescent="0.15">
      <c r="B790" s="123">
        <v>2009</v>
      </c>
      <c r="C790" s="123" t="s">
        <v>219</v>
      </c>
      <c r="D790" s="123">
        <v>1070.8</v>
      </c>
      <c r="E790" s="123">
        <v>465.35</v>
      </c>
    </row>
    <row r="791" spans="2:5" x14ac:dyDescent="0.15">
      <c r="B791" s="123">
        <v>2010</v>
      </c>
      <c r="C791" s="123" t="s">
        <v>219</v>
      </c>
      <c r="D791" s="123">
        <v>1974.2</v>
      </c>
      <c r="E791" s="123">
        <v>907.12</v>
      </c>
    </row>
    <row r="792" spans="2:5" x14ac:dyDescent="0.15">
      <c r="B792" s="123">
        <v>2011</v>
      </c>
      <c r="C792" s="123" t="s">
        <v>219</v>
      </c>
      <c r="D792" s="123">
        <v>2261.9</v>
      </c>
      <c r="E792" s="123">
        <v>1118.9000000000001</v>
      </c>
    </row>
    <row r="793" spans="2:5" x14ac:dyDescent="0.15">
      <c r="B793" s="123">
        <v>2012</v>
      </c>
      <c r="C793" s="123" t="s">
        <v>219</v>
      </c>
      <c r="D793" s="123">
        <v>2123.6</v>
      </c>
      <c r="E793" s="123">
        <v>1586.2</v>
      </c>
    </row>
    <row r="794" spans="2:5" x14ac:dyDescent="0.15">
      <c r="B794" s="123">
        <v>2008</v>
      </c>
      <c r="C794" s="123" t="s">
        <v>219</v>
      </c>
      <c r="D794" s="123">
        <v>999.99</v>
      </c>
      <c r="E794" s="123">
        <v>3.7318999999999998E-2</v>
      </c>
    </row>
    <row r="795" spans="2:5" x14ac:dyDescent="0.15">
      <c r="B795" s="123">
        <v>2009</v>
      </c>
      <c r="C795" s="123" t="s">
        <v>219</v>
      </c>
      <c r="D795" s="125">
        <v>999.99</v>
      </c>
      <c r="E795" s="123">
        <v>3.6000999999999998E-2</v>
      </c>
    </row>
    <row r="796" spans="2:5" x14ac:dyDescent="0.15">
      <c r="B796" s="123">
        <v>2010</v>
      </c>
      <c r="C796" s="123" t="s">
        <v>219</v>
      </c>
      <c r="D796" s="125">
        <v>999.99</v>
      </c>
      <c r="E796" s="123">
        <v>2.9926999999999999E-2</v>
      </c>
    </row>
    <row r="797" spans="2:5" x14ac:dyDescent="0.15">
      <c r="B797" s="123">
        <v>2011</v>
      </c>
      <c r="C797" s="123" t="s">
        <v>219</v>
      </c>
      <c r="D797" s="125">
        <v>999.99</v>
      </c>
      <c r="E797" s="123">
        <v>4.0603E-2</v>
      </c>
    </row>
    <row r="798" spans="2:5" x14ac:dyDescent="0.15">
      <c r="B798" s="123">
        <v>2012</v>
      </c>
      <c r="C798" s="123" t="s">
        <v>219</v>
      </c>
      <c r="D798" s="125">
        <v>999.99</v>
      </c>
      <c r="E798" s="123">
        <v>3.4091000000000003E-2</v>
      </c>
    </row>
    <row r="799" spans="2:5" x14ac:dyDescent="0.15">
      <c r="B799" s="123">
        <v>2008</v>
      </c>
      <c r="C799" s="123" t="s">
        <v>219</v>
      </c>
      <c r="D799" s="125">
        <v>1200</v>
      </c>
      <c r="E799" s="123">
        <v>4.0308999999999998E-2</v>
      </c>
    </row>
    <row r="800" spans="2:5" x14ac:dyDescent="0.15">
      <c r="B800" s="123">
        <v>2009</v>
      </c>
      <c r="C800" s="123" t="s">
        <v>219</v>
      </c>
      <c r="D800" s="125">
        <v>1200</v>
      </c>
      <c r="E800" s="123">
        <v>4.0625000000000001E-2</v>
      </c>
    </row>
    <row r="801" spans="2:5" x14ac:dyDescent="0.15">
      <c r="B801" s="123">
        <v>2010</v>
      </c>
      <c r="C801" s="123" t="s">
        <v>219</v>
      </c>
      <c r="D801" s="125">
        <v>1200</v>
      </c>
      <c r="E801" s="123">
        <v>4.6408999999999999E-2</v>
      </c>
    </row>
    <row r="802" spans="2:5" x14ac:dyDescent="0.15">
      <c r="B802" s="123">
        <v>2011</v>
      </c>
      <c r="C802" s="123" t="s">
        <v>219</v>
      </c>
      <c r="D802" s="125">
        <v>1200</v>
      </c>
      <c r="E802" s="123">
        <v>6.1594999999999997E-2</v>
      </c>
    </row>
    <row r="803" spans="2:5" x14ac:dyDescent="0.15">
      <c r="B803" s="123">
        <v>2012</v>
      </c>
      <c r="C803" s="123" t="s">
        <v>219</v>
      </c>
      <c r="D803" s="125">
        <v>1200</v>
      </c>
      <c r="E803" s="123">
        <v>5.1730999999999999E-2</v>
      </c>
    </row>
    <row r="804" spans="2:5" x14ac:dyDescent="0.15">
      <c r="B804" s="127">
        <v>2007</v>
      </c>
      <c r="C804" s="123" t="s">
        <v>54</v>
      </c>
      <c r="D804" s="125">
        <v>1946</v>
      </c>
      <c r="E804" s="123">
        <v>289.07</v>
      </c>
    </row>
    <row r="805" spans="2:5" x14ac:dyDescent="0.15">
      <c r="B805" s="127">
        <v>2008</v>
      </c>
      <c r="C805" s="123" t="s">
        <v>54</v>
      </c>
      <c r="D805" s="128">
        <v>1460.2</v>
      </c>
      <c r="E805" s="123">
        <v>257.14</v>
      </c>
    </row>
    <row r="806" spans="2:5" x14ac:dyDescent="0.15">
      <c r="B806" s="127">
        <v>2009</v>
      </c>
      <c r="C806" s="123" t="s">
        <v>54</v>
      </c>
      <c r="D806" s="125">
        <v>1744.7</v>
      </c>
      <c r="E806" s="123">
        <v>394.22</v>
      </c>
    </row>
    <row r="807" spans="2:5" x14ac:dyDescent="0.15">
      <c r="B807" s="127">
        <v>2010</v>
      </c>
      <c r="C807" s="123" t="s">
        <v>54</v>
      </c>
      <c r="D807" s="125">
        <v>2375.6999999999998</v>
      </c>
      <c r="E807" s="123">
        <v>734.3</v>
      </c>
    </row>
    <row r="808" spans="2:5" x14ac:dyDescent="0.15">
      <c r="B808" s="127">
        <v>2011</v>
      </c>
      <c r="C808" s="123" t="s">
        <v>54</v>
      </c>
      <c r="D808" s="125">
        <v>2708.7</v>
      </c>
      <c r="E808" s="123">
        <v>916.78</v>
      </c>
    </row>
    <row r="809" spans="2:5" x14ac:dyDescent="0.15">
      <c r="B809" s="127">
        <v>2012</v>
      </c>
      <c r="C809" s="123" t="s">
        <v>54</v>
      </c>
      <c r="D809" s="125">
        <v>2793.6</v>
      </c>
      <c r="E809" s="123">
        <v>1073.3</v>
      </c>
    </row>
    <row r="810" spans="2:5" x14ac:dyDescent="0.15">
      <c r="B810" s="127">
        <v>2007</v>
      </c>
      <c r="C810" s="123" t="s">
        <v>54</v>
      </c>
      <c r="D810" s="125">
        <v>1946</v>
      </c>
      <c r="E810" s="123">
        <v>289.07</v>
      </c>
    </row>
    <row r="811" spans="2:5" x14ac:dyDescent="0.15">
      <c r="B811" s="127">
        <v>2008</v>
      </c>
      <c r="C811" s="123" t="s">
        <v>54</v>
      </c>
      <c r="D811" s="125">
        <v>1441.9</v>
      </c>
      <c r="E811" s="123">
        <v>250.68</v>
      </c>
    </row>
    <row r="812" spans="2:5" x14ac:dyDescent="0.15">
      <c r="B812" s="127">
        <v>2009</v>
      </c>
      <c r="C812" s="123" t="s">
        <v>54</v>
      </c>
      <c r="D812" s="125">
        <v>1679.3</v>
      </c>
      <c r="E812" s="123">
        <v>381.71</v>
      </c>
    </row>
    <row r="813" spans="2:5" x14ac:dyDescent="0.15">
      <c r="B813" s="127">
        <v>2010</v>
      </c>
      <c r="C813" s="123" t="s">
        <v>54</v>
      </c>
      <c r="D813" s="125">
        <v>2271.5</v>
      </c>
      <c r="E813" s="123">
        <v>707.54</v>
      </c>
    </row>
    <row r="814" spans="2:5" x14ac:dyDescent="0.15">
      <c r="B814" s="127">
        <v>2011</v>
      </c>
      <c r="C814" s="123" t="s">
        <v>54</v>
      </c>
      <c r="D814" s="125">
        <v>2531.6</v>
      </c>
      <c r="E814" s="123">
        <v>863.06</v>
      </c>
    </row>
    <row r="815" spans="2:5" x14ac:dyDescent="0.15">
      <c r="B815" s="127">
        <v>2012</v>
      </c>
      <c r="C815" s="123" t="s">
        <v>54</v>
      </c>
      <c r="D815" s="125">
        <v>2528.1</v>
      </c>
      <c r="E815" s="123">
        <v>1000.3</v>
      </c>
    </row>
    <row r="816" spans="2:5" x14ac:dyDescent="0.15">
      <c r="B816" s="127">
        <v>2007</v>
      </c>
      <c r="C816" s="123" t="s">
        <v>54</v>
      </c>
      <c r="D816" s="125">
        <v>1946</v>
      </c>
      <c r="E816" s="123">
        <v>289.07</v>
      </c>
    </row>
    <row r="817" spans="2:5" x14ac:dyDescent="0.15">
      <c r="B817" s="127">
        <v>2008</v>
      </c>
      <c r="C817" s="123" t="s">
        <v>54</v>
      </c>
      <c r="D817" s="125">
        <v>1346.6</v>
      </c>
      <c r="E817" s="123">
        <v>240.52</v>
      </c>
    </row>
    <row r="818" spans="2:5" x14ac:dyDescent="0.15">
      <c r="B818" s="127">
        <v>2009</v>
      </c>
      <c r="C818" s="123" t="s">
        <v>54</v>
      </c>
      <c r="D818" s="125">
        <v>1399</v>
      </c>
      <c r="E818" s="123">
        <v>407.15</v>
      </c>
    </row>
    <row r="819" spans="2:5" x14ac:dyDescent="0.15">
      <c r="B819" s="127">
        <v>2010</v>
      </c>
      <c r="C819" s="123" t="s">
        <v>54</v>
      </c>
      <c r="D819" s="125">
        <v>1882.5</v>
      </c>
      <c r="E819" s="123">
        <v>689.9</v>
      </c>
    </row>
    <row r="820" spans="2:5" x14ac:dyDescent="0.15">
      <c r="B820" s="127">
        <v>2011</v>
      </c>
      <c r="C820" s="123" t="s">
        <v>54</v>
      </c>
      <c r="D820" s="125">
        <v>1966</v>
      </c>
      <c r="E820" s="123">
        <v>837.78</v>
      </c>
    </row>
    <row r="821" spans="2:5" x14ac:dyDescent="0.15">
      <c r="B821" s="127">
        <v>2012</v>
      </c>
      <c r="C821" s="123" t="s">
        <v>54</v>
      </c>
      <c r="D821" s="125">
        <v>1857.5</v>
      </c>
      <c r="E821" s="123">
        <v>759.45</v>
      </c>
    </row>
    <row r="822" spans="2:5" x14ac:dyDescent="0.15">
      <c r="B822" s="127">
        <v>2007</v>
      </c>
      <c r="C822" s="123" t="s">
        <v>54</v>
      </c>
      <c r="D822" s="125">
        <v>1946</v>
      </c>
      <c r="E822" s="123">
        <v>289.07</v>
      </c>
    </row>
    <row r="823" spans="2:5" x14ac:dyDescent="0.15">
      <c r="B823" s="127">
        <v>2008</v>
      </c>
      <c r="C823" s="123" t="s">
        <v>54</v>
      </c>
      <c r="D823" s="125">
        <v>1398.4</v>
      </c>
      <c r="E823" s="123">
        <v>287.99</v>
      </c>
    </row>
    <row r="824" spans="2:5" x14ac:dyDescent="0.15">
      <c r="B824" s="127">
        <v>2009</v>
      </c>
      <c r="C824" s="123" t="s">
        <v>54</v>
      </c>
      <c r="D824" s="125">
        <v>1532.8</v>
      </c>
      <c r="E824" s="123">
        <v>475.83</v>
      </c>
    </row>
    <row r="825" spans="2:5" x14ac:dyDescent="0.15">
      <c r="B825" s="127">
        <v>2010</v>
      </c>
      <c r="C825" s="123" t="s">
        <v>54</v>
      </c>
      <c r="D825" s="125">
        <v>2132.9</v>
      </c>
      <c r="E825" s="123">
        <v>915.71</v>
      </c>
    </row>
    <row r="826" spans="2:5" x14ac:dyDescent="0.15">
      <c r="B826" s="127">
        <v>2011</v>
      </c>
      <c r="C826" s="123" t="s">
        <v>54</v>
      </c>
      <c r="D826" s="125">
        <v>2647.7</v>
      </c>
      <c r="E826" s="123">
        <v>1296.5999999999999</v>
      </c>
    </row>
    <row r="827" spans="2:5" x14ac:dyDescent="0.15">
      <c r="B827" s="127">
        <v>2012</v>
      </c>
      <c r="C827" s="123" t="s">
        <v>54</v>
      </c>
      <c r="D827" s="125">
        <v>3017.1</v>
      </c>
      <c r="E827" s="123">
        <v>1589.8</v>
      </c>
    </row>
    <row r="828" spans="2:5" x14ac:dyDescent="0.15">
      <c r="B828" s="127">
        <v>2007</v>
      </c>
      <c r="C828" s="123" t="s">
        <v>54</v>
      </c>
      <c r="D828" s="125">
        <v>1946</v>
      </c>
      <c r="E828" s="123">
        <v>289.07</v>
      </c>
    </row>
    <row r="829" spans="2:5" x14ac:dyDescent="0.15">
      <c r="B829" s="127">
        <v>2008</v>
      </c>
      <c r="C829" s="123" t="s">
        <v>54</v>
      </c>
      <c r="D829" s="125">
        <v>1365.5</v>
      </c>
      <c r="E829" s="123">
        <v>290.14999999999998</v>
      </c>
    </row>
    <row r="830" spans="2:5" x14ac:dyDescent="0.15">
      <c r="B830" s="127">
        <v>2009</v>
      </c>
      <c r="C830" s="123" t="s">
        <v>54</v>
      </c>
      <c r="D830" s="125">
        <v>1424.2</v>
      </c>
      <c r="E830" s="123">
        <v>478.71</v>
      </c>
    </row>
    <row r="831" spans="2:5" x14ac:dyDescent="0.15">
      <c r="B831" s="127">
        <v>2010</v>
      </c>
      <c r="C831" s="123" t="s">
        <v>54</v>
      </c>
      <c r="D831" s="125">
        <v>1963.6</v>
      </c>
      <c r="E831" s="123">
        <v>916.66</v>
      </c>
    </row>
    <row r="832" spans="2:5" x14ac:dyDescent="0.15">
      <c r="B832" s="127">
        <v>2011</v>
      </c>
      <c r="C832" s="123" t="s">
        <v>54</v>
      </c>
      <c r="D832" s="125">
        <v>2407.1999999999998</v>
      </c>
      <c r="E832" s="123">
        <v>1296.2</v>
      </c>
    </row>
    <row r="833" spans="2:5" x14ac:dyDescent="0.15">
      <c r="B833" s="127">
        <v>2012</v>
      </c>
      <c r="C833" s="123" t="s">
        <v>54</v>
      </c>
      <c r="D833" s="125">
        <v>2702</v>
      </c>
      <c r="E833" s="123">
        <v>1591.7</v>
      </c>
    </row>
    <row r="834" spans="2:5" x14ac:dyDescent="0.15">
      <c r="B834" s="123">
        <v>3</v>
      </c>
      <c r="C834" s="123" t="s">
        <v>184</v>
      </c>
      <c r="D834" s="123">
        <v>-1.603</v>
      </c>
      <c r="E834" s="123">
        <v>0.10724</v>
      </c>
    </row>
    <row r="835" spans="2:5" x14ac:dyDescent="0.15">
      <c r="B835" s="123">
        <v>68</v>
      </c>
      <c r="C835" s="123" t="s">
        <v>185</v>
      </c>
      <c r="D835" s="123">
        <v>-0.65081999999999995</v>
      </c>
      <c r="E835" s="123">
        <v>0.25713000000000003</v>
      </c>
    </row>
    <row r="836" spans="2:5" x14ac:dyDescent="0.15">
      <c r="B836" s="123">
        <v>69</v>
      </c>
      <c r="C836" s="123" t="s">
        <v>185</v>
      </c>
      <c r="D836" s="123">
        <v>-0.66264999999999996</v>
      </c>
      <c r="E836" s="123">
        <v>0.21179000000000001</v>
      </c>
    </row>
    <row r="837" spans="2:5" x14ac:dyDescent="0.15">
      <c r="B837" s="123">
        <v>70</v>
      </c>
      <c r="C837" s="123" t="s">
        <v>185</v>
      </c>
      <c r="D837" s="123">
        <v>-0.70381000000000005</v>
      </c>
      <c r="E837" s="123">
        <v>0.19322</v>
      </c>
    </row>
    <row r="838" spans="2:5" x14ac:dyDescent="0.15">
      <c r="B838" s="123">
        <v>71</v>
      </c>
      <c r="C838" s="123" t="s">
        <v>185</v>
      </c>
      <c r="D838" s="123">
        <v>-0.11989</v>
      </c>
      <c r="E838" s="123">
        <v>0.18103</v>
      </c>
    </row>
    <row r="839" spans="2:5" x14ac:dyDescent="0.15">
      <c r="B839" s="123">
        <v>72</v>
      </c>
      <c r="C839" s="123" t="s">
        <v>185</v>
      </c>
      <c r="D839" s="123">
        <v>-0.10846</v>
      </c>
      <c r="E839" s="123">
        <v>0.18495</v>
      </c>
    </row>
    <row r="840" spans="2:5" x14ac:dyDescent="0.15">
      <c r="B840" s="123">
        <v>73</v>
      </c>
      <c r="C840" s="123" t="s">
        <v>185</v>
      </c>
      <c r="D840" s="123">
        <v>-0.14446000000000001</v>
      </c>
      <c r="E840" s="123">
        <v>0.17121</v>
      </c>
    </row>
    <row r="841" spans="2:5" x14ac:dyDescent="0.15">
      <c r="B841" s="123">
        <v>74</v>
      </c>
      <c r="C841" s="123" t="s">
        <v>185</v>
      </c>
      <c r="D841" s="123">
        <v>0.2772</v>
      </c>
      <c r="E841" s="123">
        <v>0.19122</v>
      </c>
    </row>
    <row r="842" spans="2:5" x14ac:dyDescent="0.15">
      <c r="B842" s="123">
        <v>75</v>
      </c>
      <c r="C842" s="123" t="s">
        <v>185</v>
      </c>
      <c r="D842" s="123">
        <v>0.51958000000000004</v>
      </c>
      <c r="E842" s="123">
        <v>0.17383999999999999</v>
      </c>
    </row>
    <row r="843" spans="2:5" x14ac:dyDescent="0.15">
      <c r="B843" s="123">
        <v>76</v>
      </c>
      <c r="C843" s="123" t="s">
        <v>185</v>
      </c>
      <c r="D843" s="123">
        <v>0.52910999999999997</v>
      </c>
      <c r="E843" s="123">
        <v>0.17541000000000001</v>
      </c>
    </row>
    <row r="844" spans="2:5" x14ac:dyDescent="0.15">
      <c r="B844" s="123">
        <v>77</v>
      </c>
      <c r="C844" s="123" t="s">
        <v>185</v>
      </c>
      <c r="D844" s="123">
        <v>0.79649000000000003</v>
      </c>
      <c r="E844" s="123">
        <v>0.18024000000000001</v>
      </c>
    </row>
    <row r="845" spans="2:5" x14ac:dyDescent="0.15">
      <c r="B845" s="123">
        <v>78</v>
      </c>
      <c r="C845" s="123" t="s">
        <v>185</v>
      </c>
      <c r="D845" s="123">
        <v>0.95335999999999999</v>
      </c>
      <c r="E845" s="123">
        <v>0.20569999999999999</v>
      </c>
    </row>
    <row r="846" spans="2:5" x14ac:dyDescent="0.15">
      <c r="B846" s="123">
        <v>79</v>
      </c>
      <c r="C846" s="123" t="s">
        <v>185</v>
      </c>
      <c r="D846" s="123">
        <v>0.72646999999999995</v>
      </c>
      <c r="E846" s="123">
        <v>0.17596000000000001</v>
      </c>
    </row>
    <row r="847" spans="2:5" x14ac:dyDescent="0.15">
      <c r="B847" s="123">
        <v>80</v>
      </c>
      <c r="C847" s="123" t="s">
        <v>185</v>
      </c>
      <c r="D847" s="123">
        <v>0.61821999999999999</v>
      </c>
      <c r="E847" s="123">
        <v>0.17038</v>
      </c>
    </row>
    <row r="848" spans="2:5" x14ac:dyDescent="0.15">
      <c r="B848" s="123">
        <v>81</v>
      </c>
      <c r="C848" s="123" t="s">
        <v>185</v>
      </c>
      <c r="D848" s="123">
        <v>0.40477000000000002</v>
      </c>
      <c r="E848" s="123">
        <v>0.16077</v>
      </c>
    </row>
    <row r="849" spans="2:5" x14ac:dyDescent="0.15">
      <c r="B849" s="123">
        <v>82</v>
      </c>
      <c r="C849" s="123" t="s">
        <v>185</v>
      </c>
      <c r="D849" s="123">
        <v>0.53717999999999999</v>
      </c>
      <c r="E849" s="123">
        <v>0.19237000000000001</v>
      </c>
    </row>
    <row r="850" spans="2:5" x14ac:dyDescent="0.15">
      <c r="B850" s="123">
        <v>83</v>
      </c>
      <c r="C850" s="123" t="s">
        <v>185</v>
      </c>
      <c r="D850" s="123">
        <v>0.46384999999999998</v>
      </c>
      <c r="E850" s="123">
        <v>0.18847</v>
      </c>
    </row>
    <row r="851" spans="2:5" x14ac:dyDescent="0.15">
      <c r="B851" s="123">
        <v>84</v>
      </c>
      <c r="C851" s="123" t="s">
        <v>185</v>
      </c>
      <c r="D851" s="123">
        <v>0.50556999999999996</v>
      </c>
      <c r="E851" s="123">
        <v>0.21559</v>
      </c>
    </row>
    <row r="852" spans="2:5" x14ac:dyDescent="0.15">
      <c r="B852" s="123">
        <v>85</v>
      </c>
      <c r="C852" s="123" t="s">
        <v>185</v>
      </c>
      <c r="D852" s="123">
        <v>3.5077999999999998E-2</v>
      </c>
      <c r="E852" s="123">
        <v>0.22251000000000001</v>
      </c>
    </row>
    <row r="853" spans="2:5" x14ac:dyDescent="0.15">
      <c r="B853" s="123">
        <v>86</v>
      </c>
      <c r="C853" s="123" t="s">
        <v>185</v>
      </c>
      <c r="D853" s="123">
        <v>-0.11169999999999999</v>
      </c>
      <c r="E853" s="123">
        <v>0.26123000000000002</v>
      </c>
    </row>
    <row r="854" spans="2:5" x14ac:dyDescent="0.15">
      <c r="B854" s="123">
        <v>87</v>
      </c>
      <c r="C854" s="123" t="s">
        <v>185</v>
      </c>
      <c r="D854" s="123">
        <v>-0.35224</v>
      </c>
      <c r="E854" s="123">
        <v>0.25812000000000002</v>
      </c>
    </row>
    <row r="855" spans="2:5" x14ac:dyDescent="0.15">
      <c r="B855" s="123">
        <v>88</v>
      </c>
      <c r="C855" s="123" t="s">
        <v>185</v>
      </c>
      <c r="D855" s="123">
        <v>-0.18295</v>
      </c>
      <c r="E855" s="123">
        <v>0.26767000000000002</v>
      </c>
    </row>
    <row r="856" spans="2:5" x14ac:dyDescent="0.15">
      <c r="B856" s="123">
        <v>89</v>
      </c>
      <c r="C856" s="123" t="s">
        <v>185</v>
      </c>
      <c r="D856" s="123">
        <v>-0.20132</v>
      </c>
      <c r="E856" s="123">
        <v>0.26362999999999998</v>
      </c>
    </row>
    <row r="857" spans="2:5" x14ac:dyDescent="0.15">
      <c r="B857" s="123">
        <v>90</v>
      </c>
      <c r="C857" s="123" t="s">
        <v>185</v>
      </c>
      <c r="D857" s="123">
        <v>-0.21118999999999999</v>
      </c>
      <c r="E857" s="123">
        <v>0.24934999999999999</v>
      </c>
    </row>
    <row r="858" spans="2:5" x14ac:dyDescent="0.15">
      <c r="B858" s="123">
        <v>91</v>
      </c>
      <c r="C858" s="123" t="s">
        <v>185</v>
      </c>
      <c r="D858" s="123">
        <v>-0.54573000000000005</v>
      </c>
      <c r="E858" s="123">
        <v>0.24568999999999999</v>
      </c>
    </row>
    <row r="859" spans="2:5" x14ac:dyDescent="0.15">
      <c r="B859" s="123">
        <v>92</v>
      </c>
      <c r="C859" s="123" t="s">
        <v>185</v>
      </c>
      <c r="D859" s="123">
        <v>-0.32907999999999998</v>
      </c>
      <c r="E859" s="123">
        <v>0.1822</v>
      </c>
    </row>
    <row r="860" spans="2:5" x14ac:dyDescent="0.15">
      <c r="B860" s="123">
        <v>93</v>
      </c>
      <c r="C860" s="123" t="s">
        <v>185</v>
      </c>
      <c r="D860" s="123">
        <v>-0.32131999999999999</v>
      </c>
      <c r="E860" s="123">
        <v>0.16419</v>
      </c>
    </row>
    <row r="861" spans="2:5" x14ac:dyDescent="0.15">
      <c r="B861" s="123">
        <v>94</v>
      </c>
      <c r="C861" s="123" t="s">
        <v>185</v>
      </c>
      <c r="D861" s="123">
        <v>5.8352000000000001E-2</v>
      </c>
      <c r="E861" s="123">
        <v>0.13803000000000001</v>
      </c>
    </row>
    <row r="862" spans="2:5" x14ac:dyDescent="0.15">
      <c r="B862" s="123">
        <v>95</v>
      </c>
      <c r="C862" s="123" t="s">
        <v>185</v>
      </c>
      <c r="D862" s="123">
        <v>0.11337999999999999</v>
      </c>
      <c r="E862" s="123">
        <v>0.13385</v>
      </c>
    </row>
    <row r="863" spans="2:5" x14ac:dyDescent="0.15">
      <c r="B863" s="123">
        <v>96</v>
      </c>
      <c r="C863" s="123" t="s">
        <v>185</v>
      </c>
      <c r="D863" s="123">
        <v>0.34464</v>
      </c>
      <c r="E863" s="123">
        <v>0.12581999999999999</v>
      </c>
    </row>
    <row r="864" spans="2:5" x14ac:dyDescent="0.15">
      <c r="B864" s="123">
        <v>97</v>
      </c>
      <c r="C864" s="123" t="s">
        <v>185</v>
      </c>
      <c r="D864" s="123">
        <v>-6.5137E-2</v>
      </c>
      <c r="E864" s="123">
        <v>0.13222</v>
      </c>
    </row>
    <row r="865" spans="2:5" x14ac:dyDescent="0.15">
      <c r="B865" s="123">
        <v>98</v>
      </c>
      <c r="C865" s="123" t="s">
        <v>185</v>
      </c>
      <c r="D865" s="123">
        <v>-0.13336999999999999</v>
      </c>
      <c r="E865" s="123">
        <v>0.14149999999999999</v>
      </c>
    </row>
    <row r="866" spans="2:5" x14ac:dyDescent="0.15">
      <c r="B866" s="123">
        <v>99</v>
      </c>
      <c r="C866" s="123" t="s">
        <v>185</v>
      </c>
      <c r="D866" s="123">
        <v>-0.38379999999999997</v>
      </c>
      <c r="E866" s="123">
        <v>0.14147999999999999</v>
      </c>
    </row>
    <row r="867" spans="2:5" x14ac:dyDescent="0.15">
      <c r="B867" s="123">
        <v>100</v>
      </c>
      <c r="C867" s="123" t="s">
        <v>185</v>
      </c>
      <c r="D867" s="123">
        <v>-0.13134999999999999</v>
      </c>
      <c r="E867" s="123">
        <v>0.14989</v>
      </c>
    </row>
    <row r="868" spans="2:5" x14ac:dyDescent="0.15">
      <c r="B868" s="123">
        <v>101</v>
      </c>
      <c r="C868" s="123" t="s">
        <v>185</v>
      </c>
      <c r="D868" s="123">
        <v>-0.21107000000000001</v>
      </c>
      <c r="E868" s="123">
        <v>0.14799999999999999</v>
      </c>
    </row>
    <row r="869" spans="2:5" x14ac:dyDescent="0.15">
      <c r="B869" s="123">
        <v>102</v>
      </c>
      <c r="C869" s="123" t="s">
        <v>185</v>
      </c>
      <c r="D869" s="123">
        <v>-0.36614999999999998</v>
      </c>
      <c r="E869" s="123">
        <v>0.14360000000000001</v>
      </c>
    </row>
    <row r="870" spans="2:5" x14ac:dyDescent="0.15">
      <c r="B870" s="123">
        <v>103</v>
      </c>
      <c r="C870" s="123" t="s">
        <v>185</v>
      </c>
      <c r="D870" s="123">
        <v>-0.45158999999999999</v>
      </c>
      <c r="E870" s="123">
        <v>0.13938</v>
      </c>
    </row>
    <row r="871" spans="2:5" x14ac:dyDescent="0.15">
      <c r="B871" s="123">
        <v>104</v>
      </c>
      <c r="C871" s="123" t="s">
        <v>185</v>
      </c>
      <c r="D871" s="123">
        <v>-0.34892000000000001</v>
      </c>
      <c r="E871" s="123">
        <v>0.12486</v>
      </c>
    </row>
    <row r="872" spans="2:5" x14ac:dyDescent="0.15">
      <c r="B872" s="123">
        <v>105</v>
      </c>
      <c r="C872" s="123" t="s">
        <v>185</v>
      </c>
      <c r="D872" s="123">
        <v>-0.14793000000000001</v>
      </c>
      <c r="E872" s="123">
        <v>0.12259</v>
      </c>
    </row>
    <row r="873" spans="2:5" x14ac:dyDescent="0.15">
      <c r="B873" s="123">
        <v>106</v>
      </c>
      <c r="C873" s="123" t="s">
        <v>185</v>
      </c>
      <c r="D873" s="123">
        <v>-7.7931E-2</v>
      </c>
      <c r="E873" s="123">
        <v>0.11924</v>
      </c>
    </row>
    <row r="874" spans="2:5" x14ac:dyDescent="0.15">
      <c r="B874" s="123">
        <v>107</v>
      </c>
      <c r="C874" s="123" t="s">
        <v>185</v>
      </c>
      <c r="D874" s="123">
        <v>-4.7193000000000001E-3</v>
      </c>
      <c r="E874" s="123">
        <v>0.11887</v>
      </c>
    </row>
    <row r="875" spans="2:5" x14ac:dyDescent="0.15">
      <c r="B875" s="123">
        <v>108</v>
      </c>
      <c r="C875" s="123" t="s">
        <v>185</v>
      </c>
      <c r="D875" s="123">
        <v>-0.17086999999999999</v>
      </c>
      <c r="E875" s="123">
        <v>0.13109999999999999</v>
      </c>
    </row>
    <row r="876" spans="2:5" x14ac:dyDescent="0.15">
      <c r="B876" s="123">
        <v>109</v>
      </c>
      <c r="C876" s="123" t="s">
        <v>185</v>
      </c>
      <c r="D876" s="123">
        <v>-0.14063999999999999</v>
      </c>
      <c r="E876" s="123">
        <v>0.13220000000000001</v>
      </c>
    </row>
    <row r="877" spans="2:5" x14ac:dyDescent="0.15">
      <c r="B877" s="123">
        <v>110</v>
      </c>
      <c r="C877" s="123" t="s">
        <v>185</v>
      </c>
      <c r="D877" s="123">
        <v>0.12670999999999999</v>
      </c>
      <c r="E877" s="123">
        <v>0.14749999999999999</v>
      </c>
    </row>
    <row r="878" spans="2:5" x14ac:dyDescent="0.15">
      <c r="B878" s="123">
        <v>111</v>
      </c>
      <c r="C878" s="123" t="s">
        <v>185</v>
      </c>
      <c r="D878" s="123">
        <v>0.26915</v>
      </c>
      <c r="E878" s="123">
        <v>0.17254</v>
      </c>
    </row>
    <row r="879" spans="2:5" x14ac:dyDescent="0.15">
      <c r="B879" s="123">
        <v>576</v>
      </c>
      <c r="C879" s="123" t="s">
        <v>220</v>
      </c>
      <c r="D879" s="123">
        <v>0.27464</v>
      </c>
      <c r="E879" s="123">
        <v>2.8003E-2</v>
      </c>
    </row>
    <row r="880" spans="2:5" x14ac:dyDescent="0.15">
      <c r="B880" s="123">
        <v>577</v>
      </c>
      <c r="C880" s="123" t="s">
        <v>221</v>
      </c>
      <c r="D880" s="123">
        <v>0.34805999999999998</v>
      </c>
      <c r="E880" s="123">
        <v>3.8136000000000003E-2</v>
      </c>
    </row>
    <row r="881" spans="2:5" x14ac:dyDescent="0.15">
      <c r="B881" s="123">
        <v>579</v>
      </c>
      <c r="C881" s="123" t="s">
        <v>239</v>
      </c>
      <c r="D881" s="123">
        <v>0.57547999999999999</v>
      </c>
      <c r="E881" s="123">
        <v>0.32312999999999997</v>
      </c>
    </row>
    <row r="882" spans="2:5" x14ac:dyDescent="0.15">
      <c r="B882" s="123">
        <v>580</v>
      </c>
      <c r="C882" s="123" t="s">
        <v>60</v>
      </c>
      <c r="D882" s="123">
        <v>0.37819999999999998</v>
      </c>
      <c r="E882" s="123">
        <v>0.17330000000000001</v>
      </c>
    </row>
    <row r="883" spans="2:5" x14ac:dyDescent="0.15">
      <c r="B883" s="123">
        <v>581</v>
      </c>
      <c r="C883" s="123" t="s">
        <v>65</v>
      </c>
      <c r="D883" s="123">
        <v>-0.55254000000000003</v>
      </c>
      <c r="E883" s="123">
        <v>0.5615</v>
      </c>
    </row>
    <row r="884" spans="2:5" x14ac:dyDescent="0.15">
      <c r="B884" s="123">
        <v>582</v>
      </c>
      <c r="C884" s="123" t="s">
        <v>61</v>
      </c>
      <c r="D884" s="123">
        <v>-0.97233999999999998</v>
      </c>
      <c r="E884" s="123">
        <v>0.45823000000000003</v>
      </c>
    </row>
    <row r="885" spans="2:5" x14ac:dyDescent="0.15">
      <c r="B885" s="123">
        <v>583</v>
      </c>
      <c r="C885" s="123" t="s">
        <v>314</v>
      </c>
      <c r="D885" s="123">
        <v>0.71043999999999996</v>
      </c>
      <c r="E885" s="123">
        <v>8.0947000000000005E-2</v>
      </c>
    </row>
    <row r="886" spans="2:5" x14ac:dyDescent="0.15">
      <c r="B886" s="123">
        <v>584</v>
      </c>
      <c r="C886" s="123" t="s">
        <v>294</v>
      </c>
      <c r="D886" s="123">
        <v>0.45779999999999998</v>
      </c>
      <c r="E886" s="123">
        <v>0.26945999999999998</v>
      </c>
    </row>
    <row r="887" spans="2:5" x14ac:dyDescent="0.15">
      <c r="B887" s="123">
        <v>589</v>
      </c>
      <c r="C887" s="123" t="s">
        <v>243</v>
      </c>
      <c r="D887" s="123">
        <v>2490.1</v>
      </c>
      <c r="E887" s="123">
        <v>119.65</v>
      </c>
    </row>
    <row r="888" spans="2:5" x14ac:dyDescent="0.15">
      <c r="B888" s="123">
        <v>590</v>
      </c>
      <c r="C888" s="123" t="s">
        <v>244</v>
      </c>
      <c r="D888" s="123">
        <v>586.45000000000005</v>
      </c>
      <c r="E888" s="123">
        <v>206.98</v>
      </c>
    </row>
    <row r="889" spans="2:5" x14ac:dyDescent="0.15">
      <c r="B889" s="123">
        <v>579</v>
      </c>
      <c r="C889" s="123" t="s">
        <v>239</v>
      </c>
      <c r="D889" s="123">
        <v>0.57547999999999999</v>
      </c>
      <c r="E889" s="123">
        <v>0.32312999999999997</v>
      </c>
    </row>
    <row r="890" spans="2:5" x14ac:dyDescent="0.15">
      <c r="B890" s="123">
        <v>580</v>
      </c>
      <c r="C890" s="123" t="s">
        <v>60</v>
      </c>
      <c r="D890" s="123">
        <v>0.37819999999999998</v>
      </c>
      <c r="E890" s="123">
        <v>0.17330000000000001</v>
      </c>
    </row>
    <row r="891" spans="2:5" x14ac:dyDescent="0.15">
      <c r="B891" s="123">
        <v>581</v>
      </c>
      <c r="C891" s="123" t="s">
        <v>65</v>
      </c>
      <c r="D891" s="123">
        <v>-0.55254000000000003</v>
      </c>
      <c r="E891" s="123">
        <v>0.5615</v>
      </c>
    </row>
    <row r="892" spans="2:5" x14ac:dyDescent="0.15">
      <c r="B892" s="123">
        <v>582</v>
      </c>
      <c r="C892" s="123" t="s">
        <v>61</v>
      </c>
      <c r="D892" s="123">
        <v>-0.97233999999999998</v>
      </c>
      <c r="E892" s="123">
        <v>0.45823000000000003</v>
      </c>
    </row>
    <row r="893" spans="2:5" x14ac:dyDescent="0.15">
      <c r="B893" s="123">
        <v>583</v>
      </c>
      <c r="C893" s="123" t="s">
        <v>314</v>
      </c>
      <c r="D893" s="123">
        <v>0.71043999999999996</v>
      </c>
      <c r="E893" s="123">
        <v>8.0947000000000005E-2</v>
      </c>
    </row>
    <row r="894" spans="2:5" x14ac:dyDescent="0.15">
      <c r="B894" s="123">
        <v>584</v>
      </c>
      <c r="C894" s="123" t="s">
        <v>294</v>
      </c>
      <c r="D894" s="123">
        <v>0.45779999999999998</v>
      </c>
      <c r="E894" s="123">
        <v>0.26945999999999998</v>
      </c>
    </row>
    <row r="895" spans="2:5" x14ac:dyDescent="0.15">
      <c r="B895" s="123">
        <v>585</v>
      </c>
      <c r="C895" s="123" t="s">
        <v>240</v>
      </c>
      <c r="D895" s="123">
        <v>28205</v>
      </c>
      <c r="E895" s="123">
        <v>5614.9</v>
      </c>
    </row>
    <row r="896" spans="2:5" x14ac:dyDescent="0.15">
      <c r="B896" s="123">
        <v>586</v>
      </c>
      <c r="C896" s="123" t="s">
        <v>241</v>
      </c>
      <c r="D896" s="123">
        <v>1876.1</v>
      </c>
      <c r="E896" s="123">
        <v>409.84</v>
      </c>
    </row>
    <row r="897" spans="2:5" x14ac:dyDescent="0.15">
      <c r="B897" s="123">
        <v>587</v>
      </c>
      <c r="C897" s="123" t="s">
        <v>59</v>
      </c>
      <c r="D897" s="123">
        <v>5672.3</v>
      </c>
      <c r="E897" s="123">
        <v>1541.2</v>
      </c>
    </row>
    <row r="898" spans="2:5" x14ac:dyDescent="0.15">
      <c r="B898" s="123">
        <v>588</v>
      </c>
      <c r="C898" s="123" t="s">
        <v>242</v>
      </c>
      <c r="D898" s="123">
        <v>1.0373000000000001</v>
      </c>
      <c r="E898" s="123">
        <v>0.26307000000000003</v>
      </c>
    </row>
    <row r="899" spans="2:5" x14ac:dyDescent="0.15">
      <c r="B899" s="123">
        <v>7</v>
      </c>
      <c r="C899" s="123" t="s">
        <v>290</v>
      </c>
      <c r="D899" s="123">
        <v>9.8818999999999999</v>
      </c>
      <c r="E899" s="123">
        <v>0.16117999999999999</v>
      </c>
    </row>
    <row r="900" spans="2:5" x14ac:dyDescent="0.15">
      <c r="B900" s="123">
        <v>583</v>
      </c>
      <c r="C900" s="123" t="s">
        <v>314</v>
      </c>
      <c r="D900" s="123">
        <v>0.71043999999999996</v>
      </c>
      <c r="E900" s="123">
        <v>8.0947000000000005E-2</v>
      </c>
    </row>
    <row r="901" spans="2:5" x14ac:dyDescent="0.15">
      <c r="B901" s="123">
        <v>707</v>
      </c>
      <c r="C901" s="123" t="s">
        <v>249</v>
      </c>
      <c r="D901" s="123">
        <v>0.10384</v>
      </c>
      <c r="E901" s="123">
        <v>2.2164E-2</v>
      </c>
    </row>
    <row r="902" spans="2:5" x14ac:dyDescent="0.15">
      <c r="B902" s="123">
        <v>708</v>
      </c>
      <c r="C902" s="123" t="s">
        <v>249</v>
      </c>
      <c r="D902" s="123">
        <v>0.12292</v>
      </c>
      <c r="E902" s="123">
        <v>2.5350000000000001E-2</v>
      </c>
    </row>
    <row r="903" spans="2:5" x14ac:dyDescent="0.15">
      <c r="B903" s="123">
        <v>709</v>
      </c>
      <c r="C903" s="123" t="s">
        <v>249</v>
      </c>
      <c r="D903" s="123">
        <v>0.11252</v>
      </c>
      <c r="E903" s="123">
        <v>2.0990000000000002E-2</v>
      </c>
    </row>
    <row r="904" spans="2:5" x14ac:dyDescent="0.15">
      <c r="B904" s="123">
        <v>710</v>
      </c>
      <c r="C904" s="123" t="s">
        <v>249</v>
      </c>
      <c r="D904" s="123">
        <v>0.17532</v>
      </c>
      <c r="E904" s="123">
        <v>2.9246000000000001E-2</v>
      </c>
    </row>
    <row r="905" spans="2:5" x14ac:dyDescent="0.15">
      <c r="B905" s="123">
        <v>711</v>
      </c>
      <c r="C905" s="123" t="s">
        <v>249</v>
      </c>
      <c r="D905" s="123">
        <v>0.17504</v>
      </c>
      <c r="E905" s="123">
        <v>2.8428999999999999E-2</v>
      </c>
    </row>
    <row r="906" spans="2:5" x14ac:dyDescent="0.15">
      <c r="B906" s="123">
        <v>712</v>
      </c>
      <c r="C906" s="123" t="s">
        <v>249</v>
      </c>
      <c r="D906" s="123">
        <v>0.16367000000000001</v>
      </c>
      <c r="E906" s="123">
        <v>2.4347000000000001E-2</v>
      </c>
    </row>
    <row r="907" spans="2:5" x14ac:dyDescent="0.15">
      <c r="B907" s="123">
        <v>713</v>
      </c>
      <c r="C907" s="123" t="s">
        <v>249</v>
      </c>
      <c r="D907" s="123">
        <v>0.19241</v>
      </c>
      <c r="E907" s="123">
        <v>2.6020999999999999E-2</v>
      </c>
    </row>
    <row r="908" spans="2:5" x14ac:dyDescent="0.15">
      <c r="B908" s="123">
        <v>714</v>
      </c>
      <c r="C908" s="123" t="s">
        <v>249</v>
      </c>
      <c r="D908" s="123">
        <v>0.25130999999999998</v>
      </c>
      <c r="E908" s="123">
        <v>3.0880000000000001E-2</v>
      </c>
    </row>
    <row r="909" spans="2:5" x14ac:dyDescent="0.15">
      <c r="B909" s="123">
        <v>715</v>
      </c>
      <c r="C909" s="123" t="s">
        <v>249</v>
      </c>
      <c r="D909" s="123">
        <v>0.30598999999999998</v>
      </c>
      <c r="E909" s="123">
        <v>3.9128000000000003E-2</v>
      </c>
    </row>
    <row r="910" spans="2:5" x14ac:dyDescent="0.15">
      <c r="B910" s="123">
        <v>716</v>
      </c>
      <c r="C910" s="123" t="s">
        <v>249</v>
      </c>
      <c r="D910" s="123">
        <v>0.37342999999999998</v>
      </c>
      <c r="E910" s="123">
        <v>5.4356000000000002E-2</v>
      </c>
    </row>
    <row r="911" spans="2:5" x14ac:dyDescent="0.15">
      <c r="B911" s="123">
        <v>717</v>
      </c>
      <c r="C911" s="123" t="s">
        <v>249</v>
      </c>
      <c r="D911" s="123">
        <v>0.38546999999999998</v>
      </c>
      <c r="E911" s="123">
        <v>5.2846999999999998E-2</v>
      </c>
    </row>
    <row r="912" spans="2:5" x14ac:dyDescent="0.15">
      <c r="B912" s="123">
        <v>718</v>
      </c>
      <c r="C912" s="123" t="s">
        <v>249</v>
      </c>
      <c r="D912" s="123">
        <v>0.34328999999999998</v>
      </c>
      <c r="E912" s="123">
        <v>3.7894999999999998E-2</v>
      </c>
    </row>
    <row r="913" spans="2:5" x14ac:dyDescent="0.15">
      <c r="B913" s="123">
        <v>719</v>
      </c>
      <c r="C913" s="123" t="s">
        <v>249</v>
      </c>
      <c r="D913" s="123">
        <v>0.31424000000000002</v>
      </c>
      <c r="E913" s="123">
        <v>3.006E-2</v>
      </c>
    </row>
    <row r="914" spans="2:5" x14ac:dyDescent="0.15">
      <c r="B914" s="123">
        <v>720</v>
      </c>
      <c r="C914" s="123" t="s">
        <v>249</v>
      </c>
      <c r="D914" s="123">
        <v>0.27278000000000002</v>
      </c>
      <c r="E914" s="123">
        <v>2.5085E-2</v>
      </c>
    </row>
    <row r="915" spans="2:5" x14ac:dyDescent="0.15">
      <c r="B915" s="123">
        <v>721</v>
      </c>
      <c r="C915" s="123" t="s">
        <v>249</v>
      </c>
      <c r="D915" s="123">
        <v>0.28095999999999999</v>
      </c>
      <c r="E915" s="123">
        <v>2.4738E-2</v>
      </c>
    </row>
    <row r="916" spans="2:5" x14ac:dyDescent="0.15">
      <c r="B916" s="123">
        <v>722</v>
      </c>
      <c r="C916" s="123" t="s">
        <v>249</v>
      </c>
      <c r="D916" s="123">
        <v>0.24179999999999999</v>
      </c>
      <c r="E916" s="123">
        <v>2.0004000000000001E-2</v>
      </c>
    </row>
    <row r="917" spans="2:5" x14ac:dyDescent="0.15">
      <c r="B917" s="123">
        <v>723</v>
      </c>
      <c r="C917" s="123" t="s">
        <v>249</v>
      </c>
      <c r="D917" s="123">
        <v>0.17191000000000001</v>
      </c>
      <c r="E917" s="123">
        <v>1.2845000000000001E-2</v>
      </c>
    </row>
    <row r="918" spans="2:5" x14ac:dyDescent="0.15">
      <c r="B918" s="123">
        <v>724</v>
      </c>
      <c r="C918" s="123" t="s">
        <v>249</v>
      </c>
      <c r="D918" s="123">
        <v>0.12637000000000001</v>
      </c>
      <c r="E918" s="123">
        <v>9.2768E-3</v>
      </c>
    </row>
    <row r="919" spans="2:5" x14ac:dyDescent="0.15">
      <c r="B919" s="123">
        <v>725</v>
      </c>
      <c r="C919" s="123" t="s">
        <v>249</v>
      </c>
      <c r="D919" s="123">
        <v>0.10879999999999999</v>
      </c>
      <c r="E919" s="123">
        <v>7.9228000000000007E-3</v>
      </c>
    </row>
    <row r="920" spans="2:5" x14ac:dyDescent="0.15">
      <c r="B920" s="123">
        <v>726</v>
      </c>
      <c r="C920" s="123" t="s">
        <v>249</v>
      </c>
      <c r="D920" s="123">
        <v>0.10553999999999999</v>
      </c>
      <c r="E920" s="123">
        <v>7.5957000000000004E-3</v>
      </c>
    </row>
    <row r="921" spans="2:5" x14ac:dyDescent="0.15">
      <c r="B921" s="123">
        <v>727</v>
      </c>
      <c r="C921" s="123" t="s">
        <v>249</v>
      </c>
      <c r="D921" s="123">
        <v>0.10828</v>
      </c>
      <c r="E921" s="123">
        <v>7.4143000000000004E-3</v>
      </c>
    </row>
    <row r="922" spans="2:5" x14ac:dyDescent="0.15">
      <c r="B922" s="123">
        <v>728</v>
      </c>
      <c r="C922" s="123" t="s">
        <v>249</v>
      </c>
      <c r="D922" s="123">
        <v>0.10498</v>
      </c>
      <c r="E922" s="123">
        <v>6.8817000000000001E-3</v>
      </c>
    </row>
    <row r="923" spans="2:5" x14ac:dyDescent="0.15">
      <c r="B923" s="123">
        <v>729</v>
      </c>
      <c r="C923" s="123" t="s">
        <v>249</v>
      </c>
      <c r="D923" s="123">
        <v>0.10306999999999999</v>
      </c>
      <c r="E923" s="123">
        <v>6.5154999999999996E-3</v>
      </c>
    </row>
    <row r="924" spans="2:5" x14ac:dyDescent="0.15">
      <c r="B924" s="123">
        <v>730</v>
      </c>
      <c r="C924" s="123" t="s">
        <v>249</v>
      </c>
      <c r="D924" s="123">
        <v>7.8842999999999996E-2</v>
      </c>
      <c r="E924" s="123">
        <v>4.9319999999999998E-3</v>
      </c>
    </row>
    <row r="925" spans="2:5" x14ac:dyDescent="0.15">
      <c r="B925" s="123">
        <v>731</v>
      </c>
      <c r="C925" s="123" t="s">
        <v>249</v>
      </c>
      <c r="D925" s="123">
        <v>0.11935999999999999</v>
      </c>
      <c r="E925" s="123">
        <v>7.1389000000000001E-3</v>
      </c>
    </row>
    <row r="926" spans="2:5" x14ac:dyDescent="0.15">
      <c r="B926" s="123">
        <v>732</v>
      </c>
      <c r="C926" s="123" t="s">
        <v>249</v>
      </c>
      <c r="D926" s="123">
        <v>0.1409</v>
      </c>
      <c r="E926" s="123">
        <v>8.4653999999999997E-3</v>
      </c>
    </row>
    <row r="927" spans="2:5" x14ac:dyDescent="0.15">
      <c r="B927" s="123">
        <v>733</v>
      </c>
      <c r="C927" s="123" t="s">
        <v>249</v>
      </c>
      <c r="D927" s="123">
        <v>0.20372000000000001</v>
      </c>
      <c r="E927" s="123">
        <v>1.2067E-2</v>
      </c>
    </row>
    <row r="928" spans="2:5" x14ac:dyDescent="0.15">
      <c r="B928" s="123">
        <v>734</v>
      </c>
      <c r="C928" s="123" t="s">
        <v>249</v>
      </c>
      <c r="D928" s="123">
        <v>0.18154999999999999</v>
      </c>
      <c r="E928" s="123">
        <v>1.0810999999999999E-2</v>
      </c>
    </row>
    <row r="929" spans="2:5" x14ac:dyDescent="0.15">
      <c r="B929" s="123">
        <v>735</v>
      </c>
      <c r="C929" s="123" t="s">
        <v>249</v>
      </c>
      <c r="D929" s="123">
        <v>0.16789000000000001</v>
      </c>
      <c r="E929" s="123">
        <v>9.3624999999999993E-3</v>
      </c>
    </row>
    <row r="930" spans="2:5" x14ac:dyDescent="0.15">
      <c r="B930" s="123">
        <v>736</v>
      </c>
      <c r="C930" s="123" t="s">
        <v>249</v>
      </c>
      <c r="D930" s="123">
        <v>0.12284</v>
      </c>
      <c r="E930" s="123">
        <v>7.1012000000000002E-3</v>
      </c>
    </row>
    <row r="931" spans="2:5" x14ac:dyDescent="0.15">
      <c r="B931" s="123">
        <v>737</v>
      </c>
      <c r="C931" s="123" t="s">
        <v>249</v>
      </c>
      <c r="D931" s="123">
        <v>0.11040999999999999</v>
      </c>
      <c r="E931" s="123">
        <v>6.4079999999999996E-3</v>
      </c>
    </row>
    <row r="932" spans="2:5" x14ac:dyDescent="0.15">
      <c r="B932" s="123">
        <v>738</v>
      </c>
      <c r="C932" s="123" t="s">
        <v>249</v>
      </c>
      <c r="D932" s="123">
        <v>0.10677</v>
      </c>
      <c r="E932" s="123">
        <v>6.3546000000000002E-3</v>
      </c>
    </row>
    <row r="933" spans="2:5" x14ac:dyDescent="0.15">
      <c r="B933" s="123">
        <v>739</v>
      </c>
      <c r="C933" s="123" t="s">
        <v>249</v>
      </c>
      <c r="D933" s="123">
        <v>0.11115999999999999</v>
      </c>
      <c r="E933" s="123">
        <v>6.7888000000000002E-3</v>
      </c>
    </row>
    <row r="934" spans="2:5" x14ac:dyDescent="0.15">
      <c r="B934" s="123">
        <v>740</v>
      </c>
      <c r="C934" s="123" t="s">
        <v>249</v>
      </c>
      <c r="D934" s="123">
        <v>0.11953</v>
      </c>
      <c r="E934" s="123">
        <v>7.4031000000000001E-3</v>
      </c>
    </row>
    <row r="935" spans="2:5" x14ac:dyDescent="0.15">
      <c r="B935" s="123">
        <v>741</v>
      </c>
      <c r="C935" s="123" t="s">
        <v>249</v>
      </c>
      <c r="D935" s="123">
        <v>0.1163</v>
      </c>
      <c r="E935" s="123">
        <v>7.1024E-3</v>
      </c>
    </row>
    <row r="936" spans="2:5" x14ac:dyDescent="0.15">
      <c r="B936" s="123">
        <v>742</v>
      </c>
      <c r="C936" s="123" t="s">
        <v>249</v>
      </c>
      <c r="D936" s="123">
        <v>0.10331</v>
      </c>
      <c r="E936" s="123">
        <v>6.3384000000000001E-3</v>
      </c>
    </row>
    <row r="937" spans="2:5" x14ac:dyDescent="0.15">
      <c r="B937" s="123">
        <v>743</v>
      </c>
      <c r="C937" s="123" t="s">
        <v>249</v>
      </c>
      <c r="D937" s="123">
        <v>0.12281</v>
      </c>
      <c r="E937" s="123">
        <v>7.4942999999999997E-3</v>
      </c>
    </row>
    <row r="938" spans="2:5" x14ac:dyDescent="0.15">
      <c r="B938" s="123">
        <v>744</v>
      </c>
      <c r="C938" s="123" t="s">
        <v>249</v>
      </c>
      <c r="D938" s="123">
        <v>0.14902000000000001</v>
      </c>
      <c r="E938" s="123">
        <v>9.1985999999999995E-3</v>
      </c>
    </row>
    <row r="939" spans="2:5" x14ac:dyDescent="0.15">
      <c r="B939" s="123">
        <v>745</v>
      </c>
      <c r="C939" s="123" t="s">
        <v>249</v>
      </c>
      <c r="D939" s="123">
        <v>0.15082999999999999</v>
      </c>
      <c r="E939" s="123">
        <v>9.7941999999999994E-3</v>
      </c>
    </row>
    <row r="940" spans="2:5" x14ac:dyDescent="0.15">
      <c r="B940" s="123">
        <v>746</v>
      </c>
      <c r="C940" s="123" t="s">
        <v>249</v>
      </c>
      <c r="D940" s="123">
        <v>0.13658999999999999</v>
      </c>
      <c r="E940" s="123">
        <v>9.8262000000000002E-3</v>
      </c>
    </row>
    <row r="941" spans="2:5" x14ac:dyDescent="0.15">
      <c r="B941" s="123">
        <v>747</v>
      </c>
      <c r="C941" s="123" t="s">
        <v>249</v>
      </c>
      <c r="D941" s="123">
        <v>0.14427000000000001</v>
      </c>
      <c r="E941" s="123">
        <v>1.1702000000000001E-2</v>
      </c>
    </row>
    <row r="942" spans="2:5" x14ac:dyDescent="0.15">
      <c r="B942" s="123">
        <v>748</v>
      </c>
      <c r="C942" s="123" t="s">
        <v>249</v>
      </c>
      <c r="D942" s="123">
        <v>0.17916000000000001</v>
      </c>
      <c r="E942" s="123">
        <v>1.6504999999999999E-2</v>
      </c>
    </row>
    <row r="943" spans="2:5" x14ac:dyDescent="0.15">
      <c r="B943" s="123">
        <v>749</v>
      </c>
      <c r="C943" s="123" t="s">
        <v>249</v>
      </c>
      <c r="D943" s="123">
        <v>0.23655000000000001</v>
      </c>
      <c r="E943" s="123">
        <v>2.5589000000000001E-2</v>
      </c>
    </row>
    <row r="944" spans="2:5" x14ac:dyDescent="0.15">
      <c r="B944" s="123">
        <v>750</v>
      </c>
      <c r="C944" s="123" t="s">
        <v>249</v>
      </c>
      <c r="D944" s="123">
        <v>0.26748</v>
      </c>
      <c r="E944" s="123">
        <v>3.7704000000000001E-2</v>
      </c>
    </row>
    <row r="945" spans="2:5" x14ac:dyDescent="0.15">
      <c r="B945" s="123">
        <v>751</v>
      </c>
      <c r="C945" s="123" t="s">
        <v>497</v>
      </c>
      <c r="D945" s="123">
        <v>0.1186</v>
      </c>
      <c r="E945" s="123">
        <v>3.2069E-2</v>
      </c>
    </row>
    <row r="946" spans="2:5" x14ac:dyDescent="0.15">
      <c r="B946" s="123">
        <v>752</v>
      </c>
      <c r="C946" s="123" t="s">
        <v>497</v>
      </c>
      <c r="D946" s="123">
        <v>9.9630999999999997E-2</v>
      </c>
      <c r="E946" s="123">
        <v>1.8679999999999999E-2</v>
      </c>
    </row>
    <row r="947" spans="2:5" x14ac:dyDescent="0.15">
      <c r="B947" s="123">
        <v>753</v>
      </c>
      <c r="C947" s="123" t="s">
        <v>497</v>
      </c>
      <c r="D947" s="123">
        <v>0.1512</v>
      </c>
      <c r="E947" s="123">
        <v>3.9689000000000002E-2</v>
      </c>
    </row>
    <row r="948" spans="2:5" x14ac:dyDescent="0.15">
      <c r="B948" s="123">
        <v>754</v>
      </c>
      <c r="C948" s="123" t="s">
        <v>497</v>
      </c>
      <c r="D948" s="123">
        <v>0.18618999999999999</v>
      </c>
      <c r="E948" s="123">
        <v>3.5593E-2</v>
      </c>
    </row>
    <row r="949" spans="2:5" x14ac:dyDescent="0.15">
      <c r="B949" s="123">
        <v>755</v>
      </c>
      <c r="C949" s="123" t="s">
        <v>497</v>
      </c>
      <c r="D949" s="123">
        <v>0.19144</v>
      </c>
      <c r="E949" s="123">
        <v>3.7803000000000003E-2</v>
      </c>
    </row>
    <row r="950" spans="2:5" x14ac:dyDescent="0.15">
      <c r="B950" s="123">
        <v>756</v>
      </c>
      <c r="C950" s="123" t="s">
        <v>497</v>
      </c>
      <c r="D950" s="123">
        <v>0.14433000000000001</v>
      </c>
      <c r="E950" s="123">
        <v>3.8514E-2</v>
      </c>
    </row>
    <row r="951" spans="2:5" x14ac:dyDescent="0.15">
      <c r="B951" s="123">
        <v>757</v>
      </c>
      <c r="C951" s="123" t="s">
        <v>497</v>
      </c>
      <c r="D951" s="123">
        <v>0.11573</v>
      </c>
      <c r="E951" s="123">
        <v>2.0882999999999999E-2</v>
      </c>
    </row>
    <row r="952" spans="2:5" x14ac:dyDescent="0.15">
      <c r="B952" s="123">
        <v>758</v>
      </c>
      <c r="C952" s="123" t="s">
        <v>497</v>
      </c>
      <c r="D952" s="123">
        <v>0.17477999999999999</v>
      </c>
      <c r="E952" s="123">
        <v>4.6192999999999998E-2</v>
      </c>
    </row>
    <row r="953" spans="2:5" x14ac:dyDescent="0.15">
      <c r="B953" s="123">
        <v>759</v>
      </c>
      <c r="C953" s="123" t="s">
        <v>497</v>
      </c>
      <c r="D953" s="123">
        <v>0.22283</v>
      </c>
      <c r="E953" s="123">
        <v>4.2945999999999998E-2</v>
      </c>
    </row>
    <row r="954" spans="2:5" x14ac:dyDescent="0.15">
      <c r="B954" s="123">
        <v>760</v>
      </c>
      <c r="C954" s="123" t="s">
        <v>497</v>
      </c>
      <c r="D954" s="123">
        <v>0.22552</v>
      </c>
      <c r="E954" s="123">
        <v>4.5842000000000001E-2</v>
      </c>
    </row>
    <row r="955" spans="2:5" x14ac:dyDescent="0.15">
      <c r="B955" s="123">
        <v>761</v>
      </c>
      <c r="C955" s="123" t="s">
        <v>497</v>
      </c>
      <c r="D955" s="123">
        <v>0.26193</v>
      </c>
      <c r="E955" s="123">
        <v>0.13836999999999999</v>
      </c>
    </row>
    <row r="956" spans="2:5" x14ac:dyDescent="0.15">
      <c r="B956" s="123">
        <v>762</v>
      </c>
      <c r="C956" s="123" t="s">
        <v>497</v>
      </c>
      <c r="D956" s="123">
        <v>0.17119000000000001</v>
      </c>
      <c r="E956" s="123">
        <v>5.1563999999999999E-2</v>
      </c>
    </row>
    <row r="957" spans="2:5" x14ac:dyDescent="0.15">
      <c r="B957" s="123">
        <v>763</v>
      </c>
      <c r="C957" s="123" t="s">
        <v>497</v>
      </c>
      <c r="D957" s="123">
        <v>0.26343</v>
      </c>
      <c r="E957" s="123">
        <v>9.1904E-2</v>
      </c>
    </row>
    <row r="958" spans="2:5" x14ac:dyDescent="0.15">
      <c r="B958" s="123">
        <v>764</v>
      </c>
      <c r="C958" s="123" t="s">
        <v>497</v>
      </c>
      <c r="D958" s="123">
        <v>0.30531000000000003</v>
      </c>
      <c r="E958" s="123">
        <v>0.1027</v>
      </c>
    </row>
    <row r="959" spans="2:5" x14ac:dyDescent="0.15">
      <c r="B959" s="123">
        <v>765</v>
      </c>
      <c r="C959" s="123" t="s">
        <v>497</v>
      </c>
      <c r="D959" s="123">
        <v>0.29772999999999999</v>
      </c>
      <c r="E959" s="123">
        <v>0.13841000000000001</v>
      </c>
    </row>
    <row r="960" spans="2:5" x14ac:dyDescent="0.15">
      <c r="B960" s="123">
        <v>766</v>
      </c>
      <c r="C960" s="123" t="s">
        <v>497</v>
      </c>
      <c r="D960" s="123">
        <v>0.20115</v>
      </c>
      <c r="E960" s="123">
        <v>4.5516000000000001E-2</v>
      </c>
    </row>
    <row r="961" spans="1:5" x14ac:dyDescent="0.15">
      <c r="B961" s="123">
        <v>767</v>
      </c>
      <c r="C961" s="123" t="s">
        <v>497</v>
      </c>
      <c r="D961" s="123">
        <v>0.15429000000000001</v>
      </c>
      <c r="E961" s="123">
        <v>5.3474000000000001E-2</v>
      </c>
    </row>
    <row r="962" spans="1:5" x14ac:dyDescent="0.15">
      <c r="B962" s="123">
        <v>768</v>
      </c>
      <c r="C962" s="123" t="s">
        <v>497</v>
      </c>
      <c r="D962" s="123">
        <v>0.12969</v>
      </c>
      <c r="E962" s="123">
        <v>5.2969000000000002E-2</v>
      </c>
    </row>
    <row r="963" spans="1:5" x14ac:dyDescent="0.15">
      <c r="B963" s="123">
        <v>769</v>
      </c>
      <c r="C963" s="123" t="s">
        <v>497</v>
      </c>
      <c r="D963" s="123">
        <v>0.11811000000000001</v>
      </c>
      <c r="E963" s="123">
        <v>5.2617999999999998E-2</v>
      </c>
    </row>
    <row r="964" spans="1:5" x14ac:dyDescent="0.15">
      <c r="B964" s="123">
        <v>770</v>
      </c>
      <c r="C964" s="123" t="s">
        <v>497</v>
      </c>
      <c r="D964" s="123">
        <v>0.10854999999999999</v>
      </c>
      <c r="E964" s="123">
        <v>5.0505000000000001E-2</v>
      </c>
    </row>
    <row r="965" spans="1:5" x14ac:dyDescent="0.15">
      <c r="B965" s="123">
        <v>771</v>
      </c>
      <c r="C965" s="123" t="s">
        <v>497</v>
      </c>
      <c r="D965" s="123">
        <v>0.24067</v>
      </c>
      <c r="E965" s="123">
        <v>5.4336000000000002E-2</v>
      </c>
    </row>
    <row r="966" spans="1:5" x14ac:dyDescent="0.15">
      <c r="B966" s="123">
        <v>772</v>
      </c>
      <c r="C966" s="123" t="s">
        <v>497</v>
      </c>
      <c r="D966" s="123">
        <v>0.18895000000000001</v>
      </c>
      <c r="E966" s="123">
        <v>6.6975999999999994E-2</v>
      </c>
    </row>
    <row r="967" spans="1:5" x14ac:dyDescent="0.15">
      <c r="B967" s="123">
        <v>773</v>
      </c>
      <c r="C967" s="123" t="s">
        <v>497</v>
      </c>
      <c r="D967" s="123">
        <v>0.16194</v>
      </c>
      <c r="E967" s="123">
        <v>6.8762000000000004E-2</v>
      </c>
    </row>
    <row r="968" spans="1:5" x14ac:dyDescent="0.15">
      <c r="B968" s="123">
        <v>774</v>
      </c>
      <c r="C968" s="123" t="s">
        <v>497</v>
      </c>
      <c r="D968" s="123">
        <v>0.15010999999999999</v>
      </c>
      <c r="E968" s="123">
        <v>7.0842000000000002E-2</v>
      </c>
    </row>
    <row r="969" spans="1:5" x14ac:dyDescent="0.15">
      <c r="B969" s="123">
        <v>775</v>
      </c>
      <c r="C969" s="123" t="s">
        <v>497</v>
      </c>
      <c r="D969" s="123">
        <v>0.13982</v>
      </c>
      <c r="E969" s="123">
        <v>7.0275000000000004E-2</v>
      </c>
    </row>
    <row r="970" spans="1:5" x14ac:dyDescent="0.15">
      <c r="B970" s="123">
        <v>578</v>
      </c>
      <c r="C970" s="123" t="s">
        <v>267</v>
      </c>
      <c r="D970" s="123">
        <v>2145.1999999999998</v>
      </c>
      <c r="E970" s="123">
        <v>569.49</v>
      </c>
    </row>
    <row r="971" spans="1:5" x14ac:dyDescent="0.15">
      <c r="B971" s="123">
        <v>561</v>
      </c>
      <c r="C971" s="123" t="s">
        <v>55</v>
      </c>
      <c r="D971" s="123">
        <v>0.49064999999999998</v>
      </c>
      <c r="E971" s="123">
        <v>6.3811000000000007E-2</v>
      </c>
    </row>
    <row r="972" spans="1:5" x14ac:dyDescent="0.15">
      <c r="A972" s="123">
        <v>1978</v>
      </c>
      <c r="B972" s="125">
        <v>1045.27</v>
      </c>
      <c r="C972" s="125">
        <v>3475.7</v>
      </c>
    </row>
    <row r="973" spans="1:5" x14ac:dyDescent="0.15">
      <c r="A973" s="123">
        <v>1979</v>
      </c>
      <c r="B973" s="125">
        <v>1417.17</v>
      </c>
      <c r="C973" s="125">
        <v>4448.68</v>
      </c>
    </row>
    <row r="974" spans="1:5" x14ac:dyDescent="0.15">
      <c r="A974" s="123">
        <v>1980</v>
      </c>
      <c r="B974" s="125">
        <v>1953.32</v>
      </c>
      <c r="C974" s="125">
        <v>6550.8</v>
      </c>
    </row>
    <row r="975" spans="1:5" x14ac:dyDescent="0.15">
      <c r="A975" s="123">
        <v>1981</v>
      </c>
      <c r="B975" s="125">
        <v>3187.68</v>
      </c>
      <c r="C975" s="125">
        <v>12527.6</v>
      </c>
    </row>
    <row r="976" spans="1:5" x14ac:dyDescent="0.15">
      <c r="A976" s="123">
        <v>1982</v>
      </c>
      <c r="B976" s="125">
        <v>4747.3</v>
      </c>
      <c r="C976" s="125">
        <v>15040.1</v>
      </c>
    </row>
    <row r="977" spans="1:3" x14ac:dyDescent="0.15">
      <c r="A977" s="123">
        <v>1983</v>
      </c>
      <c r="B977" s="125">
        <v>5861.62</v>
      </c>
      <c r="C977" s="125">
        <v>16613.3</v>
      </c>
    </row>
    <row r="978" spans="1:3" x14ac:dyDescent="0.15">
      <c r="A978" s="123">
        <v>1984</v>
      </c>
      <c r="B978" s="125">
        <v>6278.45</v>
      </c>
      <c r="C978" s="125">
        <v>16236.4</v>
      </c>
    </row>
    <row r="979" spans="1:3" x14ac:dyDescent="0.15">
      <c r="A979" s="123">
        <v>1985</v>
      </c>
      <c r="B979" s="125">
        <v>6397.98</v>
      </c>
      <c r="C979" s="125">
        <v>16914.7</v>
      </c>
    </row>
    <row r="980" spans="1:3" x14ac:dyDescent="0.15">
      <c r="A980" s="123">
        <v>1986</v>
      </c>
      <c r="B980" s="125">
        <v>6263.3</v>
      </c>
      <c r="C980" s="125">
        <v>15558.8</v>
      </c>
    </row>
    <row r="981" spans="1:3" x14ac:dyDescent="0.15">
      <c r="A981" s="123">
        <v>1987</v>
      </c>
      <c r="B981" s="125">
        <v>5954.26</v>
      </c>
      <c r="C981" s="125">
        <v>14910.2</v>
      </c>
    </row>
    <row r="982" spans="1:3" x14ac:dyDescent="0.15">
      <c r="A982" s="123">
        <v>1988</v>
      </c>
      <c r="B982" s="125">
        <v>5532.9</v>
      </c>
      <c r="C982" s="125">
        <v>13429</v>
      </c>
    </row>
    <row r="983" spans="1:3" x14ac:dyDescent="0.15">
      <c r="A983" s="123">
        <v>1989</v>
      </c>
      <c r="B983" s="125">
        <v>4990.0200000000004</v>
      </c>
      <c r="C983" s="125">
        <v>11784.5</v>
      </c>
    </row>
    <row r="984" spans="1:3" x14ac:dyDescent="0.15">
      <c r="A984" s="123">
        <v>1990</v>
      </c>
      <c r="B984" s="125">
        <v>4347.58</v>
      </c>
      <c r="C984" s="125">
        <v>10086.9</v>
      </c>
    </row>
    <row r="985" spans="1:3" x14ac:dyDescent="0.15">
      <c r="A985" s="123">
        <v>1991</v>
      </c>
      <c r="B985" s="125">
        <v>3720.92</v>
      </c>
      <c r="C985" s="125">
        <v>8789.27</v>
      </c>
    </row>
    <row r="986" spans="1:3" x14ac:dyDescent="0.15">
      <c r="A986" s="123">
        <v>1992</v>
      </c>
      <c r="B986" s="125">
        <v>3918.04</v>
      </c>
      <c r="C986" s="125">
        <v>11869.5</v>
      </c>
    </row>
    <row r="987" spans="1:3" x14ac:dyDescent="0.15">
      <c r="A987" s="123">
        <v>1993</v>
      </c>
      <c r="B987" s="125">
        <v>5003.8599999999997</v>
      </c>
      <c r="C987" s="125">
        <v>14838.1</v>
      </c>
    </row>
    <row r="988" spans="1:3" x14ac:dyDescent="0.15">
      <c r="A988" s="123">
        <v>1994</v>
      </c>
      <c r="B988" s="125">
        <v>5175.28</v>
      </c>
      <c r="C988" s="125">
        <v>14334.9</v>
      </c>
    </row>
    <row r="989" spans="1:3" x14ac:dyDescent="0.15">
      <c r="A989" s="123">
        <v>1995</v>
      </c>
      <c r="B989" s="125">
        <v>5359.16</v>
      </c>
      <c r="C989" s="125">
        <v>15586.4</v>
      </c>
    </row>
    <row r="990" spans="1:3" x14ac:dyDescent="0.15">
      <c r="A990" s="123">
        <v>1996</v>
      </c>
      <c r="B990" s="125">
        <v>5421.8</v>
      </c>
      <c r="C990" s="125">
        <v>14046.3</v>
      </c>
    </row>
    <row r="991" spans="1:3" x14ac:dyDescent="0.15">
      <c r="A991" s="123">
        <v>1997</v>
      </c>
      <c r="B991" s="125">
        <v>5151.72</v>
      </c>
      <c r="C991" s="125">
        <v>12661.9</v>
      </c>
    </row>
    <row r="992" spans="1:3" x14ac:dyDescent="0.15">
      <c r="A992" s="123">
        <v>1998</v>
      </c>
      <c r="B992" s="125">
        <v>4848.16</v>
      </c>
      <c r="C992" s="125">
        <v>12481.1</v>
      </c>
    </row>
    <row r="993" spans="1:16" x14ac:dyDescent="0.15">
      <c r="A993" s="123">
        <v>1999</v>
      </c>
      <c r="B993" s="125">
        <v>4622.49</v>
      </c>
      <c r="C993" s="125">
        <v>12667.6</v>
      </c>
    </row>
    <row r="994" spans="1:16" x14ac:dyDescent="0.15">
      <c r="A994" s="123">
        <v>2000</v>
      </c>
      <c r="B994" s="125">
        <v>4604.46</v>
      </c>
      <c r="C994" s="125">
        <v>11938.2</v>
      </c>
    </row>
    <row r="995" spans="1:16" x14ac:dyDescent="0.15">
      <c r="A995" s="123">
        <v>2001</v>
      </c>
      <c r="B995" s="125">
        <v>4787.16</v>
      </c>
      <c r="C995" s="125">
        <v>12096.2</v>
      </c>
    </row>
    <row r="996" spans="1:16" x14ac:dyDescent="0.15">
      <c r="A996" s="123">
        <v>2002</v>
      </c>
      <c r="B996" s="125">
        <v>4727.1499999999996</v>
      </c>
      <c r="C996" s="125">
        <v>12602.1</v>
      </c>
    </row>
    <row r="997" spans="1:16" x14ac:dyDescent="0.15">
      <c r="A997" s="123">
        <v>2003</v>
      </c>
      <c r="B997" s="125">
        <v>4925.41</v>
      </c>
      <c r="C997" s="125">
        <v>14692.6</v>
      </c>
    </row>
    <row r="998" spans="1:16" x14ac:dyDescent="0.15">
      <c r="A998" s="123">
        <v>2004</v>
      </c>
      <c r="B998" s="125">
        <v>4980.6099999999997</v>
      </c>
      <c r="C998" s="125">
        <v>13748.5</v>
      </c>
    </row>
    <row r="999" spans="1:16" x14ac:dyDescent="0.15">
      <c r="A999" s="123">
        <v>2005</v>
      </c>
      <c r="B999" s="125">
        <v>4828.0600000000004</v>
      </c>
      <c r="C999" s="125">
        <v>12274.1</v>
      </c>
    </row>
    <row r="1000" spans="1:16" x14ac:dyDescent="0.15">
      <c r="A1000" s="127">
        <v>2006</v>
      </c>
      <c r="B1000" s="125">
        <v>4436.3100000000004</v>
      </c>
      <c r="C1000" s="125">
        <v>10605.4</v>
      </c>
    </row>
    <row r="1001" spans="1:16" x14ac:dyDescent="0.15">
      <c r="A1001" s="127">
        <v>2007</v>
      </c>
      <c r="B1001" s="125">
        <v>3966.27</v>
      </c>
      <c r="C1001" s="125">
        <v>9307.43</v>
      </c>
    </row>
    <row r="1003" spans="1:16" x14ac:dyDescent="0.15">
      <c r="A1003" s="123" t="s">
        <v>524</v>
      </c>
      <c r="B1003" s="123">
        <v>42146.6</v>
      </c>
      <c r="C1003" s="123">
        <v>3616.41</v>
      </c>
      <c r="D1003" s="123">
        <v>870.50599999999997</v>
      </c>
      <c r="E1003" s="123">
        <v>619.99599999999998</v>
      </c>
      <c r="F1003" s="123">
        <v>1256.07</v>
      </c>
      <c r="G1003" s="123">
        <v>1708.12</v>
      </c>
      <c r="H1003" s="123">
        <v>2496.09</v>
      </c>
      <c r="I1003" s="123">
        <v>1239.1400000000001</v>
      </c>
      <c r="J1003" s="123">
        <v>573.995</v>
      </c>
      <c r="K1003" s="123">
        <v>359.66500000000002</v>
      </c>
      <c r="L1003" s="123">
        <v>561.60599999999999</v>
      </c>
      <c r="M1003" s="123">
        <v>300.78800000000001</v>
      </c>
      <c r="N1003" s="123">
        <v>93.472700000000003</v>
      </c>
      <c r="O1003" s="123">
        <v>101.72</v>
      </c>
      <c r="P1003" s="123">
        <v>663.71299999999997</v>
      </c>
    </row>
    <row r="1005" spans="1:16" x14ac:dyDescent="0.15">
      <c r="A1005" s="123" t="s">
        <v>44</v>
      </c>
      <c r="B1005" s="123">
        <v>6.6E-3</v>
      </c>
      <c r="C1005" s="123">
        <v>0.17</v>
      </c>
      <c r="D1005" s="123">
        <v>0.35327199999999997</v>
      </c>
      <c r="E1005" s="123">
        <v>0.51214000000000004</v>
      </c>
      <c r="F1005" s="123">
        <v>0.62741800000000003</v>
      </c>
      <c r="G1005" s="123">
        <v>0.75448599999999999</v>
      </c>
      <c r="H1005" s="123">
        <v>0.87458100000000005</v>
      </c>
      <c r="I1005" s="123">
        <v>0.94472999999999996</v>
      </c>
      <c r="J1005" s="123">
        <v>1.0483100000000001</v>
      </c>
      <c r="K1005" s="123">
        <v>1.14672</v>
      </c>
      <c r="L1005" s="123">
        <v>1.2195499999999999</v>
      </c>
      <c r="M1005" s="123">
        <v>1.2719499999999999</v>
      </c>
      <c r="N1005" s="123">
        <v>1.3344800000000001</v>
      </c>
      <c r="O1005" s="123">
        <v>1.2822800000000001</v>
      </c>
      <c r="P1005" s="123">
        <v>1.3786700000000001</v>
      </c>
    </row>
    <row r="1007" spans="1:16" x14ac:dyDescent="0.15">
      <c r="A1007" s="123" t="s">
        <v>45</v>
      </c>
      <c r="B1007" s="123">
        <v>6.6E-3</v>
      </c>
      <c r="C1007" s="123">
        <v>0.17</v>
      </c>
      <c r="D1007" s="123">
        <v>0.35327199999999997</v>
      </c>
      <c r="E1007" s="123">
        <v>0.51214000000000004</v>
      </c>
      <c r="F1007" s="123">
        <v>0.62741800000000003</v>
      </c>
      <c r="G1007" s="123">
        <v>0.75448599999999999</v>
      </c>
      <c r="H1007" s="123">
        <v>0.87458100000000005</v>
      </c>
      <c r="I1007" s="123">
        <v>0.94472999999999996</v>
      </c>
      <c r="J1007" s="123">
        <v>1.0483100000000001</v>
      </c>
      <c r="K1007" s="123">
        <v>1.14672</v>
      </c>
      <c r="L1007" s="123">
        <v>1.2195499999999999</v>
      </c>
      <c r="M1007" s="123">
        <v>1.2719499999999999</v>
      </c>
      <c r="N1007" s="123">
        <v>1.3344800000000001</v>
      </c>
      <c r="O1007" s="123">
        <v>1.2822800000000001</v>
      </c>
      <c r="P1007" s="123">
        <v>1.3786700000000001</v>
      </c>
    </row>
    <row r="1009" spans="1:26" x14ac:dyDescent="0.15">
      <c r="B1009" s="123">
        <v>278.16800000000001</v>
      </c>
      <c r="C1009" s="123">
        <v>614.78899999999999</v>
      </c>
      <c r="D1009" s="123">
        <v>307.52499999999998</v>
      </c>
      <c r="E1009" s="123">
        <v>317.52499999999998</v>
      </c>
      <c r="F1009" s="123">
        <v>788.08199999999999</v>
      </c>
      <c r="G1009" s="123">
        <v>1288.75</v>
      </c>
      <c r="H1009" s="123">
        <v>2183.0300000000002</v>
      </c>
      <c r="I1009" s="123">
        <v>1170.6500000000001</v>
      </c>
      <c r="J1009" s="123">
        <v>601.72199999999998</v>
      </c>
      <c r="K1009" s="123">
        <v>412.435</v>
      </c>
      <c r="L1009" s="123">
        <v>684.90700000000004</v>
      </c>
      <c r="M1009" s="123">
        <v>382.589</v>
      </c>
      <c r="N1009" s="123">
        <v>124.73699999999999</v>
      </c>
      <c r="O1009" s="123">
        <v>130.43299999999999</v>
      </c>
      <c r="P1009" s="123">
        <v>915.04100000000005</v>
      </c>
    </row>
    <row r="1010" spans="1:26" x14ac:dyDescent="0.15">
      <c r="A1010" s="126" t="s">
        <v>477</v>
      </c>
      <c r="B1010" s="126" t="s">
        <v>494</v>
      </c>
      <c r="C1010" s="126" t="s">
        <v>478</v>
      </c>
      <c r="D1010" s="126" t="s">
        <v>479</v>
      </c>
      <c r="E1010" s="126" t="s">
        <v>498</v>
      </c>
      <c r="F1010" s="126" t="s">
        <v>480</v>
      </c>
      <c r="G1010" s="126" t="s">
        <v>481</v>
      </c>
      <c r="H1010" s="126" t="s">
        <v>482</v>
      </c>
      <c r="I1010" s="126" t="s">
        <v>483</v>
      </c>
      <c r="J1010" s="126" t="s">
        <v>484</v>
      </c>
      <c r="K1010" s="126" t="s">
        <v>485</v>
      </c>
      <c r="L1010" s="126" t="s">
        <v>495</v>
      </c>
      <c r="M1010" s="126" t="s">
        <v>496</v>
      </c>
      <c r="N1010" s="126" t="s">
        <v>500</v>
      </c>
      <c r="O1010" s="126" t="s">
        <v>501</v>
      </c>
      <c r="P1010" s="126" t="s">
        <v>7</v>
      </c>
      <c r="Q1010" s="126" t="s">
        <v>8</v>
      </c>
      <c r="R1010" s="126" t="s">
        <v>486</v>
      </c>
      <c r="S1010" s="126" t="s">
        <v>487</v>
      </c>
      <c r="T1010" s="126" t="s">
        <v>488</v>
      </c>
      <c r="U1010" s="126" t="s">
        <v>489</v>
      </c>
      <c r="V1010" s="126" t="s">
        <v>490</v>
      </c>
      <c r="W1010" s="126" t="s">
        <v>491</v>
      </c>
      <c r="X1010" s="126" t="s">
        <v>492</v>
      </c>
      <c r="Y1010" s="123" t="s">
        <v>493</v>
      </c>
      <c r="Z1010" s="123" t="s">
        <v>514</v>
      </c>
    </row>
    <row r="1011" spans="1:26" x14ac:dyDescent="0.15">
      <c r="A1011" s="125">
        <v>4766.5200000000004</v>
      </c>
      <c r="B1011" s="125">
        <v>3729.86</v>
      </c>
      <c r="C1011" s="123">
        <v>0.34050399999999997</v>
      </c>
      <c r="D1011" s="123">
        <v>0.42006199999999999</v>
      </c>
      <c r="E1011" s="123">
        <v>1450.16</v>
      </c>
      <c r="F1011" s="123">
        <v>586.44600000000003</v>
      </c>
      <c r="G1011" s="123">
        <v>714.78200000000004</v>
      </c>
      <c r="H1011" s="123">
        <v>1460.22</v>
      </c>
      <c r="I1011" s="123">
        <v>1441.87</v>
      </c>
      <c r="J1011" s="123">
        <v>1169.55</v>
      </c>
      <c r="K1011" s="123">
        <v>1442.82</v>
      </c>
      <c r="L1011" s="123">
        <v>976.28499999999997</v>
      </c>
      <c r="M1011" s="123">
        <v>1204.3900000000001</v>
      </c>
      <c r="N1011" s="123">
        <v>0.72060400000000002</v>
      </c>
      <c r="O1011" s="123">
        <v>0.76870899999999998</v>
      </c>
      <c r="P1011" s="123">
        <v>0.76870899999999998</v>
      </c>
      <c r="Q1011" s="123">
        <v>0.25970799999999999</v>
      </c>
      <c r="R1011" s="123">
        <v>50836.3</v>
      </c>
      <c r="S1011" s="123">
        <v>2031.05</v>
      </c>
      <c r="T1011" s="123">
        <v>51771.8</v>
      </c>
      <c r="U1011" s="123">
        <v>2583.65</v>
      </c>
      <c r="V1011" s="123">
        <v>32159.8</v>
      </c>
      <c r="W1011" s="123">
        <v>1562.01</v>
      </c>
      <c r="X1011" s="123">
        <v>41060.5</v>
      </c>
      <c r="Y1011" s="123">
        <v>3297.48</v>
      </c>
      <c r="Z1011" s="123">
        <v>1125</v>
      </c>
    </row>
    <row r="1012" spans="1:26" x14ac:dyDescent="0.15">
      <c r="A1012" s="125">
        <f>A1011*C1011*N1011</f>
        <v>1169.5540743297524</v>
      </c>
      <c r="B1012" s="125">
        <f>B1011*C1011*O1011</f>
        <v>976.2852204347729</v>
      </c>
    </row>
    <row r="1013" spans="1:26" x14ac:dyDescent="0.15">
      <c r="B1013" s="124">
        <f>B1011/A1011</f>
        <v>0.78251218918624066</v>
      </c>
    </row>
  </sheetData>
  <phoneticPr fontId="35" type="noConversion"/>
  <conditionalFormatting sqref="Q3:Q54">
    <cfRule type="colorScale" priority="11">
      <colorScale>
        <cfvo type="min"/>
        <cfvo type="max"/>
        <color rgb="FFFCFCFF"/>
        <color rgb="FFF8696B"/>
      </colorScale>
    </cfRule>
  </conditionalFormatting>
  <conditionalFormatting sqref="R3:R54">
    <cfRule type="colorScale" priority="10">
      <colorScale>
        <cfvo type="min"/>
        <cfvo type="max"/>
        <color rgb="FFFCFCFF"/>
        <color rgb="FFF8696B"/>
      </colorScale>
    </cfRule>
  </conditionalFormatting>
  <conditionalFormatting sqref="S3:S54">
    <cfRule type="colorScale" priority="9">
      <colorScale>
        <cfvo type="min"/>
        <cfvo type="max"/>
        <color rgb="FFFCFCFF"/>
        <color rgb="FFF8696B"/>
      </colorScale>
    </cfRule>
  </conditionalFormatting>
  <conditionalFormatting sqref="T3:T54">
    <cfRule type="colorScale" priority="8">
      <colorScale>
        <cfvo type="min"/>
        <cfvo type="max"/>
        <color rgb="FFFCFCFF"/>
        <color rgb="FFF8696B"/>
      </colorScale>
    </cfRule>
  </conditionalFormatting>
  <conditionalFormatting sqref="U3:U54">
    <cfRule type="colorScale" priority="7">
      <colorScale>
        <cfvo type="min"/>
        <cfvo type="max"/>
        <color rgb="FFFCFCFF"/>
        <color rgb="FFF8696B"/>
      </colorScale>
    </cfRule>
  </conditionalFormatting>
  <conditionalFormatting sqref="V3:V54">
    <cfRule type="colorScale" priority="6">
      <colorScale>
        <cfvo type="min"/>
        <cfvo type="max"/>
        <color rgb="FFFCFCFF"/>
        <color rgb="FFF8696B"/>
      </colorScale>
    </cfRule>
  </conditionalFormatting>
  <conditionalFormatting sqref="W3:W54">
    <cfRule type="colorScale" priority="5">
      <colorScale>
        <cfvo type="min"/>
        <cfvo type="max"/>
        <color rgb="FFFCFCFF"/>
        <color rgb="FFF8696B"/>
      </colorScale>
    </cfRule>
  </conditionalFormatting>
  <conditionalFormatting sqref="X3:X54">
    <cfRule type="colorScale" priority="4">
      <colorScale>
        <cfvo type="min"/>
        <cfvo type="max"/>
        <color rgb="FFFCFCFF"/>
        <color rgb="FFF8696B"/>
      </colorScale>
    </cfRule>
  </conditionalFormatting>
  <conditionalFormatting sqref="Y3:Y54">
    <cfRule type="colorScale" priority="3">
      <colorScale>
        <cfvo type="min"/>
        <cfvo type="max"/>
        <color rgb="FFFCFCFF"/>
        <color rgb="FFF8696B"/>
      </colorScale>
    </cfRule>
  </conditionalFormatting>
  <conditionalFormatting sqref="Z3:Z54">
    <cfRule type="colorScale" priority="2">
      <colorScale>
        <cfvo type="min"/>
        <cfvo type="max"/>
        <color rgb="FFFCFCFF"/>
        <color rgb="FFF8696B"/>
      </colorScale>
    </cfRule>
  </conditionalFormatting>
  <conditionalFormatting sqref="AA3:AA54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CX242"/>
  <sheetViews>
    <sheetView topLeftCell="A34" workbookViewId="0">
      <selection activeCell="A56" sqref="A56"/>
    </sheetView>
  </sheetViews>
  <sheetFormatPr baseColWidth="10" defaultColWidth="8.83203125" defaultRowHeight="13" x14ac:dyDescent="0.15"/>
  <cols>
    <col min="1" max="1" width="8.83203125" style="21" customWidth="1"/>
    <col min="2" max="6" width="9.33203125" bestFit="1" customWidth="1"/>
    <col min="7" max="7" width="11.6640625" bestFit="1" customWidth="1"/>
    <col min="8" max="9" width="9.33203125" bestFit="1" customWidth="1"/>
    <col min="10" max="12" width="14.5" bestFit="1" customWidth="1"/>
    <col min="13" max="14" width="15" bestFit="1" customWidth="1"/>
    <col min="15" max="16" width="14.5" bestFit="1" customWidth="1"/>
    <col min="19" max="19" width="14.5" bestFit="1" customWidth="1"/>
    <col min="20" max="25" width="9.33203125" bestFit="1" customWidth="1"/>
    <col min="26" max="26" width="14.5" bestFit="1" customWidth="1"/>
    <col min="27" max="30" width="9.33203125" bestFit="1" customWidth="1"/>
  </cols>
  <sheetData>
    <row r="1" spans="1:102" ht="23" x14ac:dyDescent="0.25">
      <c r="A1" s="21" t="s">
        <v>165</v>
      </c>
      <c r="O1" t="s">
        <v>573</v>
      </c>
      <c r="AJ1" t="s">
        <v>165</v>
      </c>
      <c r="AQ1" s="10" t="s">
        <v>336</v>
      </c>
    </row>
    <row r="2" spans="1:102" x14ac:dyDescent="0.15">
      <c r="A2" s="21" t="s">
        <v>127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  <c r="K2" s="21">
        <v>10</v>
      </c>
      <c r="L2" s="21">
        <v>11</v>
      </c>
      <c r="M2" s="21">
        <v>12</v>
      </c>
      <c r="N2" s="21">
        <v>13</v>
      </c>
      <c r="O2" s="21">
        <v>14</v>
      </c>
      <c r="P2" s="21">
        <v>15</v>
      </c>
      <c r="Q2" s="21"/>
      <c r="R2" s="21" t="s">
        <v>128</v>
      </c>
      <c r="S2" s="21">
        <v>1</v>
      </c>
      <c r="T2" s="21">
        <v>2</v>
      </c>
      <c r="U2" s="21">
        <v>3</v>
      </c>
      <c r="V2" s="21">
        <v>4</v>
      </c>
      <c r="W2" s="21">
        <v>5</v>
      </c>
      <c r="X2" s="21">
        <v>6</v>
      </c>
      <c r="Y2" s="21">
        <v>7</v>
      </c>
      <c r="Z2" s="21">
        <v>8</v>
      </c>
      <c r="AA2" s="21">
        <v>9</v>
      </c>
      <c r="AB2" s="21">
        <v>10</v>
      </c>
      <c r="AC2" s="21">
        <v>11</v>
      </c>
      <c r="AD2" s="21">
        <v>12</v>
      </c>
      <c r="AE2" s="21">
        <v>13</v>
      </c>
      <c r="AF2" s="21">
        <v>14</v>
      </c>
      <c r="AG2" s="21">
        <v>15</v>
      </c>
      <c r="AJ2" t="s">
        <v>262</v>
      </c>
      <c r="AO2" s="21" t="s">
        <v>415</v>
      </c>
      <c r="AQ2" s="21"/>
      <c r="AR2" s="21">
        <v>1</v>
      </c>
      <c r="AS2" s="21">
        <v>2</v>
      </c>
      <c r="AT2" s="21">
        <v>3</v>
      </c>
      <c r="AU2" s="21">
        <v>4</v>
      </c>
      <c r="AV2" s="21">
        <v>5</v>
      </c>
      <c r="AW2" s="21">
        <v>6</v>
      </c>
      <c r="AX2" s="21">
        <v>7</v>
      </c>
      <c r="AY2" s="21">
        <v>8</v>
      </c>
      <c r="AZ2" s="21">
        <v>9</v>
      </c>
      <c r="BA2" s="21">
        <v>10</v>
      </c>
      <c r="BB2" s="21">
        <v>11</v>
      </c>
      <c r="BC2" s="21">
        <v>12</v>
      </c>
      <c r="BD2" s="21">
        <v>13</v>
      </c>
      <c r="BE2" s="21">
        <v>14</v>
      </c>
      <c r="BF2" s="21">
        <v>15</v>
      </c>
      <c r="BH2" t="s">
        <v>427</v>
      </c>
      <c r="BI2" t="s">
        <v>428</v>
      </c>
      <c r="BJ2" t="s">
        <v>358</v>
      </c>
      <c r="BL2">
        <v>10</v>
      </c>
      <c r="BM2">
        <v>10</v>
      </c>
      <c r="BN2">
        <v>10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10</v>
      </c>
      <c r="BU2">
        <v>10</v>
      </c>
      <c r="BV2">
        <v>10</v>
      </c>
      <c r="BW2">
        <v>10</v>
      </c>
      <c r="BX2">
        <v>50</v>
      </c>
      <c r="BY2">
        <v>50</v>
      </c>
      <c r="BZ2">
        <v>50</v>
      </c>
      <c r="CA2">
        <v>50</v>
      </c>
      <c r="CB2">
        <v>50</v>
      </c>
      <c r="CC2">
        <v>50</v>
      </c>
      <c r="CD2">
        <v>50</v>
      </c>
      <c r="CE2">
        <v>50</v>
      </c>
      <c r="CF2">
        <v>50</v>
      </c>
      <c r="CG2">
        <v>50</v>
      </c>
      <c r="CH2">
        <v>50</v>
      </c>
      <c r="CI2">
        <v>50</v>
      </c>
      <c r="CJ2">
        <v>50</v>
      </c>
      <c r="CK2">
        <v>200</v>
      </c>
      <c r="CL2">
        <v>200</v>
      </c>
      <c r="CM2">
        <v>200</v>
      </c>
      <c r="CN2">
        <v>200</v>
      </c>
      <c r="CO2">
        <v>200</v>
      </c>
      <c r="CP2">
        <v>200</v>
      </c>
      <c r="CQ2">
        <v>200</v>
      </c>
      <c r="CR2">
        <v>200</v>
      </c>
      <c r="CS2">
        <v>200</v>
      </c>
      <c r="CT2">
        <v>200</v>
      </c>
      <c r="CU2">
        <v>200</v>
      </c>
      <c r="CV2">
        <v>200</v>
      </c>
      <c r="CW2">
        <v>200</v>
      </c>
      <c r="CX2">
        <v>200</v>
      </c>
    </row>
    <row r="3" spans="1:102" x14ac:dyDescent="0.15">
      <c r="A3" s="21">
        <v>1964</v>
      </c>
      <c r="B3">
        <f t="array" ref="B3:P34">pm.rep!$B$333:$P$364</f>
        <v>2.7373499999999999E-2</v>
      </c>
      <c r="C3">
        <v>0.11357</v>
      </c>
      <c r="D3">
        <v>0.25627800000000001</v>
      </c>
      <c r="E3">
        <v>0.18635499999999999</v>
      </c>
      <c r="F3">
        <v>8.1373200000000007E-2</v>
      </c>
      <c r="G3">
        <v>0.15720899999999999</v>
      </c>
      <c r="H3">
        <v>6.8603499999999998E-2</v>
      </c>
      <c r="I3">
        <v>2.1135500000000002E-2</v>
      </c>
      <c r="J3">
        <v>1.2897199999999999E-2</v>
      </c>
      <c r="K3">
        <v>1.2596400000000001E-2</v>
      </c>
      <c r="L3">
        <v>1.25652E-2</v>
      </c>
      <c r="M3">
        <v>1.25407E-2</v>
      </c>
      <c r="N3">
        <v>1.25214E-2</v>
      </c>
      <c r="O3">
        <v>1.25022E-2</v>
      </c>
      <c r="P3">
        <v>1.24794E-2</v>
      </c>
      <c r="S3">
        <f t="array" ref="S3:AG34">pm.rep!$B$278:$P$309</f>
        <v>2.5321E-2</v>
      </c>
      <c r="T3">
        <v>0.105571</v>
      </c>
      <c r="U3">
        <v>0.16556299999999999</v>
      </c>
      <c r="V3">
        <v>0.19361100000000001</v>
      </c>
      <c r="W3">
        <v>9.5441999999999999E-2</v>
      </c>
      <c r="X3">
        <v>0.26840700000000001</v>
      </c>
      <c r="Y3">
        <v>0.120764</v>
      </c>
      <c r="Z3">
        <v>2.5321E-2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J3" s="27">
        <f t="shared" ref="AJ3:AJ16" si="0">SUMPRODUCT((1-B3:P3),B3:P3)/SUMXMY2(B3:P3,S3:AG3)</f>
        <v>34.262547368313136</v>
      </c>
      <c r="AK3" s="27">
        <f>$AJ3</f>
        <v>34.262547368313136</v>
      </c>
      <c r="AO3" s="28">
        <f>STDEV(AR3:BF3)</f>
        <v>0.43169809334258169</v>
      </c>
      <c r="AP3">
        <v>10</v>
      </c>
      <c r="AQ3">
        <f>A3</f>
        <v>1964</v>
      </c>
      <c r="AR3" s="20">
        <f t="shared" ref="AR3:AR43" si="1">(S3-B3)/(SQRT(B3*(1-B3)/$AP3))</f>
        <v>-3.9778183935809203E-2</v>
      </c>
      <c r="AS3" s="20">
        <f t="shared" ref="AS3:AS43" si="2">(T3-C3)/(SQRT(C3*(1-C3)/$AP3))</f>
        <v>-7.9722638014850716E-2</v>
      </c>
      <c r="AT3" s="20">
        <f t="shared" ref="AT3:AT43" si="3">(U3-D3)/(SQRT(D3*(1-D3)/$AP3))</f>
        <v>-0.6570798171308081</v>
      </c>
      <c r="AU3" s="20">
        <f t="shared" ref="AU3:AU43" si="4">(V3-E3)/(SQRT(E3*(1-E3)/$AP3))</f>
        <v>5.8926313134786405E-2</v>
      </c>
      <c r="AV3" s="20">
        <f t="shared" ref="AV3:AV43" si="5">(W3-F3)/(SQRT(F3*(1-F3)/$AP3))</f>
        <v>0.16272219827069936</v>
      </c>
      <c r="AW3" s="20">
        <f t="shared" ref="AW3:AW43" si="6">(X3-G3)/(SQRT(G3*(1-G3)/$AP3))</f>
        <v>0.96604716183736361</v>
      </c>
      <c r="AX3" s="20">
        <f t="shared" ref="AX3:AX43" si="7">(Y3-H3)/(SQRT(H3*(1-H3)/$AP3))</f>
        <v>0.65253124012914521</v>
      </c>
      <c r="AY3" s="20">
        <f t="shared" ref="AY3:AY43" si="8">(Z3-I3)/(SQRT(I3*(1-I3)/$AP3))</f>
        <v>9.2019484052036679E-2</v>
      </c>
      <c r="AZ3" s="20">
        <f t="shared" ref="AZ3:AZ43" si="9">(AA3-J3)/(SQRT(J3*(1-J3)/$AP3))</f>
        <v>-0.36146522777520107</v>
      </c>
      <c r="BA3" s="20">
        <f t="shared" ref="BA3:BA43" si="10">(AB3-K3)/(SQRT(K3*(1-K3)/$AP3))</f>
        <v>-0.35717073581073588</v>
      </c>
      <c r="BB3" s="20">
        <f>(AC3-L3)/(SQRT(L3*(1-L3)/$AP3))</f>
        <v>-0.35672248797730505</v>
      </c>
      <c r="BC3" s="20">
        <f t="shared" ref="BC3:BC43" si="11">(AD3-M3)/(SQRT(M3*(1-M3)/$AP3))</f>
        <v>-0.35637012317959693</v>
      </c>
      <c r="BD3" s="20">
        <f t="shared" ref="BD3:BD43" si="12">(AE3-N3)/(SQRT(N3*(1-N3)/$AP3))</f>
        <v>-0.35609231281752057</v>
      </c>
      <c r="BE3" s="20">
        <f t="shared" ref="BE3:BE43" si="13">(AF3-O3)/(SQRT(O3*(1-O3)/$AP3))</f>
        <v>-0.35581573745181022</v>
      </c>
      <c r="BF3" s="20">
        <f t="shared" ref="BF3:BF43" si="14">(AG3-P3)/(SQRT(P3*(1-P3)/$AP3))</f>
        <v>-0.35548703870930981</v>
      </c>
      <c r="BG3">
        <v>1964</v>
      </c>
      <c r="BH3" s="20">
        <f>AVERAGE(AR3:AT3)</f>
        <v>-0.25886021302715601</v>
      </c>
      <c r="BI3" s="20">
        <f>AVERAGE(AU3:AX3)</f>
        <v>0.46005672834299866</v>
      </c>
      <c r="BJ3" s="20">
        <f>AVERAGE(AZ3:BF3)</f>
        <v>-0.35701766624592557</v>
      </c>
    </row>
    <row r="4" spans="1:102" x14ac:dyDescent="0.15">
      <c r="A4" s="21">
        <v>1965</v>
      </c>
      <c r="B4">
        <v>5.8990300000000002E-2</v>
      </c>
      <c r="C4">
        <v>6.0616000000000003E-2</v>
      </c>
      <c r="D4">
        <v>0.199545</v>
      </c>
      <c r="E4">
        <v>0.43223699999999998</v>
      </c>
      <c r="F4">
        <v>8.0229700000000001E-2</v>
      </c>
      <c r="G4">
        <v>3.3147999999999997E-2</v>
      </c>
      <c r="H4">
        <v>6.2057599999999997E-2</v>
      </c>
      <c r="I4">
        <v>2.7226500000000001E-2</v>
      </c>
      <c r="J4">
        <v>8.5447000000000006E-3</v>
      </c>
      <c r="K4">
        <v>5.31183E-3</v>
      </c>
      <c r="L4">
        <v>5.3754199999999997E-3</v>
      </c>
      <c r="M4">
        <v>5.3621099999999998E-3</v>
      </c>
      <c r="N4">
        <v>5.3516400000000004E-3</v>
      </c>
      <c r="O4">
        <v>5.3434299999999997E-3</v>
      </c>
      <c r="P4">
        <v>1.06608E-2</v>
      </c>
      <c r="S4">
        <v>1.417E-2</v>
      </c>
      <c r="T4">
        <v>1.5327E-2</v>
      </c>
      <c r="U4">
        <v>0.20416400000000001</v>
      </c>
      <c r="V4">
        <v>0.55031799999999997</v>
      </c>
      <c r="W4">
        <v>0.13475999999999999</v>
      </c>
      <c r="X4">
        <v>3.3544999999999998E-2</v>
      </c>
      <c r="Y4">
        <v>3.2389000000000001E-2</v>
      </c>
      <c r="Z4">
        <v>1.5327E-2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J4" s="27">
        <f t="shared" si="0"/>
        <v>33.724938901224796</v>
      </c>
      <c r="AL4" s="27">
        <f>$AJ4</f>
        <v>33.724938901224796</v>
      </c>
      <c r="AO4" s="28">
        <f t="shared" ref="AO4:AO46" si="15">STDEV(AR4:BF4)</f>
        <v>0.3824622741178218</v>
      </c>
      <c r="AP4">
        <v>10</v>
      </c>
      <c r="AQ4">
        <f t="shared" ref="AQ4:AQ42" si="16">A4</f>
        <v>1965</v>
      </c>
      <c r="AR4" s="20">
        <f t="shared" si="1"/>
        <v>-0.60157171281456423</v>
      </c>
      <c r="AS4" s="20">
        <f t="shared" si="2"/>
        <v>-0.6001744661766506</v>
      </c>
      <c r="AT4" s="20">
        <f t="shared" si="3"/>
        <v>3.6547617943597337E-2</v>
      </c>
      <c r="AU4" s="20">
        <f t="shared" si="4"/>
        <v>0.75376420347048645</v>
      </c>
      <c r="AV4" s="20">
        <f t="shared" si="5"/>
        <v>0.63479078250170118</v>
      </c>
      <c r="AW4" s="20">
        <f t="shared" si="6"/>
        <v>7.0126447977559708E-3</v>
      </c>
      <c r="AX4" s="20">
        <f t="shared" si="7"/>
        <v>-0.38887630459841194</v>
      </c>
      <c r="AY4" s="20">
        <f t="shared" si="8"/>
        <v>-0.23122082149295203</v>
      </c>
      <c r="AZ4" s="20">
        <f t="shared" si="9"/>
        <v>-0.2935701132529499</v>
      </c>
      <c r="BA4" s="20">
        <f t="shared" si="10"/>
        <v>-0.23108864564183682</v>
      </c>
      <c r="BB4" s="20">
        <f>(AC4-L4)/(SQRT(L4*(1-L4)/$AP4))</f>
        <v>-0.23247518799072481</v>
      </c>
      <c r="BC4" s="20">
        <f t="shared" si="11"/>
        <v>-0.23218564183396728</v>
      </c>
      <c r="BD4" s="20">
        <f t="shared" si="12"/>
        <v>-0.23195762860049013</v>
      </c>
      <c r="BE4" s="20">
        <f t="shared" si="13"/>
        <v>-0.23177867957802148</v>
      </c>
      <c r="BF4" s="20">
        <f t="shared" si="14"/>
        <v>-0.32826326844465709</v>
      </c>
      <c r="BG4">
        <v>1965</v>
      </c>
      <c r="BH4" s="20">
        <f t="shared" ref="BH4:BH43" si="17">AVERAGE(AR4:AT4)</f>
        <v>-0.38839952034920583</v>
      </c>
      <c r="BI4" s="20">
        <f t="shared" ref="BI4:BI43" si="18">AVERAGE(AU4:AX4)</f>
        <v>0.25167283154288289</v>
      </c>
      <c r="BJ4" s="20">
        <f t="shared" ref="BJ4:BJ43" si="19">AVERAGE(AZ4:BF4)</f>
        <v>-0.25447416647752108</v>
      </c>
    </row>
    <row r="5" spans="1:102" x14ac:dyDescent="0.15">
      <c r="A5" s="21">
        <v>1966</v>
      </c>
      <c r="B5">
        <v>3.5855699999999997E-2</v>
      </c>
      <c r="C5">
        <v>0.173933</v>
      </c>
      <c r="D5">
        <v>0.138429</v>
      </c>
      <c r="E5">
        <v>0.328127</v>
      </c>
      <c r="F5">
        <v>0.20361199999999999</v>
      </c>
      <c r="G5">
        <v>3.7470400000000001E-2</v>
      </c>
      <c r="H5">
        <v>1.57564E-2</v>
      </c>
      <c r="I5">
        <v>2.9962300000000001E-2</v>
      </c>
      <c r="J5">
        <v>1.33583E-2</v>
      </c>
      <c r="K5">
        <v>4.2635199999999998E-3</v>
      </c>
      <c r="L5">
        <v>2.7311599999999998E-3</v>
      </c>
      <c r="M5">
        <v>2.7638599999999999E-3</v>
      </c>
      <c r="N5">
        <v>2.7570099999999998E-3</v>
      </c>
      <c r="O5">
        <v>2.7516300000000001E-3</v>
      </c>
      <c r="P5">
        <v>8.2287999999999997E-3</v>
      </c>
      <c r="S5">
        <v>2.8427999999999998E-2</v>
      </c>
      <c r="T5">
        <v>0.16830200000000001</v>
      </c>
      <c r="U5">
        <v>5.7357999999999999E-2</v>
      </c>
      <c r="V5">
        <v>0.420126</v>
      </c>
      <c r="W5">
        <v>0.26490599999999997</v>
      </c>
      <c r="X5">
        <v>2.4150999999999999E-2</v>
      </c>
      <c r="Y5">
        <v>2.6415000000000001E-2</v>
      </c>
      <c r="Z5">
        <v>1.0314E-2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J5" s="27">
        <f t="shared" si="0"/>
        <v>40.164023262125667</v>
      </c>
      <c r="AM5" s="27">
        <f>$AJ5</f>
        <v>40.164023262125667</v>
      </c>
      <c r="AN5" s="27"/>
      <c r="AO5" s="28">
        <f t="shared" si="15"/>
        <v>0.34105675749119035</v>
      </c>
      <c r="AP5">
        <v>10</v>
      </c>
      <c r="AQ5">
        <f t="shared" si="16"/>
        <v>1966</v>
      </c>
      <c r="AR5" s="20">
        <f t="shared" si="1"/>
        <v>-0.12632934161724682</v>
      </c>
      <c r="AS5" s="20">
        <f t="shared" si="2"/>
        <v>-4.6977175022956938E-2</v>
      </c>
      <c r="AT5" s="20">
        <f t="shared" si="3"/>
        <v>-0.74234613716960363</v>
      </c>
      <c r="AU5" s="20">
        <f t="shared" si="4"/>
        <v>0.61961015705890032</v>
      </c>
      <c r="AV5" s="20">
        <f t="shared" si="5"/>
        <v>0.48134218533224865</v>
      </c>
      <c r="AW5" s="20">
        <f t="shared" si="6"/>
        <v>-0.22178565359047875</v>
      </c>
      <c r="AX5" s="20">
        <f t="shared" si="7"/>
        <v>0.27065768673192242</v>
      </c>
      <c r="AY5" s="20">
        <f t="shared" si="8"/>
        <v>-0.36445431784843779</v>
      </c>
      <c r="AZ5" s="20">
        <f t="shared" si="9"/>
        <v>-0.36795597784528766</v>
      </c>
      <c r="BA5" s="20">
        <f t="shared" si="10"/>
        <v>-0.20692451365663514</v>
      </c>
      <c r="BB5" s="20">
        <f t="shared" ref="BB5:BB43" si="20">(AC5-L5)/(SQRT(L5*(1-L5)/$AP5))</f>
        <v>-0.16548835799240616</v>
      </c>
      <c r="BC5" s="20">
        <f t="shared" si="11"/>
        <v>-0.16647883029159269</v>
      </c>
      <c r="BD5" s="20">
        <f t="shared" si="12"/>
        <v>-0.1662718291953493</v>
      </c>
      <c r="BE5" s="20">
        <f t="shared" si="13"/>
        <v>-0.16610907136636907</v>
      </c>
      <c r="BF5" s="20">
        <f t="shared" si="14"/>
        <v>-0.28804643671667585</v>
      </c>
      <c r="BG5">
        <v>1966</v>
      </c>
      <c r="BH5" s="20">
        <f t="shared" si="17"/>
        <v>-0.30521755126993577</v>
      </c>
      <c r="BI5" s="20">
        <f t="shared" si="18"/>
        <v>0.28745609388314813</v>
      </c>
      <c r="BJ5" s="20">
        <f t="shared" si="19"/>
        <v>-0.21818214529490224</v>
      </c>
    </row>
    <row r="6" spans="1:102" x14ac:dyDescent="0.15">
      <c r="A6" s="21">
        <v>1967</v>
      </c>
      <c r="B6">
        <v>4.8274699999999997E-2</v>
      </c>
      <c r="C6">
        <v>0.104393</v>
      </c>
      <c r="D6">
        <v>0.413186</v>
      </c>
      <c r="E6">
        <v>0.16081400000000001</v>
      </c>
      <c r="F6">
        <v>0.134966</v>
      </c>
      <c r="G6">
        <v>8.4298100000000001E-2</v>
      </c>
      <c r="H6">
        <v>1.6169900000000001E-2</v>
      </c>
      <c r="I6">
        <v>6.9826899999999997E-3</v>
      </c>
      <c r="J6">
        <v>1.3599699999999999E-2</v>
      </c>
      <c r="K6">
        <v>6.1896E-3</v>
      </c>
      <c r="L6">
        <v>2.0190400000000002E-3</v>
      </c>
      <c r="M6">
        <v>1.29338E-3</v>
      </c>
      <c r="N6">
        <v>1.30886E-3</v>
      </c>
      <c r="O6">
        <v>1.30562E-3</v>
      </c>
      <c r="P6">
        <v>5.1999200000000002E-3</v>
      </c>
      <c r="S6">
        <v>9.4670099999999997E-3</v>
      </c>
      <c r="T6">
        <v>0.110178</v>
      </c>
      <c r="U6">
        <v>0.57751600000000003</v>
      </c>
      <c r="V6">
        <v>8.7692099999999995E-2</v>
      </c>
      <c r="W6">
        <v>0.16</v>
      </c>
      <c r="X6">
        <v>3.7988000000000001E-2</v>
      </c>
      <c r="Y6">
        <v>1.1479E-2</v>
      </c>
      <c r="Z6">
        <v>5.6800100000000001E-3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J6" s="27">
        <f t="shared" si="0"/>
        <v>20.687327842415005</v>
      </c>
      <c r="AK6" s="27">
        <f>$AJ6</f>
        <v>20.687327842415005</v>
      </c>
      <c r="AO6" s="28">
        <f t="shared" si="15"/>
        <v>0.40216864787613443</v>
      </c>
      <c r="AP6">
        <v>10</v>
      </c>
      <c r="AQ6">
        <f t="shared" si="16"/>
        <v>1967</v>
      </c>
      <c r="AR6" s="20">
        <f t="shared" si="1"/>
        <v>-0.57253520101709465</v>
      </c>
      <c r="AS6" s="20">
        <f t="shared" si="2"/>
        <v>5.9828612958348057E-2</v>
      </c>
      <c r="AT6" s="20">
        <f t="shared" si="3"/>
        <v>1.0553434597414524</v>
      </c>
      <c r="AU6" s="20">
        <f t="shared" si="4"/>
        <v>-0.62944302494461124</v>
      </c>
      <c r="AV6" s="20">
        <f t="shared" si="5"/>
        <v>0.23168689570924786</v>
      </c>
      <c r="AW6" s="20">
        <f t="shared" si="6"/>
        <v>-0.52709605775751567</v>
      </c>
      <c r="AX6" s="20">
        <f t="shared" si="7"/>
        <v>-0.11760951390812829</v>
      </c>
      <c r="AY6" s="20">
        <f t="shared" si="8"/>
        <v>-4.9470688551984991E-2</v>
      </c>
      <c r="AZ6" s="20">
        <f t="shared" si="9"/>
        <v>-0.37131121459544097</v>
      </c>
      <c r="BA6" s="20">
        <f t="shared" si="10"/>
        <v>-0.24956261249890888</v>
      </c>
      <c r="BB6" s="20">
        <f t="shared" si="20"/>
        <v>-0.14223659057483376</v>
      </c>
      <c r="BC6" s="20">
        <f t="shared" si="11"/>
        <v>-0.11380048322540706</v>
      </c>
      <c r="BD6" s="20">
        <f t="shared" si="12"/>
        <v>-0.1144803633670531</v>
      </c>
      <c r="BE6" s="20">
        <f t="shared" si="13"/>
        <v>-0.11433839565564863</v>
      </c>
      <c r="BF6" s="20">
        <f t="shared" si="14"/>
        <v>-0.22862853068799455</v>
      </c>
      <c r="BG6">
        <v>1967</v>
      </c>
      <c r="BH6" s="20">
        <f t="shared" si="17"/>
        <v>0.18087895722756861</v>
      </c>
      <c r="BI6" s="20">
        <f t="shared" si="18"/>
        <v>-0.26061542522525183</v>
      </c>
      <c r="BJ6" s="20">
        <f t="shared" si="19"/>
        <v>-0.19062259865789816</v>
      </c>
    </row>
    <row r="7" spans="1:102" x14ac:dyDescent="0.15">
      <c r="A7" s="21">
        <v>1968</v>
      </c>
      <c r="B7">
        <v>3.7529399999999997E-2</v>
      </c>
      <c r="C7">
        <v>0.153227</v>
      </c>
      <c r="D7">
        <v>0.232436</v>
      </c>
      <c r="E7">
        <v>0.38303599999999999</v>
      </c>
      <c r="F7">
        <v>7.2638300000000003E-2</v>
      </c>
      <c r="G7">
        <v>5.8905100000000002E-2</v>
      </c>
      <c r="H7">
        <v>3.7422999999999998E-2</v>
      </c>
      <c r="I7">
        <v>7.2614100000000003E-3</v>
      </c>
      <c r="J7">
        <v>3.18024E-3</v>
      </c>
      <c r="K7">
        <v>6.28628E-3</v>
      </c>
      <c r="L7">
        <v>2.8872500000000001E-3</v>
      </c>
      <c r="M7">
        <v>9.4181699999999996E-4</v>
      </c>
      <c r="N7">
        <v>6.0331800000000004E-4</v>
      </c>
      <c r="O7">
        <v>6.1054000000000002E-4</v>
      </c>
      <c r="P7">
        <v>3.03462E-3</v>
      </c>
      <c r="S7">
        <v>3.2939000000000003E-2</v>
      </c>
      <c r="T7">
        <v>0.178617</v>
      </c>
      <c r="U7">
        <v>0.14021800000000001</v>
      </c>
      <c r="V7">
        <v>0.46851700000000002</v>
      </c>
      <c r="W7">
        <v>0.10736999999999999</v>
      </c>
      <c r="X7">
        <v>3.0572999999999999E-2</v>
      </c>
      <c r="Y7">
        <v>3.6579E-2</v>
      </c>
      <c r="Z7">
        <v>5.1869999999999998E-3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J7" s="27">
        <f t="shared" si="0"/>
        <v>41.16996076770878</v>
      </c>
      <c r="AL7" s="27">
        <f>$AJ7</f>
        <v>41.16996076770878</v>
      </c>
      <c r="AO7" s="28">
        <f t="shared" si="15"/>
        <v>0.30143172329354928</v>
      </c>
      <c r="AP7">
        <v>10</v>
      </c>
      <c r="AQ7">
        <f t="shared" si="16"/>
        <v>1968</v>
      </c>
      <c r="AR7" s="20">
        <f t="shared" si="1"/>
        <v>-7.6378475233784063E-2</v>
      </c>
      <c r="AS7" s="20">
        <f t="shared" si="2"/>
        <v>0.22290076071565959</v>
      </c>
      <c r="AT7" s="20">
        <f t="shared" si="3"/>
        <v>-0.69040941299287872</v>
      </c>
      <c r="AU7" s="20">
        <f t="shared" si="4"/>
        <v>0.55605773403493286</v>
      </c>
      <c r="AV7" s="20">
        <f t="shared" si="5"/>
        <v>0.42317365985090738</v>
      </c>
      <c r="AW7" s="20">
        <f t="shared" si="6"/>
        <v>-0.38052711392645949</v>
      </c>
      <c r="AX7" s="20">
        <f t="shared" si="7"/>
        <v>-1.4062269170391009E-2</v>
      </c>
      <c r="AY7" s="20">
        <f t="shared" si="8"/>
        <v>-7.7262128032829197E-2</v>
      </c>
      <c r="AZ7" s="20">
        <f t="shared" si="9"/>
        <v>-0.17861652201823144</v>
      </c>
      <c r="BA7" s="20">
        <f t="shared" si="10"/>
        <v>-0.25151634747368368</v>
      </c>
      <c r="BB7" s="20">
        <f t="shared" si="20"/>
        <v>-0.17016493031720384</v>
      </c>
      <c r="BC7" s="20">
        <f t="shared" si="11"/>
        <v>-9.709298921440486E-2</v>
      </c>
      <c r="BD7" s="20">
        <f t="shared" si="12"/>
        <v>-7.7696989153054549E-2</v>
      </c>
      <c r="BE7" s="20">
        <f t="shared" si="13"/>
        <v>-7.8160922897248991E-2</v>
      </c>
      <c r="BF7" s="20">
        <f t="shared" si="14"/>
        <v>-0.17446652828480039</v>
      </c>
      <c r="BG7">
        <v>1968</v>
      </c>
      <c r="BH7" s="20">
        <f t="shared" si="17"/>
        <v>-0.18129570917033441</v>
      </c>
      <c r="BI7" s="20">
        <f t="shared" si="18"/>
        <v>0.14616050269724742</v>
      </c>
      <c r="BJ7" s="20">
        <f t="shared" si="19"/>
        <v>-0.14681646133694684</v>
      </c>
    </row>
    <row r="8" spans="1:102" x14ac:dyDescent="0.15">
      <c r="A8" s="21">
        <v>1969</v>
      </c>
      <c r="B8">
        <v>4.2265400000000002E-2</v>
      </c>
      <c r="C8">
        <v>0.118839</v>
      </c>
      <c r="D8">
        <v>0.37459100000000001</v>
      </c>
      <c r="E8">
        <v>0.20663999999999999</v>
      </c>
      <c r="F8">
        <v>0.167828</v>
      </c>
      <c r="G8">
        <v>3.22787E-2</v>
      </c>
      <c r="H8">
        <v>2.7033999999999999E-2</v>
      </c>
      <c r="I8">
        <v>1.8098099999999999E-2</v>
      </c>
      <c r="J8">
        <v>3.5820299999999999E-3</v>
      </c>
      <c r="K8">
        <v>1.60326E-3</v>
      </c>
      <c r="L8">
        <v>3.16921E-3</v>
      </c>
      <c r="M8">
        <v>1.4555900000000001E-3</v>
      </c>
      <c r="N8">
        <v>4.74814E-4</v>
      </c>
      <c r="O8">
        <v>3.0415999999999999E-4</v>
      </c>
      <c r="P8">
        <v>1.8377000000000001E-3</v>
      </c>
      <c r="S8">
        <v>1.4678E-2</v>
      </c>
      <c r="T8">
        <v>7.9766100000000006E-2</v>
      </c>
      <c r="U8">
        <v>0.459233</v>
      </c>
      <c r="V8">
        <v>0.31568400000000002</v>
      </c>
      <c r="W8">
        <v>0.10843</v>
      </c>
      <c r="X8">
        <v>2.3050000000000002E-3</v>
      </c>
      <c r="Y8">
        <v>1.2142E-2</v>
      </c>
      <c r="Z8">
        <v>7.7610099999999996E-3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J8" s="27">
        <f t="shared" si="0"/>
        <v>29.498799556299669</v>
      </c>
      <c r="AM8" s="27">
        <f>$AJ8</f>
        <v>29.498799556299669</v>
      </c>
      <c r="AN8" s="27"/>
      <c r="AO8" s="28">
        <f t="shared" si="15"/>
        <v>0.37258139449234001</v>
      </c>
      <c r="AP8">
        <v>10</v>
      </c>
      <c r="AQ8">
        <f t="shared" si="16"/>
        <v>1969</v>
      </c>
      <c r="AR8" s="20">
        <f t="shared" si="1"/>
        <v>-0.43360640771645365</v>
      </c>
      <c r="AS8" s="20">
        <f t="shared" si="2"/>
        <v>-0.38182865525972592</v>
      </c>
      <c r="AT8" s="20">
        <f t="shared" si="3"/>
        <v>0.55300006712048122</v>
      </c>
      <c r="AU8" s="20">
        <f t="shared" si="4"/>
        <v>0.85164662052414131</v>
      </c>
      <c r="AV8" s="20">
        <f t="shared" si="5"/>
        <v>-0.50261224263632098</v>
      </c>
      <c r="AW8" s="20">
        <f t="shared" si="6"/>
        <v>-0.53629924848414012</v>
      </c>
      <c r="AX8" s="20">
        <f t="shared" si="7"/>
        <v>-0.2903681921849085</v>
      </c>
      <c r="AY8" s="20">
        <f t="shared" si="8"/>
        <v>-0.24521540805809169</v>
      </c>
      <c r="AZ8" s="20">
        <f t="shared" si="9"/>
        <v>-0.18960240148673951</v>
      </c>
      <c r="BA8" s="20">
        <f t="shared" si="10"/>
        <v>-0.12672152817628235</v>
      </c>
      <c r="BB8" s="20">
        <f t="shared" si="20"/>
        <v>-0.17830551938814554</v>
      </c>
      <c r="BC8" s="20">
        <f t="shared" si="11"/>
        <v>-0.12073573749158704</v>
      </c>
      <c r="BD8" s="20">
        <f t="shared" si="12"/>
        <v>-6.8923113353320936E-2</v>
      </c>
      <c r="BE8" s="20">
        <f t="shared" si="13"/>
        <v>-5.5159091857372736E-2</v>
      </c>
      <c r="BF8" s="20">
        <f t="shared" si="14"/>
        <v>-0.13568652692469618</v>
      </c>
      <c r="BG8">
        <v>1969</v>
      </c>
      <c r="BH8" s="20">
        <f t="shared" si="17"/>
        <v>-8.7478331951899427E-2</v>
      </c>
      <c r="BI8" s="20">
        <f t="shared" si="18"/>
        <v>-0.11940826569530708</v>
      </c>
      <c r="BJ8" s="20">
        <f t="shared" si="19"/>
        <v>-0.1250191312397349</v>
      </c>
    </row>
    <row r="9" spans="1:102" x14ac:dyDescent="0.15">
      <c r="A9" s="21">
        <v>1970</v>
      </c>
      <c r="B9">
        <v>4.5396899999999997E-2</v>
      </c>
      <c r="C9">
        <v>0.15682599999999999</v>
      </c>
      <c r="D9">
        <v>0.30079800000000001</v>
      </c>
      <c r="E9">
        <v>0.25760699999999997</v>
      </c>
      <c r="F9">
        <v>0.102503</v>
      </c>
      <c r="G9">
        <v>8.5297300000000006E-2</v>
      </c>
      <c r="H9">
        <v>1.7539200000000001E-2</v>
      </c>
      <c r="I9">
        <v>1.6023699999999998E-2</v>
      </c>
      <c r="J9">
        <v>1.06017E-2</v>
      </c>
      <c r="K9">
        <v>2.1736699999999999E-3</v>
      </c>
      <c r="L9">
        <v>9.4861700000000001E-4</v>
      </c>
      <c r="M9">
        <v>1.8751499999999999E-3</v>
      </c>
      <c r="N9">
        <v>8.6124400000000005E-4</v>
      </c>
      <c r="O9">
        <v>2.8093699999999998E-4</v>
      </c>
      <c r="P9">
        <v>1.2672899999999999E-3</v>
      </c>
      <c r="S9">
        <v>0.15676200000000001</v>
      </c>
      <c r="T9">
        <v>0.238147</v>
      </c>
      <c r="U9">
        <v>0.37426300000000001</v>
      </c>
      <c r="V9">
        <v>0.17669899999999999</v>
      </c>
      <c r="W9">
        <v>3.4247E-2</v>
      </c>
      <c r="X9">
        <v>1.1143E-2</v>
      </c>
      <c r="Y9">
        <v>5.5710000000000004E-3</v>
      </c>
      <c r="Z9">
        <v>3.1679999999999998E-3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J9" s="27">
        <f t="shared" si="0"/>
        <v>19.207160108746969</v>
      </c>
      <c r="AK9" s="27">
        <f>$AJ9</f>
        <v>19.207160108746969</v>
      </c>
      <c r="AO9" s="28">
        <f t="shared" si="15"/>
        <v>0.62664375456458954</v>
      </c>
      <c r="AP9">
        <v>10</v>
      </c>
      <c r="AQ9">
        <f t="shared" si="16"/>
        <v>1970</v>
      </c>
      <c r="AR9" s="20">
        <f t="shared" si="1"/>
        <v>1.6917048426002177</v>
      </c>
      <c r="AS9" s="20">
        <f t="shared" si="2"/>
        <v>0.70718831254954795</v>
      </c>
      <c r="AT9" s="20">
        <f t="shared" si="3"/>
        <v>0.50657258167872943</v>
      </c>
      <c r="AU9" s="20">
        <f t="shared" si="4"/>
        <v>-0.58505366145556115</v>
      </c>
      <c r="AV9" s="20">
        <f t="shared" si="5"/>
        <v>-0.71163294064511706</v>
      </c>
      <c r="AW9" s="20">
        <f t="shared" si="6"/>
        <v>-0.83951549621954447</v>
      </c>
      <c r="AX9" s="20">
        <f t="shared" si="7"/>
        <v>-0.28831439888554639</v>
      </c>
      <c r="AY9" s="20">
        <f t="shared" si="8"/>
        <v>-0.32375911737742546</v>
      </c>
      <c r="AZ9" s="20">
        <f t="shared" si="9"/>
        <v>-0.32734233457121564</v>
      </c>
      <c r="BA9" s="20">
        <f t="shared" si="10"/>
        <v>-0.14759421173905762</v>
      </c>
      <c r="BB9" s="20">
        <f t="shared" si="20"/>
        <v>-9.7443200309678221E-2</v>
      </c>
      <c r="BC9" s="20">
        <f t="shared" si="11"/>
        <v>-0.13706468521425694</v>
      </c>
      <c r="BD9" s="20">
        <f t="shared" si="12"/>
        <v>-9.284322164802189E-2</v>
      </c>
      <c r="BE9" s="20">
        <f t="shared" si="13"/>
        <v>-5.3010937341016778E-2</v>
      </c>
      <c r="BF9" s="20">
        <f t="shared" si="14"/>
        <v>-0.11264537548540419</v>
      </c>
      <c r="BG9">
        <v>1970</v>
      </c>
      <c r="BH9" s="20">
        <f t="shared" si="17"/>
        <v>0.96848857894283169</v>
      </c>
      <c r="BI9" s="20">
        <f t="shared" si="18"/>
        <v>-0.60612912430144228</v>
      </c>
      <c r="BJ9" s="20">
        <f t="shared" si="19"/>
        <v>-0.13827770947266446</v>
      </c>
    </row>
    <row r="10" spans="1:102" x14ac:dyDescent="0.15">
      <c r="A10" s="21">
        <v>1971</v>
      </c>
      <c r="B10">
        <v>2.9813800000000001E-2</v>
      </c>
      <c r="C10">
        <v>0.149451</v>
      </c>
      <c r="D10">
        <v>0.32420100000000002</v>
      </c>
      <c r="E10">
        <v>0.20158000000000001</v>
      </c>
      <c r="F10">
        <v>0.16083600000000001</v>
      </c>
      <c r="G10">
        <v>5.67591E-2</v>
      </c>
      <c r="H10">
        <v>4.7952700000000001E-2</v>
      </c>
      <c r="I10">
        <v>1.04978E-2</v>
      </c>
      <c r="J10">
        <v>8.9801099999999995E-3</v>
      </c>
      <c r="K10">
        <v>6.0295599999999998E-3</v>
      </c>
      <c r="L10">
        <v>1.14419E-3</v>
      </c>
      <c r="M10">
        <v>4.9933699999999998E-4</v>
      </c>
      <c r="N10">
        <v>9.8704999999999995E-4</v>
      </c>
      <c r="O10">
        <v>4.5334500000000002E-4</v>
      </c>
      <c r="P10">
        <v>8.1496200000000002E-4</v>
      </c>
      <c r="S10">
        <v>0.165462</v>
      </c>
      <c r="T10">
        <v>4.9415000000000001E-2</v>
      </c>
      <c r="U10">
        <v>0.27603</v>
      </c>
      <c r="V10">
        <v>0.18528700000000001</v>
      </c>
      <c r="W10">
        <v>0.27468900000000002</v>
      </c>
      <c r="X10">
        <v>2.6682999999999998E-2</v>
      </c>
      <c r="Y10">
        <v>1.7514999999999999E-2</v>
      </c>
      <c r="Z10">
        <v>4.9189999999999998E-3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J10" s="27">
        <f t="shared" si="0"/>
        <v>17.401811937019797</v>
      </c>
      <c r="AL10" s="27">
        <f>$AJ10</f>
        <v>17.401811937019797</v>
      </c>
      <c r="AO10" s="28">
        <f t="shared" si="15"/>
        <v>0.79382799657703185</v>
      </c>
      <c r="AP10">
        <v>10</v>
      </c>
      <c r="AQ10">
        <f t="shared" si="16"/>
        <v>1971</v>
      </c>
      <c r="AR10" s="20">
        <f t="shared" si="1"/>
        <v>2.5221901302159724</v>
      </c>
      <c r="AS10" s="20">
        <f t="shared" si="2"/>
        <v>-0.88727293884043468</v>
      </c>
      <c r="AT10" s="20">
        <f t="shared" si="3"/>
        <v>-0.32543908833730911</v>
      </c>
      <c r="AU10" s="20">
        <f t="shared" si="4"/>
        <v>-0.12842856602538272</v>
      </c>
      <c r="AV10" s="20">
        <f t="shared" si="5"/>
        <v>0.98000755701900621</v>
      </c>
      <c r="AW10" s="20">
        <f t="shared" si="6"/>
        <v>-0.41104792284034997</v>
      </c>
      <c r="AX10" s="20">
        <f t="shared" si="7"/>
        <v>-0.45048054182904945</v>
      </c>
      <c r="AY10" s="20">
        <f t="shared" si="8"/>
        <v>-0.17309449774154445</v>
      </c>
      <c r="AZ10" s="20">
        <f t="shared" si="9"/>
        <v>-0.30102297445771597</v>
      </c>
      <c r="BA10" s="20">
        <f t="shared" si="10"/>
        <v>-0.24629527262565767</v>
      </c>
      <c r="BB10" s="20">
        <f t="shared" si="20"/>
        <v>-0.10702806503025637</v>
      </c>
      <c r="BC10" s="20">
        <f t="shared" si="11"/>
        <v>-7.0681430517865032E-2</v>
      </c>
      <c r="BD10" s="20">
        <f t="shared" si="12"/>
        <v>-9.9399458263290913E-2</v>
      </c>
      <c r="BE10" s="20">
        <f t="shared" si="13"/>
        <v>-6.7346166550406816E-2</v>
      </c>
      <c r="BF10" s="20">
        <f t="shared" si="14"/>
        <v>-9.0312053723219751E-2</v>
      </c>
      <c r="BG10">
        <v>1971</v>
      </c>
      <c r="BH10" s="20">
        <f t="shared" si="17"/>
        <v>0.4364927010127429</v>
      </c>
      <c r="BI10" s="20">
        <f t="shared" si="18"/>
        <v>-2.4873684189439665E-3</v>
      </c>
      <c r="BJ10" s="20">
        <f t="shared" si="19"/>
        <v>-0.1402979173097732</v>
      </c>
    </row>
    <row r="11" spans="1:102" x14ac:dyDescent="0.15">
      <c r="A11" s="21">
        <v>1972</v>
      </c>
      <c r="B11">
        <v>2.1061799999999999E-2</v>
      </c>
      <c r="C11">
        <v>0.119727</v>
      </c>
      <c r="D11">
        <v>0.331646</v>
      </c>
      <c r="E11">
        <v>0.24648200000000001</v>
      </c>
      <c r="F11">
        <v>0.124459</v>
      </c>
      <c r="G11">
        <v>8.3833199999999997E-2</v>
      </c>
      <c r="H11">
        <v>3.0388800000000001E-2</v>
      </c>
      <c r="I11">
        <v>2.80684E-2</v>
      </c>
      <c r="J11">
        <v>5.4131400000000003E-3</v>
      </c>
      <c r="K11">
        <v>4.4797300000000003E-3</v>
      </c>
      <c r="L11">
        <v>2.6970399999999999E-3</v>
      </c>
      <c r="M11">
        <v>5.1179700000000003E-4</v>
      </c>
      <c r="N11">
        <v>2.2335500000000001E-4</v>
      </c>
      <c r="O11">
        <v>4.4150999999999999E-4</v>
      </c>
      <c r="P11">
        <v>5.6731700000000002E-4</v>
      </c>
      <c r="S11">
        <v>3.1427999999999998E-2</v>
      </c>
      <c r="T11">
        <v>0.15159600000000001</v>
      </c>
      <c r="U11">
        <v>0.349715</v>
      </c>
      <c r="V11">
        <v>0.28007900000000002</v>
      </c>
      <c r="W11">
        <v>0.11734700000000001</v>
      </c>
      <c r="X11">
        <v>4.6027999999999999E-2</v>
      </c>
      <c r="Y11">
        <v>1.7471E-2</v>
      </c>
      <c r="Z11">
        <v>6.3350100000000003E-3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J11" s="27">
        <f t="shared" si="0"/>
        <v>166.18720065401274</v>
      </c>
      <c r="AM11" s="27">
        <f>$AJ11</f>
        <v>166.18720065401274</v>
      </c>
      <c r="AN11" s="27"/>
      <c r="AO11" s="28">
        <f t="shared" si="15"/>
        <v>0.22442901742766461</v>
      </c>
      <c r="AP11">
        <v>10</v>
      </c>
      <c r="AQ11">
        <f t="shared" si="16"/>
        <v>1972</v>
      </c>
      <c r="AR11" s="20">
        <f t="shared" si="1"/>
        <v>0.2282938454233466</v>
      </c>
      <c r="AS11" s="20">
        <f t="shared" si="2"/>
        <v>0.31043000744584631</v>
      </c>
      <c r="AT11" s="20">
        <f t="shared" si="3"/>
        <v>0.1213650000171673</v>
      </c>
      <c r="AU11" s="20">
        <f t="shared" si="4"/>
        <v>0.24652506338815455</v>
      </c>
      <c r="AV11" s="20">
        <f t="shared" si="5"/>
        <v>-6.8130307689383357E-2</v>
      </c>
      <c r="AW11" s="20">
        <f t="shared" si="6"/>
        <v>-0.4313762622365459</v>
      </c>
      <c r="AX11" s="20">
        <f t="shared" si="7"/>
        <v>-0.23797589517315068</v>
      </c>
      <c r="AY11" s="20">
        <f t="shared" si="8"/>
        <v>-0.416102948956866</v>
      </c>
      <c r="AZ11" s="20">
        <f t="shared" si="9"/>
        <v>-0.23329383970073886</v>
      </c>
      <c r="BA11" s="20">
        <f t="shared" si="10"/>
        <v>-0.21212940118109333</v>
      </c>
      <c r="BB11" s="20">
        <f t="shared" si="20"/>
        <v>-0.16444858455310188</v>
      </c>
      <c r="BC11" s="20">
        <f t="shared" si="11"/>
        <v>-7.1558302823362174E-2</v>
      </c>
      <c r="BD11" s="20">
        <f t="shared" si="12"/>
        <v>-4.7265727393231462E-2</v>
      </c>
      <c r="BE11" s="20">
        <f t="shared" si="13"/>
        <v>-6.6460892048041009E-2</v>
      </c>
      <c r="BF11" s="20">
        <f t="shared" si="14"/>
        <v>-7.5341823131133773E-2</v>
      </c>
      <c r="BG11">
        <v>1972</v>
      </c>
      <c r="BH11" s="20">
        <f t="shared" si="17"/>
        <v>0.22002961762878673</v>
      </c>
      <c r="BI11" s="20">
        <f t="shared" si="18"/>
        <v>-0.12273935042773135</v>
      </c>
      <c r="BJ11" s="20">
        <f t="shared" si="19"/>
        <v>-0.12435693869010035</v>
      </c>
    </row>
    <row r="12" spans="1:102" x14ac:dyDescent="0.15">
      <c r="A12" s="21">
        <v>1973</v>
      </c>
      <c r="B12">
        <v>4.5492699999999997E-2</v>
      </c>
      <c r="C12">
        <v>0.13286100000000001</v>
      </c>
      <c r="D12">
        <v>0.25190499999999999</v>
      </c>
      <c r="E12">
        <v>0.249194</v>
      </c>
      <c r="F12">
        <v>0.15378600000000001</v>
      </c>
      <c r="G12">
        <v>7.42366E-2</v>
      </c>
      <c r="H12">
        <v>5.0042400000000001E-2</v>
      </c>
      <c r="I12">
        <v>1.9440599999999999E-2</v>
      </c>
      <c r="J12">
        <v>1.58961E-2</v>
      </c>
      <c r="K12">
        <v>2.83761E-3</v>
      </c>
      <c r="L12">
        <v>2.1637399999999999E-3</v>
      </c>
      <c r="M12">
        <v>1.30269E-3</v>
      </c>
      <c r="N12">
        <v>2.4720200000000002E-4</v>
      </c>
      <c r="O12">
        <v>1.0788199999999999E-4</v>
      </c>
      <c r="P12">
        <v>4.87271E-4</v>
      </c>
      <c r="S12">
        <v>1.1129E-2</v>
      </c>
      <c r="T12">
        <v>0.100338</v>
      </c>
      <c r="U12">
        <v>0.121466</v>
      </c>
      <c r="V12">
        <v>0.26405400000000001</v>
      </c>
      <c r="W12">
        <v>0.202123</v>
      </c>
      <c r="X12">
        <v>0.13807</v>
      </c>
      <c r="Y12">
        <v>7.6821899999999999E-2</v>
      </c>
      <c r="Z12">
        <v>5.5642900000000002E-2</v>
      </c>
      <c r="AA12">
        <v>2.4972000000000001E-2</v>
      </c>
      <c r="AB12">
        <v>4.4979900000000003E-3</v>
      </c>
      <c r="AC12">
        <v>5.6599899999999997E-4</v>
      </c>
      <c r="AD12">
        <v>1.4999999999999999E-4</v>
      </c>
      <c r="AE12">
        <v>3.2499999999999997E-5</v>
      </c>
      <c r="AF12">
        <v>1.3799999999999999E-4</v>
      </c>
      <c r="AG12">
        <v>0</v>
      </c>
      <c r="AJ12" s="27">
        <f t="shared" si="0"/>
        <v>29.369879373389715</v>
      </c>
      <c r="AK12" s="27">
        <f>$AJ12</f>
        <v>29.369879373389715</v>
      </c>
      <c r="AO12" s="28">
        <f t="shared" si="15"/>
        <v>0.45841419610155504</v>
      </c>
      <c r="AP12">
        <v>10</v>
      </c>
      <c r="AQ12">
        <f t="shared" si="16"/>
        <v>1973</v>
      </c>
      <c r="AR12" s="20">
        <f t="shared" si="1"/>
        <v>-0.52148213548255051</v>
      </c>
      <c r="AS12" s="20">
        <f t="shared" si="2"/>
        <v>-0.30300338556253564</v>
      </c>
      <c r="AT12" s="20">
        <f t="shared" si="3"/>
        <v>-0.95019051465231807</v>
      </c>
      <c r="AU12" s="20">
        <f t="shared" si="4"/>
        <v>0.10863909808444251</v>
      </c>
      <c r="AV12" s="20">
        <f t="shared" si="5"/>
        <v>0.42372217137321389</v>
      </c>
      <c r="AW12" s="20">
        <f t="shared" si="6"/>
        <v>0.7699968297183335</v>
      </c>
      <c r="AX12" s="20">
        <f t="shared" si="7"/>
        <v>0.38840184857537219</v>
      </c>
      <c r="AY12" s="20">
        <f t="shared" si="8"/>
        <v>0.82917152053466725</v>
      </c>
      <c r="AZ12" s="20">
        <f t="shared" si="9"/>
        <v>0.22946895218495666</v>
      </c>
      <c r="BA12" s="20">
        <f t="shared" si="10"/>
        <v>9.870705522139607E-2</v>
      </c>
      <c r="BB12" s="20">
        <f t="shared" si="20"/>
        <v>-0.1087362126593045</v>
      </c>
      <c r="BC12" s="20">
        <f t="shared" si="11"/>
        <v>-0.1010590114746009</v>
      </c>
      <c r="BD12" s="20">
        <f t="shared" si="12"/>
        <v>-4.3188068926982834E-2</v>
      </c>
      <c r="BE12" s="20">
        <f t="shared" si="13"/>
        <v>9.1701209090307399E-3</v>
      </c>
      <c r="BF12" s="20">
        <f t="shared" si="14"/>
        <v>-6.9821812406874087E-2</v>
      </c>
      <c r="BG12">
        <v>1973</v>
      </c>
      <c r="BH12" s="20">
        <f t="shared" si="17"/>
        <v>-0.59155867856580135</v>
      </c>
      <c r="BI12" s="20">
        <f t="shared" si="18"/>
        <v>0.42268998693784054</v>
      </c>
      <c r="BJ12" s="20">
        <f t="shared" si="19"/>
        <v>2.0772889782315917E-3</v>
      </c>
    </row>
    <row r="13" spans="1:102" x14ac:dyDescent="0.15">
      <c r="A13" s="21">
        <v>1974</v>
      </c>
      <c r="B13">
        <v>2.7725400000000001E-2</v>
      </c>
      <c r="C13">
        <v>0.34473599999999999</v>
      </c>
      <c r="D13">
        <v>0.22978899999999999</v>
      </c>
      <c r="E13">
        <v>0.141267</v>
      </c>
      <c r="F13">
        <v>0.115035</v>
      </c>
      <c r="G13">
        <v>6.7949599999999999E-2</v>
      </c>
      <c r="H13">
        <v>3.2625800000000003E-2</v>
      </c>
      <c r="I13">
        <v>2.3492599999999999E-2</v>
      </c>
      <c r="J13">
        <v>8.3846000000000007E-3</v>
      </c>
      <c r="K13">
        <v>6.2913099999999996E-3</v>
      </c>
      <c r="L13">
        <v>1.0738E-3</v>
      </c>
      <c r="M13">
        <v>8.1880199999999998E-4</v>
      </c>
      <c r="N13">
        <v>4.9296300000000002E-4</v>
      </c>
      <c r="O13">
        <v>9.3546000000000002E-5</v>
      </c>
      <c r="P13">
        <v>2.25217E-4</v>
      </c>
      <c r="S13">
        <v>2.4247000000000001E-2</v>
      </c>
      <c r="T13">
        <v>0.52727999999999997</v>
      </c>
      <c r="U13">
        <v>0.19487099999999999</v>
      </c>
      <c r="V13">
        <v>5.54271E-2</v>
      </c>
      <c r="W13">
        <v>7.4453099999999994E-2</v>
      </c>
      <c r="X13">
        <v>4.0191999999999999E-2</v>
      </c>
      <c r="Y13">
        <v>2.5745000000000001E-2</v>
      </c>
      <c r="Z13">
        <v>2.1690000000000001E-2</v>
      </c>
      <c r="AA13">
        <v>2.1288999999999999E-2</v>
      </c>
      <c r="AB13">
        <v>8.9540100000000001E-3</v>
      </c>
      <c r="AC13">
        <v>3.6380000000000002E-3</v>
      </c>
      <c r="AD13">
        <v>9.5000100000000001E-4</v>
      </c>
      <c r="AE13">
        <v>9.4800099999999997E-4</v>
      </c>
      <c r="AF13">
        <v>1.6899999999999999E-4</v>
      </c>
      <c r="AG13">
        <v>1.47E-4</v>
      </c>
      <c r="AJ13" s="27">
        <f t="shared" si="0"/>
        <v>17.680978514850924</v>
      </c>
      <c r="AL13" s="27">
        <f>$AJ13</f>
        <v>17.680978514850924</v>
      </c>
      <c r="AO13" s="28">
        <f t="shared" si="15"/>
        <v>0.44187271696247921</v>
      </c>
      <c r="AP13">
        <v>10</v>
      </c>
      <c r="AQ13">
        <f t="shared" si="16"/>
        <v>1974</v>
      </c>
      <c r="AR13" s="20">
        <f t="shared" si="1"/>
        <v>-6.6995578570388903E-2</v>
      </c>
      <c r="AS13" s="20">
        <f t="shared" si="2"/>
        <v>1.2145519326469068</v>
      </c>
      <c r="AT13" s="20">
        <f t="shared" si="3"/>
        <v>-0.26247012896066574</v>
      </c>
      <c r="AU13" s="20">
        <f t="shared" si="4"/>
        <v>-0.77936296690337348</v>
      </c>
      <c r="AV13" s="20">
        <f t="shared" si="5"/>
        <v>-0.4022113580841471</v>
      </c>
      <c r="AW13" s="20">
        <f t="shared" si="6"/>
        <v>-0.34879380460889958</v>
      </c>
      <c r="AX13" s="20">
        <f t="shared" si="7"/>
        <v>-0.12247884990256279</v>
      </c>
      <c r="AY13" s="20">
        <f t="shared" si="8"/>
        <v>-3.7635358323580489E-2</v>
      </c>
      <c r="AZ13" s="20">
        <f t="shared" si="9"/>
        <v>0.4475329443936058</v>
      </c>
      <c r="BA13" s="20">
        <f t="shared" si="10"/>
        <v>0.10649326730509825</v>
      </c>
      <c r="BB13" s="20">
        <f t="shared" si="20"/>
        <v>0.24758452381958806</v>
      </c>
      <c r="BC13" s="20">
        <f t="shared" si="11"/>
        <v>1.4505040671534053E-2</v>
      </c>
      <c r="BD13" s="20">
        <f t="shared" si="12"/>
        <v>6.482575385653859E-2</v>
      </c>
      <c r="BE13" s="20">
        <f t="shared" si="13"/>
        <v>2.4671182787907628E-2</v>
      </c>
      <c r="BF13" s="20">
        <f t="shared" si="14"/>
        <v>-1.648350183627241E-2</v>
      </c>
      <c r="BG13">
        <v>1974</v>
      </c>
      <c r="BH13" s="20">
        <f t="shared" si="17"/>
        <v>0.29502874170528409</v>
      </c>
      <c r="BI13" s="20">
        <f t="shared" si="18"/>
        <v>-0.41321174487474577</v>
      </c>
      <c r="BJ13" s="20">
        <f t="shared" si="19"/>
        <v>0.12701845871399997</v>
      </c>
    </row>
    <row r="14" spans="1:102" x14ac:dyDescent="0.15">
      <c r="A14" s="21">
        <v>1975</v>
      </c>
      <c r="B14">
        <v>1.77164E-2</v>
      </c>
      <c r="C14">
        <v>0.197516</v>
      </c>
      <c r="D14">
        <v>0.51940200000000003</v>
      </c>
      <c r="E14">
        <v>0.100254</v>
      </c>
      <c r="F14">
        <v>5.93505E-2</v>
      </c>
      <c r="G14">
        <v>4.7476499999999998E-2</v>
      </c>
      <c r="H14">
        <v>2.8090199999999999E-2</v>
      </c>
      <c r="I14">
        <v>1.40372E-2</v>
      </c>
      <c r="J14">
        <v>9.6535900000000001E-3</v>
      </c>
      <c r="K14">
        <v>3.1481399999999998E-3</v>
      </c>
      <c r="L14">
        <v>2.3466200000000002E-3</v>
      </c>
      <c r="M14">
        <v>4.0052300000000001E-4</v>
      </c>
      <c r="N14">
        <v>3.0540800000000001E-4</v>
      </c>
      <c r="O14">
        <v>1.8387199999999999E-4</v>
      </c>
      <c r="P14">
        <v>1.18897E-4</v>
      </c>
      <c r="S14">
        <v>8.5430000000000002E-3</v>
      </c>
      <c r="T14">
        <v>0.150288</v>
      </c>
      <c r="U14">
        <v>0.69184299999999999</v>
      </c>
      <c r="V14">
        <v>5.3185000000000003E-2</v>
      </c>
      <c r="W14">
        <v>1.4149E-2</v>
      </c>
      <c r="X14">
        <v>2.6572999999999999E-2</v>
      </c>
      <c r="Y14">
        <v>2.5451999999999999E-2</v>
      </c>
      <c r="Z14">
        <v>1.3868999999999999E-2</v>
      </c>
      <c r="AA14">
        <v>8.1620000000000009E-3</v>
      </c>
      <c r="AB14">
        <v>5.7470000000000004E-3</v>
      </c>
      <c r="AC14">
        <v>1.421E-3</v>
      </c>
      <c r="AD14">
        <v>5.62E-4</v>
      </c>
      <c r="AE14">
        <v>9.0400000000000002E-5</v>
      </c>
      <c r="AF14">
        <v>1.16E-4</v>
      </c>
      <c r="AG14">
        <v>0</v>
      </c>
      <c r="AJ14" s="27">
        <f t="shared" si="0"/>
        <v>18.33286952505037</v>
      </c>
      <c r="AM14" s="27">
        <f>$AJ14</f>
        <v>18.33286952505037</v>
      </c>
      <c r="AN14" s="27"/>
      <c r="AO14" s="28">
        <f t="shared" si="15"/>
        <v>0.38322900629281736</v>
      </c>
      <c r="AP14">
        <v>10</v>
      </c>
      <c r="AQ14">
        <f t="shared" si="16"/>
        <v>1975</v>
      </c>
      <c r="AR14" s="20">
        <f t="shared" si="1"/>
        <v>-0.21989945136829683</v>
      </c>
      <c r="AS14" s="20">
        <f t="shared" si="2"/>
        <v>-0.37512863998649465</v>
      </c>
      <c r="AT14" s="20">
        <f t="shared" si="3"/>
        <v>1.0914346676538087</v>
      </c>
      <c r="AU14" s="20">
        <f t="shared" si="4"/>
        <v>-0.49559184868714501</v>
      </c>
      <c r="AV14" s="20">
        <f t="shared" si="5"/>
        <v>-0.60496011349047629</v>
      </c>
      <c r="AW14" s="20">
        <f t="shared" si="6"/>
        <v>-0.31084351531223087</v>
      </c>
      <c r="AX14" s="20">
        <f t="shared" si="7"/>
        <v>-5.0491389181259685E-2</v>
      </c>
      <c r="AY14" s="20">
        <f t="shared" si="8"/>
        <v>-4.5212183633370978E-3</v>
      </c>
      <c r="AZ14" s="20">
        <f t="shared" si="9"/>
        <v>-4.8240463549811215E-2</v>
      </c>
      <c r="BA14" s="20">
        <f t="shared" si="10"/>
        <v>0.14670352670464817</v>
      </c>
      <c r="BB14" s="20">
        <f t="shared" si="20"/>
        <v>-6.0495282186118819E-2</v>
      </c>
      <c r="BC14" s="20">
        <f t="shared" si="11"/>
        <v>2.5520191675283885E-2</v>
      </c>
      <c r="BD14" s="20">
        <f t="shared" si="12"/>
        <v>-3.8911748256387033E-2</v>
      </c>
      <c r="BE14" s="20">
        <f t="shared" si="13"/>
        <v>-1.5829703408118723E-2</v>
      </c>
      <c r="BF14" s="20">
        <f t="shared" si="14"/>
        <v>-3.4483494338247669E-2</v>
      </c>
      <c r="BG14">
        <v>1975</v>
      </c>
      <c r="BH14" s="20">
        <f t="shared" si="17"/>
        <v>0.16546885876633907</v>
      </c>
      <c r="BI14" s="20">
        <f t="shared" si="18"/>
        <v>-0.365471716667778</v>
      </c>
      <c r="BJ14" s="20">
        <f t="shared" si="19"/>
        <v>-3.676710479821627E-3</v>
      </c>
    </row>
    <row r="15" spans="1:102" x14ac:dyDescent="0.15">
      <c r="A15" s="21">
        <v>1976</v>
      </c>
      <c r="B15">
        <v>1.1916100000000001E-2</v>
      </c>
      <c r="C15">
        <v>0.16905000000000001</v>
      </c>
      <c r="D15">
        <v>0.41554000000000002</v>
      </c>
      <c r="E15">
        <v>0.26494299999999998</v>
      </c>
      <c r="F15">
        <v>5.1907599999999998E-2</v>
      </c>
      <c r="G15">
        <v>3.1110100000000002E-2</v>
      </c>
      <c r="H15">
        <v>2.50633E-2</v>
      </c>
      <c r="I15">
        <v>1.50685E-2</v>
      </c>
      <c r="J15">
        <v>7.5572499999999997E-3</v>
      </c>
      <c r="K15">
        <v>4.7198099999999996E-3</v>
      </c>
      <c r="L15">
        <v>1.5123700000000001E-3</v>
      </c>
      <c r="M15">
        <v>1.12732E-3</v>
      </c>
      <c r="N15">
        <v>1.92411E-4</v>
      </c>
      <c r="O15">
        <v>1.46718E-4</v>
      </c>
      <c r="P15">
        <v>1.4545000000000001E-4</v>
      </c>
      <c r="S15">
        <v>2.0000000000000001E-4</v>
      </c>
      <c r="T15">
        <v>0.120162</v>
      </c>
      <c r="U15">
        <v>0.45461600000000002</v>
      </c>
      <c r="V15">
        <v>0.30598599999999998</v>
      </c>
      <c r="W15">
        <v>3.0152000000000002E-2</v>
      </c>
      <c r="X15">
        <v>1.3916E-2</v>
      </c>
      <c r="Y15">
        <v>1.9279000000000001E-2</v>
      </c>
      <c r="Z15">
        <v>2.2363000000000001E-2</v>
      </c>
      <c r="AA15">
        <v>1.7395999999999998E-2</v>
      </c>
      <c r="AB15">
        <v>8.5719899999999998E-3</v>
      </c>
      <c r="AC15">
        <v>3.9560000000000003E-3</v>
      </c>
      <c r="AD15">
        <v>2.7060000000000001E-3</v>
      </c>
      <c r="AE15">
        <v>6.9699900000000001E-4</v>
      </c>
      <c r="AF15">
        <v>0</v>
      </c>
      <c r="AG15">
        <v>0</v>
      </c>
      <c r="AJ15" s="27">
        <f t="shared" si="0"/>
        <v>107.79378312203163</v>
      </c>
      <c r="AK15" s="27">
        <f>$AJ15</f>
        <v>107.79378312203163</v>
      </c>
      <c r="AO15" s="28">
        <f t="shared" si="15"/>
        <v>0.2558751232120684</v>
      </c>
      <c r="AP15">
        <v>10</v>
      </c>
      <c r="AQ15">
        <f t="shared" si="16"/>
        <v>1976</v>
      </c>
      <c r="AR15" s="20">
        <f t="shared" si="1"/>
        <v>-0.34144368811783987</v>
      </c>
      <c r="AS15" s="20">
        <f t="shared" si="2"/>
        <v>-0.41248412335929102</v>
      </c>
      <c r="AT15" s="20">
        <f t="shared" si="3"/>
        <v>0.25074153853738601</v>
      </c>
      <c r="AU15" s="20">
        <f t="shared" si="4"/>
        <v>0.29410497023108884</v>
      </c>
      <c r="AV15" s="20">
        <f t="shared" si="5"/>
        <v>-0.31012034466928318</v>
      </c>
      <c r="AW15" s="20">
        <f t="shared" si="6"/>
        <v>-0.31317820481195957</v>
      </c>
      <c r="AX15" s="20">
        <f t="shared" si="7"/>
        <v>-0.1170155217964414</v>
      </c>
      <c r="AY15" s="20">
        <f t="shared" si="8"/>
        <v>0.18934659679875127</v>
      </c>
      <c r="AZ15" s="20">
        <f t="shared" si="9"/>
        <v>0.35925704968740541</v>
      </c>
      <c r="BA15" s="20">
        <f t="shared" si="10"/>
        <v>0.17773445796769582</v>
      </c>
      <c r="BB15" s="20">
        <f t="shared" si="20"/>
        <v>0.19885434134178481</v>
      </c>
      <c r="BC15" s="20">
        <f t="shared" si="11"/>
        <v>0.14877002415813367</v>
      </c>
      <c r="BD15" s="20">
        <f t="shared" si="12"/>
        <v>0.11504394219097303</v>
      </c>
      <c r="BE15" s="20">
        <f t="shared" si="13"/>
        <v>-3.8306595950340493E-2</v>
      </c>
      <c r="BF15" s="20">
        <f t="shared" si="14"/>
        <v>-3.8140681532983202E-2</v>
      </c>
      <c r="BG15">
        <v>1976</v>
      </c>
      <c r="BH15" s="20">
        <f t="shared" si="17"/>
        <v>-0.1677287576465816</v>
      </c>
      <c r="BI15" s="20">
        <f t="shared" si="18"/>
        <v>-0.11155227526164882</v>
      </c>
      <c r="BJ15" s="20">
        <f t="shared" si="19"/>
        <v>0.13188750540895272</v>
      </c>
    </row>
    <row r="16" spans="1:102" x14ac:dyDescent="0.15">
      <c r="A16" s="21">
        <v>1977</v>
      </c>
      <c r="B16">
        <v>1.14536E-2</v>
      </c>
      <c r="C16">
        <v>0.147232</v>
      </c>
      <c r="D16">
        <v>0.37089100000000003</v>
      </c>
      <c r="E16">
        <v>0.249755</v>
      </c>
      <c r="F16">
        <v>0.142453</v>
      </c>
      <c r="G16">
        <v>2.8822799999999999E-2</v>
      </c>
      <c r="H16">
        <v>1.76224E-2</v>
      </c>
      <c r="I16">
        <v>1.4343099999999999E-2</v>
      </c>
      <c r="J16">
        <v>9.0142799999999995E-3</v>
      </c>
      <c r="K16">
        <v>4.1644000000000004E-3</v>
      </c>
      <c r="L16">
        <v>2.5564799999999999E-3</v>
      </c>
      <c r="M16">
        <v>8.1917299999999997E-4</v>
      </c>
      <c r="N16">
        <v>6.1061100000000005E-4</v>
      </c>
      <c r="O16">
        <v>1.04219E-4</v>
      </c>
      <c r="P16">
        <v>1.5825299999999999E-4</v>
      </c>
      <c r="S16">
        <v>3.7671999999999997E-2</v>
      </c>
      <c r="T16">
        <v>0.247673</v>
      </c>
      <c r="U16">
        <v>0.331098</v>
      </c>
      <c r="V16">
        <v>0.23990500000000001</v>
      </c>
      <c r="W16">
        <v>8.6128999999999997E-2</v>
      </c>
      <c r="X16">
        <v>1.9158000000000001E-2</v>
      </c>
      <c r="Y16">
        <v>7.0299999999999998E-3</v>
      </c>
      <c r="Z16">
        <v>1.0141000000000001E-2</v>
      </c>
      <c r="AA16">
        <v>8.1110000000000002E-3</v>
      </c>
      <c r="AB16">
        <v>6.5139999999999998E-3</v>
      </c>
      <c r="AC16">
        <v>3.3600000000000001E-3</v>
      </c>
      <c r="AD16">
        <v>1.6670000000000001E-3</v>
      </c>
      <c r="AE16">
        <v>1.2290000000000001E-3</v>
      </c>
      <c r="AF16">
        <v>2.4499999999999999E-4</v>
      </c>
      <c r="AG16">
        <v>6.7799999999999995E-5</v>
      </c>
      <c r="AJ16" s="27">
        <f t="shared" si="0"/>
        <v>47.698900587896809</v>
      </c>
      <c r="AL16" s="27">
        <f>$AJ16</f>
        <v>47.698900587896809</v>
      </c>
      <c r="AO16" s="28">
        <f t="shared" si="15"/>
        <v>0.36480361897968883</v>
      </c>
      <c r="AP16">
        <v>10</v>
      </c>
      <c r="AQ16">
        <f t="shared" si="16"/>
        <v>1977</v>
      </c>
      <c r="AR16" s="20">
        <f t="shared" si="1"/>
        <v>0.7791779421837276</v>
      </c>
      <c r="AS16" s="20">
        <f t="shared" si="2"/>
        <v>0.89638478138231292</v>
      </c>
      <c r="AT16" s="20">
        <f t="shared" si="3"/>
        <v>-0.260507712463528</v>
      </c>
      <c r="AU16" s="20">
        <f t="shared" si="4"/>
        <v>-7.1957750780003049E-2</v>
      </c>
      <c r="AV16" s="20">
        <f t="shared" si="5"/>
        <v>-0.50959918407388705</v>
      </c>
      <c r="AW16" s="20">
        <f t="shared" si="6"/>
        <v>-0.18267349928781382</v>
      </c>
      <c r="AX16" s="20">
        <f t="shared" si="7"/>
        <v>-0.25457902544694549</v>
      </c>
      <c r="AY16" s="20">
        <f t="shared" si="8"/>
        <v>-0.11175886614181836</v>
      </c>
      <c r="AZ16" s="20">
        <f t="shared" si="9"/>
        <v>-3.022199812078441E-2</v>
      </c>
      <c r="BA16" s="20">
        <f t="shared" si="10"/>
        <v>0.11537823491683244</v>
      </c>
      <c r="BB16" s="20">
        <f t="shared" si="20"/>
        <v>5.0318922716426066E-2</v>
      </c>
      <c r="BC16" s="20">
        <f t="shared" si="11"/>
        <v>9.3712469467249315E-2</v>
      </c>
      <c r="BD16" s="20">
        <f t="shared" si="12"/>
        <v>7.9161146734683621E-2</v>
      </c>
      <c r="BE16" s="20">
        <f t="shared" si="13"/>
        <v>4.3610717003161326E-2</v>
      </c>
      <c r="BF16" s="20">
        <f t="shared" si="14"/>
        <v>-2.2739523843669153E-2</v>
      </c>
      <c r="BG16">
        <v>1977</v>
      </c>
      <c r="BH16" s="20">
        <f t="shared" si="17"/>
        <v>0.47168500370083755</v>
      </c>
      <c r="BI16" s="20">
        <f t="shared" si="18"/>
        <v>-0.25470236489716236</v>
      </c>
      <c r="BJ16" s="20">
        <f t="shared" si="19"/>
        <v>4.7031424124842743E-2</v>
      </c>
    </row>
    <row r="17" spans="1:62" x14ac:dyDescent="0.15">
      <c r="A17" s="21">
        <v>1978</v>
      </c>
      <c r="B17">
        <v>1.8418400000000001E-2</v>
      </c>
      <c r="C17">
        <v>0.14784600000000001</v>
      </c>
      <c r="D17">
        <v>0.30357800000000001</v>
      </c>
      <c r="E17">
        <v>0.25691599999999998</v>
      </c>
      <c r="F17">
        <v>0.14907400000000001</v>
      </c>
      <c r="G17">
        <v>7.9162499999999997E-2</v>
      </c>
      <c r="H17">
        <v>1.6364299999999998E-2</v>
      </c>
      <c r="I17">
        <v>1.0131100000000001E-2</v>
      </c>
      <c r="J17">
        <v>8.7545000000000001E-3</v>
      </c>
      <c r="K17">
        <v>5.1176299999999997E-3</v>
      </c>
      <c r="L17">
        <v>2.29583E-3</v>
      </c>
      <c r="M17">
        <v>1.4093899999999999E-3</v>
      </c>
      <c r="N17">
        <v>4.5161000000000002E-4</v>
      </c>
      <c r="O17">
        <v>3.3662999999999998E-4</v>
      </c>
      <c r="P17">
        <v>1.4470100000000001E-4</v>
      </c>
      <c r="S17">
        <v>1.2042000000000001E-2</v>
      </c>
      <c r="T17">
        <v>0.186306</v>
      </c>
      <c r="U17">
        <v>0.308118</v>
      </c>
      <c r="V17">
        <v>0.26135900000000001</v>
      </c>
      <c r="W17">
        <v>0.15068000000000001</v>
      </c>
      <c r="X17">
        <v>4.0794999999999998E-2</v>
      </c>
      <c r="Y17">
        <v>1.1771999999999999E-2</v>
      </c>
      <c r="Z17">
        <v>7.0980000000000001E-3</v>
      </c>
      <c r="AA17">
        <v>8.0470000000000003E-3</v>
      </c>
      <c r="AB17">
        <v>6.4710000000000002E-3</v>
      </c>
      <c r="AC17">
        <v>4.5589999999999997E-3</v>
      </c>
      <c r="AD17">
        <v>1.7409999999999999E-3</v>
      </c>
      <c r="AE17">
        <v>7.2199999999999999E-4</v>
      </c>
      <c r="AF17">
        <v>2.2100000000000001E-4</v>
      </c>
      <c r="AG17">
        <v>6.9200000000000002E-5</v>
      </c>
      <c r="AJ17" s="27">
        <f t="shared" ref="AJ17:AJ46" si="21">SUMPRODUCT((1-B17:P17),B17:P17)/SUMXMY2(B17:P17,S17:AG17)</f>
        <v>257.31392494029086</v>
      </c>
      <c r="AM17" s="27">
        <f>$AJ17</f>
        <v>257.31392494029086</v>
      </c>
      <c r="AN17" s="27"/>
      <c r="AO17" s="28">
        <f t="shared" si="15"/>
        <v>0.37511940260962184</v>
      </c>
      <c r="AP17">
        <v>50</v>
      </c>
      <c r="AQ17">
        <f t="shared" si="16"/>
        <v>1978</v>
      </c>
      <c r="AR17" s="20">
        <f t="shared" si="1"/>
        <v>-0.33532922145111455</v>
      </c>
      <c r="AS17" s="20">
        <f t="shared" si="2"/>
        <v>0.76617936115840468</v>
      </c>
      <c r="AT17" s="20">
        <f t="shared" si="3"/>
        <v>6.9818331551738569E-2</v>
      </c>
      <c r="AU17" s="20">
        <f t="shared" si="4"/>
        <v>7.1902962524991607E-2</v>
      </c>
      <c r="AV17" s="20">
        <f t="shared" si="5"/>
        <v>3.1884799757768416E-2</v>
      </c>
      <c r="AW17" s="20">
        <f t="shared" si="6"/>
        <v>-1.0048407867759614</v>
      </c>
      <c r="AX17" s="20">
        <f t="shared" si="7"/>
        <v>-0.25594661836260668</v>
      </c>
      <c r="AY17" s="20">
        <f t="shared" si="8"/>
        <v>-0.21416800456935772</v>
      </c>
      <c r="AZ17" s="20">
        <f t="shared" si="9"/>
        <v>-5.370381751652438E-2</v>
      </c>
      <c r="BA17" s="20">
        <f t="shared" si="10"/>
        <v>0.13411619951026904</v>
      </c>
      <c r="BB17" s="20">
        <f t="shared" si="20"/>
        <v>0.33437317019865032</v>
      </c>
      <c r="BC17" s="20">
        <f t="shared" si="11"/>
        <v>6.25033491416533E-2</v>
      </c>
      <c r="BD17" s="20">
        <f t="shared" si="12"/>
        <v>8.9989521177786136E-2</v>
      </c>
      <c r="BE17" s="20">
        <f t="shared" si="13"/>
        <v>-4.4570984787718572E-2</v>
      </c>
      <c r="BF17" s="20">
        <f t="shared" si="14"/>
        <v>-4.438470763241717E-2</v>
      </c>
      <c r="BG17">
        <v>1978</v>
      </c>
      <c r="BH17" s="20">
        <f t="shared" si="17"/>
        <v>0.16688949041967624</v>
      </c>
      <c r="BI17" s="20">
        <f t="shared" si="18"/>
        <v>-0.28924991071395201</v>
      </c>
      <c r="BJ17" s="20">
        <f t="shared" si="19"/>
        <v>6.8331818584528373E-2</v>
      </c>
    </row>
    <row r="18" spans="1:62" x14ac:dyDescent="0.15">
      <c r="A18" s="21">
        <v>1979</v>
      </c>
      <c r="B18">
        <v>3.7613300000000002E-2</v>
      </c>
      <c r="C18">
        <v>0.189392</v>
      </c>
      <c r="D18">
        <v>0.27930700000000003</v>
      </c>
      <c r="E18">
        <v>0.193997</v>
      </c>
      <c r="F18">
        <v>0.15417700000000001</v>
      </c>
      <c r="G18">
        <v>7.9368499999999995E-2</v>
      </c>
      <c r="H18">
        <v>4.23452E-2</v>
      </c>
      <c r="I18">
        <v>8.7566599999999994E-3</v>
      </c>
      <c r="J18">
        <v>5.6775300000000001E-3</v>
      </c>
      <c r="K18">
        <v>4.5017E-3</v>
      </c>
      <c r="L18">
        <v>2.5513100000000002E-3</v>
      </c>
      <c r="M18">
        <v>1.14455E-3</v>
      </c>
      <c r="N18">
        <v>7.0262799999999995E-4</v>
      </c>
      <c r="O18">
        <v>2.25143E-4</v>
      </c>
      <c r="P18">
        <v>2.3996E-4</v>
      </c>
      <c r="S18">
        <v>3.95E-2</v>
      </c>
      <c r="T18">
        <v>0.21152499999999999</v>
      </c>
      <c r="U18">
        <v>0.28037299999999998</v>
      </c>
      <c r="V18">
        <v>0.16364799999999999</v>
      </c>
      <c r="W18">
        <v>0.152892</v>
      </c>
      <c r="X18">
        <v>8.3938899999999997E-2</v>
      </c>
      <c r="Y18">
        <v>2.1921E-2</v>
      </c>
      <c r="Z18">
        <v>1.0012E-2</v>
      </c>
      <c r="AA18">
        <v>1.3972999999999999E-2</v>
      </c>
      <c r="AB18">
        <v>1.0706E-2</v>
      </c>
      <c r="AC18">
        <v>6.8619900000000001E-3</v>
      </c>
      <c r="AD18">
        <v>3.0690000000000001E-3</v>
      </c>
      <c r="AE18">
        <v>1.1529999999999999E-3</v>
      </c>
      <c r="AF18">
        <v>2.0599999999999999E-4</v>
      </c>
      <c r="AG18">
        <v>2.22E-4</v>
      </c>
      <c r="AJ18" s="27">
        <f t="shared" si="21"/>
        <v>410.26443662518602</v>
      </c>
      <c r="AK18" s="27">
        <f>$AJ18</f>
        <v>410.26443662518602</v>
      </c>
      <c r="AO18" s="28">
        <f t="shared" si="15"/>
        <v>0.40722499769935372</v>
      </c>
      <c r="AP18">
        <v>50</v>
      </c>
      <c r="AQ18">
        <f t="shared" si="16"/>
        <v>1979</v>
      </c>
      <c r="AR18" s="20">
        <f t="shared" si="1"/>
        <v>7.0120067650235388E-2</v>
      </c>
      <c r="AS18" s="20">
        <f t="shared" si="2"/>
        <v>0.39942848058369529</v>
      </c>
      <c r="AT18" s="20">
        <f t="shared" si="3"/>
        <v>1.6800652337038254E-2</v>
      </c>
      <c r="AU18" s="20">
        <f t="shared" si="4"/>
        <v>-0.54270466119174465</v>
      </c>
      <c r="AV18" s="20">
        <f t="shared" si="5"/>
        <v>-2.5161619418886876E-2</v>
      </c>
      <c r="AW18" s="20">
        <f t="shared" si="6"/>
        <v>0.11955622995652747</v>
      </c>
      <c r="AX18" s="20">
        <f t="shared" si="7"/>
        <v>-0.71717223487070714</v>
      </c>
      <c r="AY18" s="20">
        <f t="shared" si="8"/>
        <v>9.5276761007230384E-2</v>
      </c>
      <c r="AZ18" s="20">
        <f t="shared" si="9"/>
        <v>0.78069725699543535</v>
      </c>
      <c r="BA18" s="20">
        <f t="shared" si="10"/>
        <v>0.65534389096007661</v>
      </c>
      <c r="BB18" s="20">
        <f t="shared" si="20"/>
        <v>0.60423223265774728</v>
      </c>
      <c r="BC18" s="20">
        <f t="shared" si="11"/>
        <v>0.40246018964631786</v>
      </c>
      <c r="BD18" s="20">
        <f t="shared" si="12"/>
        <v>0.12018389794647802</v>
      </c>
      <c r="BE18" s="20">
        <f t="shared" si="13"/>
        <v>-9.0222461552428943E-3</v>
      </c>
      <c r="BF18" s="20">
        <f t="shared" si="14"/>
        <v>-8.19924796593559E-3</v>
      </c>
      <c r="BG18">
        <v>1979</v>
      </c>
      <c r="BH18" s="20">
        <f t="shared" si="17"/>
        <v>0.16211640019032297</v>
      </c>
      <c r="BI18" s="20">
        <f t="shared" si="18"/>
        <v>-0.29137057138120281</v>
      </c>
      <c r="BJ18" s="20">
        <f t="shared" si="19"/>
        <v>0.36367085344069666</v>
      </c>
    </row>
    <row r="19" spans="1:62" x14ac:dyDescent="0.15">
      <c r="A19" s="21">
        <v>1980</v>
      </c>
      <c r="B19">
        <v>1.0905400000000001E-2</v>
      </c>
      <c r="C19">
        <v>0.22766400000000001</v>
      </c>
      <c r="D19">
        <v>0.334559</v>
      </c>
      <c r="E19">
        <v>0.187334</v>
      </c>
      <c r="F19">
        <v>0.10978499999999999</v>
      </c>
      <c r="G19">
        <v>6.8229600000000001E-2</v>
      </c>
      <c r="H19">
        <v>3.3555399999999999E-2</v>
      </c>
      <c r="I19">
        <v>1.8097499999999999E-2</v>
      </c>
      <c r="J19">
        <v>3.8007200000000001E-3</v>
      </c>
      <c r="K19">
        <v>2.2952599999999999E-3</v>
      </c>
      <c r="L19">
        <v>1.8144000000000001E-3</v>
      </c>
      <c r="M19">
        <v>1.0283E-3</v>
      </c>
      <c r="N19">
        <v>4.6130800000000001E-4</v>
      </c>
      <c r="O19">
        <v>2.8319199999999998E-4</v>
      </c>
      <c r="P19">
        <v>1.8745799999999999E-4</v>
      </c>
      <c r="S19">
        <v>4.0340000000000003E-3</v>
      </c>
      <c r="T19">
        <v>0.19093199999999999</v>
      </c>
      <c r="U19">
        <v>0.33992600000000001</v>
      </c>
      <c r="V19">
        <v>0.183116</v>
      </c>
      <c r="W19">
        <v>0.10412399999999999</v>
      </c>
      <c r="X19">
        <v>8.7116899999999997E-2</v>
      </c>
      <c r="Y19">
        <v>3.4571999999999999E-2</v>
      </c>
      <c r="Z19">
        <v>1.5525000000000001E-2</v>
      </c>
      <c r="AA19">
        <v>8.9809899999999995E-3</v>
      </c>
      <c r="AB19">
        <v>9.8769900000000004E-3</v>
      </c>
      <c r="AC19">
        <v>1.0508E-2</v>
      </c>
      <c r="AD19">
        <v>6.5609900000000001E-3</v>
      </c>
      <c r="AE19">
        <v>3.192E-3</v>
      </c>
      <c r="AF19">
        <v>1.036E-3</v>
      </c>
      <c r="AG19">
        <v>5.0000000000000001E-4</v>
      </c>
      <c r="AJ19" s="27">
        <f t="shared" si="21"/>
        <v>384.10172626644618</v>
      </c>
      <c r="AL19" s="27">
        <f>$AJ19</f>
        <v>384.10172626644618</v>
      </c>
      <c r="AO19" s="28">
        <f t="shared" si="15"/>
        <v>0.62103676088819082</v>
      </c>
      <c r="AP19">
        <v>50</v>
      </c>
      <c r="AQ19">
        <f t="shared" si="16"/>
        <v>1980</v>
      </c>
      <c r="AR19" s="20">
        <f t="shared" si="1"/>
        <v>-0.46783263873866038</v>
      </c>
      <c r="AS19" s="20">
        <f t="shared" si="2"/>
        <v>-0.61941149044562271</v>
      </c>
      <c r="AT19" s="20">
        <f t="shared" si="3"/>
        <v>8.0431369031428779E-2</v>
      </c>
      <c r="AU19" s="20">
        <f t="shared" si="4"/>
        <v>-7.6441153021824915E-2</v>
      </c>
      <c r="AV19" s="20">
        <f t="shared" si="5"/>
        <v>-0.12804399036418329</v>
      </c>
      <c r="AW19" s="20">
        <f t="shared" si="6"/>
        <v>0.52968053458671149</v>
      </c>
      <c r="AX19" s="20">
        <f t="shared" si="7"/>
        <v>3.9917691323960267E-2</v>
      </c>
      <c r="AY19" s="20">
        <f t="shared" si="8"/>
        <v>-0.13645734278318877</v>
      </c>
      <c r="AZ19" s="20">
        <f t="shared" si="9"/>
        <v>0.59529378499413022</v>
      </c>
      <c r="BA19" s="20">
        <f t="shared" si="10"/>
        <v>1.1203052072663204</v>
      </c>
      <c r="BB19" s="20">
        <f t="shared" si="20"/>
        <v>1.4444831742708129</v>
      </c>
      <c r="BC19" s="20">
        <f t="shared" si="11"/>
        <v>1.220632218009212</v>
      </c>
      <c r="BD19" s="20">
        <f t="shared" si="12"/>
        <v>0.899212679124755</v>
      </c>
      <c r="BE19" s="20">
        <f t="shared" si="13"/>
        <v>0.31636631837554174</v>
      </c>
      <c r="BF19" s="20">
        <f t="shared" si="14"/>
        <v>0.16142920549468215</v>
      </c>
      <c r="BG19">
        <v>1980</v>
      </c>
      <c r="BH19" s="20">
        <f t="shared" si="17"/>
        <v>-0.33560425338428485</v>
      </c>
      <c r="BI19" s="20">
        <f t="shared" si="18"/>
        <v>9.1278270631165892E-2</v>
      </c>
      <c r="BJ19" s="20">
        <f t="shared" si="19"/>
        <v>0.82253179821935052</v>
      </c>
    </row>
    <row r="20" spans="1:62" x14ac:dyDescent="0.15">
      <c r="A20" s="21">
        <v>1981</v>
      </c>
      <c r="B20">
        <v>7.4966399999999997E-3</v>
      </c>
      <c r="C20">
        <v>5.4965199999999999E-2</v>
      </c>
      <c r="D20">
        <v>0.458119</v>
      </c>
      <c r="E20">
        <v>0.280889</v>
      </c>
      <c r="F20">
        <v>0.104074</v>
      </c>
      <c r="G20">
        <v>4.47421E-2</v>
      </c>
      <c r="H20">
        <v>2.5822000000000001E-2</v>
      </c>
      <c r="I20">
        <v>1.29474E-2</v>
      </c>
      <c r="J20">
        <v>7.1400999999999999E-3</v>
      </c>
      <c r="K20">
        <v>1.4640300000000001E-3</v>
      </c>
      <c r="L20">
        <v>8.84646E-4</v>
      </c>
      <c r="M20">
        <v>6.9930999999999997E-4</v>
      </c>
      <c r="N20">
        <v>3.9633000000000002E-4</v>
      </c>
      <c r="O20">
        <v>1.77799E-4</v>
      </c>
      <c r="P20">
        <v>1.81399E-4</v>
      </c>
      <c r="S20">
        <v>2.6200000000000003E-4</v>
      </c>
      <c r="T20">
        <v>3.3202000000000002E-2</v>
      </c>
      <c r="U20">
        <v>0.46571299999999999</v>
      </c>
      <c r="V20">
        <v>0.29335</v>
      </c>
      <c r="W20">
        <v>0.10438699999999999</v>
      </c>
      <c r="X20">
        <v>4.7308000000000003E-2</v>
      </c>
      <c r="Y20">
        <v>2.3758000000000001E-2</v>
      </c>
      <c r="Z20">
        <v>1.3610000000000001E-2</v>
      </c>
      <c r="AA20">
        <v>7.4029899999999999E-3</v>
      </c>
      <c r="AB20">
        <v>4.2989999999999999E-3</v>
      </c>
      <c r="AC20">
        <v>3.4529999999999999E-3</v>
      </c>
      <c r="AD20">
        <v>2.1150000000000001E-3</v>
      </c>
      <c r="AE20">
        <v>6.9899899999999995E-4</v>
      </c>
      <c r="AF20">
        <v>2.9E-4</v>
      </c>
      <c r="AG20">
        <v>1.5200000000000001E-4</v>
      </c>
      <c r="AJ20" s="27">
        <f t="shared" si="21"/>
        <v>905.24577551035622</v>
      </c>
      <c r="AM20" s="27">
        <f>$AJ20</f>
        <v>905.24577551035622</v>
      </c>
      <c r="AN20" s="27"/>
      <c r="AO20" s="28">
        <f t="shared" si="15"/>
        <v>0.34263999244816662</v>
      </c>
      <c r="AP20">
        <v>50</v>
      </c>
      <c r="AQ20">
        <f t="shared" si="16"/>
        <v>1981</v>
      </c>
      <c r="AR20" s="20">
        <f t="shared" si="1"/>
        <v>-0.59306542596070499</v>
      </c>
      <c r="AS20" s="20">
        <f t="shared" si="2"/>
        <v>-0.67521168339436777</v>
      </c>
      <c r="AT20" s="20">
        <f t="shared" si="3"/>
        <v>0.10777411893836554</v>
      </c>
      <c r="AU20" s="20">
        <f t="shared" si="4"/>
        <v>0.19605258194127187</v>
      </c>
      <c r="AV20" s="20">
        <f t="shared" si="5"/>
        <v>7.2480661171703325E-3</v>
      </c>
      <c r="AW20" s="20">
        <f t="shared" si="6"/>
        <v>8.7761942624251105E-2</v>
      </c>
      <c r="AX20" s="20">
        <f t="shared" si="7"/>
        <v>-9.2019654416701624E-2</v>
      </c>
      <c r="AY20" s="20">
        <f t="shared" si="8"/>
        <v>4.1445272801533484E-2</v>
      </c>
      <c r="AZ20" s="20">
        <f t="shared" si="9"/>
        <v>2.2078163039719618E-2</v>
      </c>
      <c r="BA20" s="20">
        <f t="shared" si="10"/>
        <v>0.52429609688577938</v>
      </c>
      <c r="BB20" s="20">
        <f t="shared" si="20"/>
        <v>0.61086790727674278</v>
      </c>
      <c r="BC20" s="20">
        <f t="shared" si="11"/>
        <v>0.37867811235691745</v>
      </c>
      <c r="BD20" s="20">
        <f t="shared" si="12"/>
        <v>0.1075252718987469</v>
      </c>
      <c r="BE20" s="20">
        <f t="shared" si="13"/>
        <v>5.9505304892801522E-2</v>
      </c>
      <c r="BF20" s="20">
        <f t="shared" si="14"/>
        <v>-1.54361684761145E-2</v>
      </c>
      <c r="BG20">
        <v>1981</v>
      </c>
      <c r="BH20" s="20">
        <f t="shared" si="17"/>
        <v>-0.38683433013890239</v>
      </c>
      <c r="BI20" s="20">
        <f t="shared" si="18"/>
        <v>4.9760734066497919E-2</v>
      </c>
      <c r="BJ20" s="20">
        <f t="shared" si="19"/>
        <v>0.24107352683922764</v>
      </c>
    </row>
    <row r="21" spans="1:62" x14ac:dyDescent="0.15">
      <c r="A21" s="21">
        <v>1982</v>
      </c>
      <c r="B21">
        <v>2.64262E-3</v>
      </c>
      <c r="C21">
        <v>4.2009400000000002E-2</v>
      </c>
      <c r="D21">
        <v>0.116176</v>
      </c>
      <c r="E21">
        <v>0.55870799999999998</v>
      </c>
      <c r="F21">
        <v>0.190747</v>
      </c>
      <c r="G21">
        <v>4.7381300000000001E-2</v>
      </c>
      <c r="H21">
        <v>1.97623E-2</v>
      </c>
      <c r="I21">
        <v>1.1627999999999999E-2</v>
      </c>
      <c r="J21">
        <v>5.97387E-3</v>
      </c>
      <c r="K21">
        <v>3.24158E-3</v>
      </c>
      <c r="L21">
        <v>6.6611600000000002E-4</v>
      </c>
      <c r="M21">
        <v>4.0250399999999998E-4</v>
      </c>
      <c r="N21">
        <v>3.1817800000000002E-4</v>
      </c>
      <c r="O21">
        <v>1.8032599999999999E-4</v>
      </c>
      <c r="P21">
        <v>1.6343099999999999E-4</v>
      </c>
      <c r="S21">
        <v>2.3700000000000001E-3</v>
      </c>
      <c r="T21">
        <v>1.2649000000000001E-2</v>
      </c>
      <c r="U21">
        <v>8.0549999999999997E-2</v>
      </c>
      <c r="V21">
        <v>0.58499100000000004</v>
      </c>
      <c r="W21">
        <v>0.21074300000000001</v>
      </c>
      <c r="X21">
        <v>5.1754000000000001E-2</v>
      </c>
      <c r="Y21">
        <v>1.7953E-2</v>
      </c>
      <c r="Z21">
        <v>1.7972999999999999E-2</v>
      </c>
      <c r="AA21">
        <v>1.0743000000000001E-2</v>
      </c>
      <c r="AB21">
        <v>4.5310000000000003E-3</v>
      </c>
      <c r="AC21">
        <v>2.7039999999999998E-3</v>
      </c>
      <c r="AD21">
        <v>1.5870000000000001E-3</v>
      </c>
      <c r="AE21">
        <v>9.2800000000000001E-4</v>
      </c>
      <c r="AF21">
        <v>3.4400000000000001E-4</v>
      </c>
      <c r="AG21">
        <v>1.8000000000000001E-4</v>
      </c>
      <c r="AJ21" s="27">
        <f t="shared" si="21"/>
        <v>191.06511115233872</v>
      </c>
      <c r="AK21" s="27">
        <f>$AJ21</f>
        <v>191.06511115233872</v>
      </c>
      <c r="AO21" s="28">
        <f t="shared" si="15"/>
        <v>0.44949808496826321</v>
      </c>
      <c r="AP21">
        <v>50</v>
      </c>
      <c r="AQ21">
        <f t="shared" si="16"/>
        <v>1982</v>
      </c>
      <c r="AR21" s="20">
        <f t="shared" si="1"/>
        <v>-3.7549136489885858E-2</v>
      </c>
      <c r="AS21" s="20">
        <f t="shared" si="2"/>
        <v>-1.0348874181389154</v>
      </c>
      <c r="AT21" s="20">
        <f t="shared" si="3"/>
        <v>-0.7861600320728912</v>
      </c>
      <c r="AU21" s="20">
        <f t="shared" si="4"/>
        <v>0.37428676032711156</v>
      </c>
      <c r="AV21" s="20">
        <f t="shared" si="5"/>
        <v>0.35987950387202294</v>
      </c>
      <c r="AW21" s="20">
        <f t="shared" si="6"/>
        <v>0.14553640647104235</v>
      </c>
      <c r="AX21" s="20">
        <f t="shared" si="7"/>
        <v>-9.192023811978936E-2</v>
      </c>
      <c r="AY21" s="20">
        <f t="shared" si="8"/>
        <v>0.41850813112974772</v>
      </c>
      <c r="AZ21" s="20">
        <f t="shared" si="9"/>
        <v>0.43762021872541418</v>
      </c>
      <c r="BA21" s="20">
        <f t="shared" si="10"/>
        <v>0.1604006322431985</v>
      </c>
      <c r="BB21" s="20">
        <f t="shared" si="20"/>
        <v>0.55851420396539819</v>
      </c>
      <c r="BC21" s="20">
        <f t="shared" si="11"/>
        <v>0.41756195334161955</v>
      </c>
      <c r="BD21" s="20">
        <f t="shared" si="12"/>
        <v>0.24178097177794608</v>
      </c>
      <c r="BE21" s="20">
        <f t="shared" si="13"/>
        <v>8.6193533419967869E-2</v>
      </c>
      <c r="BF21" s="20">
        <f t="shared" si="14"/>
        <v>9.1653609406697617E-3</v>
      </c>
      <c r="BG21">
        <v>1982</v>
      </c>
      <c r="BH21" s="20">
        <f t="shared" si="17"/>
        <v>-0.61953219556723083</v>
      </c>
      <c r="BI21" s="20">
        <f t="shared" si="18"/>
        <v>0.19694560813759687</v>
      </c>
      <c r="BJ21" s="20">
        <f t="shared" si="19"/>
        <v>0.27303383920203056</v>
      </c>
    </row>
    <row r="22" spans="1:62" x14ac:dyDescent="0.15">
      <c r="A22" s="21">
        <v>1983</v>
      </c>
      <c r="B22">
        <v>6.8202699999999998E-3</v>
      </c>
      <c r="C22">
        <v>2.2385499999999999E-2</v>
      </c>
      <c r="D22">
        <v>0.11163099999999999</v>
      </c>
      <c r="E22">
        <v>0.207733</v>
      </c>
      <c r="F22">
        <v>0.47996499999999997</v>
      </c>
      <c r="G22">
        <v>0.119341</v>
      </c>
      <c r="H22">
        <v>2.7123499999999998E-2</v>
      </c>
      <c r="I22">
        <v>1.15131E-2</v>
      </c>
      <c r="J22">
        <v>6.98658E-3</v>
      </c>
      <c r="K22">
        <v>3.5461999999999998E-3</v>
      </c>
      <c r="L22">
        <v>1.9268499999999999E-3</v>
      </c>
      <c r="M22">
        <v>3.9595100000000002E-4</v>
      </c>
      <c r="N22">
        <v>2.3925500000000001E-4</v>
      </c>
      <c r="O22">
        <v>1.8913E-4</v>
      </c>
      <c r="P22">
        <v>2.0433499999999999E-4</v>
      </c>
      <c r="S22">
        <v>2.9060100000000001E-3</v>
      </c>
      <c r="T22">
        <v>6.7965100000000001E-2</v>
      </c>
      <c r="U22">
        <v>9.0431200000000003E-2</v>
      </c>
      <c r="V22">
        <v>0.17937800000000001</v>
      </c>
      <c r="W22">
        <v>0.46821000000000002</v>
      </c>
      <c r="X22">
        <v>0.12509300000000001</v>
      </c>
      <c r="Y22">
        <v>2.3737999999999999E-2</v>
      </c>
      <c r="Z22">
        <v>1.4167000000000001E-2</v>
      </c>
      <c r="AA22">
        <v>1.1353E-2</v>
      </c>
      <c r="AB22">
        <v>6.3620100000000004E-3</v>
      </c>
      <c r="AC22">
        <v>4.3560099999999996E-3</v>
      </c>
      <c r="AD22">
        <v>2.8080100000000001E-3</v>
      </c>
      <c r="AE22">
        <v>2.0170000000000001E-3</v>
      </c>
      <c r="AF22">
        <v>9.9700200000000009E-4</v>
      </c>
      <c r="AG22">
        <v>2.1800000000000001E-4</v>
      </c>
      <c r="AJ22" s="27">
        <f t="shared" si="21"/>
        <v>195.13354469564052</v>
      </c>
      <c r="AL22" s="27">
        <f>$AJ22</f>
        <v>195.13354469564052</v>
      </c>
      <c r="AO22" s="28">
        <f t="shared" si="15"/>
        <v>0.67106869705801164</v>
      </c>
      <c r="AP22">
        <v>50</v>
      </c>
      <c r="AQ22">
        <f t="shared" si="16"/>
        <v>1983</v>
      </c>
      <c r="AR22" s="20">
        <f t="shared" si="1"/>
        <v>-0.33629465466958675</v>
      </c>
      <c r="AS22" s="20">
        <f t="shared" si="2"/>
        <v>2.178654156003716</v>
      </c>
      <c r="AT22" s="20">
        <f t="shared" si="3"/>
        <v>-0.47602269714942491</v>
      </c>
      <c r="AU22" s="20">
        <f t="shared" si="4"/>
        <v>-0.49422660887318065</v>
      </c>
      <c r="AV22" s="20">
        <f t="shared" si="5"/>
        <v>-0.16637442370848526</v>
      </c>
      <c r="AW22" s="20">
        <f t="shared" si="6"/>
        <v>0.12545996277373986</v>
      </c>
      <c r="AX22" s="20">
        <f t="shared" si="7"/>
        <v>-0.14736898719847941</v>
      </c>
      <c r="AY22" s="20">
        <f t="shared" si="8"/>
        <v>0.17590895923274072</v>
      </c>
      <c r="AZ22" s="20">
        <f t="shared" si="9"/>
        <v>0.37068126180787858</v>
      </c>
      <c r="BA22" s="20">
        <f t="shared" si="10"/>
        <v>0.33494858892395785</v>
      </c>
      <c r="BB22" s="20">
        <f t="shared" si="20"/>
        <v>0.39168413721356998</v>
      </c>
      <c r="BC22" s="20">
        <f t="shared" si="11"/>
        <v>0.85731061961044008</v>
      </c>
      <c r="BD22" s="20">
        <f t="shared" si="12"/>
        <v>0.81278544250885543</v>
      </c>
      <c r="BE22" s="20">
        <f t="shared" si="13"/>
        <v>0.41542097436459541</v>
      </c>
      <c r="BF22" s="20">
        <f t="shared" si="14"/>
        <v>6.7603258943274491E-3</v>
      </c>
      <c r="BG22">
        <v>1983</v>
      </c>
      <c r="BH22" s="20">
        <f t="shared" si="17"/>
        <v>0.45544560139490153</v>
      </c>
      <c r="BI22" s="20">
        <f t="shared" si="18"/>
        <v>-0.17062751425160139</v>
      </c>
      <c r="BJ22" s="20">
        <f t="shared" si="19"/>
        <v>0.45565590718908922</v>
      </c>
    </row>
    <row r="23" spans="1:62" x14ac:dyDescent="0.15">
      <c r="A23" s="21">
        <v>1984</v>
      </c>
      <c r="B23">
        <v>1.4664400000000001E-3</v>
      </c>
      <c r="C23">
        <v>5.5860399999999998E-2</v>
      </c>
      <c r="D23">
        <v>5.6481200000000002E-2</v>
      </c>
      <c r="E23">
        <v>0.20666200000000001</v>
      </c>
      <c r="F23">
        <v>0.229906</v>
      </c>
      <c r="G23">
        <v>0.34770800000000002</v>
      </c>
      <c r="H23">
        <v>7.0671600000000001E-2</v>
      </c>
      <c r="I23">
        <v>1.61023E-2</v>
      </c>
      <c r="J23">
        <v>7.1068099999999999E-3</v>
      </c>
      <c r="K23">
        <v>4.2055599999999997E-3</v>
      </c>
      <c r="L23">
        <v>2.0886300000000002E-3</v>
      </c>
      <c r="M23">
        <v>1.1348700000000001E-3</v>
      </c>
      <c r="N23">
        <v>2.3320599999999999E-4</v>
      </c>
      <c r="O23">
        <v>1.4091599999999999E-4</v>
      </c>
      <c r="P23">
        <v>2.31742E-4</v>
      </c>
      <c r="S23">
        <v>1.0820000000000001E-3</v>
      </c>
      <c r="T23">
        <v>2.3623000000000002E-2</v>
      </c>
      <c r="U23">
        <v>4.5693999999999999E-2</v>
      </c>
      <c r="V23">
        <v>0.22206999999999999</v>
      </c>
      <c r="W23">
        <v>0.25354900000000002</v>
      </c>
      <c r="X23">
        <v>0.33724700000000002</v>
      </c>
      <c r="Y23">
        <v>6.9013099999999994E-2</v>
      </c>
      <c r="Z23">
        <v>1.8339999999999999E-2</v>
      </c>
      <c r="AA23">
        <v>1.2938E-2</v>
      </c>
      <c r="AB23">
        <v>8.0670099999999995E-3</v>
      </c>
      <c r="AC23">
        <v>3.6600000000000001E-3</v>
      </c>
      <c r="AD23">
        <v>1.299E-3</v>
      </c>
      <c r="AE23">
        <v>1.5100000000000001E-3</v>
      </c>
      <c r="AF23">
        <v>8.6100100000000002E-4</v>
      </c>
      <c r="AG23">
        <v>1.0460000000000001E-3</v>
      </c>
      <c r="AJ23" s="27">
        <f t="shared" si="21"/>
        <v>363.48791112417979</v>
      </c>
      <c r="AM23" s="27">
        <f>$AJ23</f>
        <v>363.48791112417979</v>
      </c>
      <c r="AN23" s="27"/>
      <c r="AO23" s="28">
        <f t="shared" si="15"/>
        <v>0.40665629448515694</v>
      </c>
      <c r="AP23">
        <v>50</v>
      </c>
      <c r="AQ23">
        <f t="shared" si="16"/>
        <v>1984</v>
      </c>
      <c r="AR23" s="20">
        <f t="shared" si="1"/>
        <v>-7.103953150715267E-2</v>
      </c>
      <c r="AS23" s="20">
        <f t="shared" si="2"/>
        <v>-0.99260139843419304</v>
      </c>
      <c r="AT23" s="20">
        <f t="shared" si="3"/>
        <v>-0.33042012897390172</v>
      </c>
      <c r="AU23" s="20">
        <f t="shared" si="4"/>
        <v>0.26907405856193772</v>
      </c>
      <c r="AV23" s="20">
        <f t="shared" si="5"/>
        <v>0.39732012351215812</v>
      </c>
      <c r="AW23" s="20">
        <f t="shared" si="6"/>
        <v>-0.15532087793851529</v>
      </c>
      <c r="AX23" s="20">
        <f t="shared" si="7"/>
        <v>-4.5760779263695581E-2</v>
      </c>
      <c r="AY23" s="20">
        <f t="shared" si="8"/>
        <v>0.12570945238768472</v>
      </c>
      <c r="AZ23" s="20">
        <f t="shared" si="9"/>
        <v>0.4908554035169756</v>
      </c>
      <c r="BA23" s="20">
        <f t="shared" si="10"/>
        <v>0.42192829699176937</v>
      </c>
      <c r="BB23" s="20">
        <f t="shared" si="20"/>
        <v>0.24338102643492798</v>
      </c>
      <c r="BC23" s="20">
        <f t="shared" si="11"/>
        <v>3.4470413063382617E-2</v>
      </c>
      <c r="BD23" s="20">
        <f t="shared" si="12"/>
        <v>0.59127105796605972</v>
      </c>
      <c r="BE23" s="20">
        <f t="shared" si="13"/>
        <v>0.42896238832869743</v>
      </c>
      <c r="BF23" s="20">
        <f t="shared" si="14"/>
        <v>0.37826398099399161</v>
      </c>
      <c r="BG23">
        <v>1984</v>
      </c>
      <c r="BH23" s="20">
        <f t="shared" si="17"/>
        <v>-0.4646870196384158</v>
      </c>
      <c r="BI23" s="20">
        <f t="shared" si="18"/>
        <v>0.11632813121797125</v>
      </c>
      <c r="BJ23" s="20">
        <f t="shared" si="19"/>
        <v>0.36987608104225778</v>
      </c>
    </row>
    <row r="24" spans="1:62" x14ac:dyDescent="0.15">
      <c r="A24" s="21">
        <v>1985</v>
      </c>
      <c r="B24">
        <v>3.2340400000000001E-3</v>
      </c>
      <c r="C24">
        <v>1.5017300000000001E-2</v>
      </c>
      <c r="D24">
        <v>0.19579199999999999</v>
      </c>
      <c r="E24">
        <v>9.8704200000000006E-2</v>
      </c>
      <c r="F24">
        <v>0.21662799999999999</v>
      </c>
      <c r="G24">
        <v>0.17970700000000001</v>
      </c>
      <c r="H24">
        <v>0.227132</v>
      </c>
      <c r="I24">
        <v>4.3874999999999997E-2</v>
      </c>
      <c r="J24">
        <v>1.04376E-2</v>
      </c>
      <c r="K24">
        <v>4.5394500000000004E-3</v>
      </c>
      <c r="L24">
        <v>2.5827300000000001E-3</v>
      </c>
      <c r="M24">
        <v>1.28268E-3</v>
      </c>
      <c r="N24">
        <v>6.9695200000000003E-4</v>
      </c>
      <c r="O24">
        <v>1.4321700000000001E-4</v>
      </c>
      <c r="P24">
        <v>2.28858E-4</v>
      </c>
      <c r="S24">
        <v>1.377E-3</v>
      </c>
      <c r="T24">
        <v>2.8742E-2</v>
      </c>
      <c r="U24">
        <v>0.198541</v>
      </c>
      <c r="V24">
        <v>6.3409999999999994E-2</v>
      </c>
      <c r="W24">
        <v>0.190469</v>
      </c>
      <c r="X24">
        <v>0.16742599999999999</v>
      </c>
      <c r="Y24">
        <v>0.23080999999999999</v>
      </c>
      <c r="Z24">
        <v>5.8574000000000001E-2</v>
      </c>
      <c r="AA24">
        <v>1.9047999999999999E-2</v>
      </c>
      <c r="AB24">
        <v>1.3448999999999999E-2</v>
      </c>
      <c r="AC24">
        <v>1.2929E-2</v>
      </c>
      <c r="AD24">
        <v>5.5529999999999998E-3</v>
      </c>
      <c r="AE24">
        <v>4.9090000000000002E-3</v>
      </c>
      <c r="AF24">
        <v>2.088E-3</v>
      </c>
      <c r="AG24">
        <v>2.6749999999999999E-3</v>
      </c>
      <c r="AJ24" s="27">
        <f t="shared" si="21"/>
        <v>290.7650491744983</v>
      </c>
      <c r="AK24" s="27">
        <f>$AJ24</f>
        <v>290.7650491744983</v>
      </c>
      <c r="AO24" s="28">
        <f t="shared" si="15"/>
        <v>0.68903771713439121</v>
      </c>
      <c r="AP24">
        <v>50</v>
      </c>
      <c r="AQ24">
        <f t="shared" si="16"/>
        <v>1985</v>
      </c>
      <c r="AR24" s="20">
        <f t="shared" si="1"/>
        <v>-0.23127940846234457</v>
      </c>
      <c r="AS24" s="20">
        <f t="shared" si="2"/>
        <v>0.79795358948432304</v>
      </c>
      <c r="AT24" s="20">
        <f t="shared" si="3"/>
        <v>4.8986687825235388E-2</v>
      </c>
      <c r="AU24" s="20">
        <f t="shared" si="4"/>
        <v>-0.83673291702329733</v>
      </c>
      <c r="AV24" s="20">
        <f t="shared" si="5"/>
        <v>-0.44901910789663219</v>
      </c>
      <c r="AW24" s="20">
        <f t="shared" si="6"/>
        <v>-0.22617871568698344</v>
      </c>
      <c r="AX24" s="20">
        <f t="shared" si="7"/>
        <v>6.2073309595005559E-2</v>
      </c>
      <c r="AY24" s="20">
        <f t="shared" si="8"/>
        <v>0.5074659302966319</v>
      </c>
      <c r="AZ24" s="20">
        <f t="shared" si="9"/>
        <v>0.59908219470473734</v>
      </c>
      <c r="BA24" s="20">
        <f t="shared" si="10"/>
        <v>0.93718887864491041</v>
      </c>
      <c r="BB24" s="20">
        <f t="shared" si="20"/>
        <v>1.4414210647471892</v>
      </c>
      <c r="BC24" s="20">
        <f t="shared" si="11"/>
        <v>0.84365516616442415</v>
      </c>
      <c r="BD24" s="20">
        <f t="shared" si="12"/>
        <v>1.1285694074118791</v>
      </c>
      <c r="BE24" s="20">
        <f t="shared" si="13"/>
        <v>1.1491850486145789</v>
      </c>
      <c r="BF24" s="20">
        <f t="shared" si="14"/>
        <v>1.1434924963007496</v>
      </c>
      <c r="BG24">
        <v>1985</v>
      </c>
      <c r="BH24" s="20">
        <f t="shared" si="17"/>
        <v>0.20522028961573793</v>
      </c>
      <c r="BI24" s="20">
        <f t="shared" si="18"/>
        <v>-0.36246435775297686</v>
      </c>
      <c r="BJ24" s="20">
        <f t="shared" si="19"/>
        <v>1.0346563223697811</v>
      </c>
    </row>
    <row r="25" spans="1:62" x14ac:dyDescent="0.15">
      <c r="A25" s="21">
        <v>1986</v>
      </c>
      <c r="B25">
        <v>1.11198E-3</v>
      </c>
      <c r="C25">
        <v>3.5049299999999999E-2</v>
      </c>
      <c r="D25">
        <v>5.1722700000000003E-2</v>
      </c>
      <c r="E25">
        <v>0.34339500000000001</v>
      </c>
      <c r="F25">
        <v>0.106475</v>
      </c>
      <c r="G25">
        <v>0.19620199999999999</v>
      </c>
      <c r="H25">
        <v>0.103057</v>
      </c>
      <c r="I25">
        <v>0.124349</v>
      </c>
      <c r="J25">
        <v>2.6973799999999999E-2</v>
      </c>
      <c r="K25">
        <v>6.2716100000000004E-3</v>
      </c>
      <c r="L25">
        <v>2.5839999999999999E-3</v>
      </c>
      <c r="M25">
        <v>1.47018E-3</v>
      </c>
      <c r="N25">
        <v>7.3014100000000001E-4</v>
      </c>
      <c r="O25">
        <v>3.96728E-4</v>
      </c>
      <c r="P25">
        <v>2.1179700000000001E-4</v>
      </c>
      <c r="S25">
        <v>1.5139999999999999E-3</v>
      </c>
      <c r="T25">
        <v>4.2153999999999997E-2</v>
      </c>
      <c r="U25">
        <v>4.5221999999999998E-2</v>
      </c>
      <c r="V25">
        <v>0.36684699999999998</v>
      </c>
      <c r="W25">
        <v>0.10492600000000001</v>
      </c>
      <c r="X25">
        <v>0.18529300000000001</v>
      </c>
      <c r="Y25">
        <v>0.108734</v>
      </c>
      <c r="Z25">
        <v>0.105004</v>
      </c>
      <c r="AA25">
        <v>2.9249000000000001E-2</v>
      </c>
      <c r="AB25">
        <v>7.4400100000000004E-3</v>
      </c>
      <c r="AC25">
        <v>1.637E-3</v>
      </c>
      <c r="AD25">
        <v>1.2639999999999999E-3</v>
      </c>
      <c r="AE25">
        <v>1.3200000000000001E-4</v>
      </c>
      <c r="AF25">
        <v>5.8300099999999998E-4</v>
      </c>
      <c r="AG25">
        <v>0</v>
      </c>
      <c r="AJ25" s="27">
        <f t="shared" si="21"/>
        <v>679.98643284245225</v>
      </c>
      <c r="AL25" s="27">
        <f>$AJ25</f>
        <v>679.98643284245225</v>
      </c>
      <c r="AO25" s="28">
        <f t="shared" si="15"/>
        <v>0.19863738286935831</v>
      </c>
      <c r="AP25">
        <v>50</v>
      </c>
      <c r="AQ25">
        <f t="shared" si="16"/>
        <v>1986</v>
      </c>
      <c r="AR25" s="20">
        <f t="shared" si="1"/>
        <v>8.5295431597411431E-2</v>
      </c>
      <c r="AS25" s="20">
        <f t="shared" si="2"/>
        <v>0.27317346373081591</v>
      </c>
      <c r="AT25" s="20">
        <f t="shared" si="3"/>
        <v>-0.20755674698608084</v>
      </c>
      <c r="AU25" s="20">
        <f t="shared" si="4"/>
        <v>0.34923343148749336</v>
      </c>
      <c r="AV25" s="20">
        <f t="shared" si="5"/>
        <v>-3.5510700663245701E-2</v>
      </c>
      <c r="AW25" s="20">
        <f t="shared" si="6"/>
        <v>-0.19424272775976384</v>
      </c>
      <c r="AX25" s="20">
        <f t="shared" si="7"/>
        <v>0.13203307136237535</v>
      </c>
      <c r="AY25" s="20">
        <f t="shared" si="8"/>
        <v>-0.41454059240159052</v>
      </c>
      <c r="AZ25" s="20">
        <f t="shared" si="9"/>
        <v>9.9305030127719587E-2</v>
      </c>
      <c r="BA25" s="20">
        <f t="shared" si="10"/>
        <v>0.10465336082900316</v>
      </c>
      <c r="BB25" s="20">
        <f t="shared" si="20"/>
        <v>-0.13190175109898297</v>
      </c>
      <c r="BC25" s="20">
        <f t="shared" si="11"/>
        <v>-3.8050972659243031E-2</v>
      </c>
      <c r="BD25" s="20">
        <f t="shared" si="12"/>
        <v>-0.15658271263080331</v>
      </c>
      <c r="BE25" s="20">
        <f t="shared" si="13"/>
        <v>6.6141592962766102E-2</v>
      </c>
      <c r="BF25" s="20">
        <f t="shared" si="14"/>
        <v>-0.10291789627465306</v>
      </c>
      <c r="BG25">
        <v>1986</v>
      </c>
      <c r="BH25" s="20">
        <f t="shared" si="17"/>
        <v>5.0304049447382169E-2</v>
      </c>
      <c r="BI25" s="20">
        <f t="shared" si="18"/>
        <v>6.2878268606714804E-2</v>
      </c>
      <c r="BJ25" s="20">
        <f t="shared" si="19"/>
        <v>-2.2764764106313364E-2</v>
      </c>
    </row>
    <row r="26" spans="1:62" x14ac:dyDescent="0.15">
      <c r="A26" s="21">
        <v>1987</v>
      </c>
      <c r="B26">
        <v>5.1837400000000005E-4</v>
      </c>
      <c r="C26">
        <v>1.3902100000000001E-2</v>
      </c>
      <c r="D26">
        <v>0.147785</v>
      </c>
      <c r="E26">
        <v>8.3166199999999996E-2</v>
      </c>
      <c r="F26">
        <v>0.34493200000000002</v>
      </c>
      <c r="G26">
        <v>0.101118</v>
      </c>
      <c r="H26">
        <v>0.120268</v>
      </c>
      <c r="I26">
        <v>6.8732000000000001E-2</v>
      </c>
      <c r="J26">
        <v>9.4695199999999993E-2</v>
      </c>
      <c r="K26">
        <v>1.7519400000000001E-2</v>
      </c>
      <c r="L26">
        <v>3.95883E-3</v>
      </c>
      <c r="M26">
        <v>1.6310999999999999E-3</v>
      </c>
      <c r="N26">
        <v>9.2801799999999996E-4</v>
      </c>
      <c r="O26">
        <v>4.6088699999999999E-4</v>
      </c>
      <c r="P26">
        <v>3.8411899999999999E-4</v>
      </c>
      <c r="S26">
        <v>0</v>
      </c>
      <c r="T26">
        <v>1.4352999999999999E-2</v>
      </c>
      <c r="U26">
        <v>8.0901899999999999E-2</v>
      </c>
      <c r="V26">
        <v>5.62789E-2</v>
      </c>
      <c r="W26">
        <v>0.29985800000000001</v>
      </c>
      <c r="X26">
        <v>0.100715</v>
      </c>
      <c r="Y26">
        <v>8.8820899999999994E-2</v>
      </c>
      <c r="Z26">
        <v>6.5741900000000006E-2</v>
      </c>
      <c r="AA26">
        <v>0.179309</v>
      </c>
      <c r="AB26">
        <v>3.9206999999999999E-2</v>
      </c>
      <c r="AC26">
        <v>2.8063999999999999E-2</v>
      </c>
      <c r="AD26">
        <v>1.5557E-2</v>
      </c>
      <c r="AE26">
        <v>2.0974E-2</v>
      </c>
      <c r="AF26">
        <v>4.4209999999999996E-3</v>
      </c>
      <c r="AG26">
        <v>5.7989900000000004E-3</v>
      </c>
      <c r="AJ26" s="27">
        <f t="shared" si="21"/>
        <v>47.626065603007405</v>
      </c>
      <c r="AM26" s="27">
        <f>$AJ26</f>
        <v>47.626065603007405</v>
      </c>
      <c r="AN26" s="27"/>
      <c r="AO26" s="28">
        <f t="shared" si="15"/>
        <v>1.6591606720406278</v>
      </c>
      <c r="AP26">
        <v>50</v>
      </c>
      <c r="AQ26">
        <f t="shared" si="16"/>
        <v>1987</v>
      </c>
      <c r="AR26" s="20">
        <f t="shared" si="1"/>
        <v>-0.16103460046977922</v>
      </c>
      <c r="AS26" s="20">
        <f t="shared" si="2"/>
        <v>2.7231089430296725E-2</v>
      </c>
      <c r="AT26" s="20">
        <f t="shared" si="3"/>
        <v>-1.3326362769378002</v>
      </c>
      <c r="AU26" s="20">
        <f t="shared" si="4"/>
        <v>-0.6885150822585655</v>
      </c>
      <c r="AV26" s="20">
        <f t="shared" si="5"/>
        <v>-0.67050368170760721</v>
      </c>
      <c r="AW26" s="20">
        <f t="shared" si="6"/>
        <v>-9.4520164939706098E-3</v>
      </c>
      <c r="AX26" s="20">
        <f t="shared" si="7"/>
        <v>-0.68362095177844351</v>
      </c>
      <c r="AY26" s="20">
        <f t="shared" si="8"/>
        <v>-8.3570670076722614E-2</v>
      </c>
      <c r="AZ26" s="20">
        <f t="shared" si="9"/>
        <v>2.0434537254980185</v>
      </c>
      <c r="BA26" s="20">
        <f t="shared" si="10"/>
        <v>1.1688933578100866</v>
      </c>
      <c r="BB26" s="20">
        <f t="shared" si="20"/>
        <v>2.7143955184451092</v>
      </c>
      <c r="BC26" s="20">
        <f t="shared" si="11"/>
        <v>2.4401833448929913</v>
      </c>
      <c r="BD26" s="20">
        <f t="shared" si="12"/>
        <v>4.6551721754128144</v>
      </c>
      <c r="BE26" s="20">
        <f t="shared" si="13"/>
        <v>1.3046543146885166</v>
      </c>
      <c r="BF26" s="20">
        <f t="shared" si="14"/>
        <v>1.9539959019536799</v>
      </c>
      <c r="BG26">
        <v>1987</v>
      </c>
      <c r="BH26" s="20">
        <f t="shared" si="17"/>
        <v>-0.48881326265909419</v>
      </c>
      <c r="BI26" s="20">
        <f t="shared" si="18"/>
        <v>-0.51302293305964675</v>
      </c>
      <c r="BJ26" s="20">
        <f t="shared" si="19"/>
        <v>2.3258211912430307</v>
      </c>
    </row>
    <row r="27" spans="1:62" x14ac:dyDescent="0.15">
      <c r="A27" s="21">
        <v>1988</v>
      </c>
      <c r="B27">
        <v>3.08991E-4</v>
      </c>
      <c r="C27">
        <v>6.9431400000000004E-3</v>
      </c>
      <c r="D27">
        <v>9.9039600000000005E-2</v>
      </c>
      <c r="E27">
        <v>0.220665</v>
      </c>
      <c r="F27">
        <v>0.102449</v>
      </c>
      <c r="G27">
        <v>0.30465599999999998</v>
      </c>
      <c r="H27">
        <v>7.4615899999999999E-2</v>
      </c>
      <c r="I27">
        <v>8.1451499999999996E-2</v>
      </c>
      <c r="J27">
        <v>4.2321200000000003E-2</v>
      </c>
      <c r="K27">
        <v>5.3234999999999998E-2</v>
      </c>
      <c r="L27">
        <v>1.0078999999999999E-2</v>
      </c>
      <c r="M27">
        <v>2.2775299999999998E-3</v>
      </c>
      <c r="N27">
        <v>9.3837800000000002E-4</v>
      </c>
      <c r="O27">
        <v>5.33892E-4</v>
      </c>
      <c r="P27">
        <v>4.8613500000000001E-4</v>
      </c>
      <c r="S27">
        <v>0</v>
      </c>
      <c r="T27">
        <v>4.8669999999999998E-3</v>
      </c>
      <c r="U27">
        <v>0.20707800000000001</v>
      </c>
      <c r="V27">
        <v>0.19230800000000001</v>
      </c>
      <c r="W27">
        <v>0.115004</v>
      </c>
      <c r="X27">
        <v>0.24830199999999999</v>
      </c>
      <c r="Y27">
        <v>0.10252699999999999</v>
      </c>
      <c r="Z27">
        <v>4.7865999999999999E-2</v>
      </c>
      <c r="AA27">
        <v>1.7871999999999999E-2</v>
      </c>
      <c r="AB27">
        <v>4.4149000000000001E-2</v>
      </c>
      <c r="AC27">
        <v>8.3239899999999999E-3</v>
      </c>
      <c r="AD27">
        <v>4.6579999999999998E-3</v>
      </c>
      <c r="AE27">
        <v>1.7149999999999999E-3</v>
      </c>
      <c r="AF27">
        <v>2.506E-3</v>
      </c>
      <c r="AG27">
        <v>2.8249999999999998E-3</v>
      </c>
      <c r="AJ27" s="27">
        <f t="shared" si="21"/>
        <v>44.581544165066667</v>
      </c>
      <c r="AK27" s="27">
        <f>$AJ27</f>
        <v>44.581544165066667</v>
      </c>
      <c r="AO27" s="28">
        <f t="shared" si="15"/>
        <v>0.87425675843363404</v>
      </c>
      <c r="AP27">
        <v>50</v>
      </c>
      <c r="AQ27">
        <f t="shared" si="16"/>
        <v>1988</v>
      </c>
      <c r="AR27" s="20">
        <f t="shared" si="1"/>
        <v>-0.12431542642573579</v>
      </c>
      <c r="AS27" s="20">
        <f t="shared" si="2"/>
        <v>-0.17679770327777203</v>
      </c>
      <c r="AT27" s="20">
        <f t="shared" si="3"/>
        <v>2.5574423687648413</v>
      </c>
      <c r="AU27" s="20">
        <f t="shared" si="4"/>
        <v>-0.48352225452931646</v>
      </c>
      <c r="AV27" s="20">
        <f t="shared" si="5"/>
        <v>0.2927644163335188</v>
      </c>
      <c r="AW27" s="20">
        <f t="shared" si="6"/>
        <v>-0.86577497041692375</v>
      </c>
      <c r="AX27" s="20">
        <f t="shared" si="7"/>
        <v>0.75107835682118018</v>
      </c>
      <c r="AY27" s="20">
        <f t="shared" si="8"/>
        <v>-0.86823288467228155</v>
      </c>
      <c r="AZ27" s="20">
        <f t="shared" si="9"/>
        <v>-0.85873809994055028</v>
      </c>
      <c r="BA27" s="20">
        <f t="shared" si="10"/>
        <v>-0.28617916235393531</v>
      </c>
      <c r="BB27" s="20">
        <f t="shared" si="20"/>
        <v>-0.1242383303615745</v>
      </c>
      <c r="BC27" s="20">
        <f t="shared" si="11"/>
        <v>0.35311062458778497</v>
      </c>
      <c r="BD27" s="20">
        <f t="shared" si="12"/>
        <v>0.17935341253711845</v>
      </c>
      <c r="BE27" s="20">
        <f t="shared" si="13"/>
        <v>0.60367745158450581</v>
      </c>
      <c r="BF27" s="20">
        <f t="shared" si="14"/>
        <v>0.7502695152972072</v>
      </c>
      <c r="BG27">
        <v>1988</v>
      </c>
      <c r="BH27" s="20">
        <f t="shared" si="17"/>
        <v>0.75210974635377781</v>
      </c>
      <c r="BI27" s="20">
        <f t="shared" si="18"/>
        <v>-7.6363612947885323E-2</v>
      </c>
      <c r="BJ27" s="20">
        <f t="shared" si="19"/>
        <v>8.8179344478650876E-2</v>
      </c>
    </row>
    <row r="28" spans="1:62" x14ac:dyDescent="0.15">
      <c r="A28" s="21">
        <v>1989</v>
      </c>
      <c r="B28">
        <v>5.7509900000000003E-4</v>
      </c>
      <c r="C28">
        <v>5.1634100000000002E-3</v>
      </c>
      <c r="D28">
        <v>4.2463599999999997E-2</v>
      </c>
      <c r="E28">
        <v>0.115772</v>
      </c>
      <c r="F28">
        <v>0.28604200000000002</v>
      </c>
      <c r="G28">
        <v>9.0309600000000004E-2</v>
      </c>
      <c r="H28">
        <v>0.28052899999999997</v>
      </c>
      <c r="I28">
        <v>5.1284999999999997E-2</v>
      </c>
      <c r="J28">
        <v>5.6140099999999998E-2</v>
      </c>
      <c r="K28">
        <v>2.7164899999999999E-2</v>
      </c>
      <c r="L28">
        <v>3.5113699999999998E-2</v>
      </c>
      <c r="M28">
        <v>6.6480799999999998E-3</v>
      </c>
      <c r="N28">
        <v>1.5022499999999999E-3</v>
      </c>
      <c r="O28">
        <v>6.1895199999999998E-4</v>
      </c>
      <c r="P28">
        <v>6.72808E-4</v>
      </c>
      <c r="S28">
        <v>0</v>
      </c>
      <c r="T28">
        <v>2.6710000000000002E-3</v>
      </c>
      <c r="U28">
        <v>3.0904000000000001E-2</v>
      </c>
      <c r="V28">
        <v>8.3526900000000001E-2</v>
      </c>
      <c r="W28">
        <v>0.25288300000000002</v>
      </c>
      <c r="X28">
        <v>9.3472899999999998E-2</v>
      </c>
      <c r="Y28">
        <v>0.32077600000000001</v>
      </c>
      <c r="Z28">
        <v>5.39969E-2</v>
      </c>
      <c r="AA28">
        <v>5.81659E-2</v>
      </c>
      <c r="AB28">
        <v>1.8176000000000001E-2</v>
      </c>
      <c r="AC28">
        <v>7.2329900000000003E-2</v>
      </c>
      <c r="AD28">
        <v>6.1019899999999998E-3</v>
      </c>
      <c r="AE28">
        <v>2.235E-3</v>
      </c>
      <c r="AF28">
        <v>1.436E-3</v>
      </c>
      <c r="AG28">
        <v>3.3249999999999998E-3</v>
      </c>
      <c r="AJ28" s="27">
        <f t="shared" si="21"/>
        <v>149.82012591180248</v>
      </c>
      <c r="AL28" s="27">
        <f>$AJ28</f>
        <v>149.82012591180248</v>
      </c>
      <c r="AO28" s="28">
        <f t="shared" si="15"/>
        <v>0.54712346649823707</v>
      </c>
      <c r="AP28">
        <v>50</v>
      </c>
      <c r="AQ28">
        <f t="shared" si="16"/>
        <v>1989</v>
      </c>
      <c r="AR28" s="20">
        <f t="shared" si="1"/>
        <v>-0.1696216273322538</v>
      </c>
      <c r="AS28" s="20">
        <f t="shared" si="2"/>
        <v>-0.24590100650112778</v>
      </c>
      <c r="AT28" s="20">
        <f t="shared" si="3"/>
        <v>-0.40536080825547216</v>
      </c>
      <c r="AU28" s="20">
        <f t="shared" si="4"/>
        <v>-0.71263119718514223</v>
      </c>
      <c r="AV28" s="20">
        <f t="shared" si="5"/>
        <v>-0.51884208007951527</v>
      </c>
      <c r="AW28" s="20">
        <f t="shared" si="6"/>
        <v>7.8038986109192188E-2</v>
      </c>
      <c r="AX28" s="20">
        <f t="shared" si="7"/>
        <v>0.63346552952484969</v>
      </c>
      <c r="AY28" s="20">
        <f t="shared" si="8"/>
        <v>8.6935190421490061E-2</v>
      </c>
      <c r="AZ28" s="20">
        <f t="shared" si="9"/>
        <v>6.2228769054965064E-2</v>
      </c>
      <c r="BA28" s="20">
        <f t="shared" si="10"/>
        <v>-0.39099200770928944</v>
      </c>
      <c r="BB28" s="20">
        <f t="shared" si="20"/>
        <v>1.4296859916953675</v>
      </c>
      <c r="BC28" s="20">
        <f t="shared" si="11"/>
        <v>-4.7517057575015932E-2</v>
      </c>
      <c r="BD28" s="20">
        <f t="shared" si="12"/>
        <v>0.13378153590518813</v>
      </c>
      <c r="BE28" s="20">
        <f t="shared" si="13"/>
        <v>0.23229428939077496</v>
      </c>
      <c r="BF28" s="20">
        <f t="shared" si="14"/>
        <v>0.72325348849934412</v>
      </c>
      <c r="BG28">
        <v>1989</v>
      </c>
      <c r="BH28" s="20">
        <f t="shared" si="17"/>
        <v>-0.27362781402961794</v>
      </c>
      <c r="BI28" s="20">
        <f t="shared" si="18"/>
        <v>-0.12999219040765392</v>
      </c>
      <c r="BJ28" s="20">
        <f t="shared" si="19"/>
        <v>0.3061050013230478</v>
      </c>
    </row>
    <row r="29" spans="1:62" x14ac:dyDescent="0.15">
      <c r="A29" s="21">
        <v>1990</v>
      </c>
      <c r="B29">
        <v>2.73084E-3</v>
      </c>
      <c r="C29">
        <v>1.28568E-2</v>
      </c>
      <c r="D29">
        <v>2.93951E-2</v>
      </c>
      <c r="E29">
        <v>8.5449300000000006E-2</v>
      </c>
      <c r="F29">
        <v>0.16688500000000001</v>
      </c>
      <c r="G29">
        <v>0.29192299999999999</v>
      </c>
      <c r="H29">
        <v>8.1121200000000004E-2</v>
      </c>
      <c r="I29">
        <v>0.196849</v>
      </c>
      <c r="J29">
        <v>3.7274300000000003E-2</v>
      </c>
      <c r="K29">
        <v>4.16809E-2</v>
      </c>
      <c r="L29">
        <v>2.0390499999999999E-2</v>
      </c>
      <c r="M29">
        <v>2.6356999999999998E-2</v>
      </c>
      <c r="N29">
        <v>4.9901700000000004E-3</v>
      </c>
      <c r="O29">
        <v>1.12762E-3</v>
      </c>
      <c r="P29">
        <v>9.6961900000000001E-4</v>
      </c>
      <c r="S29">
        <v>7.5199999999999996E-4</v>
      </c>
      <c r="T29">
        <v>1.8901000000000001E-2</v>
      </c>
      <c r="U29">
        <v>3.2625000000000001E-2</v>
      </c>
      <c r="V29">
        <v>0.12570799999999999</v>
      </c>
      <c r="W29">
        <v>0.114964</v>
      </c>
      <c r="X29">
        <v>0.27363300000000002</v>
      </c>
      <c r="Y29">
        <v>7.4005000000000001E-2</v>
      </c>
      <c r="Z29">
        <v>0.21101500000000001</v>
      </c>
      <c r="AA29">
        <v>3.7631999999999999E-2</v>
      </c>
      <c r="AB29">
        <v>5.8368000000000003E-2</v>
      </c>
      <c r="AC29">
        <v>5.1780000000000003E-3</v>
      </c>
      <c r="AD29">
        <v>3.4402000000000002E-2</v>
      </c>
      <c r="AE29">
        <v>4.8650000000000004E-3</v>
      </c>
      <c r="AF29">
        <v>2.6770000000000001E-3</v>
      </c>
      <c r="AG29">
        <v>5.2750000000000002E-3</v>
      </c>
      <c r="AJ29" s="27">
        <f t="shared" si="21"/>
        <v>149.39710144990488</v>
      </c>
      <c r="AM29" s="27">
        <f>$AJ29</f>
        <v>149.39710144990488</v>
      </c>
      <c r="AN29" s="27"/>
      <c r="AO29" s="28">
        <f t="shared" si="15"/>
        <v>0.55906373347344962</v>
      </c>
      <c r="AP29">
        <v>50</v>
      </c>
      <c r="AQ29">
        <f t="shared" si="16"/>
        <v>1990</v>
      </c>
      <c r="AR29" s="20">
        <f t="shared" si="1"/>
        <v>-0.26812750098666616</v>
      </c>
      <c r="AS29" s="20">
        <f t="shared" si="2"/>
        <v>0.37937377453460935</v>
      </c>
      <c r="AT29" s="20">
        <f t="shared" si="3"/>
        <v>0.13521204084049318</v>
      </c>
      <c r="AU29" s="20">
        <f t="shared" si="4"/>
        <v>1.0183254579001693</v>
      </c>
      <c r="AV29" s="20">
        <f t="shared" si="5"/>
        <v>-0.98461607552473418</v>
      </c>
      <c r="AW29" s="20">
        <f t="shared" si="6"/>
        <v>-0.28446203136569814</v>
      </c>
      <c r="AX29" s="20">
        <f t="shared" si="7"/>
        <v>-0.18430488589485172</v>
      </c>
      <c r="AY29" s="20">
        <f t="shared" si="8"/>
        <v>0.25192254264172309</v>
      </c>
      <c r="AZ29" s="20">
        <f t="shared" si="9"/>
        <v>1.3352048814521388E-2</v>
      </c>
      <c r="BA29" s="20">
        <f t="shared" si="10"/>
        <v>0.59039443429887339</v>
      </c>
      <c r="BB29" s="20">
        <f t="shared" si="20"/>
        <v>-0.76110602812464256</v>
      </c>
      <c r="BC29" s="20">
        <f t="shared" si="11"/>
        <v>0.35511023472369652</v>
      </c>
      <c r="BD29" s="20">
        <f t="shared" si="12"/>
        <v>-1.2560701597341652E-2</v>
      </c>
      <c r="BE29" s="20">
        <f t="shared" si="13"/>
        <v>0.32644239875244324</v>
      </c>
      <c r="BF29" s="20">
        <f t="shared" si="14"/>
        <v>0.97815276246644822</v>
      </c>
      <c r="BG29">
        <v>1990</v>
      </c>
      <c r="BH29" s="20">
        <f t="shared" si="17"/>
        <v>8.2152771462812121E-2</v>
      </c>
      <c r="BI29" s="20">
        <f t="shared" si="18"/>
        <v>-0.1087643837212787</v>
      </c>
      <c r="BJ29" s="20">
        <f t="shared" si="19"/>
        <v>0.21282644990485691</v>
      </c>
    </row>
    <row r="30" spans="1:62" x14ac:dyDescent="0.15">
      <c r="A30" s="21">
        <v>1991</v>
      </c>
      <c r="B30">
        <v>1.62839E-3</v>
      </c>
      <c r="C30">
        <v>7.2896799999999998E-2</v>
      </c>
      <c r="D30">
        <v>5.69582E-2</v>
      </c>
      <c r="E30">
        <v>6.2056699999999999E-2</v>
      </c>
      <c r="F30">
        <v>9.5913799999999994E-2</v>
      </c>
      <c r="G30">
        <v>0.131081</v>
      </c>
      <c r="H30">
        <v>0.25989000000000001</v>
      </c>
      <c r="I30">
        <v>5.74116E-2</v>
      </c>
      <c r="J30">
        <v>0.15181800000000001</v>
      </c>
      <c r="K30">
        <v>2.9956199999999999E-2</v>
      </c>
      <c r="L30">
        <v>3.5079899999999997E-2</v>
      </c>
      <c r="M30">
        <v>1.7161200000000001E-2</v>
      </c>
      <c r="N30">
        <v>2.2182799999999999E-2</v>
      </c>
      <c r="O30">
        <v>4.1998799999999996E-3</v>
      </c>
      <c r="P30">
        <v>1.7650999999999999E-3</v>
      </c>
      <c r="S30">
        <v>4.6045E-4</v>
      </c>
      <c r="T30">
        <v>7.6072600000000004E-2</v>
      </c>
      <c r="U30">
        <v>2.7155200000000001E-2</v>
      </c>
      <c r="V30">
        <v>5.8872599999999997E-2</v>
      </c>
      <c r="W30">
        <v>9.4697600000000007E-2</v>
      </c>
      <c r="X30">
        <v>0.103979</v>
      </c>
      <c r="Y30">
        <v>0.26279200000000003</v>
      </c>
      <c r="Z30">
        <v>3.5341400000000002E-2</v>
      </c>
      <c r="AA30">
        <v>0.14860999999999999</v>
      </c>
      <c r="AB30">
        <v>1.4827999999999999E-2</v>
      </c>
      <c r="AC30">
        <v>7.8252299999999997E-2</v>
      </c>
      <c r="AD30">
        <v>9.3670699999999999E-3</v>
      </c>
      <c r="AE30">
        <v>4.9434199999999998E-2</v>
      </c>
      <c r="AF30">
        <v>1.16125E-2</v>
      </c>
      <c r="AG30">
        <v>2.8524899999999999E-2</v>
      </c>
      <c r="AJ30" s="27">
        <f t="shared" si="21"/>
        <v>148.55131544402144</v>
      </c>
      <c r="AK30" s="27">
        <f>$AJ30</f>
        <v>148.55131544402144</v>
      </c>
      <c r="AO30" s="28">
        <f t="shared" si="15"/>
        <v>2.5464169061728694</v>
      </c>
      <c r="AP30">
        <v>173.73151464127912</v>
      </c>
      <c r="AQ30">
        <f t="shared" si="16"/>
        <v>1991</v>
      </c>
      <c r="AR30" s="20">
        <f t="shared" si="1"/>
        <v>-0.38179875757035792</v>
      </c>
      <c r="AS30" s="20">
        <f t="shared" si="2"/>
        <v>0.16101790628163659</v>
      </c>
      <c r="AT30" s="20">
        <f t="shared" si="3"/>
        <v>-1.6949452964425582</v>
      </c>
      <c r="AU30" s="20">
        <f t="shared" si="4"/>
        <v>-0.17395758520040266</v>
      </c>
      <c r="AV30" s="20">
        <f t="shared" si="5"/>
        <v>-5.4437582829895532E-2</v>
      </c>
      <c r="AW30" s="20">
        <f t="shared" si="6"/>
        <v>-1.0584762654053155</v>
      </c>
      <c r="AX30" s="20">
        <f t="shared" si="7"/>
        <v>8.7215523196043129E-2</v>
      </c>
      <c r="AY30" s="20">
        <f t="shared" si="8"/>
        <v>-1.2505028940593483</v>
      </c>
      <c r="AZ30" s="20">
        <f t="shared" si="9"/>
        <v>-0.11783315437143296</v>
      </c>
      <c r="BA30" s="20">
        <f t="shared" si="10"/>
        <v>-1.1697351152225159</v>
      </c>
      <c r="BB30" s="20">
        <f t="shared" si="20"/>
        <v>3.0929339471206512</v>
      </c>
      <c r="BC30" s="20">
        <f t="shared" si="11"/>
        <v>-0.79102821650834132</v>
      </c>
      <c r="BD30" s="20">
        <f t="shared" si="12"/>
        <v>2.4388837689646614</v>
      </c>
      <c r="BE30" s="20">
        <f t="shared" si="13"/>
        <v>1.5107983853167744</v>
      </c>
      <c r="BF30" s="20">
        <f>(AG30-P30)/(SQRT(P30*(1-P30)/$AP30))</f>
        <v>8.402744030697896</v>
      </c>
      <c r="BG30">
        <v>1991</v>
      </c>
      <c r="BH30" s="20">
        <f t="shared" si="17"/>
        <v>-0.63857538257709312</v>
      </c>
      <c r="BI30" s="20">
        <f t="shared" si="18"/>
        <v>-0.29991397755989263</v>
      </c>
      <c r="BJ30" s="20">
        <f t="shared" si="19"/>
        <v>1.9095376637139563</v>
      </c>
    </row>
    <row r="31" spans="1:62" x14ac:dyDescent="0.15">
      <c r="A31" s="21">
        <v>1992</v>
      </c>
      <c r="B31">
        <v>1.27144E-3</v>
      </c>
      <c r="C31">
        <v>3.50023E-2</v>
      </c>
      <c r="D31">
        <v>0.34202900000000003</v>
      </c>
      <c r="E31">
        <v>9.9142400000000006E-2</v>
      </c>
      <c r="F31">
        <v>5.2147899999999997E-2</v>
      </c>
      <c r="G31">
        <v>6.6403900000000002E-2</v>
      </c>
      <c r="H31">
        <v>9.0480199999999997E-2</v>
      </c>
      <c r="I31">
        <v>0.13957800000000001</v>
      </c>
      <c r="J31">
        <v>3.5465700000000003E-2</v>
      </c>
      <c r="K31">
        <v>8.0019499999999993E-2</v>
      </c>
      <c r="L31">
        <v>1.5870499999999999E-2</v>
      </c>
      <c r="M31">
        <v>1.8585000000000001E-2</v>
      </c>
      <c r="N31">
        <v>9.0918800000000001E-3</v>
      </c>
      <c r="O31">
        <v>1.17523E-2</v>
      </c>
      <c r="P31">
        <v>3.1601899999999998E-3</v>
      </c>
      <c r="S31">
        <v>0</v>
      </c>
      <c r="T31">
        <v>4.8702799999999997E-2</v>
      </c>
      <c r="U31">
        <v>0.35137499999999999</v>
      </c>
      <c r="V31">
        <v>6.9120699999999993E-2</v>
      </c>
      <c r="W31">
        <v>4.14104E-2</v>
      </c>
      <c r="X31">
        <v>5.9468699999999999E-2</v>
      </c>
      <c r="Y31">
        <v>6.99293E-2</v>
      </c>
      <c r="Z31">
        <v>0.13129099999999999</v>
      </c>
      <c r="AA31">
        <v>5.21205E-2</v>
      </c>
      <c r="AB31">
        <v>8.0742999999999995E-2</v>
      </c>
      <c r="AC31">
        <v>2.82823E-2</v>
      </c>
      <c r="AD31">
        <v>2.24298E-2</v>
      </c>
      <c r="AE31">
        <v>6.4984600000000002E-3</v>
      </c>
      <c r="AF31">
        <v>2.17889E-2</v>
      </c>
      <c r="AG31">
        <v>1.6839199999999999E-2</v>
      </c>
      <c r="AJ31" s="27">
        <f t="shared" si="21"/>
        <v>321.97878828947188</v>
      </c>
      <c r="AL31" s="27">
        <f>$AJ31</f>
        <v>321.97878828947188</v>
      </c>
      <c r="AO31" s="28">
        <f t="shared" si="15"/>
        <v>1.2380972261333179</v>
      </c>
      <c r="AP31">
        <v>200.46273439294478</v>
      </c>
      <c r="AQ31">
        <f t="shared" si="16"/>
        <v>1992</v>
      </c>
      <c r="AR31" s="20">
        <f t="shared" si="1"/>
        <v>-0.50517404083779438</v>
      </c>
      <c r="AS31" s="20">
        <f t="shared" si="2"/>
        <v>1.0554600790993571</v>
      </c>
      <c r="AT31" s="20">
        <f t="shared" si="3"/>
        <v>0.27893804973638814</v>
      </c>
      <c r="AU31" s="20">
        <f t="shared" si="4"/>
        <v>-1.422310180110536</v>
      </c>
      <c r="AV31" s="20">
        <f t="shared" si="5"/>
        <v>-0.68380347188860935</v>
      </c>
      <c r="AW31" s="20">
        <f t="shared" si="6"/>
        <v>-0.39436603779782686</v>
      </c>
      <c r="AX31" s="20">
        <f t="shared" si="7"/>
        <v>-1.014296241183344</v>
      </c>
      <c r="AY31" s="20">
        <f t="shared" si="8"/>
        <v>-0.33857113169354497</v>
      </c>
      <c r="AZ31" s="20">
        <f t="shared" si="9"/>
        <v>1.274949962841645</v>
      </c>
      <c r="BA31" s="20">
        <f t="shared" si="10"/>
        <v>3.7754448678886776E-2</v>
      </c>
      <c r="BB31" s="20">
        <f t="shared" si="20"/>
        <v>1.4061451848980966</v>
      </c>
      <c r="BC31" s="20">
        <f t="shared" si="11"/>
        <v>0.40307229674302231</v>
      </c>
      <c r="BD31" s="20">
        <f t="shared" si="12"/>
        <v>-0.38685315186419522</v>
      </c>
      <c r="BE31" s="20">
        <f t="shared" si="13"/>
        <v>1.3185879432656105</v>
      </c>
      <c r="BF31" s="20">
        <f t="shared" si="14"/>
        <v>3.450660305046267</v>
      </c>
      <c r="BG31">
        <v>1992</v>
      </c>
      <c r="BH31" s="20">
        <f t="shared" si="17"/>
        <v>0.2764080293326503</v>
      </c>
      <c r="BI31" s="20">
        <f t="shared" si="18"/>
        <v>-0.87869398274507904</v>
      </c>
      <c r="BJ31" s="20">
        <f t="shared" si="19"/>
        <v>1.0720452842299046</v>
      </c>
    </row>
    <row r="32" spans="1:62" x14ac:dyDescent="0.15">
      <c r="A32" s="21">
        <v>1993</v>
      </c>
      <c r="B32">
        <v>1.65844E-3</v>
      </c>
      <c r="C32">
        <v>1.46865E-2</v>
      </c>
      <c r="D32">
        <v>0.121517</v>
      </c>
      <c r="E32">
        <v>0.56616599999999995</v>
      </c>
      <c r="F32">
        <v>7.7598799999999996E-2</v>
      </c>
      <c r="G32">
        <v>3.6398300000000001E-2</v>
      </c>
      <c r="H32">
        <v>3.6147699999999998E-2</v>
      </c>
      <c r="I32">
        <v>3.5233399999999998E-2</v>
      </c>
      <c r="J32">
        <v>5.00296E-2</v>
      </c>
      <c r="K32">
        <v>1.21551E-2</v>
      </c>
      <c r="L32">
        <v>2.7973000000000001E-2</v>
      </c>
      <c r="M32">
        <v>5.5479800000000001E-3</v>
      </c>
      <c r="N32">
        <v>6.4968999999999999E-3</v>
      </c>
      <c r="O32">
        <v>3.1783100000000002E-3</v>
      </c>
      <c r="P32">
        <v>5.2130600000000003E-3</v>
      </c>
      <c r="S32">
        <v>8.7097999999999999E-5</v>
      </c>
      <c r="T32">
        <v>4.2855999999999997E-3</v>
      </c>
      <c r="U32">
        <v>0.13875000000000001</v>
      </c>
      <c r="V32">
        <v>0.60531100000000004</v>
      </c>
      <c r="W32">
        <v>5.3946500000000001E-2</v>
      </c>
      <c r="X32">
        <v>3.4765400000000002E-2</v>
      </c>
      <c r="Y32">
        <v>3.3647000000000003E-2</v>
      </c>
      <c r="Z32">
        <v>2.8126100000000001E-2</v>
      </c>
      <c r="AA32">
        <v>4.81754E-2</v>
      </c>
      <c r="AB32">
        <v>1.08196E-2</v>
      </c>
      <c r="AC32">
        <v>1.70609E-2</v>
      </c>
      <c r="AD32">
        <v>6.1771700000000001E-3</v>
      </c>
      <c r="AE32">
        <v>6.6121900000000004E-3</v>
      </c>
      <c r="AF32">
        <v>3.5210100000000002E-3</v>
      </c>
      <c r="AG32">
        <v>8.7145999999999994E-3</v>
      </c>
      <c r="AJ32" s="27">
        <f t="shared" si="21"/>
        <v>241.48992452657492</v>
      </c>
      <c r="AM32" s="27">
        <f>$AJ32</f>
        <v>241.48992452657492</v>
      </c>
      <c r="AN32" s="27"/>
      <c r="AO32" s="28">
        <f t="shared" si="15"/>
        <v>0.79928492811174312</v>
      </c>
      <c r="AP32">
        <v>272.58080454984281</v>
      </c>
      <c r="AQ32">
        <f t="shared" si="16"/>
        <v>1993</v>
      </c>
      <c r="AR32" s="20">
        <f t="shared" si="1"/>
        <v>-0.63757150072030588</v>
      </c>
      <c r="AS32" s="20">
        <f t="shared" si="2"/>
        <v>-1.4274870726990241</v>
      </c>
      <c r="AT32" s="20">
        <f t="shared" si="3"/>
        <v>0.87080982855113054</v>
      </c>
      <c r="AU32" s="20">
        <f t="shared" si="4"/>
        <v>1.304037999400385</v>
      </c>
      <c r="AV32" s="20">
        <f t="shared" si="5"/>
        <v>-1.4595990804336192</v>
      </c>
      <c r="AW32" s="20">
        <f t="shared" si="6"/>
        <v>-0.14395206350155515</v>
      </c>
      <c r="AX32" s="20">
        <f t="shared" si="7"/>
        <v>-0.22118906356068868</v>
      </c>
      <c r="AY32" s="20">
        <f t="shared" si="8"/>
        <v>-0.63644939043961257</v>
      </c>
      <c r="AZ32" s="20">
        <f t="shared" si="9"/>
        <v>-0.14042216327753243</v>
      </c>
      <c r="BA32" s="20">
        <f t="shared" si="10"/>
        <v>-0.20121848638427708</v>
      </c>
      <c r="BB32" s="20">
        <f t="shared" si="20"/>
        <v>-1.0925650024624489</v>
      </c>
      <c r="BC32" s="20">
        <f t="shared" si="11"/>
        <v>0.13985245213077521</v>
      </c>
      <c r="BD32" s="20">
        <f t="shared" si="12"/>
        <v>2.3691991564888354E-2</v>
      </c>
      <c r="BE32" s="20">
        <f t="shared" si="13"/>
        <v>0.10052055369607243</v>
      </c>
      <c r="BF32" s="20">
        <f t="shared" si="14"/>
        <v>0.80277775038089372</v>
      </c>
      <c r="BG32">
        <v>1993</v>
      </c>
      <c r="BH32" s="20">
        <f t="shared" si="17"/>
        <v>-0.39808291495606646</v>
      </c>
      <c r="BI32" s="20">
        <f t="shared" si="18"/>
        <v>-0.13017555202386949</v>
      </c>
      <c r="BJ32" s="20">
        <f t="shared" si="19"/>
        <v>-5.2480414907375553E-2</v>
      </c>
    </row>
    <row r="33" spans="1:62" x14ac:dyDescent="0.15">
      <c r="A33" s="21">
        <v>1994</v>
      </c>
      <c r="B33">
        <v>4.9108799999999998E-4</v>
      </c>
      <c r="C33">
        <v>2.7220399999999999E-2</v>
      </c>
      <c r="D33">
        <v>5.2135300000000002E-2</v>
      </c>
      <c r="E33">
        <v>0.18124799999999999</v>
      </c>
      <c r="F33">
        <v>0.53440299999999996</v>
      </c>
      <c r="G33">
        <v>8.1146300000000005E-2</v>
      </c>
      <c r="H33">
        <v>2.8140600000000002E-2</v>
      </c>
      <c r="I33">
        <v>1.89695E-2</v>
      </c>
      <c r="J33">
        <v>1.8327900000000001E-2</v>
      </c>
      <c r="K33">
        <v>2.5549100000000002E-2</v>
      </c>
      <c r="L33">
        <v>6.4964599999999999E-3</v>
      </c>
      <c r="M33">
        <v>1.49505E-2</v>
      </c>
      <c r="N33">
        <v>2.96518E-3</v>
      </c>
      <c r="O33">
        <v>3.4723499999999999E-3</v>
      </c>
      <c r="P33">
        <v>4.4848700000000002E-3</v>
      </c>
      <c r="S33">
        <v>8.9005599999999996E-4</v>
      </c>
      <c r="T33">
        <v>1.9537700000000002E-2</v>
      </c>
      <c r="U33">
        <v>3.0823300000000001E-2</v>
      </c>
      <c r="V33">
        <v>0.195297</v>
      </c>
      <c r="W33">
        <v>0.57924699999999996</v>
      </c>
      <c r="X33">
        <v>9.5446400000000001E-2</v>
      </c>
      <c r="Y33">
        <v>2.9574300000000001E-2</v>
      </c>
      <c r="Z33">
        <v>1.0966999999999999E-2</v>
      </c>
      <c r="AA33">
        <v>7.2579200000000002E-3</v>
      </c>
      <c r="AB33">
        <v>1.12467E-2</v>
      </c>
      <c r="AC33">
        <v>4.6451299999999999E-3</v>
      </c>
      <c r="AD33">
        <v>5.1085699999999998E-3</v>
      </c>
      <c r="AE33">
        <v>3.8176799999999999E-3</v>
      </c>
      <c r="AF33">
        <v>2.0198199999999999E-3</v>
      </c>
      <c r="AG33">
        <v>4.1211199999999998E-3</v>
      </c>
      <c r="AJ33" s="27">
        <f t="shared" si="21"/>
        <v>195.48108893381959</v>
      </c>
      <c r="AK33" s="27">
        <f>$AJ33</f>
        <v>195.48108893381959</v>
      </c>
      <c r="AO33" s="28">
        <f t="shared" si="15"/>
        <v>0.58832622932274914</v>
      </c>
      <c r="AP33">
        <v>107.91647105859558</v>
      </c>
      <c r="AQ33">
        <f t="shared" si="16"/>
        <v>1994</v>
      </c>
      <c r="AR33" s="20">
        <f t="shared" si="1"/>
        <v>0.18707206266401016</v>
      </c>
      <c r="AS33" s="20">
        <f t="shared" si="2"/>
        <v>-0.49045962730069287</v>
      </c>
      <c r="AT33" s="20">
        <f t="shared" si="3"/>
        <v>-0.99593033731764358</v>
      </c>
      <c r="AU33" s="20">
        <f t="shared" si="4"/>
        <v>0.37885801689602583</v>
      </c>
      <c r="AV33" s="20">
        <f t="shared" si="5"/>
        <v>0.9339178605406554</v>
      </c>
      <c r="AW33" s="20">
        <f t="shared" si="6"/>
        <v>0.54403319133913852</v>
      </c>
      <c r="AX33" s="20">
        <f t="shared" si="7"/>
        <v>9.0060376150099028E-2</v>
      </c>
      <c r="AY33" s="20">
        <f t="shared" si="8"/>
        <v>-0.60939705853855297</v>
      </c>
      <c r="AZ33" s="20">
        <f t="shared" si="9"/>
        <v>-0.85733613047481061</v>
      </c>
      <c r="BA33" s="20">
        <f t="shared" si="10"/>
        <v>-0.94164022821875026</v>
      </c>
      <c r="BB33" s="20">
        <f t="shared" si="20"/>
        <v>-0.23938923257973166</v>
      </c>
      <c r="BC33" s="20">
        <f t="shared" si="11"/>
        <v>-0.84249484709481159</v>
      </c>
      <c r="BD33" s="20">
        <f t="shared" si="12"/>
        <v>0.16287617483696196</v>
      </c>
      <c r="BE33" s="20">
        <f t="shared" si="13"/>
        <v>-0.25651487526402644</v>
      </c>
      <c r="BF33" s="20">
        <f t="shared" si="14"/>
        <v>-5.6552005079181462E-2</v>
      </c>
      <c r="BG33">
        <v>1994</v>
      </c>
      <c r="BH33" s="20">
        <f t="shared" si="17"/>
        <v>-0.43310596731810874</v>
      </c>
      <c r="BI33" s="20">
        <f t="shared" si="18"/>
        <v>0.48671736123147974</v>
      </c>
      <c r="BJ33" s="20">
        <f t="shared" si="19"/>
        <v>-0.43300730626776424</v>
      </c>
    </row>
    <row r="34" spans="1:62" x14ac:dyDescent="0.15">
      <c r="A34" s="21">
        <v>1995</v>
      </c>
      <c r="B34">
        <v>3.1758600000000002E-4</v>
      </c>
      <c r="C34">
        <v>1.0535299999999999E-2</v>
      </c>
      <c r="D34">
        <v>7.7136200000000002E-2</v>
      </c>
      <c r="E34">
        <v>8.8121000000000005E-2</v>
      </c>
      <c r="F34">
        <v>0.22850000000000001</v>
      </c>
      <c r="G34">
        <v>0.45374300000000001</v>
      </c>
      <c r="H34">
        <v>6.6427299999999995E-2</v>
      </c>
      <c r="I34">
        <v>1.7360500000000001E-2</v>
      </c>
      <c r="J34">
        <v>1.14629E-2</v>
      </c>
      <c r="K34">
        <v>1.09248E-2</v>
      </c>
      <c r="L34">
        <v>1.5647500000000002E-2</v>
      </c>
      <c r="M34">
        <v>3.9787499999999996E-3</v>
      </c>
      <c r="N34">
        <v>9.1564200000000002E-3</v>
      </c>
      <c r="O34">
        <v>1.81602E-3</v>
      </c>
      <c r="P34">
        <v>4.87339E-3</v>
      </c>
      <c r="S34">
        <v>0</v>
      </c>
      <c r="T34">
        <v>2.9289600000000001E-4</v>
      </c>
      <c r="U34">
        <v>5.0363100000000001E-2</v>
      </c>
      <c r="V34">
        <v>9.39223E-2</v>
      </c>
      <c r="W34">
        <v>0.246087</v>
      </c>
      <c r="X34">
        <v>0.47128500000000001</v>
      </c>
      <c r="Y34">
        <v>8.0852999999999994E-2</v>
      </c>
      <c r="Z34">
        <v>1.9942000000000001E-2</v>
      </c>
      <c r="AA34">
        <v>6.8588499999999997E-3</v>
      </c>
      <c r="AB34">
        <v>5.2520600000000002E-3</v>
      </c>
      <c r="AC34">
        <v>1.1285099999999999E-2</v>
      </c>
      <c r="AD34">
        <v>3.3881900000000001E-3</v>
      </c>
      <c r="AE34">
        <v>3.9102099999999999E-3</v>
      </c>
      <c r="AF34">
        <v>9.5909100000000002E-4</v>
      </c>
      <c r="AG34">
        <v>5.6012299999999996E-3</v>
      </c>
      <c r="AJ34" s="27">
        <f t="shared" si="21"/>
        <v>404.03920090204025</v>
      </c>
      <c r="AL34" s="27">
        <f>$AJ34</f>
        <v>404.03920090204025</v>
      </c>
      <c r="AO34" s="28">
        <f t="shared" si="15"/>
        <v>0.57133333757712035</v>
      </c>
      <c r="AP34">
        <v>137.83466950569382</v>
      </c>
      <c r="AQ34">
        <f t="shared" si="16"/>
        <v>1995</v>
      </c>
      <c r="AR34" s="20">
        <f t="shared" si="1"/>
        <v>-0.20925646439353204</v>
      </c>
      <c r="AS34" s="20">
        <f t="shared" si="2"/>
        <v>-1.1777619806371999</v>
      </c>
      <c r="AT34" s="20">
        <f t="shared" si="3"/>
        <v>-1.1780940681166512</v>
      </c>
      <c r="AU34" s="20">
        <f t="shared" si="4"/>
        <v>0.24026817163555683</v>
      </c>
      <c r="AV34" s="20">
        <f t="shared" si="5"/>
        <v>0.4917676213561949</v>
      </c>
      <c r="AW34" s="20">
        <f t="shared" si="6"/>
        <v>0.41367079846830951</v>
      </c>
      <c r="AX34" s="20">
        <f t="shared" si="7"/>
        <v>0.68009371119954809</v>
      </c>
      <c r="AY34" s="20">
        <f t="shared" si="8"/>
        <v>0.23204549456927481</v>
      </c>
      <c r="AZ34" s="20">
        <f t="shared" si="9"/>
        <v>-0.50777992559974983</v>
      </c>
      <c r="BA34" s="20">
        <f t="shared" si="10"/>
        <v>-0.64069407789545108</v>
      </c>
      <c r="BB34" s="20">
        <f t="shared" si="20"/>
        <v>-0.41267381690266375</v>
      </c>
      <c r="BC34" s="20">
        <f t="shared" si="11"/>
        <v>-0.11013760659828703</v>
      </c>
      <c r="BD34" s="20">
        <f t="shared" si="12"/>
        <v>-0.64663543970361426</v>
      </c>
      <c r="BE34" s="20">
        <f t="shared" si="13"/>
        <v>-0.23629713915393136</v>
      </c>
      <c r="BF34" s="20">
        <f t="shared" si="14"/>
        <v>0.12270447466145043</v>
      </c>
      <c r="BG34">
        <v>1995</v>
      </c>
      <c r="BH34" s="20">
        <f t="shared" si="17"/>
        <v>-0.85503750438246107</v>
      </c>
      <c r="BI34" s="20">
        <f t="shared" si="18"/>
        <v>0.45645007566490237</v>
      </c>
      <c r="BJ34" s="20">
        <f t="shared" si="19"/>
        <v>-0.34735907588460674</v>
      </c>
    </row>
    <row r="35" spans="1:62" x14ac:dyDescent="0.15">
      <c r="A35" s="21">
        <v>1996</v>
      </c>
      <c r="B35">
        <f>pm.rep!B365</f>
        <v>7.3479000000000003E-4</v>
      </c>
      <c r="C35">
        <f>pm.rep!C365</f>
        <v>1.1957799999999999E-2</v>
      </c>
      <c r="D35">
        <f>pm.rep!D365</f>
        <v>3.7131699999999997E-2</v>
      </c>
      <c r="E35">
        <f>pm.rep!E365</f>
        <v>0.11286599999999999</v>
      </c>
      <c r="F35">
        <f>pm.rep!F365</f>
        <v>0.13839299999999999</v>
      </c>
      <c r="G35">
        <f>pm.rep!G365</f>
        <v>0.25657400000000002</v>
      </c>
      <c r="H35">
        <f>pm.rep!H365</f>
        <v>0.33506599999999997</v>
      </c>
      <c r="I35">
        <f>pm.rep!I365</f>
        <v>5.3287399999999999E-2</v>
      </c>
      <c r="J35">
        <f>pm.rep!J365</f>
        <v>1.26756E-2</v>
      </c>
      <c r="K35">
        <f>pm.rep!K365</f>
        <v>7.9519699999999992E-3</v>
      </c>
      <c r="L35">
        <f>pm.rep!L365</f>
        <v>7.8552199999999996E-3</v>
      </c>
      <c r="M35">
        <f>pm.rep!M365</f>
        <v>1.1251000000000001E-2</v>
      </c>
      <c r="N35">
        <f>pm.rep!N365</f>
        <v>2.8608399999999999E-3</v>
      </c>
      <c r="O35">
        <f>pm.rep!O365</f>
        <v>6.5837300000000003E-3</v>
      </c>
      <c r="P35">
        <f>pm.rep!P365</f>
        <v>4.8098799999999999E-3</v>
      </c>
      <c r="S35">
        <f>pm.rep!B310</f>
        <v>0</v>
      </c>
      <c r="T35">
        <f>pm.rep!C310</f>
        <v>1.6193599999999999E-2</v>
      </c>
      <c r="U35">
        <f>pm.rep!D310</f>
        <v>3.9191700000000003E-2</v>
      </c>
      <c r="V35">
        <f>pm.rep!E310</f>
        <v>5.7006899999999999E-2</v>
      </c>
      <c r="W35">
        <f>pm.rep!F310</f>
        <v>0.11598799999999999</v>
      </c>
      <c r="X35">
        <f>pm.rep!G310</f>
        <v>0.256795</v>
      </c>
      <c r="Y35">
        <f>pm.rep!H310</f>
        <v>0.331094</v>
      </c>
      <c r="Z35">
        <f>pm.rep!I310</f>
        <v>0.12934699999999999</v>
      </c>
      <c r="AA35">
        <f>pm.rep!J310</f>
        <v>2.1890099999999999E-2</v>
      </c>
      <c r="AB35">
        <f>pm.rep!K310</f>
        <v>9.3588500000000002E-3</v>
      </c>
      <c r="AC35">
        <f>pm.rep!L310</f>
        <v>6.1417800000000003E-3</v>
      </c>
      <c r="AD35">
        <f>pm.rep!M310</f>
        <v>5.96614E-3</v>
      </c>
      <c r="AE35">
        <f>pm.rep!N310</f>
        <v>3.3301799999999999E-3</v>
      </c>
      <c r="AF35">
        <f>pm.rep!O310</f>
        <v>3.6975699999999998E-3</v>
      </c>
      <c r="AG35">
        <f>pm.rep!P310</f>
        <v>3.9995300000000003E-3</v>
      </c>
      <c r="AJ35" s="27">
        <f t="shared" si="21"/>
        <v>82.019866663441931</v>
      </c>
      <c r="AM35" s="27">
        <f>$AJ35</f>
        <v>82.019866663441931</v>
      </c>
      <c r="AN35" s="27"/>
      <c r="AO35" s="28">
        <f t="shared" si="15"/>
        <v>1.31777391498367</v>
      </c>
      <c r="AP35">
        <v>148.96172310094704</v>
      </c>
      <c r="AQ35">
        <f t="shared" si="16"/>
        <v>1996</v>
      </c>
      <c r="AR35" s="20">
        <f t="shared" si="1"/>
        <v>-0.33096234004280173</v>
      </c>
      <c r="AS35" s="20">
        <f t="shared" si="2"/>
        <v>0.4756192239922637</v>
      </c>
      <c r="AT35" s="20">
        <f t="shared" si="3"/>
        <v>0.13296847964911337</v>
      </c>
      <c r="AU35" s="20">
        <f t="shared" si="4"/>
        <v>-2.1545426659321225</v>
      </c>
      <c r="AV35" s="20">
        <f t="shared" si="5"/>
        <v>-0.79190050638546228</v>
      </c>
      <c r="AW35" s="20">
        <f t="shared" si="6"/>
        <v>6.1759592535784603E-3</v>
      </c>
      <c r="AX35" s="20">
        <f t="shared" si="7"/>
        <v>-0.10270512909488859</v>
      </c>
      <c r="AY35" s="20">
        <f t="shared" si="8"/>
        <v>4.1330440765944294</v>
      </c>
      <c r="AZ35" s="20">
        <f t="shared" si="9"/>
        <v>1.0052982351528912</v>
      </c>
      <c r="BA35" s="20">
        <f t="shared" si="10"/>
        <v>0.19332618615995081</v>
      </c>
      <c r="BB35" s="20">
        <f t="shared" si="20"/>
        <v>-0.23688608073453038</v>
      </c>
      <c r="BC35" s="20">
        <f t="shared" si="11"/>
        <v>-0.61155037904448906</v>
      </c>
      <c r="BD35" s="20">
        <f t="shared" si="12"/>
        <v>0.10725072626812626</v>
      </c>
      <c r="BE35" s="20">
        <f t="shared" si="13"/>
        <v>-0.43556814136530458</v>
      </c>
      <c r="BF35" s="20">
        <f t="shared" si="14"/>
        <v>-0.14295186691133815</v>
      </c>
      <c r="BG35">
        <v>1996</v>
      </c>
      <c r="BH35" s="20">
        <f t="shared" si="17"/>
        <v>9.2541787866191785E-2</v>
      </c>
      <c r="BI35" s="20">
        <f t="shared" si="18"/>
        <v>-0.76074308553972358</v>
      </c>
      <c r="BJ35" s="20">
        <f t="shared" si="19"/>
        <v>-1.7297331496384825E-2</v>
      </c>
    </row>
    <row r="36" spans="1:62" x14ac:dyDescent="0.15">
      <c r="A36" s="21">
        <v>1997</v>
      </c>
      <c r="B36">
        <f>pm.rep!B366</f>
        <v>9.1629500000000002E-4</v>
      </c>
      <c r="C36">
        <f>pm.rep!C366</f>
        <v>3.39811E-2</v>
      </c>
      <c r="D36">
        <f>pm.rep!D366</f>
        <v>2.9814500000000001E-2</v>
      </c>
      <c r="E36">
        <f>pm.rep!E366</f>
        <v>6.4578700000000003E-2</v>
      </c>
      <c r="F36">
        <f>pm.rep!F366</f>
        <v>0.30008800000000002</v>
      </c>
      <c r="G36">
        <f>pm.rep!G366</f>
        <v>0.192271</v>
      </c>
      <c r="H36">
        <f>pm.rep!H366</f>
        <v>0.17322199999999999</v>
      </c>
      <c r="I36">
        <f>pm.rep!I366</f>
        <v>0.14888799999999999</v>
      </c>
      <c r="J36">
        <f>pm.rep!J366</f>
        <v>2.53718E-2</v>
      </c>
      <c r="K36">
        <f>pm.rep!K366</f>
        <v>6.6112999999999996E-3</v>
      </c>
      <c r="L36">
        <f>pm.rep!L366</f>
        <v>4.6692900000000004E-3</v>
      </c>
      <c r="M36">
        <f>pm.rep!M366</f>
        <v>4.6124800000000004E-3</v>
      </c>
      <c r="N36">
        <f>pm.rep!N366</f>
        <v>6.6064499999999998E-3</v>
      </c>
      <c r="O36">
        <f>pm.rep!O366</f>
        <v>1.6798399999999999E-3</v>
      </c>
      <c r="P36">
        <f>pm.rep!P366</f>
        <v>6.6901699999999996E-3</v>
      </c>
      <c r="S36">
        <f>pm.rep!B311</f>
        <v>1.5192599999999999E-3</v>
      </c>
      <c r="T36">
        <f>pm.rep!C311</f>
        <v>5.3697599999999998E-2</v>
      </c>
      <c r="U36">
        <f>pm.rep!D311</f>
        <v>2.4262300000000001E-2</v>
      </c>
      <c r="V36">
        <f>pm.rep!E311</f>
        <v>7.1756399999999998E-2</v>
      </c>
      <c r="W36">
        <f>pm.rep!F311</f>
        <v>0.307506</v>
      </c>
      <c r="X36">
        <f>pm.rep!G311</f>
        <v>0.18525</v>
      </c>
      <c r="Y36">
        <f>pm.rep!H311</f>
        <v>0.161498</v>
      </c>
      <c r="Z36">
        <f>pm.rep!I311</f>
        <v>0.12640599999999999</v>
      </c>
      <c r="AA36">
        <f>pm.rep!J311</f>
        <v>3.9569699999999999E-2</v>
      </c>
      <c r="AB36">
        <f>pm.rep!K311</f>
        <v>8.7151499999999996E-3</v>
      </c>
      <c r="AC36">
        <f>pm.rep!L311</f>
        <v>4.1252700000000003E-3</v>
      </c>
      <c r="AD36">
        <f>pm.rep!M311</f>
        <v>3.1979199999999999E-3</v>
      </c>
      <c r="AE36">
        <f>pm.rep!N311</f>
        <v>2.2527799999999998E-3</v>
      </c>
      <c r="AF36">
        <f>pm.rep!O311</f>
        <v>3.06435E-3</v>
      </c>
      <c r="AG36">
        <f>pm.rep!P311</f>
        <v>7.1796899999999999E-3</v>
      </c>
      <c r="AJ36" s="27">
        <f t="shared" si="21"/>
        <v>561.96536843266972</v>
      </c>
      <c r="AK36" s="27">
        <f>$AJ36</f>
        <v>561.96536843266972</v>
      </c>
      <c r="AO36" s="28">
        <f t="shared" si="15"/>
        <v>0.76996917090714612</v>
      </c>
      <c r="AP36">
        <v>256.40006004850068</v>
      </c>
      <c r="AQ36">
        <f t="shared" si="16"/>
        <v>1997</v>
      </c>
      <c r="AR36" s="20">
        <f t="shared" si="1"/>
        <v>0.31910423549874717</v>
      </c>
      <c r="AS36" s="20">
        <f t="shared" si="2"/>
        <v>1.742518333172814</v>
      </c>
      <c r="AT36" s="20">
        <f t="shared" si="3"/>
        <v>-0.52273671947835376</v>
      </c>
      <c r="AU36" s="20">
        <f t="shared" si="4"/>
        <v>0.46762324073666423</v>
      </c>
      <c r="AV36" s="20">
        <f t="shared" si="5"/>
        <v>0.25917902749351757</v>
      </c>
      <c r="AW36" s="20">
        <f t="shared" si="6"/>
        <v>-0.28527801497675442</v>
      </c>
      <c r="AX36" s="20">
        <f t="shared" si="7"/>
        <v>-0.49606534778274169</v>
      </c>
      <c r="AY36" s="20">
        <f t="shared" si="8"/>
        <v>-1.011278559780511</v>
      </c>
      <c r="AZ36" s="20">
        <f t="shared" si="9"/>
        <v>1.4457328461714976</v>
      </c>
      <c r="BA36" s="20">
        <f t="shared" si="10"/>
        <v>0.41569116439870579</v>
      </c>
      <c r="BB36" s="20">
        <f t="shared" si="20"/>
        <v>-0.12778056421465794</v>
      </c>
      <c r="BC36" s="20">
        <f t="shared" si="11"/>
        <v>-0.33428515502295392</v>
      </c>
      <c r="BD36" s="20">
        <f t="shared" si="12"/>
        <v>-0.86053754731574306</v>
      </c>
      <c r="BE36" s="20">
        <f t="shared" si="13"/>
        <v>0.54136014317941206</v>
      </c>
      <c r="BF36" s="20">
        <f t="shared" si="14"/>
        <v>9.6154266228215921E-2</v>
      </c>
      <c r="BG36">
        <v>1997</v>
      </c>
      <c r="BH36" s="20">
        <f t="shared" si="17"/>
        <v>0.51296194973106912</v>
      </c>
      <c r="BI36" s="20">
        <f t="shared" si="18"/>
        <v>-1.3635273632328582E-2</v>
      </c>
      <c r="BJ36" s="20">
        <f t="shared" si="19"/>
        <v>0.16804787906063948</v>
      </c>
    </row>
    <row r="37" spans="1:62" x14ac:dyDescent="0.15">
      <c r="A37" s="21">
        <v>1998</v>
      </c>
      <c r="B37">
        <f>pm.rep!B367</f>
        <v>3.4451399999999997E-4</v>
      </c>
      <c r="C37">
        <f>pm.rep!C367</f>
        <v>2.9912999999999999E-2</v>
      </c>
      <c r="D37">
        <f>pm.rep!D367</f>
        <v>7.3685200000000006E-2</v>
      </c>
      <c r="E37">
        <f>pm.rep!E367</f>
        <v>5.2292999999999999E-2</v>
      </c>
      <c r="F37">
        <f>pm.rep!F367</f>
        <v>0.101559</v>
      </c>
      <c r="G37">
        <f>pm.rep!G367</f>
        <v>0.426041</v>
      </c>
      <c r="H37">
        <f>pm.rep!H367</f>
        <v>0.13348499999999999</v>
      </c>
      <c r="I37">
        <f>pm.rep!I367</f>
        <v>8.8177599999999995E-2</v>
      </c>
      <c r="J37">
        <f>pm.rep!J367</f>
        <v>7.0049700000000006E-2</v>
      </c>
      <c r="K37">
        <f>pm.rep!K367</f>
        <v>1.0573600000000001E-2</v>
      </c>
      <c r="L37">
        <f>pm.rep!L367</f>
        <v>2.9722899999999998E-3</v>
      </c>
      <c r="M37">
        <f>pm.rep!M367</f>
        <v>2.0992099999999998E-3</v>
      </c>
      <c r="N37">
        <f>pm.rep!N367</f>
        <v>2.0736700000000001E-3</v>
      </c>
      <c r="O37">
        <f>pm.rep!O367</f>
        <v>2.9701100000000002E-3</v>
      </c>
      <c r="P37">
        <f>pm.rep!P367</f>
        <v>3.76297E-3</v>
      </c>
      <c r="S37">
        <f>pm.rep!B312</f>
        <v>3.9895099999999998E-4</v>
      </c>
      <c r="T37">
        <f>pm.rep!C312</f>
        <v>3.3067800000000001E-2</v>
      </c>
      <c r="U37">
        <f>pm.rep!D312</f>
        <v>5.8066899999999998E-2</v>
      </c>
      <c r="V37">
        <f>pm.rep!E312</f>
        <v>4.6541699999999998E-2</v>
      </c>
      <c r="W37">
        <f>pm.rep!F312</f>
        <v>0.101453</v>
      </c>
      <c r="X37">
        <f>pm.rep!G312</f>
        <v>0.444133</v>
      </c>
      <c r="Y37">
        <f>pm.rep!H312</f>
        <v>0.128693</v>
      </c>
      <c r="Z37">
        <f>pm.rep!I312</f>
        <v>8.2978200000000002E-2</v>
      </c>
      <c r="AA37">
        <f>pm.rep!J312</f>
        <v>7.0285399999999998E-2</v>
      </c>
      <c r="AB37">
        <f>pm.rep!K312</f>
        <v>1.9068499999999999E-2</v>
      </c>
      <c r="AC37">
        <f>pm.rep!L312</f>
        <v>4.0903199999999997E-3</v>
      </c>
      <c r="AD37">
        <f>pm.rep!M312</f>
        <v>3.7444700000000002E-3</v>
      </c>
      <c r="AE37">
        <f>pm.rep!N312</f>
        <v>1.8544E-3</v>
      </c>
      <c r="AF37">
        <f>pm.rep!O312</f>
        <v>2.0789699999999999E-3</v>
      </c>
      <c r="AG37">
        <f>pm.rep!P312</f>
        <v>3.5451699999999998E-3</v>
      </c>
      <c r="AJ37" s="27">
        <f t="shared" si="21"/>
        <v>1036.5603264573176</v>
      </c>
      <c r="AL37" s="27">
        <f>$AJ37</f>
        <v>1036.5603264573176</v>
      </c>
      <c r="AO37" s="28">
        <f t="shared" si="15"/>
        <v>0.5406299675067463</v>
      </c>
      <c r="AP37">
        <v>269.58382416967009</v>
      </c>
      <c r="AQ37">
        <f t="shared" si="16"/>
        <v>1998</v>
      </c>
      <c r="AR37" s="20">
        <f t="shared" si="1"/>
        <v>4.8162883917770807E-2</v>
      </c>
      <c r="AS37" s="20">
        <f t="shared" si="2"/>
        <v>0.30407689305433994</v>
      </c>
      <c r="AT37" s="20">
        <f t="shared" si="3"/>
        <v>-0.98154731784514948</v>
      </c>
      <c r="AU37" s="20">
        <f t="shared" si="4"/>
        <v>-0.42418383454257891</v>
      </c>
      <c r="AV37" s="20">
        <f t="shared" si="5"/>
        <v>-5.7616754452017036E-3</v>
      </c>
      <c r="AW37" s="20">
        <f t="shared" si="6"/>
        <v>0.60071345714748092</v>
      </c>
      <c r="AX37" s="20">
        <f t="shared" si="7"/>
        <v>-0.23134464370196919</v>
      </c>
      <c r="AY37" s="20">
        <f t="shared" si="8"/>
        <v>-0.30106888844969243</v>
      </c>
      <c r="AZ37" s="20">
        <f t="shared" si="9"/>
        <v>1.5162593365151782E-2</v>
      </c>
      <c r="BA37" s="20">
        <f t="shared" si="10"/>
        <v>1.363647121659084</v>
      </c>
      <c r="BB37" s="20">
        <f t="shared" si="20"/>
        <v>0.337210560788058</v>
      </c>
      <c r="BC37" s="20">
        <f t="shared" si="11"/>
        <v>0.59021443577927957</v>
      </c>
      <c r="BD37" s="20">
        <f t="shared" si="12"/>
        <v>-7.9142008598692803E-2</v>
      </c>
      <c r="BE37" s="20">
        <f t="shared" si="13"/>
        <v>-0.26887628360916321</v>
      </c>
      <c r="BF37" s="20">
        <f t="shared" si="14"/>
        <v>-5.8406081765050549E-2</v>
      </c>
      <c r="BG37">
        <v>1998</v>
      </c>
      <c r="BH37" s="20">
        <f t="shared" si="17"/>
        <v>-0.20976918029101291</v>
      </c>
      <c r="BI37" s="20">
        <f t="shared" si="18"/>
        <v>-1.5144174135567227E-2</v>
      </c>
      <c r="BJ37" s="20">
        <f t="shared" si="19"/>
        <v>0.27140147680266663</v>
      </c>
    </row>
    <row r="38" spans="1:62" x14ac:dyDescent="0.15">
      <c r="A38" s="21">
        <v>1999</v>
      </c>
      <c r="B38">
        <f>pm.rep!B368</f>
        <v>2.6909200000000002E-4</v>
      </c>
      <c r="C38">
        <f>pm.rep!C368</f>
        <v>8.6645400000000001E-3</v>
      </c>
      <c r="D38">
        <f>pm.rep!D368</f>
        <v>0.18662799999999999</v>
      </c>
      <c r="E38">
        <f>pm.rep!E368</f>
        <v>0.15124199999999999</v>
      </c>
      <c r="F38">
        <f>pm.rep!F368</f>
        <v>7.1560499999999999E-2</v>
      </c>
      <c r="G38">
        <f>pm.rep!G368</f>
        <v>0.104537</v>
      </c>
      <c r="H38">
        <f>pm.rep!H368</f>
        <v>0.313587</v>
      </c>
      <c r="I38">
        <f>pm.rep!I368</f>
        <v>8.7562100000000004E-2</v>
      </c>
      <c r="J38">
        <f>pm.rep!J368</f>
        <v>3.9426700000000002E-2</v>
      </c>
      <c r="K38">
        <f>pm.rep!K368</f>
        <v>2.65121E-2</v>
      </c>
      <c r="L38">
        <f>pm.rep!L368</f>
        <v>4.3284500000000002E-3</v>
      </c>
      <c r="M38">
        <f>pm.rep!M368</f>
        <v>1.21674E-3</v>
      </c>
      <c r="N38">
        <f>pm.rep!N368</f>
        <v>8.5933500000000003E-4</v>
      </c>
      <c r="O38">
        <f>pm.rep!O368</f>
        <v>8.4887999999999999E-4</v>
      </c>
      <c r="P38">
        <f>pm.rep!P368</f>
        <v>2.7562699999999999E-3</v>
      </c>
      <c r="S38">
        <f>pm.rep!B313</f>
        <v>2.7375799999999998E-4</v>
      </c>
      <c r="T38">
        <f>pm.rep!C313</f>
        <v>7.7235000000000003E-3</v>
      </c>
      <c r="U38">
        <f>pm.rep!D313</f>
        <v>0.19648399999999999</v>
      </c>
      <c r="V38">
        <f>pm.rep!E313</f>
        <v>0.15170800000000001</v>
      </c>
      <c r="W38">
        <f>pm.rep!F313</f>
        <v>7.0108900000000002E-2</v>
      </c>
      <c r="X38">
        <f>pm.rep!G313</f>
        <v>0.103698</v>
      </c>
      <c r="Y38">
        <f>pm.rep!H313</f>
        <v>0.31556899999999999</v>
      </c>
      <c r="Z38">
        <f>pm.rep!I313</f>
        <v>8.8403099999999998E-2</v>
      </c>
      <c r="AA38">
        <f>pm.rep!J313</f>
        <v>3.83205E-2</v>
      </c>
      <c r="AB38">
        <f>pm.rep!K313</f>
        <v>2.1909700000000001E-2</v>
      </c>
      <c r="AC38">
        <f>pm.rep!L313</f>
        <v>2.3183399999999999E-3</v>
      </c>
      <c r="AD38">
        <f>pm.rep!M313</f>
        <v>1.48507E-3</v>
      </c>
      <c r="AE38">
        <f>pm.rep!N313</f>
        <v>4.9211999999999997E-4</v>
      </c>
      <c r="AF38">
        <f>pm.rep!O313</f>
        <v>2.5911E-4</v>
      </c>
      <c r="AG38">
        <f>pm.rep!P313</f>
        <v>1.2477499999999999E-3</v>
      </c>
      <c r="AJ38" s="27">
        <f t="shared" si="21"/>
        <v>6059.8624244263356</v>
      </c>
      <c r="AM38" s="27">
        <f>AVERAGE(AM3:AM37)</f>
        <v>209.16031480138588</v>
      </c>
      <c r="AN38" s="27"/>
      <c r="AO38" s="28">
        <f t="shared" si="15"/>
        <v>0.33003516823337903</v>
      </c>
      <c r="AP38">
        <v>455.76242292685134</v>
      </c>
      <c r="AQ38">
        <f t="shared" si="16"/>
        <v>1999</v>
      </c>
      <c r="AR38" s="20">
        <f t="shared" si="1"/>
        <v>6.0732623119132776E-3</v>
      </c>
      <c r="AS38" s="20">
        <f t="shared" si="2"/>
        <v>-0.21676754826365457</v>
      </c>
      <c r="AT38" s="20">
        <f t="shared" si="3"/>
        <v>0.54005369584215757</v>
      </c>
      <c r="AU38" s="20">
        <f t="shared" si="4"/>
        <v>2.7766876461696902E-2</v>
      </c>
      <c r="AV38" s="20">
        <f t="shared" si="5"/>
        <v>-0.12022719906588136</v>
      </c>
      <c r="AW38" s="20">
        <f t="shared" si="6"/>
        <v>-5.8542650257344023E-2</v>
      </c>
      <c r="AX38" s="20">
        <f t="shared" si="7"/>
        <v>9.1201321775175717E-2</v>
      </c>
      <c r="AY38" s="20">
        <f t="shared" si="8"/>
        <v>6.35192718487749E-2</v>
      </c>
      <c r="AZ38" s="20">
        <f t="shared" si="9"/>
        <v>-0.12135074367660315</v>
      </c>
      <c r="BA38" s="20">
        <f t="shared" si="10"/>
        <v>-0.61159830784886682</v>
      </c>
      <c r="BB38" s="20">
        <f t="shared" si="20"/>
        <v>-0.65367944721676774</v>
      </c>
      <c r="BC38" s="20">
        <f t="shared" si="11"/>
        <v>0.16432512377648872</v>
      </c>
      <c r="BD38" s="20">
        <f t="shared" si="12"/>
        <v>-0.26754393031861973</v>
      </c>
      <c r="BE38" s="20">
        <f t="shared" si="13"/>
        <v>-0.43232783145283993</v>
      </c>
      <c r="BF38" s="20">
        <f t="shared" si="14"/>
        <v>-0.61426927611879667</v>
      </c>
      <c r="BG38">
        <v>1999</v>
      </c>
      <c r="BH38" s="20">
        <f t="shared" si="17"/>
        <v>0.10978646996347208</v>
      </c>
      <c r="BI38" s="20">
        <f t="shared" si="18"/>
        <v>-1.4950412771588189E-2</v>
      </c>
      <c r="BJ38" s="20">
        <f t="shared" si="19"/>
        <v>-0.36234920183657227</v>
      </c>
    </row>
    <row r="39" spans="1:62" x14ac:dyDescent="0.15">
      <c r="A39" s="21">
        <v>2000</v>
      </c>
      <c r="B39">
        <f>pm.rep!B369</f>
        <v>3.6828099999999998E-4</v>
      </c>
      <c r="C39">
        <f>pm.rep!C369</f>
        <v>8.1873999999999992E-3</v>
      </c>
      <c r="D39">
        <f>pm.rep!D369</f>
        <v>5.0104799999999998E-2</v>
      </c>
      <c r="E39">
        <f>pm.rep!E369</f>
        <v>0.25670100000000001</v>
      </c>
      <c r="F39">
        <f>pm.rep!F369</f>
        <v>0.209311</v>
      </c>
      <c r="G39">
        <f>pm.rep!G369</f>
        <v>6.8594500000000003E-2</v>
      </c>
      <c r="H39">
        <f>pm.rep!H369</f>
        <v>0.101877</v>
      </c>
      <c r="I39">
        <f>pm.rep!I369</f>
        <v>0.21146300000000001</v>
      </c>
      <c r="J39">
        <f>pm.rep!J369</f>
        <v>5.0948E-2</v>
      </c>
      <c r="K39">
        <f>pm.rep!K369</f>
        <v>2.13519E-2</v>
      </c>
      <c r="L39">
        <f>pm.rep!L369</f>
        <v>1.53124E-2</v>
      </c>
      <c r="M39">
        <f>pm.rep!M369</f>
        <v>2.4999599999999999E-3</v>
      </c>
      <c r="N39">
        <f>pm.rep!N369</f>
        <v>7.0274699999999999E-4</v>
      </c>
      <c r="O39">
        <f>pm.rep!O369</f>
        <v>4.9632099999999998E-4</v>
      </c>
      <c r="P39">
        <f>pm.rep!P369</f>
        <v>2.0822100000000001E-3</v>
      </c>
      <c r="S39">
        <f>pm.rep!B314</f>
        <v>0</v>
      </c>
      <c r="T39">
        <f>pm.rep!C314</f>
        <v>1.0544400000000001E-2</v>
      </c>
      <c r="U39">
        <f>pm.rep!D314</f>
        <v>4.8673599999999997E-2</v>
      </c>
      <c r="V39">
        <f>pm.rep!E314</f>
        <v>0.25691900000000001</v>
      </c>
      <c r="W39">
        <f>pm.rep!F314</f>
        <v>0.208256</v>
      </c>
      <c r="X39">
        <f>pm.rep!G314</f>
        <v>6.3979499999999995E-2</v>
      </c>
      <c r="Y39">
        <f>pm.rep!H314</f>
        <v>0.102642</v>
      </c>
      <c r="Z39">
        <f>pm.rep!I314</f>
        <v>0.21825</v>
      </c>
      <c r="AA39">
        <f>pm.rep!J314</f>
        <v>5.2189399999999997E-2</v>
      </c>
      <c r="AB39">
        <f>pm.rep!K314</f>
        <v>1.79699E-2</v>
      </c>
      <c r="AC39">
        <f>pm.rep!L314</f>
        <v>1.4796800000000001E-2</v>
      </c>
      <c r="AD39">
        <f>pm.rep!M314</f>
        <v>3.44159E-3</v>
      </c>
      <c r="AE39">
        <f>pm.rep!N314</f>
        <v>9.4149700000000002E-4</v>
      </c>
      <c r="AF39">
        <f>pm.rep!O314</f>
        <v>4.9062699999999999E-4</v>
      </c>
      <c r="AG39">
        <f>pm.rep!P314</f>
        <v>9.0559899999999999E-4</v>
      </c>
      <c r="AJ39" s="27">
        <f t="shared" si="21"/>
        <v>8922.5338635015196</v>
      </c>
      <c r="AK39" s="27"/>
      <c r="AL39" s="27"/>
      <c r="AM39" s="27"/>
      <c r="AN39" s="27"/>
      <c r="AO39" s="28">
        <f t="shared" si="15"/>
        <v>0.33097430889088408</v>
      </c>
      <c r="AP39">
        <v>452.49528721739273</v>
      </c>
      <c r="AQ39">
        <f t="shared" si="16"/>
        <v>2000</v>
      </c>
      <c r="AR39" s="20">
        <f t="shared" si="1"/>
        <v>-0.40829745507788023</v>
      </c>
      <c r="AS39" s="20">
        <f t="shared" si="2"/>
        <v>0.55638933629985321</v>
      </c>
      <c r="AT39" s="20">
        <f t="shared" si="3"/>
        <v>-0.13955000125011074</v>
      </c>
      <c r="AU39" s="20">
        <f t="shared" si="4"/>
        <v>1.0616172563255661E-2</v>
      </c>
      <c r="AV39" s="20">
        <f t="shared" si="5"/>
        <v>-5.5164617984403516E-2</v>
      </c>
      <c r="AW39" s="20">
        <f t="shared" si="6"/>
        <v>-0.38838700375639496</v>
      </c>
      <c r="AX39" s="20">
        <f t="shared" si="7"/>
        <v>5.3797548071774261E-2</v>
      </c>
      <c r="AY39" s="20">
        <f t="shared" si="8"/>
        <v>0.35355472580664143</v>
      </c>
      <c r="AZ39" s="20">
        <f t="shared" si="9"/>
        <v>0.12009092687943174</v>
      </c>
      <c r="BA39" s="20">
        <f t="shared" si="10"/>
        <v>-0.49767874296496584</v>
      </c>
      <c r="BB39" s="20">
        <f t="shared" si="20"/>
        <v>-8.9320073470405215E-2</v>
      </c>
      <c r="BC39" s="20">
        <f t="shared" si="11"/>
        <v>0.40111077251474919</v>
      </c>
      <c r="BD39" s="20">
        <f t="shared" si="12"/>
        <v>0.19164767878504141</v>
      </c>
      <c r="BE39" s="20">
        <f t="shared" si="13"/>
        <v>-5.4381473249756184E-3</v>
      </c>
      <c r="BF39" s="20">
        <f t="shared" si="14"/>
        <v>-0.54907325245707739</v>
      </c>
      <c r="BG39">
        <v>2000</v>
      </c>
      <c r="BH39" s="20">
        <f t="shared" si="17"/>
        <v>2.8472933239540774E-3</v>
      </c>
      <c r="BI39" s="20">
        <f t="shared" si="18"/>
        <v>-9.4784475276442126E-2</v>
      </c>
      <c r="BJ39" s="20">
        <f t="shared" si="19"/>
        <v>-6.1237262576885956E-2</v>
      </c>
    </row>
    <row r="40" spans="1:62" x14ac:dyDescent="0.15">
      <c r="A40" s="21">
        <v>2001</v>
      </c>
      <c r="B40">
        <f>pm.rep!B370</f>
        <v>4.9766999999999997E-4</v>
      </c>
      <c r="C40">
        <f>pm.rep!C370</f>
        <v>1.00413E-2</v>
      </c>
      <c r="D40">
        <f>pm.rep!D370</f>
        <v>3.76523E-2</v>
      </c>
      <c r="E40">
        <f>pm.rep!E370</f>
        <v>9.6629000000000007E-2</v>
      </c>
      <c r="F40">
        <f>pm.rep!F370</f>
        <v>0.33384000000000003</v>
      </c>
      <c r="G40">
        <f>pm.rep!G370</f>
        <v>0.229911</v>
      </c>
      <c r="H40">
        <f>pm.rep!H370</f>
        <v>7.4753500000000001E-2</v>
      </c>
      <c r="I40">
        <f>pm.rep!I370</f>
        <v>6.5692899999999999E-2</v>
      </c>
      <c r="J40">
        <f>pm.rep!J370</f>
        <v>9.5985200000000007E-2</v>
      </c>
      <c r="K40">
        <f>pm.rep!K370</f>
        <v>2.8132500000000001E-2</v>
      </c>
      <c r="L40">
        <f>pm.rep!L370</f>
        <v>1.3514399999999999E-2</v>
      </c>
      <c r="M40">
        <f>pm.rep!M370</f>
        <v>9.6918100000000004E-3</v>
      </c>
      <c r="N40">
        <f>pm.rep!N370</f>
        <v>1.5823199999999999E-3</v>
      </c>
      <c r="O40">
        <f>pm.rep!O370</f>
        <v>4.44795E-4</v>
      </c>
      <c r="P40">
        <f>pm.rep!P370</f>
        <v>1.6320499999999999E-3</v>
      </c>
      <c r="S40">
        <f>pm.rep!B315</f>
        <v>0</v>
      </c>
      <c r="T40">
        <f>pm.rep!C315</f>
        <v>2.1389999999999998E-3</v>
      </c>
      <c r="U40">
        <f>pm.rep!D315</f>
        <v>3.2501099999999998E-2</v>
      </c>
      <c r="V40">
        <f>pm.rep!E315</f>
        <v>9.2801300000000003E-2</v>
      </c>
      <c r="W40">
        <f>pm.rep!F315</f>
        <v>0.32914900000000002</v>
      </c>
      <c r="X40">
        <f>pm.rep!G315</f>
        <v>0.232373</v>
      </c>
      <c r="Y40">
        <f>pm.rep!H315</f>
        <v>7.7923699999999999E-2</v>
      </c>
      <c r="Z40">
        <f>pm.rep!I315</f>
        <v>7.3977399999999999E-2</v>
      </c>
      <c r="AA40">
        <f>pm.rep!J315</f>
        <v>9.0637700000000002E-2</v>
      </c>
      <c r="AB40">
        <f>pm.rep!K315</f>
        <v>3.2953799999999998E-2</v>
      </c>
      <c r="AC40">
        <f>pm.rep!L315</f>
        <v>2.01034E-2</v>
      </c>
      <c r="AD40">
        <f>pm.rep!M315</f>
        <v>9.1878700000000008E-3</v>
      </c>
      <c r="AE40">
        <f>pm.rep!N315</f>
        <v>3.3596099999999999E-3</v>
      </c>
      <c r="AF40">
        <f>pm.rep!O315</f>
        <v>1.67446E-3</v>
      </c>
      <c r="AG40">
        <f>pm.rep!P315</f>
        <v>1.21861E-3</v>
      </c>
      <c r="AJ40" s="27">
        <f t="shared" si="21"/>
        <v>2587.4411342495978</v>
      </c>
      <c r="AO40" s="28">
        <f t="shared" si="15"/>
        <v>0.62648729551090476</v>
      </c>
      <c r="AP40">
        <v>291.66704613922377</v>
      </c>
      <c r="AQ40">
        <f t="shared" si="16"/>
        <v>2001</v>
      </c>
      <c r="AR40" s="20">
        <f t="shared" si="1"/>
        <v>-0.38108557251858893</v>
      </c>
      <c r="AS40" s="20">
        <f t="shared" si="2"/>
        <v>-1.3536104083030185</v>
      </c>
      <c r="AT40" s="20">
        <f t="shared" si="3"/>
        <v>-0.46215784795846337</v>
      </c>
      <c r="AU40" s="20">
        <f t="shared" si="4"/>
        <v>-0.22125584828948627</v>
      </c>
      <c r="AV40" s="20">
        <f t="shared" si="5"/>
        <v>-0.16988328604553743</v>
      </c>
      <c r="AW40" s="20">
        <f t="shared" si="6"/>
        <v>9.9926665410544735E-2</v>
      </c>
      <c r="AX40" s="20">
        <f t="shared" si="7"/>
        <v>0.20586658112551062</v>
      </c>
      <c r="AY40" s="20">
        <f t="shared" si="8"/>
        <v>0.57109182353201071</v>
      </c>
      <c r="AZ40" s="20">
        <f t="shared" si="9"/>
        <v>-0.31003060484026596</v>
      </c>
      <c r="BA40" s="20">
        <f t="shared" si="10"/>
        <v>0.49796651938939462</v>
      </c>
      <c r="BB40" s="20">
        <f t="shared" si="20"/>
        <v>0.97458434211644285</v>
      </c>
      <c r="BC40" s="20">
        <f t="shared" si="11"/>
        <v>-8.7848607567583545E-2</v>
      </c>
      <c r="BD40" s="20">
        <f t="shared" si="12"/>
        <v>0.76365761855319692</v>
      </c>
      <c r="BE40" s="20">
        <f t="shared" si="13"/>
        <v>0.99597205399979272</v>
      </c>
      <c r="BF40" s="20">
        <f t="shared" si="14"/>
        <v>-0.17492187680468588</v>
      </c>
      <c r="BG40">
        <v>2001</v>
      </c>
      <c r="BH40" s="20">
        <f t="shared" si="17"/>
        <v>-0.73228460959335695</v>
      </c>
      <c r="BI40" s="20">
        <f t="shared" si="18"/>
        <v>-2.1336471949742079E-2</v>
      </c>
      <c r="BJ40" s="20">
        <f t="shared" si="19"/>
        <v>0.37991134926375597</v>
      </c>
    </row>
    <row r="41" spans="1:62" x14ac:dyDescent="0.15">
      <c r="A41" s="21">
        <v>2002</v>
      </c>
      <c r="B41">
        <f>pm.rep!B371</f>
        <v>3.4755000000000002E-4</v>
      </c>
      <c r="C41">
        <f>pm.rep!C371</f>
        <v>2.22264E-2</v>
      </c>
      <c r="D41">
        <f>pm.rep!D371</f>
        <v>6.5228999999999995E-2</v>
      </c>
      <c r="E41">
        <f>pm.rep!E371</f>
        <v>0.113927</v>
      </c>
      <c r="F41">
        <f>pm.rep!F371</f>
        <v>0.153365</v>
      </c>
      <c r="G41">
        <f>pm.rep!G371</f>
        <v>0.32646500000000001</v>
      </c>
      <c r="H41">
        <f>pm.rep!H371</f>
        <v>0.144759</v>
      </c>
      <c r="I41">
        <f>pm.rep!I371</f>
        <v>4.7510200000000002E-2</v>
      </c>
      <c r="J41">
        <f>pm.rep!J371</f>
        <v>3.8832800000000001E-2</v>
      </c>
      <c r="K41">
        <f>pm.rep!K371</f>
        <v>5.39433E-2</v>
      </c>
      <c r="L41">
        <f>pm.rep!L371</f>
        <v>1.7081699999999998E-2</v>
      </c>
      <c r="M41">
        <f>pm.rep!M371</f>
        <v>8.2058099999999991E-3</v>
      </c>
      <c r="N41">
        <f>pm.rep!N371</f>
        <v>5.8847600000000002E-3</v>
      </c>
      <c r="O41">
        <f>pm.rep!O371</f>
        <v>9.6076500000000003E-4</v>
      </c>
      <c r="P41">
        <f>pm.rep!P371</f>
        <v>1.26103E-3</v>
      </c>
      <c r="S41">
        <f>pm.rep!B316</f>
        <v>4.8801200000000002E-4</v>
      </c>
      <c r="T41">
        <f>pm.rep!C316</f>
        <v>3.0075500000000002E-2</v>
      </c>
      <c r="U41">
        <f>pm.rep!D316</f>
        <v>5.8902200000000002E-2</v>
      </c>
      <c r="V41">
        <f>pm.rep!E316</f>
        <v>0.113915</v>
      </c>
      <c r="W41">
        <f>pm.rep!F316</f>
        <v>0.15065400000000001</v>
      </c>
      <c r="X41">
        <f>pm.rep!G316</f>
        <v>0.31936599999999998</v>
      </c>
      <c r="Y41">
        <f>pm.rep!H316</f>
        <v>0.141706</v>
      </c>
      <c r="Z41">
        <f>pm.rep!I316</f>
        <v>5.2672099999999999E-2</v>
      </c>
      <c r="AA41">
        <f>pm.rep!J316</f>
        <v>4.6340399999999997E-2</v>
      </c>
      <c r="AB41">
        <f>pm.rep!K316</f>
        <v>5.06823E-2</v>
      </c>
      <c r="AC41">
        <f>pm.rep!L316</f>
        <v>1.84929E-2</v>
      </c>
      <c r="AD41">
        <f>pm.rep!M316</f>
        <v>7.6696000000000004E-3</v>
      </c>
      <c r="AE41">
        <f>pm.rep!N316</f>
        <v>6.6906800000000001E-3</v>
      </c>
      <c r="AF41">
        <f>pm.rep!O316</f>
        <v>1.4715399999999999E-3</v>
      </c>
      <c r="AG41">
        <f>pm.rep!P316</f>
        <v>8.7359700000000005E-4</v>
      </c>
      <c r="AJ41" s="27">
        <f t="shared" si="21"/>
        <v>3101.7187250180023</v>
      </c>
      <c r="AK41" s="27"/>
      <c r="AL41" s="27"/>
      <c r="AO41" s="28">
        <f t="shared" si="15"/>
        <v>0.45000167371482869</v>
      </c>
      <c r="AP41">
        <v>435.34897750735314</v>
      </c>
      <c r="AQ41">
        <f t="shared" si="16"/>
        <v>2002</v>
      </c>
      <c r="AR41" s="20">
        <f t="shared" si="1"/>
        <v>0.15723327070259607</v>
      </c>
      <c r="AS41" s="20">
        <f t="shared" si="2"/>
        <v>1.1109254346449557</v>
      </c>
      <c r="AT41" s="20">
        <f t="shared" si="3"/>
        <v>-0.53460115755645177</v>
      </c>
      <c r="AU41" s="20">
        <f t="shared" si="4"/>
        <v>-7.8804665178284095E-4</v>
      </c>
      <c r="AV41" s="20">
        <f t="shared" si="5"/>
        <v>-0.15697736808769802</v>
      </c>
      <c r="AW41" s="20">
        <f t="shared" si="6"/>
        <v>-0.31587666371962098</v>
      </c>
      <c r="AX41" s="20">
        <f t="shared" si="7"/>
        <v>-0.18104166088427537</v>
      </c>
      <c r="AY41" s="20">
        <f t="shared" si="8"/>
        <v>0.50629630175759543</v>
      </c>
      <c r="AZ41" s="20">
        <f t="shared" si="9"/>
        <v>0.81081367725979525</v>
      </c>
      <c r="BA41" s="20">
        <f t="shared" si="10"/>
        <v>-0.30119116255600203</v>
      </c>
      <c r="BB41" s="20">
        <f t="shared" si="20"/>
        <v>0.22723910841812434</v>
      </c>
      <c r="BC41" s="20">
        <f t="shared" si="11"/>
        <v>-0.12401726945488943</v>
      </c>
      <c r="BD41" s="20">
        <f t="shared" si="12"/>
        <v>0.21985075140045923</v>
      </c>
      <c r="BE41" s="20">
        <f t="shared" si="13"/>
        <v>0.34399215462141908</v>
      </c>
      <c r="BF41" s="20">
        <f t="shared" si="14"/>
        <v>-0.22778581023972957</v>
      </c>
      <c r="BG41">
        <v>2002</v>
      </c>
      <c r="BH41" s="20">
        <f t="shared" si="17"/>
        <v>0.24451918259703334</v>
      </c>
      <c r="BI41" s="20">
        <f t="shared" si="18"/>
        <v>-0.1636709348358443</v>
      </c>
      <c r="BJ41" s="20">
        <f t="shared" si="19"/>
        <v>0.13555734992131099</v>
      </c>
    </row>
    <row r="42" spans="1:62" x14ac:dyDescent="0.15">
      <c r="A42" s="21">
        <v>2003</v>
      </c>
      <c r="B42">
        <f>pm.rep!B372</f>
        <v>1.9442299999999999E-4</v>
      </c>
      <c r="C42">
        <f>pm.rep!C372</f>
        <v>9.5101200000000004E-3</v>
      </c>
      <c r="D42">
        <f>pm.rep!D372</f>
        <v>0.18138799999999999</v>
      </c>
      <c r="E42">
        <f>pm.rep!E372</f>
        <v>0.16355800000000001</v>
      </c>
      <c r="F42">
        <f>pm.rep!F372</f>
        <v>0.177429</v>
      </c>
      <c r="G42">
        <f>pm.rep!G372</f>
        <v>0.146704</v>
      </c>
      <c r="H42">
        <f>pm.rep!H372</f>
        <v>0.164795</v>
      </c>
      <c r="I42">
        <f>pm.rep!I372</f>
        <v>7.2893899999999998E-2</v>
      </c>
      <c r="J42">
        <f>pm.rep!J372</f>
        <v>2.17135E-2</v>
      </c>
      <c r="K42">
        <f>pm.rep!K372</f>
        <v>1.6539999999999999E-2</v>
      </c>
      <c r="L42">
        <f>pm.rep!L372</f>
        <v>2.79622E-2</v>
      </c>
      <c r="M42">
        <f>pm.rep!M372</f>
        <v>8.8545299999999993E-3</v>
      </c>
      <c r="N42">
        <f>pm.rep!N372</f>
        <v>4.2535899999999998E-3</v>
      </c>
      <c r="O42">
        <f>pm.rep!O372</f>
        <v>3.0504400000000002E-3</v>
      </c>
      <c r="P42">
        <f>pm.rep!P372</f>
        <v>1.1517000000000001E-3</v>
      </c>
      <c r="S42">
        <f>pm.rep!B317</f>
        <v>0</v>
      </c>
      <c r="T42">
        <f>pm.rep!C317</f>
        <v>8.3603700000000006E-3</v>
      </c>
      <c r="U42">
        <f>pm.rep!D317</f>
        <v>0.194383</v>
      </c>
      <c r="V42">
        <f>pm.rep!E317</f>
        <v>0.155026</v>
      </c>
      <c r="W42">
        <f>pm.rep!F317</f>
        <v>0.17727100000000001</v>
      </c>
      <c r="X42">
        <f>pm.rep!G317</f>
        <v>0.14752399999999999</v>
      </c>
      <c r="Y42">
        <f>pm.rep!H317</f>
        <v>0.16048200000000001</v>
      </c>
      <c r="Z42">
        <f>pm.rep!I317</f>
        <v>7.6044899999999999E-2</v>
      </c>
      <c r="AA42">
        <f>pm.rep!J317</f>
        <v>2.5630900000000002E-2</v>
      </c>
      <c r="AB42">
        <f>pm.rep!K317</f>
        <v>1.94124E-2</v>
      </c>
      <c r="AC42">
        <f>pm.rep!L317</f>
        <v>1.76452E-2</v>
      </c>
      <c r="AD42">
        <f>pm.rep!M317</f>
        <v>1.14728E-2</v>
      </c>
      <c r="AE42">
        <f>pm.rep!N317</f>
        <v>3.3589599999999998E-3</v>
      </c>
      <c r="AF42">
        <f>pm.rep!O317</f>
        <v>1.45535E-3</v>
      </c>
      <c r="AG42">
        <f>pm.rep!P317</f>
        <v>1.93341E-3</v>
      </c>
      <c r="AJ42" s="27">
        <f t="shared" si="21"/>
        <v>2065.2252804068221</v>
      </c>
      <c r="AK42" s="27"/>
      <c r="AL42" s="27"/>
      <c r="AO42" s="28">
        <f t="shared" si="15"/>
        <v>0.52082402033188291</v>
      </c>
      <c r="AP42">
        <v>389.30517937545051</v>
      </c>
      <c r="AQ42">
        <f t="shared" si="16"/>
        <v>2003</v>
      </c>
      <c r="AR42" s="20">
        <f t="shared" si="1"/>
        <v>-0.27514468849149576</v>
      </c>
      <c r="AS42" s="20">
        <f t="shared" si="2"/>
        <v>-0.23373862735289047</v>
      </c>
      <c r="AT42" s="20">
        <f t="shared" si="3"/>
        <v>0.66539272035481123</v>
      </c>
      <c r="AU42" s="20">
        <f t="shared" si="4"/>
        <v>-0.4551369827009768</v>
      </c>
      <c r="AV42" s="20">
        <f t="shared" si="5"/>
        <v>-8.1602446280740967E-3</v>
      </c>
      <c r="AW42" s="20">
        <f t="shared" si="6"/>
        <v>4.5728621601459851E-2</v>
      </c>
      <c r="AX42" s="20">
        <f t="shared" si="7"/>
        <v>-0.22938023366614105</v>
      </c>
      <c r="AY42" s="20">
        <f t="shared" si="8"/>
        <v>0.23915704649429967</v>
      </c>
      <c r="AZ42" s="20">
        <f t="shared" si="9"/>
        <v>0.53032861750125948</v>
      </c>
      <c r="BA42" s="20">
        <f t="shared" si="10"/>
        <v>0.44436915532732491</v>
      </c>
      <c r="BB42" s="20">
        <f t="shared" si="20"/>
        <v>-1.2347279398567375</v>
      </c>
      <c r="BC42" s="20">
        <f t="shared" si="11"/>
        <v>0.55145244095336043</v>
      </c>
      <c r="BD42" s="20">
        <f t="shared" si="12"/>
        <v>-0.27122914847320684</v>
      </c>
      <c r="BE42" s="20">
        <f t="shared" si="13"/>
        <v>-0.57070601072234561</v>
      </c>
      <c r="BF42" s="20">
        <f t="shared" si="14"/>
        <v>0.45474853403704907</v>
      </c>
      <c r="BG42">
        <v>2003</v>
      </c>
      <c r="BH42" s="20">
        <f t="shared" si="17"/>
        <v>5.216980150347502E-2</v>
      </c>
      <c r="BI42" s="20">
        <f t="shared" si="18"/>
        <v>-0.16173720984843301</v>
      </c>
      <c r="BJ42" s="20">
        <f t="shared" si="19"/>
        <v>-1.3680621604756582E-2</v>
      </c>
    </row>
    <row r="43" spans="1:62" x14ac:dyDescent="0.15">
      <c r="A43" s="21">
        <v>2004</v>
      </c>
      <c r="B43">
        <f>pm.rep!B373</f>
        <v>7.1501999999999994E-5</v>
      </c>
      <c r="C43">
        <f>pm.rep!C373</f>
        <v>3.9381099999999999E-3</v>
      </c>
      <c r="D43">
        <f>pm.rep!D373</f>
        <v>5.0445200000000003E-2</v>
      </c>
      <c r="E43">
        <f>pm.rep!E373</f>
        <v>0.385938</v>
      </c>
      <c r="F43">
        <f>pm.rep!F373</f>
        <v>0.23128799999999999</v>
      </c>
      <c r="G43">
        <f>pm.rep!G373</f>
        <v>0.117325</v>
      </c>
      <c r="H43">
        <f>pm.rep!H373</f>
        <v>7.5077199999999997E-2</v>
      </c>
      <c r="I43">
        <f>pm.rep!I373</f>
        <v>6.9291500000000006E-2</v>
      </c>
      <c r="J43">
        <f>pm.rep!J373</f>
        <v>2.7922099999999998E-2</v>
      </c>
      <c r="K43">
        <f>pm.rep!K373</f>
        <v>8.3886499999999992E-3</v>
      </c>
      <c r="L43">
        <f>pm.rep!L373</f>
        <v>8.1118400000000004E-3</v>
      </c>
      <c r="M43">
        <f>pm.rep!M373</f>
        <v>1.3713700000000001E-2</v>
      </c>
      <c r="N43">
        <f>pm.rep!N373</f>
        <v>4.3426000000000003E-3</v>
      </c>
      <c r="O43">
        <f>pm.rep!O373</f>
        <v>2.0861199999999999E-3</v>
      </c>
      <c r="P43">
        <f>pm.rep!P373</f>
        <v>2.0608900000000001E-3</v>
      </c>
      <c r="S43">
        <f>pm.rep!B318</f>
        <v>0</v>
      </c>
      <c r="T43">
        <f>pm.rep!C318</f>
        <v>5.35269E-4</v>
      </c>
      <c r="U43">
        <f>pm.rep!D318</f>
        <v>4.2571999999999999E-2</v>
      </c>
      <c r="V43">
        <f>pm.rep!E318</f>
        <v>0.39236300000000002</v>
      </c>
      <c r="W43">
        <f>pm.rep!F318</f>
        <v>0.226882</v>
      </c>
      <c r="X43">
        <f>pm.rep!G318</f>
        <v>0.11264299999999999</v>
      </c>
      <c r="Y43">
        <f>pm.rep!H318</f>
        <v>7.9776299999999994E-2</v>
      </c>
      <c r="Z43">
        <f>pm.rep!I318</f>
        <v>7.4194999999999997E-2</v>
      </c>
      <c r="AA43">
        <f>pm.rep!J318</f>
        <v>3.02896E-2</v>
      </c>
      <c r="AB43">
        <f>pm.rep!K318</f>
        <v>8.0024099999999997E-3</v>
      </c>
      <c r="AC43">
        <f>pm.rep!L318</f>
        <v>8.9217900000000006E-3</v>
      </c>
      <c r="AD43">
        <f>pm.rep!M318</f>
        <v>1.2350699999999999E-2</v>
      </c>
      <c r="AE43">
        <f>pm.rep!N318</f>
        <v>5.0169000000000004E-3</v>
      </c>
      <c r="AF43">
        <f>pm.rep!O318</f>
        <v>3.13934E-3</v>
      </c>
      <c r="AG43">
        <f>pm.rep!P318</f>
        <v>3.3128400000000001E-3</v>
      </c>
      <c r="AJ43" s="27">
        <f t="shared" si="21"/>
        <v>3601.4134147610453</v>
      </c>
      <c r="AK43" s="27"/>
      <c r="AL43" s="27"/>
      <c r="AO43" s="28">
        <f t="shared" si="15"/>
        <v>0.41753637138652999</v>
      </c>
      <c r="AP43">
        <v>332.28791669872027</v>
      </c>
      <c r="AQ43">
        <f>A43</f>
        <v>2004</v>
      </c>
      <c r="AR43" s="20">
        <f t="shared" si="1"/>
        <v>-0.15414587109361191</v>
      </c>
      <c r="AS43" s="20">
        <f t="shared" si="2"/>
        <v>-0.99040277365615048</v>
      </c>
      <c r="AT43" s="20">
        <f t="shared" si="3"/>
        <v>-0.65575048037477457</v>
      </c>
      <c r="AU43" s="20">
        <f t="shared" si="4"/>
        <v>0.24058332573069571</v>
      </c>
      <c r="AV43" s="20">
        <f t="shared" si="5"/>
        <v>-0.19047737027194167</v>
      </c>
      <c r="AW43" s="20">
        <f t="shared" si="6"/>
        <v>-0.26521188924049705</v>
      </c>
      <c r="AX43" s="20">
        <f t="shared" si="7"/>
        <v>0.32506123826674871</v>
      </c>
      <c r="AY43" s="20">
        <f t="shared" si="8"/>
        <v>0.35197890226776896</v>
      </c>
      <c r="AZ43" s="20">
        <f t="shared" si="9"/>
        <v>0.26195258483529482</v>
      </c>
      <c r="BA43" s="20">
        <f t="shared" si="10"/>
        <v>-7.7196523217763643E-2</v>
      </c>
      <c r="BB43" s="20">
        <f t="shared" si="20"/>
        <v>0.16459795802916335</v>
      </c>
      <c r="BC43" s="20">
        <f t="shared" si="11"/>
        <v>-0.21363593594226676</v>
      </c>
      <c r="BD43" s="20">
        <f t="shared" si="12"/>
        <v>0.18693066767017524</v>
      </c>
      <c r="BE43" s="20">
        <f t="shared" si="13"/>
        <v>0.42078494873838307</v>
      </c>
      <c r="BF43" s="20">
        <f t="shared" si="14"/>
        <v>0.50322803910000735</v>
      </c>
      <c r="BG43">
        <v>2004</v>
      </c>
      <c r="BH43" s="20">
        <f t="shared" si="17"/>
        <v>-0.60009970837484561</v>
      </c>
      <c r="BI43" s="20">
        <f t="shared" si="18"/>
        <v>2.7488826121251426E-2</v>
      </c>
      <c r="BJ43" s="20">
        <f t="shared" si="19"/>
        <v>0.17809453417328477</v>
      </c>
    </row>
    <row r="44" spans="1:62" x14ac:dyDescent="0.15">
      <c r="A44" s="21">
        <v>2005</v>
      </c>
      <c r="B44">
        <f>pm.rep!B374</f>
        <v>4.6388399999999998E-5</v>
      </c>
      <c r="C44">
        <f>pm.rep!C374</f>
        <v>1.8509399999999999E-3</v>
      </c>
      <c r="D44">
        <f>pm.rep!D374</f>
        <v>2.9509000000000001E-2</v>
      </c>
      <c r="E44">
        <f>pm.rep!E374</f>
        <v>0.18131</v>
      </c>
      <c r="F44">
        <f>pm.rep!F374</f>
        <v>0.403395</v>
      </c>
      <c r="G44">
        <f>pm.rep!G374</f>
        <v>0.21861700000000001</v>
      </c>
      <c r="H44">
        <f>pm.rep!H374</f>
        <v>7.2908500000000001E-2</v>
      </c>
      <c r="I44">
        <f>pm.rep!I374</f>
        <v>3.16508E-2</v>
      </c>
      <c r="J44">
        <f>pm.rep!J374</f>
        <v>2.8602099999999998E-2</v>
      </c>
      <c r="K44">
        <f>pm.rep!K374</f>
        <v>1.1932399999999999E-2</v>
      </c>
      <c r="L44">
        <f>pm.rep!L374</f>
        <v>4.3733299999999999E-3</v>
      </c>
      <c r="M44">
        <f>pm.rep!M374</f>
        <v>4.22902E-3</v>
      </c>
      <c r="N44">
        <f>pm.rep!N374</f>
        <v>7.1495100000000004E-3</v>
      </c>
      <c r="O44">
        <f>pm.rep!O374</f>
        <v>2.2639700000000001E-3</v>
      </c>
      <c r="P44">
        <f>pm.rep!P374</f>
        <v>2.1619999999999999E-3</v>
      </c>
      <c r="S44">
        <f>pm.rep!B319</f>
        <v>0</v>
      </c>
      <c r="T44">
        <f>pm.rep!C319</f>
        <v>1.4522199999999999E-3</v>
      </c>
      <c r="U44">
        <f>pm.rep!D319</f>
        <v>2.49523E-2</v>
      </c>
      <c r="V44">
        <f>pm.rep!E319</f>
        <v>0.181587</v>
      </c>
      <c r="W44">
        <f>pm.rep!F319</f>
        <v>0.400084</v>
      </c>
      <c r="X44">
        <f>pm.rep!G319</f>
        <v>0.22706100000000001</v>
      </c>
      <c r="Y44">
        <f>pm.rep!H319</f>
        <v>7.2624400000000006E-2</v>
      </c>
      <c r="Z44">
        <f>pm.rep!I319</f>
        <v>3.13231E-2</v>
      </c>
      <c r="AA44">
        <f>pm.rep!J319</f>
        <v>3.11431E-2</v>
      </c>
      <c r="AB44">
        <f>pm.rep!K319</f>
        <v>1.5660199999999999E-2</v>
      </c>
      <c r="AC44">
        <f>pm.rep!L319</f>
        <v>5.2210599999999996E-3</v>
      </c>
      <c r="AD44">
        <f>pm.rep!M319</f>
        <v>4.7501399999999999E-3</v>
      </c>
      <c r="AE44">
        <f>pm.rep!N319</f>
        <v>1.58314E-3</v>
      </c>
      <c r="AF44">
        <f>pm.rep!O319</f>
        <v>9.0914800000000003E-4</v>
      </c>
      <c r="AG44">
        <f>pm.rep!P319</f>
        <v>1.64963E-3</v>
      </c>
      <c r="AJ44" s="27">
        <f>SUMPRODUCT((1-B44:P44),B44:P44)/SUMXMY2(B44:P44,S44:AG44)</f>
        <v>4740.0508267743908</v>
      </c>
      <c r="AK44" s="27"/>
      <c r="AL44" s="27"/>
      <c r="AO44" s="28">
        <f t="shared" si="15"/>
        <v>0.47640364505769778</v>
      </c>
      <c r="AP44">
        <v>398.74355569405577</v>
      </c>
      <c r="AQ44">
        <f>A44</f>
        <v>2005</v>
      </c>
      <c r="AR44" s="20">
        <f t="shared" ref="AR44:BF49" si="22">(S44-B44)/(SQRT(B44*(1-B44)/$AP44))</f>
        <v>-0.13600710881605932</v>
      </c>
      <c r="AS44" s="20">
        <f t="shared" si="22"/>
        <v>-0.18523412055361552</v>
      </c>
      <c r="AT44" s="20">
        <f t="shared" si="22"/>
        <v>-0.53768048376220212</v>
      </c>
      <c r="AU44" s="20">
        <f t="shared" si="22"/>
        <v>1.4356744975457442E-2</v>
      </c>
      <c r="AV44" s="20">
        <f t="shared" si="22"/>
        <v>-0.13477126957738564</v>
      </c>
      <c r="AW44" s="20">
        <f t="shared" si="22"/>
        <v>0.40796332141562303</v>
      </c>
      <c r="AX44" s="20">
        <f t="shared" si="22"/>
        <v>-2.1820650388793737E-2</v>
      </c>
      <c r="AY44" s="20">
        <f t="shared" si="22"/>
        <v>-3.7377903214561609E-2</v>
      </c>
      <c r="AZ44" s="20">
        <f t="shared" si="22"/>
        <v>0.30440652908173405</v>
      </c>
      <c r="BA44" s="20">
        <f t="shared" si="22"/>
        <v>0.68555485639873714</v>
      </c>
      <c r="BB44" s="20">
        <f t="shared" si="22"/>
        <v>0.25653699645185957</v>
      </c>
      <c r="BC44" s="20">
        <f t="shared" si="22"/>
        <v>0.16035591256324386</v>
      </c>
      <c r="BD44" s="20">
        <f t="shared" si="22"/>
        <v>-1.3192856639548143</v>
      </c>
      <c r="BE44" s="20">
        <f t="shared" si="22"/>
        <v>-0.56922755772035638</v>
      </c>
      <c r="BF44" s="20">
        <f t="shared" si="22"/>
        <v>-0.22027878260461889</v>
      </c>
      <c r="BG44">
        <v>2005</v>
      </c>
      <c r="BH44" s="20">
        <f t="shared" ref="BH44:BH49" si="23">AVERAGE(AR44:AT44)</f>
        <v>-0.28630723771062566</v>
      </c>
      <c r="BI44" s="20">
        <f t="shared" ref="BI44:BI49" si="24">AVERAGE(AU44:AX44)</f>
        <v>6.6432036606225278E-2</v>
      </c>
      <c r="BJ44" s="20">
        <f t="shared" ref="BJ44:BJ49" si="25">AVERAGE(AZ44:BF44)</f>
        <v>-0.10027681568345927</v>
      </c>
    </row>
    <row r="45" spans="1:62" x14ac:dyDescent="0.15">
      <c r="A45" s="21">
        <v>2006</v>
      </c>
      <c r="B45">
        <f>pm.rep!B375</f>
        <v>1.4511999999999999E-4</v>
      </c>
      <c r="C45">
        <f>pm.rep!C375</f>
        <v>2.1767800000000001E-3</v>
      </c>
      <c r="D45">
        <f>pm.rep!D375</f>
        <v>3.1409199999999998E-2</v>
      </c>
      <c r="E45">
        <f>pm.rep!E375</f>
        <v>0.13489000000000001</v>
      </c>
      <c r="F45">
        <f>pm.rep!F375</f>
        <v>0.290912</v>
      </c>
      <c r="G45">
        <f>pm.rep!G375</f>
        <v>0.29507499999999998</v>
      </c>
      <c r="H45">
        <f>pm.rep!H375</f>
        <v>0.13291</v>
      </c>
      <c r="I45">
        <f>pm.rep!I375</f>
        <v>4.8031900000000002E-2</v>
      </c>
      <c r="J45">
        <f>pm.rep!J375</f>
        <v>2.1121600000000001E-2</v>
      </c>
      <c r="K45">
        <f>pm.rep!K375</f>
        <v>1.8669700000000001E-2</v>
      </c>
      <c r="L45">
        <f>pm.rep!L375</f>
        <v>9.1630600000000006E-3</v>
      </c>
      <c r="M45">
        <f>pm.rep!M375</f>
        <v>3.3583300000000001E-3</v>
      </c>
      <c r="N45">
        <f>pm.rep!N375</f>
        <v>3.2475099999999999E-3</v>
      </c>
      <c r="O45">
        <f>pm.rep!O375</f>
        <v>5.4901899999999998E-3</v>
      </c>
      <c r="P45">
        <f>pm.rep!P375</f>
        <v>3.3987499999999999E-3</v>
      </c>
      <c r="S45">
        <f>pm.rep!B320</f>
        <v>0</v>
      </c>
      <c r="T45">
        <f>pm.rep!C320</f>
        <v>5.7305300000000002E-3</v>
      </c>
      <c r="U45">
        <f>pm.rep!D320</f>
        <v>3.9573499999999998E-2</v>
      </c>
      <c r="V45">
        <f>pm.rep!E320</f>
        <v>0.136406</v>
      </c>
      <c r="W45">
        <f>pm.rep!F320</f>
        <v>0.29281099999999999</v>
      </c>
      <c r="X45">
        <f>pm.rep!G320</f>
        <v>0.27843899999999999</v>
      </c>
      <c r="Y45">
        <f>pm.rep!H320</f>
        <v>0.131602</v>
      </c>
      <c r="Z45">
        <f>pm.rep!I320</f>
        <v>5.1201499999999997E-2</v>
      </c>
      <c r="AA45">
        <f>pm.rep!J320</f>
        <v>2.33288E-2</v>
      </c>
      <c r="AB45">
        <f>pm.rep!K320</f>
        <v>1.8032800000000002E-2</v>
      </c>
      <c r="AC45">
        <f>pm.rep!L320</f>
        <v>7.72019E-3</v>
      </c>
      <c r="AD45">
        <f>pm.rep!M320</f>
        <v>4.5197800000000002E-3</v>
      </c>
      <c r="AE45">
        <f>pm.rep!N320</f>
        <v>4.4866300000000001E-3</v>
      </c>
      <c r="AF45">
        <f>pm.rep!O320</f>
        <v>2.4092200000000001E-3</v>
      </c>
      <c r="AG45">
        <f>pm.rep!P320</f>
        <v>3.7394500000000001E-3</v>
      </c>
      <c r="AJ45" s="27">
        <f t="shared" si="21"/>
        <v>2002.6593935183876</v>
      </c>
      <c r="AK45" s="27"/>
      <c r="AL45" s="27"/>
      <c r="AO45" s="28">
        <f t="shared" si="15"/>
        <v>0.53646135702808839</v>
      </c>
      <c r="AP45">
        <v>328.0944094221</v>
      </c>
      <c r="AQ45">
        <f>A45</f>
        <v>2006</v>
      </c>
      <c r="AR45" s="20">
        <f t="shared" si="22"/>
        <v>-0.2182200066574351</v>
      </c>
      <c r="AS45" s="20">
        <f t="shared" si="22"/>
        <v>1.3811861524840547</v>
      </c>
      <c r="AT45" s="20">
        <f t="shared" si="22"/>
        <v>0.84785144068948337</v>
      </c>
      <c r="AU45" s="20">
        <f t="shared" si="22"/>
        <v>8.0384640349806941E-2</v>
      </c>
      <c r="AV45" s="20">
        <f t="shared" si="22"/>
        <v>7.5734453157115078E-2</v>
      </c>
      <c r="AW45" s="20">
        <f t="shared" si="22"/>
        <v>-0.66070966899777905</v>
      </c>
      <c r="AX45" s="20">
        <f t="shared" si="22"/>
        <v>-6.9790489002567874E-2</v>
      </c>
      <c r="AY45" s="20">
        <f t="shared" si="22"/>
        <v>0.26848980058120159</v>
      </c>
      <c r="AZ45" s="20">
        <f t="shared" si="22"/>
        <v>0.27804386894365718</v>
      </c>
      <c r="BA45" s="20">
        <f t="shared" si="22"/>
        <v>-8.5230373191007541E-2</v>
      </c>
      <c r="BB45" s="20">
        <f t="shared" si="22"/>
        <v>-0.2742870217993032</v>
      </c>
      <c r="BC45" s="20">
        <f t="shared" si="22"/>
        <v>0.36363755440621709</v>
      </c>
      <c r="BD45" s="20">
        <f t="shared" si="22"/>
        <v>0.39449714881130798</v>
      </c>
      <c r="BE45" s="20">
        <f t="shared" si="22"/>
        <v>-0.75524639638609403</v>
      </c>
      <c r="BF45" s="20">
        <f t="shared" si="22"/>
        <v>0.10603548438214483</v>
      </c>
      <c r="BG45">
        <v>2006</v>
      </c>
      <c r="BH45" s="20">
        <f t="shared" si="23"/>
        <v>0.67027252883870103</v>
      </c>
      <c r="BI45" s="20">
        <f t="shared" si="24"/>
        <v>-0.14359526612335624</v>
      </c>
      <c r="BJ45" s="20">
        <f t="shared" si="25"/>
        <v>3.9214664524174691E-3</v>
      </c>
    </row>
    <row r="46" spans="1:62" x14ac:dyDescent="0.15">
      <c r="A46" s="21">
        <f>pm.rep!A376</f>
        <v>2007</v>
      </c>
      <c r="B46">
        <f>pm.rep!B376</f>
        <v>4.06399E-4</v>
      </c>
      <c r="C46">
        <f>pm.rep!C376</f>
        <v>7.9916999999999992E-3</v>
      </c>
      <c r="D46">
        <f>pm.rep!D376</f>
        <v>2.9006000000000001E-2</v>
      </c>
      <c r="E46">
        <f>pm.rep!E376</f>
        <v>7.5604400000000002E-2</v>
      </c>
      <c r="F46">
        <f>pm.rep!F376</f>
        <v>0.224665</v>
      </c>
      <c r="G46">
        <f>pm.rep!G376</f>
        <v>0.30374699999999999</v>
      </c>
      <c r="H46">
        <f>pm.rep!H376</f>
        <v>0.19442999999999999</v>
      </c>
      <c r="I46">
        <f>pm.rep!I376</f>
        <v>8.5275599999999993E-2</v>
      </c>
      <c r="J46">
        <f>pm.rep!J376</f>
        <v>3.08784E-2</v>
      </c>
      <c r="K46">
        <f>pm.rep!K376</f>
        <v>1.4486199999999999E-2</v>
      </c>
      <c r="L46">
        <f>pm.rep!L376</f>
        <v>1.4438899999999999E-2</v>
      </c>
      <c r="M46">
        <f>pm.rep!M376</f>
        <v>7.0866100000000001E-3</v>
      </c>
      <c r="N46">
        <f>pm.rep!N376</f>
        <v>2.5972899999999999E-3</v>
      </c>
      <c r="O46">
        <f>pm.rep!O376</f>
        <v>2.5115900000000002E-3</v>
      </c>
      <c r="P46">
        <f>pm.rep!P376</f>
        <v>6.8745999999999998E-3</v>
      </c>
      <c r="S46">
        <f>pm.rep!B321</f>
        <v>1.09808E-3</v>
      </c>
      <c r="T46">
        <f>pm.rep!C321</f>
        <v>1.1658E-2</v>
      </c>
      <c r="U46">
        <f>pm.rep!D321</f>
        <v>3.424E-2</v>
      </c>
      <c r="V46">
        <f>pm.rep!E321</f>
        <v>7.4370000000000006E-2</v>
      </c>
      <c r="W46">
        <f>pm.rep!F321</f>
        <v>0.22390199999999999</v>
      </c>
      <c r="X46">
        <f>pm.rep!G321</f>
        <v>0.30812200000000001</v>
      </c>
      <c r="Y46">
        <f>pm.rep!H321</f>
        <v>0.18335899999999999</v>
      </c>
      <c r="Z46">
        <f>pm.rep!I321</f>
        <v>8.3187899999999995E-2</v>
      </c>
      <c r="AA46">
        <f>pm.rep!J321</f>
        <v>3.00471E-2</v>
      </c>
      <c r="AB46">
        <f>pm.rep!K321</f>
        <v>1.6783599999999999E-2</v>
      </c>
      <c r="AC46">
        <f>pm.rep!L321</f>
        <v>1.3959900000000001E-2</v>
      </c>
      <c r="AD46">
        <f>pm.rep!M321</f>
        <v>5.6478600000000002E-3</v>
      </c>
      <c r="AE46">
        <f>pm.rep!N321</f>
        <v>3.8807799999999999E-3</v>
      </c>
      <c r="AF46">
        <f>pm.rep!O321</f>
        <v>2.0499099999999998E-3</v>
      </c>
      <c r="AG46">
        <f>pm.rep!P321</f>
        <v>7.6937999999999998E-3</v>
      </c>
      <c r="AJ46" s="27">
        <f t="shared" si="21"/>
        <v>4014.6581563683549</v>
      </c>
      <c r="AK46" s="27"/>
      <c r="AL46" s="27"/>
      <c r="AO46" s="28">
        <f t="shared" si="15"/>
        <v>0.40910237284400769</v>
      </c>
      <c r="AP46">
        <v>408.16248856857584</v>
      </c>
      <c r="AQ46">
        <f>A46</f>
        <v>2007</v>
      </c>
      <c r="AR46" s="20">
        <f t="shared" si="22"/>
        <v>0.69332097917260704</v>
      </c>
      <c r="AS46" s="20">
        <f t="shared" si="22"/>
        <v>0.83189268254479187</v>
      </c>
      <c r="AT46" s="20">
        <f t="shared" si="22"/>
        <v>0.63008344417847162</v>
      </c>
      <c r="AU46" s="20">
        <f t="shared" si="22"/>
        <v>-9.4334377348259751E-2</v>
      </c>
      <c r="AV46" s="20">
        <f t="shared" si="22"/>
        <v>-3.6934198411790249E-2</v>
      </c>
      <c r="AW46" s="20">
        <f t="shared" si="22"/>
        <v>0.19220074360744366</v>
      </c>
      <c r="AX46" s="20">
        <f t="shared" si="22"/>
        <v>-0.56515830645721055</v>
      </c>
      <c r="AY46" s="20">
        <f t="shared" si="22"/>
        <v>-0.15101744277318241</v>
      </c>
      <c r="AZ46" s="20">
        <f t="shared" si="22"/>
        <v>-9.7086265076355857E-2</v>
      </c>
      <c r="BA46" s="20">
        <f t="shared" si="22"/>
        <v>0.38845844546016062</v>
      </c>
      <c r="BB46" s="20">
        <f t="shared" si="22"/>
        <v>-8.1122855053181828E-2</v>
      </c>
      <c r="BC46" s="20">
        <f t="shared" si="22"/>
        <v>-0.34651890322624473</v>
      </c>
      <c r="BD46" s="20">
        <f t="shared" si="22"/>
        <v>0.50946404593861505</v>
      </c>
      <c r="BE46" s="20">
        <f t="shared" si="22"/>
        <v>-0.18634996012096655</v>
      </c>
      <c r="BF46" s="20">
        <f t="shared" si="22"/>
        <v>0.20029989730039574</v>
      </c>
      <c r="BG46">
        <v>2007</v>
      </c>
      <c r="BH46" s="20">
        <f t="shared" si="23"/>
        <v>0.71843236863195692</v>
      </c>
      <c r="BI46" s="20">
        <f t="shared" si="24"/>
        <v>-0.12605653465245423</v>
      </c>
      <c r="BJ46" s="20">
        <f t="shared" si="25"/>
        <v>5.5306343603203204E-2</v>
      </c>
    </row>
    <row r="47" spans="1:62" x14ac:dyDescent="0.15">
      <c r="A47" s="21">
        <f>pm.rep!A377</f>
        <v>2008</v>
      </c>
      <c r="B47">
        <f>pm.rep!B377</f>
        <v>3.0574500000000001E-4</v>
      </c>
      <c r="C47">
        <f>pm.rep!C377</f>
        <v>2.03378E-2</v>
      </c>
      <c r="D47">
        <f>pm.rep!D377</f>
        <v>5.71773E-2</v>
      </c>
      <c r="E47">
        <f>pm.rep!E377</f>
        <v>6.9394200000000003E-2</v>
      </c>
      <c r="F47">
        <f>pm.rep!F377</f>
        <v>0.127915</v>
      </c>
      <c r="G47">
        <f>pm.rep!G377</f>
        <v>0.259135</v>
      </c>
      <c r="H47">
        <f>pm.rep!H377</f>
        <v>0.201712</v>
      </c>
      <c r="I47">
        <f>pm.rep!I377</f>
        <v>0.134685</v>
      </c>
      <c r="J47">
        <f>pm.rep!J377</f>
        <v>6.5699099999999996E-2</v>
      </c>
      <c r="K47">
        <f>pm.rep!K377</f>
        <v>2.3750199999999999E-2</v>
      </c>
      <c r="L47">
        <f>pm.rep!L377</f>
        <v>1.2039299999999999E-2</v>
      </c>
      <c r="M47">
        <f>pm.rep!M377</f>
        <v>1.2E-2</v>
      </c>
      <c r="N47">
        <f>pm.rep!N377</f>
        <v>5.8895900000000001E-3</v>
      </c>
      <c r="O47">
        <f>pm.rep!O377</f>
        <v>2.1585799999999998E-3</v>
      </c>
      <c r="P47">
        <f>pm.rep!P377</f>
        <v>7.8007500000000004E-3</v>
      </c>
      <c r="S47">
        <f>pm.rep!B322</f>
        <v>0</v>
      </c>
      <c r="T47">
        <f>pm.rep!C322</f>
        <v>2.2931099999999999E-2</v>
      </c>
      <c r="U47">
        <f>pm.rep!D322</f>
        <v>4.9933100000000001E-2</v>
      </c>
      <c r="V47">
        <f>pm.rep!E322</f>
        <v>6.6941500000000001E-2</v>
      </c>
      <c r="W47">
        <f>pm.rep!F322</f>
        <v>0.12584400000000001</v>
      </c>
      <c r="X47">
        <f>pm.rep!G322</f>
        <v>0.26188699999999998</v>
      </c>
      <c r="Y47">
        <f>pm.rep!H322</f>
        <v>0.20641000000000001</v>
      </c>
      <c r="Z47">
        <f>pm.rep!I322</f>
        <v>0.12704699999999999</v>
      </c>
      <c r="AA47">
        <f>pm.rep!J322</f>
        <v>7.0958599999999997E-2</v>
      </c>
      <c r="AB47">
        <f>pm.rep!K322</f>
        <v>1.89981E-2</v>
      </c>
      <c r="AC47">
        <f>pm.rep!L322</f>
        <v>1.6275999999999999E-2</v>
      </c>
      <c r="AD47">
        <f>pm.rep!M322</f>
        <v>1.23257E-2</v>
      </c>
      <c r="AE47">
        <f>pm.rep!N322</f>
        <v>7.2951600000000002E-3</v>
      </c>
      <c r="AF47">
        <f>pm.rep!O322</f>
        <v>2.3503399999999998E-3</v>
      </c>
      <c r="AG47">
        <f>pm.rep!P322</f>
        <v>1.0802900000000001E-2</v>
      </c>
      <c r="AJ47" s="27">
        <f>SUMPRODUCT((1-B47:P47),B47:P47)/SUMXMY2(B47:P47,S47:AG47)</f>
        <v>3562.0501606427542</v>
      </c>
      <c r="AK47" s="27"/>
      <c r="AL47" s="27"/>
      <c r="AO47" s="28">
        <f>STDEV(AR47:BF47)</f>
        <v>0.40651118173305795</v>
      </c>
      <c r="AP47">
        <v>340.66091498280224</v>
      </c>
      <c r="AQ47">
        <v>2008</v>
      </c>
      <c r="AR47" s="20">
        <f t="shared" si="22"/>
        <v>-0.32278046126567778</v>
      </c>
      <c r="AS47" s="20">
        <f t="shared" si="22"/>
        <v>0.33909684775831672</v>
      </c>
      <c r="AT47" s="20">
        <f t="shared" si="22"/>
        <v>-0.57587039092336822</v>
      </c>
      <c r="AU47" s="20">
        <f t="shared" si="22"/>
        <v>-0.17813986594780135</v>
      </c>
      <c r="AV47" s="20">
        <f t="shared" si="22"/>
        <v>-0.1144461288674572</v>
      </c>
      <c r="AW47" s="20">
        <f t="shared" si="22"/>
        <v>0.11592497403304755</v>
      </c>
      <c r="AX47" s="20">
        <f t="shared" si="22"/>
        <v>0.21608692955092798</v>
      </c>
      <c r="AY47" s="20">
        <f t="shared" si="22"/>
        <v>-0.41294677327637713</v>
      </c>
      <c r="AZ47" s="20">
        <f t="shared" si="22"/>
        <v>0.39181631877566875</v>
      </c>
      <c r="BA47" s="20">
        <f t="shared" si="22"/>
        <v>-0.57601343200059685</v>
      </c>
      <c r="BB47" s="20">
        <f t="shared" si="22"/>
        <v>0.71699877589108318</v>
      </c>
      <c r="BC47" s="20">
        <f t="shared" si="22"/>
        <v>5.5208991951275273E-2</v>
      </c>
      <c r="BD47" s="20">
        <f t="shared" si="22"/>
        <v>0.33904222640061688</v>
      </c>
      <c r="BE47" s="20">
        <f t="shared" si="22"/>
        <v>7.6261323341438161E-2</v>
      </c>
      <c r="BF47" s="20">
        <f t="shared" si="22"/>
        <v>0.62983372964855733</v>
      </c>
      <c r="BG47">
        <v>2008</v>
      </c>
      <c r="BH47" s="20">
        <f t="shared" si="23"/>
        <v>-0.18651800147690975</v>
      </c>
      <c r="BI47" s="20">
        <f t="shared" si="24"/>
        <v>9.8564771921792471E-3</v>
      </c>
      <c r="BJ47" s="20">
        <f t="shared" si="25"/>
        <v>0.23330684771543467</v>
      </c>
    </row>
    <row r="48" spans="1:62" x14ac:dyDescent="0.15">
      <c r="A48" s="21">
        <f>pm.rep!A378</f>
        <v>2009</v>
      </c>
      <c r="B48">
        <f>pm.rep!B378</f>
        <v>1.3749999999999999E-3</v>
      </c>
      <c r="C48">
        <f>pm.rep!C378</f>
        <v>9.6234400000000005E-3</v>
      </c>
      <c r="D48">
        <f>pm.rep!D378</f>
        <v>0.15423000000000001</v>
      </c>
      <c r="E48">
        <f>pm.rep!E378</f>
        <v>0.209093</v>
      </c>
      <c r="F48">
        <f>pm.rep!F378</f>
        <v>8.8031600000000002E-2</v>
      </c>
      <c r="G48">
        <f>pm.rep!G378</f>
        <v>0.114355</v>
      </c>
      <c r="H48">
        <f>pm.rep!H378</f>
        <v>0.13525499999999999</v>
      </c>
      <c r="I48">
        <f>pm.rep!I378</f>
        <v>0.111364</v>
      </c>
      <c r="J48">
        <f>pm.rep!J378</f>
        <v>8.7508000000000002E-2</v>
      </c>
      <c r="K48">
        <f>pm.rep!K378</f>
        <v>4.2798999999999997E-2</v>
      </c>
      <c r="L48">
        <f>pm.rep!L378</f>
        <v>1.7304099999999999E-2</v>
      </c>
      <c r="M48">
        <f>pm.rep!M378</f>
        <v>8.7717000000000003E-3</v>
      </c>
      <c r="N48">
        <f>pm.rep!N378</f>
        <v>8.7430600000000004E-3</v>
      </c>
      <c r="O48">
        <f>pm.rep!O378</f>
        <v>4.29109E-3</v>
      </c>
      <c r="P48">
        <f>pm.rep!P378</f>
        <v>7.2562499999999997E-3</v>
      </c>
      <c r="S48">
        <f>pm.rep!B323</f>
        <v>7.9943500000000003E-4</v>
      </c>
      <c r="T48">
        <f>pm.rep!C323</f>
        <v>3.58202E-3</v>
      </c>
      <c r="U48">
        <f>pm.rep!D323</f>
        <v>0.16050200000000001</v>
      </c>
      <c r="V48">
        <f>pm.rep!E323</f>
        <v>0.199602</v>
      </c>
      <c r="W48">
        <f>pm.rep!F323</f>
        <v>7.7635599999999999E-2</v>
      </c>
      <c r="X48">
        <f>pm.rep!G323</f>
        <v>0.107806</v>
      </c>
      <c r="Y48">
        <f>pm.rep!H323</f>
        <v>0.13417599999999999</v>
      </c>
      <c r="Z48">
        <f>pm.rep!I323</f>
        <v>0.112955</v>
      </c>
      <c r="AA48">
        <f>pm.rep!J323</f>
        <v>9.0556999999999999E-2</v>
      </c>
      <c r="AB48">
        <f>pm.rep!K323</f>
        <v>4.29895E-2</v>
      </c>
      <c r="AC48">
        <f>pm.rep!L323</f>
        <v>2.7888400000000001E-2</v>
      </c>
      <c r="AD48">
        <f>pm.rep!M323</f>
        <v>1.11498E-2</v>
      </c>
      <c r="AE48">
        <f>pm.rep!N323</f>
        <v>9.5044199999999995E-3</v>
      </c>
      <c r="AF48">
        <f>pm.rep!O323</f>
        <v>4.3776900000000001E-3</v>
      </c>
      <c r="AG48">
        <f>pm.rep!P323</f>
        <v>1.6475099999999999E-2</v>
      </c>
      <c r="AJ48" s="27">
        <f>SUMPRODUCT((1-B48:P48),B48:P48)/SUMXMY2(B48:P48,S48:AG48)</f>
        <v>1632.3624859485622</v>
      </c>
      <c r="AN48" s="27"/>
      <c r="AO48" s="28">
        <f>STDEV(AR48:BF48)</f>
        <v>0.78473099273617508</v>
      </c>
      <c r="AP48">
        <v>340.66091498280224</v>
      </c>
      <c r="AQ48">
        <v>2009</v>
      </c>
      <c r="AR48" s="20">
        <f t="shared" si="22"/>
        <v>-0.28668367615946477</v>
      </c>
      <c r="AS48" s="20">
        <f t="shared" si="22"/>
        <v>-1.1421807470041883</v>
      </c>
      <c r="AT48" s="20">
        <f t="shared" si="22"/>
        <v>0.32052110881119011</v>
      </c>
      <c r="AU48" s="20">
        <f t="shared" si="22"/>
        <v>-0.43076525970841401</v>
      </c>
      <c r="AV48" s="20">
        <f t="shared" si="22"/>
        <v>-0.67720200047371926</v>
      </c>
      <c r="AW48" s="20">
        <f t="shared" si="22"/>
        <v>-0.37982078588178875</v>
      </c>
      <c r="AX48" s="20">
        <f t="shared" si="22"/>
        <v>-5.8232026606865356E-2</v>
      </c>
      <c r="AY48" s="20">
        <f t="shared" si="22"/>
        <v>9.334627058852131E-2</v>
      </c>
      <c r="AZ48" s="20">
        <f t="shared" si="22"/>
        <v>0.19914993398293074</v>
      </c>
      <c r="BA48" s="20">
        <f t="shared" si="22"/>
        <v>1.7371517234945816E-2</v>
      </c>
      <c r="BB48" s="20">
        <f t="shared" si="22"/>
        <v>1.4980945189093955</v>
      </c>
      <c r="BC48" s="20">
        <f t="shared" si="22"/>
        <v>0.47071987505548885</v>
      </c>
      <c r="BD48" s="20">
        <f t="shared" si="22"/>
        <v>0.1509476515811593</v>
      </c>
      <c r="BE48" s="20">
        <f t="shared" si="22"/>
        <v>2.4452824894686972E-2</v>
      </c>
      <c r="BF48" s="20">
        <f t="shared" si="22"/>
        <v>2.0047637626524453</v>
      </c>
      <c r="BG48">
        <v>2009</v>
      </c>
      <c r="BH48" s="20">
        <f t="shared" si="23"/>
        <v>-0.36944777145082092</v>
      </c>
      <c r="BI48" s="20">
        <f t="shared" si="24"/>
        <v>-0.38650501816769689</v>
      </c>
      <c r="BJ48" s="20">
        <f t="shared" si="25"/>
        <v>0.62364286918729317</v>
      </c>
    </row>
    <row r="49" spans="1:62" x14ac:dyDescent="0.15">
      <c r="A49" s="21">
        <f>pm.rep!A379</f>
        <v>2010</v>
      </c>
      <c r="B49">
        <f>pm.rep!B379</f>
        <v>3.7133199999999999E-4</v>
      </c>
      <c r="C49">
        <f>pm.rep!C379</f>
        <v>2.6855199999999999E-2</v>
      </c>
      <c r="D49">
        <f>pm.rep!D379</f>
        <v>3.5667699999999997E-2</v>
      </c>
      <c r="E49">
        <f>pm.rep!E379</f>
        <v>0.48819400000000002</v>
      </c>
      <c r="F49">
        <f>pm.rep!F379</f>
        <v>0.19830700000000001</v>
      </c>
      <c r="G49">
        <f>pm.rep!G379</f>
        <v>5.4773700000000002E-2</v>
      </c>
      <c r="H49">
        <f>pm.rep!H379</f>
        <v>4.42303E-2</v>
      </c>
      <c r="I49">
        <f>pm.rep!I379</f>
        <v>4.8848900000000001E-2</v>
      </c>
      <c r="J49">
        <f>pm.rep!J379</f>
        <v>4.0638300000000002E-2</v>
      </c>
      <c r="K49">
        <f>pm.rep!K379</f>
        <v>3.0395599999999998E-2</v>
      </c>
      <c r="L49">
        <f>pm.rep!L379</f>
        <v>1.5224700000000001E-2</v>
      </c>
      <c r="M49">
        <f>pm.rep!M379</f>
        <v>6.1555400000000001E-3</v>
      </c>
      <c r="N49">
        <f>pm.rep!N379</f>
        <v>3.1203300000000002E-3</v>
      </c>
      <c r="O49">
        <f>pm.rep!O379</f>
        <v>3.11014E-3</v>
      </c>
      <c r="P49">
        <f>pm.rep!P379</f>
        <v>4.1076999999999997E-3</v>
      </c>
      <c r="S49">
        <f>pm.rep!B324</f>
        <v>2.0827699999999998E-3</v>
      </c>
      <c r="T49">
        <f>pm.rep!C324</f>
        <v>2.7822E-2</v>
      </c>
      <c r="U49">
        <f>pm.rep!D324</f>
        <v>2.8166E-2</v>
      </c>
      <c r="V49">
        <f>pm.rep!E324</f>
        <v>0.49668499999999999</v>
      </c>
      <c r="W49">
        <f>pm.rep!F324</f>
        <v>0.197127</v>
      </c>
      <c r="X49">
        <f>pm.rep!G324</f>
        <v>4.7621499999999997E-2</v>
      </c>
      <c r="Y49">
        <f>pm.rep!H324</f>
        <v>3.9251800000000003E-2</v>
      </c>
      <c r="Z49">
        <f>pm.rep!I324</f>
        <v>4.9494299999999998E-2</v>
      </c>
      <c r="AA49">
        <f>pm.rep!J324</f>
        <v>4.3741000000000002E-2</v>
      </c>
      <c r="AB49">
        <f>pm.rep!K324</f>
        <v>3.0731399999999999E-2</v>
      </c>
      <c r="AC49">
        <f>pm.rep!L324</f>
        <v>1.23559E-2</v>
      </c>
      <c r="AD49">
        <f>pm.rep!M324</f>
        <v>8.0283799999999999E-3</v>
      </c>
      <c r="AE49">
        <f>pm.rep!N324</f>
        <v>5.0923799999999996E-3</v>
      </c>
      <c r="AF49">
        <f>pm.rep!O324</f>
        <v>5.5481599999999999E-3</v>
      </c>
      <c r="AG49">
        <f>pm.rep!P324</f>
        <v>6.2523400000000003E-3</v>
      </c>
      <c r="AJ49" s="27">
        <f>SUMPRODUCT((1-B49:P49),B49:P49)/SUMXMY2(B49:P49,S49:AG49)</f>
        <v>2887.9251755146938</v>
      </c>
      <c r="AN49" s="27"/>
      <c r="AO49" s="28">
        <f>STDEV(AR49:BF49)</f>
        <v>0.61759730440033389</v>
      </c>
      <c r="AP49">
        <v>340.66091498280224</v>
      </c>
      <c r="AQ49">
        <v>2010</v>
      </c>
      <c r="AR49" s="20">
        <f t="shared" si="22"/>
        <v>1.6395391264340695</v>
      </c>
      <c r="AS49" s="20">
        <f t="shared" si="22"/>
        <v>0.1103811380260034</v>
      </c>
      <c r="AT49" s="20">
        <f t="shared" si="22"/>
        <v>-0.74656897355384377</v>
      </c>
      <c r="AU49" s="20">
        <f t="shared" si="22"/>
        <v>0.31352421557627785</v>
      </c>
      <c r="AV49" s="20">
        <f t="shared" si="22"/>
        <v>-5.4622313879227898E-2</v>
      </c>
      <c r="AW49" s="20">
        <f t="shared" si="22"/>
        <v>-0.58015877675562322</v>
      </c>
      <c r="AX49" s="20">
        <f t="shared" si="22"/>
        <v>-0.4469131093525513</v>
      </c>
      <c r="AY49" s="20">
        <f t="shared" si="22"/>
        <v>5.5263446202687472E-2</v>
      </c>
      <c r="AZ49" s="20">
        <f t="shared" si="22"/>
        <v>0.29002937435386478</v>
      </c>
      <c r="BA49" s="20">
        <f t="shared" si="22"/>
        <v>3.6102659631841498E-2</v>
      </c>
      <c r="BB49" s="20">
        <f t="shared" si="22"/>
        <v>-0.43243265396718528</v>
      </c>
      <c r="BC49" s="20">
        <f t="shared" si="22"/>
        <v>0.44194633959403623</v>
      </c>
      <c r="BD49" s="20">
        <f t="shared" si="22"/>
        <v>0.65261558870636782</v>
      </c>
      <c r="BE49" s="20">
        <f t="shared" si="22"/>
        <v>0.80813675527150464</v>
      </c>
      <c r="BF49" s="20">
        <f t="shared" si="22"/>
        <v>0.61888507562252704</v>
      </c>
      <c r="BG49">
        <v>2010</v>
      </c>
      <c r="BH49" s="20">
        <f t="shared" si="23"/>
        <v>0.33445043030207638</v>
      </c>
      <c r="BI49" s="20">
        <f t="shared" si="24"/>
        <v>-0.19204249610278112</v>
      </c>
      <c r="BJ49" s="20">
        <f t="shared" si="25"/>
        <v>0.34504044845899384</v>
      </c>
    </row>
    <row r="50" spans="1:62" x14ac:dyDescent="0.15">
      <c r="A50" s="21">
        <f>pm.rep!A380</f>
        <v>2011</v>
      </c>
      <c r="B50">
        <f>pm.rep!B380</f>
        <v>1.94775E-4</v>
      </c>
      <c r="C50">
        <f>pm.rep!C380</f>
        <v>1.00053E-2</v>
      </c>
      <c r="D50">
        <f>pm.rep!D380</f>
        <v>0.1198</v>
      </c>
      <c r="E50">
        <f>pm.rep!E380</f>
        <v>8.4204899999999999E-2</v>
      </c>
      <c r="F50">
        <f>pm.rep!F380</f>
        <v>0.49613400000000002</v>
      </c>
      <c r="G50">
        <f>pm.rep!G380</f>
        <v>0.162078</v>
      </c>
      <c r="H50">
        <f>pm.rep!H380</f>
        <v>3.5553599999999998E-2</v>
      </c>
      <c r="I50">
        <f>pm.rep!I380</f>
        <v>2.2793899999999999E-2</v>
      </c>
      <c r="J50">
        <f>pm.rep!J380</f>
        <v>2.2183399999999999E-2</v>
      </c>
      <c r="K50">
        <f>pm.rep!K380</f>
        <v>1.8329000000000002E-2</v>
      </c>
      <c r="L50">
        <f>pm.rep!L380</f>
        <v>1.4055399999999999E-2</v>
      </c>
      <c r="M50">
        <f>pm.rep!M380</f>
        <v>7.04018E-3</v>
      </c>
      <c r="N50">
        <f>pm.rep!N380</f>
        <v>2.8464300000000001E-3</v>
      </c>
      <c r="O50">
        <f>pm.rep!O380</f>
        <v>1.4428900000000001E-3</v>
      </c>
      <c r="P50">
        <f>pm.rep!P380</f>
        <v>3.3376500000000002E-3</v>
      </c>
      <c r="S50">
        <f>pm.rep!B325</f>
        <v>5.6030999999999995E-4</v>
      </c>
      <c r="T50">
        <f>pm.rep!C325</f>
        <v>8.9343700000000005E-3</v>
      </c>
      <c r="U50">
        <f>pm.rep!D325</f>
        <v>0.116218</v>
      </c>
      <c r="V50">
        <f>pm.rep!E325</f>
        <v>7.1376099999999998E-2</v>
      </c>
      <c r="W50">
        <f>pm.rep!F325</f>
        <v>0.48979800000000001</v>
      </c>
      <c r="X50">
        <f>pm.rep!G325</f>
        <v>0.17211499999999999</v>
      </c>
      <c r="Y50">
        <f>pm.rep!H325</f>
        <v>3.8850700000000002E-2</v>
      </c>
      <c r="Z50">
        <f>pm.rep!I325</f>
        <v>2.3865500000000001E-2</v>
      </c>
      <c r="AA50">
        <f>pm.rep!J325</f>
        <v>2.32068E-2</v>
      </c>
      <c r="AB50">
        <f>pm.rep!K325</f>
        <v>2.43155E-2</v>
      </c>
      <c r="AC50">
        <f>pm.rep!L325</f>
        <v>1.53531E-2</v>
      </c>
      <c r="AD50">
        <f>pm.rep!M325</f>
        <v>8.0515799999999992E-3</v>
      </c>
      <c r="AE50">
        <f>pm.rep!N325</f>
        <v>1.0459E-3</v>
      </c>
      <c r="AF50">
        <f>pm.rep!O325</f>
        <v>2.8398799999999999E-3</v>
      </c>
      <c r="AG50">
        <f>pm.rep!P325</f>
        <v>3.4688200000000001E-3</v>
      </c>
      <c r="AJ50" s="27">
        <f>SUMPRODUCT((1-B50:P50),B50:P50)/SUMXMY2(B50:P50,S50:AG50)</f>
        <v>1868.1248848691162</v>
      </c>
      <c r="AN50" s="27"/>
      <c r="AO50" s="28">
        <f>STDEV(AR50:BF50)</f>
        <v>0.46104805247806435</v>
      </c>
      <c r="AP50">
        <v>340.66091498280224</v>
      </c>
      <c r="AQ50">
        <v>2011</v>
      </c>
      <c r="AR50" s="20">
        <f t="shared" ref="AR50:BF51" si="26">(S50-B50)/(SQRT(B50*(1-B50)/$AP50))</f>
        <v>0.48346586223398674</v>
      </c>
      <c r="AS50" s="20">
        <f t="shared" si="26"/>
        <v>-0.19860526005175966</v>
      </c>
      <c r="AT50" s="20">
        <f t="shared" si="26"/>
        <v>-0.20359525150999494</v>
      </c>
      <c r="AU50" s="20">
        <f t="shared" si="26"/>
        <v>-0.85266679127156975</v>
      </c>
      <c r="AV50" s="20">
        <f t="shared" si="26"/>
        <v>-0.23389411829776519</v>
      </c>
      <c r="AW50" s="20">
        <f t="shared" si="26"/>
        <v>0.50269115917868645</v>
      </c>
      <c r="AX50" s="20">
        <f t="shared" si="26"/>
        <v>0.32863395577119403</v>
      </c>
      <c r="AY50" s="20">
        <f t="shared" si="26"/>
        <v>0.13252305997677855</v>
      </c>
      <c r="AZ50" s="20">
        <f t="shared" si="26"/>
        <v>0.12825190033704151</v>
      </c>
      <c r="BA50" s="20">
        <f t="shared" si="26"/>
        <v>0.82372410432748877</v>
      </c>
      <c r="BB50" s="20">
        <f t="shared" si="26"/>
        <v>0.20346400912806387</v>
      </c>
      <c r="BC50" s="20">
        <f t="shared" si="26"/>
        <v>0.22326794981067191</v>
      </c>
      <c r="BD50" s="20">
        <f t="shared" si="26"/>
        <v>-0.6237782647760165</v>
      </c>
      <c r="BE50" s="20">
        <f t="shared" si="26"/>
        <v>0.67928400070106754</v>
      </c>
      <c r="BF50" s="20">
        <f t="shared" si="26"/>
        <v>4.1976019226816444E-2</v>
      </c>
      <c r="BG50">
        <v>2011</v>
      </c>
      <c r="BH50" s="20">
        <f>AVERAGE(AR50:AT50)</f>
        <v>2.7088450224077382E-2</v>
      </c>
      <c r="BI50" s="20">
        <f>AVERAGE(AU50:AX50)</f>
        <v>-6.3808948654863612E-2</v>
      </c>
      <c r="BJ50" s="20">
        <f>AVERAGE(AZ50:BF50)</f>
        <v>0.21088424553644766</v>
      </c>
    </row>
    <row r="51" spans="1:62" x14ac:dyDescent="0.15">
      <c r="A51" s="21">
        <f>pm.rep!A381</f>
        <v>2012</v>
      </c>
      <c r="B51">
        <f>pm.rep!B381</f>
        <v>1.3586800000000001E-4</v>
      </c>
      <c r="C51">
        <f>pm.rep!C381</f>
        <v>6.8597500000000004E-3</v>
      </c>
      <c r="D51">
        <f>pm.rep!D381</f>
        <v>5.87822E-2</v>
      </c>
      <c r="E51">
        <f>pm.rep!E381</f>
        <v>0.48042400000000002</v>
      </c>
      <c r="F51">
        <f>pm.rep!F381</f>
        <v>9.7824400000000006E-2</v>
      </c>
      <c r="G51">
        <f>pm.rep!G381</f>
        <v>0.23306499999999999</v>
      </c>
      <c r="H51">
        <f>pm.rep!H381</f>
        <v>6.6019400000000006E-2</v>
      </c>
      <c r="I51">
        <f>pm.rep!I381</f>
        <v>1.55259E-2</v>
      </c>
      <c r="J51">
        <f>pm.rep!J381</f>
        <v>9.8830700000000007E-3</v>
      </c>
      <c r="K51">
        <f>pm.rep!K381</f>
        <v>9.7725099999999999E-3</v>
      </c>
      <c r="L51">
        <f>pm.rep!L381</f>
        <v>8.4565200000000004E-3</v>
      </c>
      <c r="M51">
        <f>pm.rep!M381</f>
        <v>6.4847999999999998E-3</v>
      </c>
      <c r="N51">
        <f>pm.rep!N381</f>
        <v>3.24815E-3</v>
      </c>
      <c r="O51">
        <f>pm.rep!O381</f>
        <v>1.3132599999999999E-3</v>
      </c>
      <c r="P51">
        <f>pm.rep!P381</f>
        <v>2.2056100000000002E-3</v>
      </c>
      <c r="S51">
        <f>pm.rep!B326</f>
        <v>0</v>
      </c>
      <c r="T51">
        <f>pm.rep!C326</f>
        <v>1.44548E-2</v>
      </c>
      <c r="U51">
        <f>pm.rep!D326</f>
        <v>6.1606599999999997E-2</v>
      </c>
      <c r="V51">
        <f>pm.rep!E326</f>
        <v>0.481846</v>
      </c>
      <c r="W51">
        <f>pm.rep!F326</f>
        <v>8.8430800000000004E-2</v>
      </c>
      <c r="X51">
        <f>pm.rep!G326</f>
        <v>0.22120500000000001</v>
      </c>
      <c r="Y51">
        <f>pm.rep!H326</f>
        <v>7.0718500000000004E-2</v>
      </c>
      <c r="Z51">
        <f>pm.rep!I326</f>
        <v>1.9350099999999999E-2</v>
      </c>
      <c r="AA51">
        <f>pm.rep!J326</f>
        <v>9.1026400000000004E-3</v>
      </c>
      <c r="AB51">
        <f>pm.rep!K326</f>
        <v>6.8496499999999997E-3</v>
      </c>
      <c r="AC51">
        <f>pm.rep!L326</f>
        <v>8.11483E-3</v>
      </c>
      <c r="AD51">
        <f>pm.rep!M326</f>
        <v>8.1827099999999993E-3</v>
      </c>
      <c r="AE51">
        <f>pm.rep!N326</f>
        <v>4.2339099999999996E-3</v>
      </c>
      <c r="AF51">
        <f>pm.rep!O326</f>
        <v>4.0735399999999996E-3</v>
      </c>
      <c r="AG51">
        <f>pm.rep!P326</f>
        <v>1.8302800000000001E-3</v>
      </c>
      <c r="AJ51" s="27">
        <f>AVERAGE(AJ3:AJ50)</f>
        <v>1140.2100153464833</v>
      </c>
      <c r="AK51" s="27">
        <f>AVERAGE(AK3:AK47)</f>
        <v>171.16621764520809</v>
      </c>
      <c r="AL51" s="27">
        <f>AVERAGE(AL3:AL47)</f>
        <v>277.4413946728227</v>
      </c>
      <c r="AM51" s="27">
        <f>AVERAGE(AM3:AM47)</f>
        <v>209.16031480138588</v>
      </c>
      <c r="AN51" s="27"/>
      <c r="AO51" s="28">
        <f>STDEV(AR51:BF51)</f>
        <v>0.66037030372481509</v>
      </c>
      <c r="AP51">
        <v>340.66091498280224</v>
      </c>
      <c r="AQ51">
        <v>2012</v>
      </c>
      <c r="AR51" s="20">
        <f t="shared" si="26"/>
        <v>-0.21515391395592598</v>
      </c>
      <c r="AS51" s="20">
        <f t="shared" si="26"/>
        <v>1.6983701793032338</v>
      </c>
      <c r="AT51" s="20">
        <f t="shared" si="26"/>
        <v>0.221625318713388</v>
      </c>
      <c r="AU51" s="20">
        <f t="shared" si="26"/>
        <v>5.2531991120574134E-2</v>
      </c>
      <c r="AV51" s="20">
        <f t="shared" si="26"/>
        <v>-0.58361182425841396</v>
      </c>
      <c r="AW51" s="20">
        <f t="shared" si="26"/>
        <v>-0.51775945064472551</v>
      </c>
      <c r="AX51" s="20">
        <f t="shared" si="26"/>
        <v>0.34927791609238196</v>
      </c>
      <c r="AY51" s="20">
        <f t="shared" si="26"/>
        <v>0.57091468185330174</v>
      </c>
      <c r="AZ51" s="20">
        <f t="shared" si="26"/>
        <v>-0.14561493837853642</v>
      </c>
      <c r="BA51" s="20">
        <f t="shared" si="26"/>
        <v>-0.54840147857727195</v>
      </c>
      <c r="BB51" s="20">
        <f t="shared" si="26"/>
        <v>-6.887184245272672E-2</v>
      </c>
      <c r="BC51" s="20">
        <f t="shared" si="26"/>
        <v>0.39042738262383392</v>
      </c>
      <c r="BD51" s="20">
        <f t="shared" si="26"/>
        <v>0.31975753118675326</v>
      </c>
      <c r="BE51" s="20">
        <f t="shared" si="26"/>
        <v>1.4067738699197363</v>
      </c>
      <c r="BF51" s="20">
        <f t="shared" si="26"/>
        <v>-0.14766907113584993</v>
      </c>
      <c r="BG51">
        <v>2012</v>
      </c>
      <c r="BH51" s="20">
        <f>AVERAGE(AR51:AT51)</f>
        <v>0.56828052802023199</v>
      </c>
      <c r="BI51" s="20">
        <f>AVERAGE(AU51:AX51)</f>
        <v>-0.17489034192254582</v>
      </c>
      <c r="BJ51" s="20">
        <f>AVERAGE(AZ51:BF51)</f>
        <v>0.17234306474084835</v>
      </c>
    </row>
    <row r="52" spans="1:62" x14ac:dyDescent="0.15">
      <c r="A52" s="21">
        <f>pm.rep!A382</f>
        <v>2013</v>
      </c>
      <c r="B52">
        <f>pm.rep!B382</f>
        <v>7.2621299999999997E-4</v>
      </c>
      <c r="C52">
        <f>pm.rep!C382</f>
        <v>3.9453600000000002E-3</v>
      </c>
      <c r="D52">
        <f>pm.rep!D382</f>
        <v>3.6194900000000002E-2</v>
      </c>
      <c r="E52">
        <f>pm.rep!E382</f>
        <v>0.186194</v>
      </c>
      <c r="F52">
        <f>pm.rep!F382</f>
        <v>0.51502400000000004</v>
      </c>
      <c r="G52">
        <f>pm.rep!G382</f>
        <v>0.10041799999999999</v>
      </c>
      <c r="H52">
        <f>pm.rep!H382</f>
        <v>9.48127E-2</v>
      </c>
      <c r="I52">
        <f>pm.rep!I382</f>
        <v>3.2562899999999999E-2</v>
      </c>
      <c r="J52">
        <f>pm.rep!J382</f>
        <v>7.6870200000000001E-3</v>
      </c>
      <c r="K52">
        <f>pm.rep!K382</f>
        <v>5.2253100000000004E-3</v>
      </c>
      <c r="L52">
        <f>pm.rep!L382</f>
        <v>5.3423100000000003E-3</v>
      </c>
      <c r="M52">
        <f>pm.rep!M382</f>
        <v>4.6229000000000001E-3</v>
      </c>
      <c r="N52">
        <f>pm.rep!N382</f>
        <v>3.5450299999999998E-3</v>
      </c>
      <c r="O52">
        <f>pm.rep!O382</f>
        <v>1.7756600000000001E-3</v>
      </c>
      <c r="P52">
        <f>pm.rep!P382</f>
        <v>1.92366E-3</v>
      </c>
      <c r="S52">
        <f>pm.rep!B327</f>
        <v>1.8345099999999999E-3</v>
      </c>
      <c r="T52">
        <f>pm.rep!C327</f>
        <v>9.1916600000000002E-4</v>
      </c>
      <c r="U52">
        <f>pm.rep!D327</f>
        <v>3.7766800000000003E-2</v>
      </c>
      <c r="V52">
        <f>pm.rep!E327</f>
        <v>0.18399399999999999</v>
      </c>
      <c r="W52">
        <f>pm.rep!F327</f>
        <v>0.50783599999999995</v>
      </c>
      <c r="X52">
        <f>pm.rep!G327</f>
        <v>0.101058</v>
      </c>
      <c r="Y52">
        <f>pm.rep!H327</f>
        <v>8.3210000000000006E-2</v>
      </c>
      <c r="Z52">
        <f>pm.rep!I327</f>
        <v>3.6828600000000003E-2</v>
      </c>
      <c r="AA52">
        <f>pm.rep!J327</f>
        <v>1.1068E-2</v>
      </c>
      <c r="AB52">
        <f>pm.rep!K327</f>
        <v>9.5195499999999999E-3</v>
      </c>
      <c r="AC52">
        <f>pm.rep!L327</f>
        <v>7.3208600000000002E-3</v>
      </c>
      <c r="AD52">
        <f>pm.rep!M327</f>
        <v>6.67507E-3</v>
      </c>
      <c r="AE52">
        <f>pm.rep!N327</f>
        <v>4.8552600000000001E-3</v>
      </c>
      <c r="AF52">
        <f>pm.rep!O327</f>
        <v>3.15169E-3</v>
      </c>
      <c r="AG52">
        <f>pm.rep!P327</f>
        <v>3.9633400000000001E-3</v>
      </c>
      <c r="AJ52" s="27"/>
      <c r="AK52" s="27"/>
      <c r="AL52" s="27"/>
      <c r="AM52" s="27"/>
      <c r="AN52" s="27"/>
      <c r="AO52" s="28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H52" s="20"/>
      <c r="BI52" s="20"/>
      <c r="BJ52" s="20"/>
    </row>
    <row r="53" spans="1:62" x14ac:dyDescent="0.15">
      <c r="A53" s="21">
        <f>pm.rep!A383</f>
        <v>2014</v>
      </c>
      <c r="B53">
        <f>pm.rep!B383</f>
        <v>3.42398E-4</v>
      </c>
      <c r="C53">
        <f>pm.rep!C383</f>
        <v>2.2080800000000001E-2</v>
      </c>
      <c r="D53">
        <f>pm.rep!D383</f>
        <v>2.6185199999999999E-2</v>
      </c>
      <c r="E53">
        <f>pm.rep!E383</f>
        <v>0.101398</v>
      </c>
      <c r="F53">
        <f>pm.rep!F383</f>
        <v>0.22714300000000001</v>
      </c>
      <c r="G53">
        <f>pm.rep!G383</f>
        <v>0.43478600000000001</v>
      </c>
      <c r="H53">
        <f>pm.rep!H383</f>
        <v>0.102382</v>
      </c>
      <c r="I53">
        <f>pm.rep!I383</f>
        <v>5.6270399999999998E-2</v>
      </c>
      <c r="J53">
        <f>pm.rep!J383</f>
        <v>1.45474E-2</v>
      </c>
      <c r="K53">
        <f>pm.rep!K383</f>
        <v>3.7832899999999999E-3</v>
      </c>
      <c r="L53">
        <f>pm.rep!L383</f>
        <v>2.5812000000000001E-3</v>
      </c>
      <c r="M53">
        <f>pm.rep!M383</f>
        <v>2.6389899999999999E-3</v>
      </c>
      <c r="N53">
        <f>pm.rep!N383</f>
        <v>2.2836200000000001E-3</v>
      </c>
      <c r="O53">
        <f>pm.rep!O383</f>
        <v>1.75117E-3</v>
      </c>
      <c r="P53">
        <f>pm.rep!P383</f>
        <v>1.8273899999999999E-3</v>
      </c>
      <c r="S53">
        <f>pm.rep!B328</f>
        <v>0</v>
      </c>
      <c r="T53">
        <f>pm.rep!C328</f>
        <v>2.4027799999999998E-2</v>
      </c>
      <c r="U53">
        <f>pm.rep!D328</f>
        <v>1.7835199999999999E-2</v>
      </c>
      <c r="V53">
        <f>pm.rep!E328</f>
        <v>9.7244700000000003E-2</v>
      </c>
      <c r="W53">
        <f>pm.rep!F328</f>
        <v>0.22703300000000001</v>
      </c>
      <c r="X53">
        <f>pm.rep!G328</f>
        <v>0.42752499999999999</v>
      </c>
      <c r="Y53">
        <f>pm.rep!H328</f>
        <v>0.119696</v>
      </c>
      <c r="Z53">
        <f>pm.rep!I328</f>
        <v>5.0185500000000001E-2</v>
      </c>
      <c r="AA53">
        <f>pm.rep!J328</f>
        <v>1.6556999999999999E-2</v>
      </c>
      <c r="AB53">
        <f>pm.rep!K328</f>
        <v>5.1963599999999997E-3</v>
      </c>
      <c r="AC53">
        <f>pm.rep!L328</f>
        <v>2.7258199999999999E-3</v>
      </c>
      <c r="AD53">
        <f>pm.rep!M328</f>
        <v>2.8439699999999999E-3</v>
      </c>
      <c r="AE53">
        <f>pm.rep!N328</f>
        <v>2.4238100000000002E-3</v>
      </c>
      <c r="AF53">
        <f>pm.rep!O328</f>
        <v>1.64931E-3</v>
      </c>
      <c r="AG53">
        <f>pm.rep!P328</f>
        <v>5.0570399999999996E-3</v>
      </c>
      <c r="AJ53" s="27"/>
      <c r="AK53" s="27"/>
      <c r="AL53" s="27"/>
      <c r="AM53" s="27"/>
      <c r="AN53" s="27"/>
    </row>
    <row r="54" spans="1:62" x14ac:dyDescent="0.15">
      <c r="A54" s="21">
        <f>pm.rep!A384</f>
        <v>2015</v>
      </c>
      <c r="B54">
        <f>pm.rep!B384</f>
        <v>1.7176499999999999E-4</v>
      </c>
      <c r="C54">
        <f>pm.rep!C384</f>
        <v>8.9724799999999997E-3</v>
      </c>
      <c r="D54">
        <f>pm.rep!D384</f>
        <v>0.28909600000000002</v>
      </c>
      <c r="E54">
        <f>pm.rep!E384</f>
        <v>8.7968199999999996E-2</v>
      </c>
      <c r="F54">
        <f>pm.rep!F384</f>
        <v>0.10909099999999999</v>
      </c>
      <c r="G54">
        <f>pm.rep!G384</f>
        <v>0.17544899999999999</v>
      </c>
      <c r="H54">
        <f>pm.rep!H384</f>
        <v>0.249665</v>
      </c>
      <c r="I54">
        <f>pm.rep!I384</f>
        <v>4.0360100000000003E-2</v>
      </c>
      <c r="J54">
        <f>pm.rep!J384</f>
        <v>2.4144200000000001E-2</v>
      </c>
      <c r="K54">
        <f>pm.rep!K384</f>
        <v>7.8908299999999997E-3</v>
      </c>
      <c r="L54">
        <f>pm.rep!L384</f>
        <v>1.8303200000000001E-3</v>
      </c>
      <c r="M54">
        <f>pm.rep!M384</f>
        <v>1.24876E-3</v>
      </c>
      <c r="N54">
        <f>pm.rep!N384</f>
        <v>1.2767200000000001E-3</v>
      </c>
      <c r="O54">
        <f>pm.rep!O384</f>
        <v>1.10479E-3</v>
      </c>
      <c r="P54">
        <f>pm.rep!P384</f>
        <v>1.73127E-3</v>
      </c>
      <c r="S54">
        <f>pm.rep!B329</f>
        <v>0</v>
      </c>
      <c r="T54">
        <f>pm.rep!C329</f>
        <v>8.76855E-3</v>
      </c>
      <c r="U54">
        <f>pm.rep!D329</f>
        <v>0.297346</v>
      </c>
      <c r="V54">
        <f>pm.rep!E329</f>
        <v>9.1599700000000006E-2</v>
      </c>
      <c r="W54">
        <f>pm.rep!F329</f>
        <v>0.107011</v>
      </c>
      <c r="X54">
        <f>pm.rep!G329</f>
        <v>0.18038100000000001</v>
      </c>
      <c r="Y54">
        <f>pm.rep!H329</f>
        <v>0.238985</v>
      </c>
      <c r="Z54">
        <f>pm.rep!I329</f>
        <v>4.0776100000000003E-2</v>
      </c>
      <c r="AA54">
        <f>pm.rep!J329</f>
        <v>1.9935000000000001E-2</v>
      </c>
      <c r="AB54">
        <f>pm.rep!K329</f>
        <v>8.6954700000000003E-3</v>
      </c>
      <c r="AC54">
        <f>pm.rep!L329</f>
        <v>1.33712E-3</v>
      </c>
      <c r="AD54">
        <f>pm.rep!M329</f>
        <v>1.2520299999999999E-3</v>
      </c>
      <c r="AE54">
        <f>pm.rep!N329</f>
        <v>1.4634800000000001E-3</v>
      </c>
      <c r="AF54">
        <f>pm.rep!O329</f>
        <v>1.6064300000000001E-3</v>
      </c>
      <c r="AG54">
        <f>pm.rep!P329</f>
        <v>8.4273400000000004E-4</v>
      </c>
      <c r="AJ54" s="27"/>
      <c r="AK54" s="27"/>
      <c r="AL54" s="27"/>
      <c r="AM54" s="27"/>
      <c r="AN54" s="27"/>
    </row>
    <row r="55" spans="1:62" x14ac:dyDescent="0.15">
      <c r="AJ55" s="27"/>
      <c r="AK55" s="27"/>
      <c r="AL55" s="27"/>
      <c r="AM55" s="27"/>
      <c r="AN55" s="27"/>
    </row>
    <row r="56" spans="1:62" x14ac:dyDescent="0.15">
      <c r="AJ56" s="27"/>
      <c r="AK56" s="27"/>
      <c r="AL56" s="27"/>
      <c r="AM56" s="27"/>
      <c r="AN56" s="27"/>
    </row>
    <row r="57" spans="1:62" x14ac:dyDescent="0.15">
      <c r="A57" t="str">
        <f>pm.rep!A385</f>
        <v>Fishery</v>
      </c>
      <c r="B57">
        <v>26</v>
      </c>
      <c r="C57">
        <v>28</v>
      </c>
      <c r="D57">
        <v>30</v>
      </c>
      <c r="E57">
        <v>32</v>
      </c>
      <c r="F57">
        <v>34</v>
      </c>
      <c r="G57">
        <v>35.5</v>
      </c>
      <c r="H57">
        <v>36.5</v>
      </c>
      <c r="I57">
        <v>37.5</v>
      </c>
      <c r="J57">
        <v>38.5</v>
      </c>
      <c r="K57">
        <v>39.5</v>
      </c>
      <c r="L57">
        <v>40.5</v>
      </c>
      <c r="M57">
        <v>41.5</v>
      </c>
      <c r="N57">
        <v>42.5</v>
      </c>
      <c r="O57">
        <v>43.5</v>
      </c>
      <c r="P57">
        <v>44.5</v>
      </c>
      <c r="Q57">
        <v>45.5</v>
      </c>
      <c r="R57">
        <v>47</v>
      </c>
      <c r="S57">
        <v>49</v>
      </c>
      <c r="T57">
        <v>51</v>
      </c>
      <c r="U57">
        <v>53</v>
      </c>
      <c r="V57">
        <v>55</v>
      </c>
      <c r="W57">
        <v>57</v>
      </c>
      <c r="X57">
        <v>59</v>
      </c>
      <c r="Y57">
        <v>61</v>
      </c>
      <c r="Z57">
        <v>63</v>
      </c>
      <c r="AJ57" s="27"/>
      <c r="AK57" s="27"/>
      <c r="AL57" s="27"/>
      <c r="AM57" s="27"/>
      <c r="AN57" s="27"/>
    </row>
    <row r="58" spans="1:62" x14ac:dyDescent="0.15">
      <c r="A58">
        <f>pm.rep!A386</f>
        <v>2016</v>
      </c>
      <c r="B58">
        <f>pm.rep!B386</f>
        <v>2.3234399999999999E-2</v>
      </c>
      <c r="C58">
        <f>pm.rep!C386</f>
        <v>3.3153799999999997E-2</v>
      </c>
      <c r="D58">
        <f>pm.rep!D386</f>
        <v>4.9826500000000003E-2</v>
      </c>
      <c r="E58">
        <f>pm.rep!E386</f>
        <v>6.9122699999999995E-2</v>
      </c>
      <c r="F58">
        <f>pm.rep!F386</f>
        <v>6.9298399999999996E-2</v>
      </c>
      <c r="G58">
        <f>pm.rep!G386</f>
        <v>5.4008E-2</v>
      </c>
      <c r="H58">
        <f>pm.rep!H386</f>
        <v>5.7126099999999999E-2</v>
      </c>
      <c r="I58">
        <f>pm.rep!I386</f>
        <v>5.6207899999999998E-2</v>
      </c>
      <c r="J58">
        <f>pm.rep!J386</f>
        <v>5.1483099999999997E-2</v>
      </c>
      <c r="K58">
        <f>pm.rep!K386</f>
        <v>4.4390899999999997E-2</v>
      </c>
      <c r="L58">
        <f>pm.rep!L386</f>
        <v>3.6849399999999997E-2</v>
      </c>
      <c r="M58">
        <f>pm.rep!M386</f>
        <v>3.04421E-2</v>
      </c>
      <c r="N58">
        <f>pm.rep!N386</f>
        <v>2.5971399999999999E-2</v>
      </c>
      <c r="O58">
        <f>pm.rep!O386</f>
        <v>2.3488999999999999E-2</v>
      </c>
      <c r="P58">
        <f>pm.rep!P386</f>
        <v>2.2604800000000001E-2</v>
      </c>
      <c r="Q58">
        <f>pm.rep!Q386</f>
        <v>3.4493200000000002E-2</v>
      </c>
      <c r="R58">
        <f>pm.rep!R386</f>
        <v>4.9448199999999998E-2</v>
      </c>
      <c r="S58">
        <f>pm.rep!S386</f>
        <v>5.32872E-2</v>
      </c>
      <c r="T58">
        <f>pm.rep!T386</f>
        <v>5.4135700000000002E-2</v>
      </c>
      <c r="U58">
        <f>pm.rep!U386</f>
        <v>5.01355E-2</v>
      </c>
      <c r="V58">
        <f>pm.rep!V386</f>
        <v>4.1213800000000002E-2</v>
      </c>
      <c r="W58">
        <f>pm.rep!W386</f>
        <v>2.96154E-2</v>
      </c>
      <c r="X58">
        <f>pm.rep!X386</f>
        <v>1.8643199999999999E-2</v>
      </c>
      <c r="Y58">
        <f>pm.rep!Y386</f>
        <v>1.0500000000000001E-2</v>
      </c>
      <c r="Z58">
        <f>pm.rep!Z386</f>
        <v>1.1319299999999999E-2</v>
      </c>
      <c r="AB58">
        <f>pm.rep!B331</f>
        <v>2.0570599999999999E-3</v>
      </c>
      <c r="AC58">
        <f>pm.rep!C331</f>
        <v>1.73226E-3</v>
      </c>
      <c r="AD58">
        <f>pm.rep!D331</f>
        <v>2.2394099999999998E-3</v>
      </c>
      <c r="AE58">
        <f>pm.rep!E331</f>
        <v>3.61838E-3</v>
      </c>
      <c r="AF58">
        <f>pm.rep!F331</f>
        <v>5.11701E-3</v>
      </c>
      <c r="AG58">
        <f>pm.rep!G331</f>
        <v>2.72376E-3</v>
      </c>
      <c r="AH58">
        <f>pm.rep!H331</f>
        <v>3.09984E-3</v>
      </c>
      <c r="AJ58">
        <f>pm.rep!I331</f>
        <v>4.0400499999999999E-3</v>
      </c>
      <c r="AK58">
        <f>pm.rep!J331</f>
        <v>5.6184599999999996E-3</v>
      </c>
      <c r="AL58">
        <f>pm.rep!K331</f>
        <v>7.9148499999999993E-3</v>
      </c>
      <c r="AM58">
        <f>pm.rep!L331</f>
        <v>1.15275E-2</v>
      </c>
      <c r="AN58">
        <f>pm.rep!M331</f>
        <v>1.62969E-2</v>
      </c>
      <c r="AO58">
        <f>pm.rep!N331</f>
        <v>2.30437E-2</v>
      </c>
      <c r="AP58">
        <f>pm.rep!O331</f>
        <v>3.3021300000000003E-2</v>
      </c>
      <c r="AQ58">
        <f>pm.rep!P331</f>
        <v>4.4400599999999998E-2</v>
      </c>
      <c r="AR58">
        <f>pm.rep!Q331</f>
        <v>6.0167600000000002E-2</v>
      </c>
      <c r="AS58">
        <f>pm.rep!R331</f>
        <v>0.15392600000000001</v>
      </c>
      <c r="AT58">
        <f>pm.rep!S331</f>
        <v>0.16247400000000001</v>
      </c>
      <c r="AU58">
        <f>pm.rep!T331</f>
        <v>0.13808000000000001</v>
      </c>
      <c r="AV58">
        <f>pm.rep!U331</f>
        <v>0.10397000000000001</v>
      </c>
      <c r="AW58">
        <f>pm.rep!V331</f>
        <v>7.4401800000000004E-2</v>
      </c>
      <c r="AX58">
        <f>pm.rep!W331</f>
        <v>5.0423700000000002E-2</v>
      </c>
      <c r="AY58">
        <f>pm.rep!X331</f>
        <v>3.3289100000000002E-2</v>
      </c>
      <c r="AZ58">
        <f>pm.rep!Y331</f>
        <v>2.1459499999999999E-2</v>
      </c>
      <c r="BA58">
        <f>pm.rep!Z331</f>
        <v>3.53575E-2</v>
      </c>
      <c r="BC58" t="e">
        <f t="array" ref="BC58">SUMPRODUCT((1-B58:Z58),B58:Z58)/SUMXMY2(B58:Z58,AB58:BA58)</f>
        <v>#N/A</v>
      </c>
    </row>
    <row r="59" spans="1:62" x14ac:dyDescent="0.15">
      <c r="AJ59" s="27"/>
      <c r="AK59" s="27"/>
      <c r="AL59" s="27"/>
      <c r="AM59" s="27"/>
      <c r="AN59" s="27"/>
    </row>
    <row r="60" spans="1:62" x14ac:dyDescent="0.15">
      <c r="AJ60" s="27"/>
      <c r="AK60" s="27"/>
      <c r="AL60" s="27"/>
      <c r="AM60" s="27"/>
      <c r="AN60" s="27"/>
    </row>
    <row r="61" spans="1:62" x14ac:dyDescent="0.15">
      <c r="AJ61" s="27"/>
      <c r="AK61" s="27"/>
      <c r="AL61" s="27"/>
    </row>
    <row r="62" spans="1:62" x14ac:dyDescent="0.15">
      <c r="A62" s="21" t="s">
        <v>132</v>
      </c>
      <c r="B62">
        <v>1900</v>
      </c>
    </row>
    <row r="63" spans="1:62" s="21" customFormat="1" x14ac:dyDescent="0.15">
      <c r="A63" s="21" t="s">
        <v>127</v>
      </c>
      <c r="B63" s="21">
        <v>1</v>
      </c>
      <c r="C63" s="21">
        <v>2</v>
      </c>
      <c r="D63" s="21">
        <v>3</v>
      </c>
      <c r="E63" s="21">
        <v>4</v>
      </c>
      <c r="F63" s="21">
        <v>5</v>
      </c>
      <c r="G63" s="21">
        <v>6</v>
      </c>
      <c r="H63" s="21">
        <v>7</v>
      </c>
      <c r="I63" s="21">
        <v>8</v>
      </c>
      <c r="J63" s="21">
        <v>9</v>
      </c>
      <c r="K63" s="21">
        <v>10</v>
      </c>
      <c r="L63" s="21">
        <v>11</v>
      </c>
      <c r="M63" s="21">
        <v>12</v>
      </c>
      <c r="N63" s="21">
        <v>13</v>
      </c>
      <c r="O63" s="21">
        <v>14</v>
      </c>
      <c r="P63" s="21">
        <v>15</v>
      </c>
      <c r="R63" s="21" t="s">
        <v>128</v>
      </c>
      <c r="S63" s="21">
        <v>1</v>
      </c>
      <c r="T63" s="21">
        <v>2</v>
      </c>
      <c r="U63" s="21">
        <v>3</v>
      </c>
      <c r="V63" s="21">
        <v>4</v>
      </c>
      <c r="W63" s="21">
        <v>5</v>
      </c>
      <c r="X63" s="21">
        <v>6</v>
      </c>
      <c r="Y63" s="21">
        <v>7</v>
      </c>
      <c r="Z63" s="21">
        <v>8</v>
      </c>
      <c r="AA63" s="21">
        <v>9</v>
      </c>
      <c r="AB63" s="21">
        <v>10</v>
      </c>
      <c r="AC63" s="21">
        <v>11</v>
      </c>
      <c r="AD63" s="21">
        <v>12</v>
      </c>
      <c r="AE63" s="21">
        <v>13</v>
      </c>
      <c r="AF63" s="21">
        <v>14</v>
      </c>
      <c r="AG63" s="21">
        <v>15</v>
      </c>
      <c r="AJ63" s="21" t="s">
        <v>122</v>
      </c>
      <c r="AO63" s="21" t="s">
        <v>414</v>
      </c>
      <c r="AR63" s="21">
        <v>1</v>
      </c>
      <c r="AS63" s="21">
        <v>2</v>
      </c>
      <c r="AT63" s="21">
        <v>3</v>
      </c>
      <c r="AU63" s="21">
        <v>4</v>
      </c>
      <c r="AV63" s="21">
        <v>5</v>
      </c>
      <c r="AW63" s="21">
        <v>6</v>
      </c>
      <c r="AX63" s="21">
        <v>7</v>
      </c>
      <c r="AY63" s="21">
        <v>8</v>
      </c>
      <c r="AZ63" s="21">
        <v>9</v>
      </c>
      <c r="BA63" s="21">
        <v>10</v>
      </c>
      <c r="BB63" s="21">
        <v>11</v>
      </c>
      <c r="BC63" s="21">
        <v>12</v>
      </c>
      <c r="BD63" s="21">
        <v>13</v>
      </c>
      <c r="BE63" s="21">
        <v>14</v>
      </c>
      <c r="BF63" s="21">
        <v>15</v>
      </c>
    </row>
    <row r="64" spans="1:62" x14ac:dyDescent="0.15">
      <c r="A64" s="21">
        <v>1982</v>
      </c>
      <c r="B64">
        <f t="array" ref="B64:P77">pm.rep!$B$424:$P$437</f>
        <v>9.1591699999999998E-2</v>
      </c>
      <c r="C64">
        <v>0.14472399999999999</v>
      </c>
      <c r="D64">
        <v>0.15934999999999999</v>
      </c>
      <c r="E64">
        <v>0.39761000000000002</v>
      </c>
      <c r="F64">
        <v>0.12601799999999999</v>
      </c>
      <c r="G64">
        <v>3.8193999999999999E-2</v>
      </c>
      <c r="H64">
        <v>1.89128E-2</v>
      </c>
      <c r="I64">
        <v>1.1974800000000001E-2</v>
      </c>
      <c r="J64">
        <v>6.2627300000000002E-3</v>
      </c>
      <c r="K64">
        <v>3.4779799999999999E-3</v>
      </c>
      <c r="L64">
        <v>7.2232399999999999E-4</v>
      </c>
      <c r="M64">
        <v>4.3869699999999999E-4</v>
      </c>
      <c r="N64">
        <v>3.4763300000000002E-4</v>
      </c>
      <c r="O64">
        <v>1.9724799999999999E-4</v>
      </c>
      <c r="P64">
        <v>1.7886700000000001E-4</v>
      </c>
      <c r="S64">
        <f t="array" ref="S64:AG77">pm.rep!$B$388:$P$401</f>
        <v>9.1249899999999995E-2</v>
      </c>
      <c r="T64">
        <v>0.216888</v>
      </c>
      <c r="U64">
        <v>0.23791799999999999</v>
      </c>
      <c r="V64">
        <v>0.31031999999999998</v>
      </c>
      <c r="W64">
        <v>0.106714</v>
      </c>
      <c r="X64">
        <v>1.46117E-2</v>
      </c>
      <c r="Y64">
        <v>1.01333E-2</v>
      </c>
      <c r="Z64">
        <v>4.8340199999999996E-3</v>
      </c>
      <c r="AA64">
        <v>3.0524200000000001E-3</v>
      </c>
      <c r="AB64">
        <v>1.9135300000000001E-3</v>
      </c>
      <c r="AC64">
        <v>1.1793299999999999E-3</v>
      </c>
      <c r="AD64">
        <v>7.3119500000000002E-4</v>
      </c>
      <c r="AE64">
        <v>2.5602399999999999E-4</v>
      </c>
      <c r="AF64">
        <v>1.0056399999999999E-4</v>
      </c>
      <c r="AG64">
        <v>9.8169099999999995E-5</v>
      </c>
      <c r="AJ64" s="27">
        <f>SUMPRODUCT((1-B64:P64),B64:P64)/SUMXMY2(B64:P64,S64:AG64)</f>
        <v>38.329961493619471</v>
      </c>
      <c r="AO64" s="28">
        <f>STDEV(AR64:BF64)</f>
        <v>1.031166779428573</v>
      </c>
      <c r="AP64">
        <v>100</v>
      </c>
      <c r="AQ64">
        <f>A64</f>
        <v>1982</v>
      </c>
      <c r="AR64">
        <f t="shared" ref="AR64:AR87" si="27">(S64-B64)/(SQRT(B64*(1-B64)/$AP64))</f>
        <v>-1.1849593485815263E-2</v>
      </c>
      <c r="AS64">
        <f t="shared" ref="AS64:AS87" si="28">(T64-C64)/(SQRT(C64*(1-C64)/$AP64))</f>
        <v>2.0511488432304619</v>
      </c>
      <c r="AT64">
        <f t="shared" ref="AT64:AT87" si="29">(U64-D64)/(SQRT(D64*(1-D64)/$AP64))</f>
        <v>2.1466540269313881</v>
      </c>
      <c r="AU64">
        <f t="shared" ref="AU64:AU87" si="30">(V64-E64)/(SQRT(E64*(1-E64)/$AP64))</f>
        <v>-1.7835979617801123</v>
      </c>
      <c r="AV64">
        <f t="shared" ref="AV64:AV87" si="31">(W64-F64)/(SQRT(F64*(1-F64)/$AP64))</f>
        <v>-0.58167416273821981</v>
      </c>
      <c r="AW64">
        <f t="shared" ref="AW64:AW87" si="32">(X64-G64)/(SQRT(G64*(1-G64)/$AP64))</f>
        <v>-1.2303958199635321</v>
      </c>
      <c r="AX64">
        <f t="shared" ref="AX64:AX87" si="33">(Y64-H64)/(SQRT(H64*(1-H64)/$AP64))</f>
        <v>-0.64452247088778503</v>
      </c>
      <c r="AY64">
        <f t="shared" ref="AY64:AY87" si="34">(Z64-I64)/(SQRT(I64*(1-I64)/$AP64))</f>
        <v>-0.65648908231186176</v>
      </c>
      <c r="AZ64">
        <f t="shared" ref="AZ64:AZ87" si="35">(AA64-J64)/(SQRT(J64*(1-J64)/$AP64))</f>
        <v>-0.40693902301255563</v>
      </c>
      <c r="BA64">
        <f t="shared" ref="BA64:BA87" si="36">(AB64-K64)/(SQRT(K64*(1-K64)/$AP64))</f>
        <v>-0.26573863362687405</v>
      </c>
      <c r="BB64">
        <f t="shared" ref="BB64:BB87" si="37">(AC64-L64)/(SQRT(L64*(1-L64)/$AP64))</f>
        <v>0.17010331870992262</v>
      </c>
      <c r="BC64">
        <f t="shared" ref="BC64:BC87" si="38">(AD64-M64)/(SQRT(M64*(1-M64)/$AP64))</f>
        <v>0.13968052264037226</v>
      </c>
      <c r="BD64">
        <f t="shared" ref="BD64:BD87" si="39">(AE64-N64)/(SQRT(N64*(1-N64)/$AP64))</f>
        <v>-4.9142035910010019E-2</v>
      </c>
      <c r="BE64">
        <f t="shared" ref="BE64:BE87" si="40">(AF64-O64)/(SQRT(O64*(1-O64)/$AP64))</f>
        <v>-6.8847970332028691E-2</v>
      </c>
      <c r="BF64">
        <f t="shared" ref="BF64:BF87" si="41">(AG64-P64)/(SQRT(P64*(1-P64)/$AP64))</f>
        <v>-6.0344259969807405E-2</v>
      </c>
      <c r="BH64">
        <v>10</v>
      </c>
      <c r="BI64">
        <v>100</v>
      </c>
      <c r="BJ64">
        <v>6.3119927862939598</v>
      </c>
    </row>
    <row r="65" spans="1:62" x14ac:dyDescent="0.15">
      <c r="A65" s="21">
        <v>1983</v>
      </c>
      <c r="B65">
        <v>0.241563</v>
      </c>
      <c r="C65">
        <v>4.6656799999999998E-2</v>
      </c>
      <c r="D65">
        <v>0.12678400000000001</v>
      </c>
      <c r="E65">
        <v>0.1457</v>
      </c>
      <c r="F65">
        <v>0.31398500000000001</v>
      </c>
      <c r="G65">
        <v>8.2527600000000007E-2</v>
      </c>
      <c r="H65">
        <v>2.1791399999999999E-2</v>
      </c>
      <c r="I65">
        <v>9.8008699999999997E-3</v>
      </c>
      <c r="J65">
        <v>5.8107200000000001E-3</v>
      </c>
      <c r="K65">
        <v>2.92706E-3</v>
      </c>
      <c r="L65">
        <v>1.59855E-3</v>
      </c>
      <c r="M65">
        <v>3.29184E-4</v>
      </c>
      <c r="N65">
        <v>1.9908600000000001E-4</v>
      </c>
      <c r="O65">
        <v>1.57434E-4</v>
      </c>
      <c r="P65">
        <v>1.70116E-4</v>
      </c>
      <c r="S65">
        <v>0.24738199999999999</v>
      </c>
      <c r="T65">
        <v>3.6963999999999997E-2</v>
      </c>
      <c r="U65">
        <v>8.2966700000000004E-2</v>
      </c>
      <c r="V65">
        <v>0.149843</v>
      </c>
      <c r="W65">
        <v>0.337121</v>
      </c>
      <c r="X65">
        <v>0.103253</v>
      </c>
      <c r="Y65">
        <v>1.8867100000000001E-2</v>
      </c>
      <c r="Z65">
        <v>1.01482E-2</v>
      </c>
      <c r="AA65">
        <v>4.5794E-3</v>
      </c>
      <c r="AB65">
        <v>3.9583600000000002E-3</v>
      </c>
      <c r="AC65">
        <v>2.95334E-3</v>
      </c>
      <c r="AD65">
        <v>1.04524E-3</v>
      </c>
      <c r="AE65">
        <v>4.1390099999999999E-4</v>
      </c>
      <c r="AF65">
        <v>3.51763E-4</v>
      </c>
      <c r="AG65">
        <v>1.53263E-4</v>
      </c>
      <c r="AJ65" s="27">
        <f t="shared" ref="AJ65:AJ95" si="42">SUMPRODUCT((1-B65:P65),B65:P65)/SUMXMY2(B65:P65,S65:AG65)</f>
        <v>261.59780168111575</v>
      </c>
      <c r="AO65" s="28">
        <f t="shared" ref="AO65:AO87" si="43">STDEV(AR65:BF65)</f>
        <v>0.47734783937944508</v>
      </c>
      <c r="AP65">
        <v>100</v>
      </c>
      <c r="AQ65">
        <f t="shared" ref="AQ65:AQ87" si="44">A65</f>
        <v>1983</v>
      </c>
      <c r="AR65">
        <f t="shared" si="27"/>
        <v>0.13594817881488938</v>
      </c>
      <c r="AS65">
        <f t="shared" si="28"/>
        <v>-0.45958637029221999</v>
      </c>
      <c r="AT65">
        <f t="shared" si="29"/>
        <v>-1.3168992366358689</v>
      </c>
      <c r="AU65">
        <f t="shared" si="30"/>
        <v>0.11743024155553088</v>
      </c>
      <c r="AV65">
        <f t="shared" si="31"/>
        <v>0.49850213100698176</v>
      </c>
      <c r="AW65">
        <f t="shared" si="32"/>
        <v>0.75319392629524706</v>
      </c>
      <c r="AX65">
        <f t="shared" si="33"/>
        <v>-0.20029200758287868</v>
      </c>
      <c r="AY65">
        <f t="shared" si="34"/>
        <v>3.5257272459352534E-2</v>
      </c>
      <c r="AZ65">
        <f t="shared" si="35"/>
        <v>-0.16200238986831728</v>
      </c>
      <c r="BA65">
        <f t="shared" si="36"/>
        <v>0.19089991734991993</v>
      </c>
      <c r="BB65">
        <f t="shared" si="37"/>
        <v>0.33912223703191918</v>
      </c>
      <c r="BC65">
        <f t="shared" si="38"/>
        <v>0.39472907985960021</v>
      </c>
      <c r="BD65">
        <f t="shared" si="39"/>
        <v>0.15226057958456607</v>
      </c>
      <c r="BE65">
        <f t="shared" si="40"/>
        <v>0.15488970047370978</v>
      </c>
      <c r="BF65">
        <f t="shared" si="41"/>
        <v>-1.2922352477430815E-2</v>
      </c>
      <c r="BH65">
        <v>10</v>
      </c>
      <c r="BI65">
        <v>100</v>
      </c>
      <c r="BJ65">
        <v>30.297565374211004</v>
      </c>
    </row>
    <row r="66" spans="1:62" x14ac:dyDescent="0.15">
      <c r="A66" s="21">
        <v>1984</v>
      </c>
      <c r="B66">
        <v>6.5100199999999997E-2</v>
      </c>
      <c r="C66">
        <v>9.5952800000000005E-2</v>
      </c>
      <c r="D66">
        <v>4.96874E-2</v>
      </c>
      <c r="E66">
        <v>0.14934600000000001</v>
      </c>
      <c r="F66">
        <v>0.166354</v>
      </c>
      <c r="G66">
        <v>0.34384700000000001</v>
      </c>
      <c r="H66">
        <v>8.6502700000000002E-2</v>
      </c>
      <c r="I66">
        <v>2.2357399999999999E-2</v>
      </c>
      <c r="J66">
        <v>9.8435299999999996E-3</v>
      </c>
      <c r="K66">
        <v>5.7362999999999997E-3</v>
      </c>
      <c r="L66">
        <v>2.8715400000000001E-3</v>
      </c>
      <c r="M66">
        <v>1.56507E-3</v>
      </c>
      <c r="N66">
        <v>3.2198900000000001E-4</v>
      </c>
      <c r="O66">
        <v>1.9465300000000001E-4</v>
      </c>
      <c r="P66">
        <v>3.2017100000000001E-4</v>
      </c>
      <c r="S66">
        <v>4.3637000000000002E-2</v>
      </c>
      <c r="T66">
        <v>3.4766199999999997E-2</v>
      </c>
      <c r="U66">
        <v>4.9587600000000003E-2</v>
      </c>
      <c r="V66">
        <v>0.143593</v>
      </c>
      <c r="W66">
        <v>0.18230499999999999</v>
      </c>
      <c r="X66">
        <v>0.42992000000000002</v>
      </c>
      <c r="Y66">
        <v>8.2249100000000006E-2</v>
      </c>
      <c r="Z66">
        <v>1.8291000000000002E-2</v>
      </c>
      <c r="AA66">
        <v>8.5265800000000006E-3</v>
      </c>
      <c r="AB66">
        <v>3.0313499999999999E-3</v>
      </c>
      <c r="AC66">
        <v>2.0089600000000002E-3</v>
      </c>
      <c r="AD66">
        <v>7.8629000000000004E-4</v>
      </c>
      <c r="AE66">
        <v>4.6063400000000002E-4</v>
      </c>
      <c r="AF66">
        <v>5.6475700000000004E-4</v>
      </c>
      <c r="AG66">
        <v>2.7201800000000001E-4</v>
      </c>
      <c r="AJ66" s="27">
        <f t="shared" si="42"/>
        <v>67.618548396449384</v>
      </c>
      <c r="AO66" s="28">
        <f t="shared" si="43"/>
        <v>0.78959139116439103</v>
      </c>
      <c r="AP66">
        <v>100</v>
      </c>
      <c r="AQ66">
        <f t="shared" si="44"/>
        <v>1984</v>
      </c>
      <c r="AR66">
        <f t="shared" si="27"/>
        <v>-0.87000305497292996</v>
      </c>
      <c r="AS66">
        <f t="shared" si="28"/>
        <v>-2.0774565160667957</v>
      </c>
      <c r="AT66">
        <f t="shared" si="29"/>
        <v>-4.5927643369228239E-3</v>
      </c>
      <c r="AU66">
        <f t="shared" si="30"/>
        <v>-0.1614065304617423</v>
      </c>
      <c r="AV66">
        <f t="shared" si="31"/>
        <v>0.4283319355404781</v>
      </c>
      <c r="AW66">
        <f t="shared" si="32"/>
        <v>1.8120983336609726</v>
      </c>
      <c r="AX66">
        <f t="shared" si="33"/>
        <v>-0.15131716000496029</v>
      </c>
      <c r="AY66">
        <f t="shared" si="34"/>
        <v>-0.27504856886104373</v>
      </c>
      <c r="AZ66">
        <f t="shared" si="35"/>
        <v>-0.13339573281643249</v>
      </c>
      <c r="BA66">
        <f t="shared" si="36"/>
        <v>-0.35817273377371206</v>
      </c>
      <c r="BB66">
        <f t="shared" si="37"/>
        <v>-0.161200503176055</v>
      </c>
      <c r="BC66">
        <f t="shared" si="38"/>
        <v>-0.19700988761639865</v>
      </c>
      <c r="BD66">
        <f t="shared" si="39"/>
        <v>7.7277599810452707E-2</v>
      </c>
      <c r="BE66">
        <f t="shared" si="40"/>
        <v>0.26529893135768068</v>
      </c>
      <c r="BF66">
        <f t="shared" si="41"/>
        <v>-2.6915465086605625E-2</v>
      </c>
      <c r="BH66">
        <v>10</v>
      </c>
      <c r="BI66">
        <v>100</v>
      </c>
      <c r="BJ66">
        <v>46.077547339945902</v>
      </c>
    </row>
    <row r="67" spans="1:62" x14ac:dyDescent="0.15">
      <c r="A67" s="21">
        <v>1985</v>
      </c>
      <c r="B67">
        <v>0.276451</v>
      </c>
      <c r="C67">
        <v>2.64665E-2</v>
      </c>
      <c r="D67">
        <v>0.14436099999999999</v>
      </c>
      <c r="E67">
        <v>6.2577599999999997E-2</v>
      </c>
      <c r="F67">
        <v>0.13804</v>
      </c>
      <c r="G67">
        <v>0.109796</v>
      </c>
      <c r="H67">
        <v>0.18265400000000001</v>
      </c>
      <c r="I67">
        <v>4.0696499999999997E-2</v>
      </c>
      <c r="J67">
        <v>9.9637500000000004E-3</v>
      </c>
      <c r="K67">
        <v>4.2659500000000001E-3</v>
      </c>
      <c r="L67">
        <v>2.4643299999999998E-3</v>
      </c>
      <c r="M67">
        <v>1.2323E-3</v>
      </c>
      <c r="N67">
        <v>6.7164199999999996E-4</v>
      </c>
      <c r="O67">
        <v>1.3820600000000001E-4</v>
      </c>
      <c r="P67">
        <v>2.20986E-4</v>
      </c>
      <c r="S67">
        <v>0.28838200000000003</v>
      </c>
      <c r="T67">
        <v>4.8477399999999997E-2</v>
      </c>
      <c r="U67">
        <v>0.186559</v>
      </c>
      <c r="V67">
        <v>5.9115500000000001E-2</v>
      </c>
      <c r="W67">
        <v>0.19450100000000001</v>
      </c>
      <c r="X67">
        <v>0.117697</v>
      </c>
      <c r="Y67">
        <v>8.0176399999999995E-2</v>
      </c>
      <c r="Z67">
        <v>1.5785199999999999E-2</v>
      </c>
      <c r="AA67">
        <v>4.01111E-3</v>
      </c>
      <c r="AB67">
        <v>3.31417E-3</v>
      </c>
      <c r="AC67">
        <v>1.1375000000000001E-3</v>
      </c>
      <c r="AD67">
        <v>3.6866900000000002E-4</v>
      </c>
      <c r="AE67">
        <v>4.08124E-4</v>
      </c>
      <c r="AF67">
        <v>4.8714600000000003E-5</v>
      </c>
      <c r="AG67">
        <v>1.8890899999999999E-5</v>
      </c>
      <c r="AJ67" s="27">
        <f t="shared" si="42"/>
        <v>49.424631710716767</v>
      </c>
      <c r="AO67" s="28">
        <f t="shared" si="43"/>
        <v>1.044501224975501</v>
      </c>
      <c r="AP67">
        <v>100</v>
      </c>
      <c r="AQ67">
        <f t="shared" si="44"/>
        <v>1985</v>
      </c>
      <c r="AR67">
        <f t="shared" si="27"/>
        <v>0.2667680346700903</v>
      </c>
      <c r="AS67">
        <f t="shared" si="28"/>
        <v>1.371241959503789</v>
      </c>
      <c r="AT67">
        <f t="shared" si="29"/>
        <v>1.2006644201195737</v>
      </c>
      <c r="AU67">
        <f t="shared" si="30"/>
        <v>-0.14294286850851354</v>
      </c>
      <c r="AV67">
        <f t="shared" si="31"/>
        <v>1.6368260728755952</v>
      </c>
      <c r="AW67">
        <f t="shared" si="32"/>
        <v>0.25272257143435756</v>
      </c>
      <c r="AX67">
        <f t="shared" si="33"/>
        <v>-2.6522312100208221</v>
      </c>
      <c r="AY67">
        <f t="shared" si="34"/>
        <v>-1.2607815567407452</v>
      </c>
      <c r="AZ67">
        <f t="shared" si="35"/>
        <v>-0.59933916580682434</v>
      </c>
      <c r="BA67">
        <f t="shared" si="36"/>
        <v>-0.14603502015407852</v>
      </c>
      <c r="BB67">
        <f t="shared" si="37"/>
        <v>-0.26760956578746037</v>
      </c>
      <c r="BC67">
        <f t="shared" si="38"/>
        <v>-0.24617148995990823</v>
      </c>
      <c r="BD67">
        <f t="shared" si="39"/>
        <v>-0.10171552776224707</v>
      </c>
      <c r="BE67">
        <f t="shared" si="40"/>
        <v>-7.6128604082796536E-2</v>
      </c>
      <c r="BF67">
        <f t="shared" si="41"/>
        <v>-0.13596320550168986</v>
      </c>
      <c r="BH67">
        <v>10</v>
      </c>
      <c r="BI67">
        <v>100</v>
      </c>
      <c r="BJ67">
        <v>15.779981965734899</v>
      </c>
    </row>
    <row r="68" spans="1:62" x14ac:dyDescent="0.15">
      <c r="A68" s="21">
        <v>1986</v>
      </c>
      <c r="B68">
        <v>0.187523</v>
      </c>
      <c r="C68">
        <v>5.6897400000000001E-2</v>
      </c>
      <c r="D68">
        <v>3.34478E-2</v>
      </c>
      <c r="E68">
        <v>0.19004699999999999</v>
      </c>
      <c r="F68">
        <v>7.6672000000000004E-2</v>
      </c>
      <c r="G68">
        <v>0.147925</v>
      </c>
      <c r="H68">
        <v>0.102523</v>
      </c>
      <c r="I68">
        <v>0.15765399999999999</v>
      </c>
      <c r="J68">
        <v>3.27934E-2</v>
      </c>
      <c r="K68">
        <v>7.7255099999999997E-3</v>
      </c>
      <c r="L68">
        <v>3.2384499999999999E-3</v>
      </c>
      <c r="M68">
        <v>1.8563900000000001E-3</v>
      </c>
      <c r="N68">
        <v>9.2493299999999996E-4</v>
      </c>
      <c r="O68">
        <v>5.0326899999999998E-4</v>
      </c>
      <c r="P68">
        <v>2.68836E-4</v>
      </c>
      <c r="S68">
        <v>0.21998500000000001</v>
      </c>
      <c r="T68">
        <v>5.4141000000000002E-2</v>
      </c>
      <c r="U68">
        <v>4.0195399999999999E-2</v>
      </c>
      <c r="V68">
        <v>0.14879200000000001</v>
      </c>
      <c r="W68">
        <v>8.9994900000000003E-2</v>
      </c>
      <c r="X68">
        <v>0.14982200000000001</v>
      </c>
      <c r="Y68">
        <v>0.131051</v>
      </c>
      <c r="Z68">
        <v>0.118835</v>
      </c>
      <c r="AA68">
        <v>3.7217100000000003E-2</v>
      </c>
      <c r="AB68">
        <v>5.6720599999999996E-3</v>
      </c>
      <c r="AC68">
        <v>2.6210600000000001E-3</v>
      </c>
      <c r="AD68">
        <v>1.1684200000000001E-3</v>
      </c>
      <c r="AE68">
        <v>1.0435800000000001E-4</v>
      </c>
      <c r="AF68">
        <v>2.9394700000000002E-4</v>
      </c>
      <c r="AG68">
        <v>1.06815E-4</v>
      </c>
      <c r="AJ68" s="27">
        <f t="shared" si="42"/>
        <v>161.18145177612902</v>
      </c>
      <c r="AO68" s="28">
        <f t="shared" si="43"/>
        <v>0.56482272659695765</v>
      </c>
      <c r="AP68">
        <v>100</v>
      </c>
      <c r="AQ68">
        <f t="shared" si="44"/>
        <v>1986</v>
      </c>
      <c r="AR68">
        <f t="shared" si="27"/>
        <v>0.83165358599102057</v>
      </c>
      <c r="AS68">
        <f t="shared" si="28"/>
        <v>-0.11899166996024189</v>
      </c>
      <c r="AT68">
        <f t="shared" si="29"/>
        <v>0.37527781719257075</v>
      </c>
      <c r="AU68">
        <f t="shared" si="30"/>
        <v>-1.0515166966365159</v>
      </c>
      <c r="AV68">
        <f t="shared" si="31"/>
        <v>0.50072856729460957</v>
      </c>
      <c r="AW68">
        <f t="shared" si="32"/>
        <v>5.3432762782633272E-2</v>
      </c>
      <c r="AX68">
        <f t="shared" si="33"/>
        <v>0.94047879749790253</v>
      </c>
      <c r="AY68">
        <f t="shared" si="34"/>
        <v>-1.0652378453773228</v>
      </c>
      <c r="AZ68">
        <f t="shared" si="35"/>
        <v>0.24838926253053473</v>
      </c>
      <c r="BA68">
        <f t="shared" si="36"/>
        <v>-0.23453336778525685</v>
      </c>
      <c r="BB68">
        <f t="shared" si="37"/>
        <v>-0.10866641871273056</v>
      </c>
      <c r="BC68">
        <f t="shared" si="38"/>
        <v>-0.15982266753020358</v>
      </c>
      <c r="BD68">
        <f t="shared" si="39"/>
        <v>-0.26993803598384469</v>
      </c>
      <c r="BE68">
        <f t="shared" si="40"/>
        <v>-9.3330608351511635E-2</v>
      </c>
      <c r="BF68">
        <f t="shared" si="41"/>
        <v>-9.8829359486013124E-2</v>
      </c>
      <c r="BH68">
        <v>10</v>
      </c>
      <c r="BI68">
        <v>100</v>
      </c>
      <c r="BJ68">
        <v>39.13435527502255</v>
      </c>
    </row>
    <row r="69" spans="1:62" x14ac:dyDescent="0.15">
      <c r="A69" s="21">
        <v>1987</v>
      </c>
      <c r="B69">
        <v>5.5483200000000003E-2</v>
      </c>
      <c r="C69">
        <v>3.35535E-2</v>
      </c>
      <c r="D69">
        <v>0.117752</v>
      </c>
      <c r="E69">
        <v>6.5855499999999997E-2</v>
      </c>
      <c r="F69">
        <v>0.30163899999999999</v>
      </c>
      <c r="G69">
        <v>9.1545000000000001E-2</v>
      </c>
      <c r="H69">
        <v>0.131693</v>
      </c>
      <c r="I69">
        <v>7.3814599999999994E-2</v>
      </c>
      <c r="J69">
        <v>0.100816</v>
      </c>
      <c r="K69">
        <v>1.95298E-2</v>
      </c>
      <c r="L69">
        <v>4.4603200000000003E-3</v>
      </c>
      <c r="M69">
        <v>1.8461599999999999E-3</v>
      </c>
      <c r="N69">
        <v>1.05244E-3</v>
      </c>
      <c r="O69">
        <v>5.2311499999999999E-4</v>
      </c>
      <c r="P69">
        <v>4.3613899999999999E-4</v>
      </c>
      <c r="S69">
        <v>3.3051200000000003E-2</v>
      </c>
      <c r="T69">
        <v>5.9688100000000001E-2</v>
      </c>
      <c r="U69">
        <v>8.1384799999999993E-2</v>
      </c>
      <c r="V69">
        <v>6.14028E-2</v>
      </c>
      <c r="W69">
        <v>0.37266100000000002</v>
      </c>
      <c r="X69">
        <v>0.10312200000000001</v>
      </c>
      <c r="Y69">
        <v>9.8733299999999996E-2</v>
      </c>
      <c r="Z69">
        <v>3.8998999999999999E-2</v>
      </c>
      <c r="AA69">
        <v>0.123353</v>
      </c>
      <c r="AB69">
        <v>1.9061499999999999E-2</v>
      </c>
      <c r="AC69">
        <v>5.5989400000000002E-3</v>
      </c>
      <c r="AD69">
        <v>2.1984800000000001E-3</v>
      </c>
      <c r="AE69">
        <v>4.00901E-4</v>
      </c>
      <c r="AF69">
        <v>1.8822700000000001E-4</v>
      </c>
      <c r="AG69">
        <v>1.56711E-4</v>
      </c>
      <c r="AJ69" s="27">
        <f t="shared" si="42"/>
        <v>80.345450140145161</v>
      </c>
      <c r="AO69" s="28">
        <f t="shared" si="43"/>
        <v>0.85749825788811085</v>
      </c>
      <c r="AP69">
        <v>100</v>
      </c>
      <c r="AQ69">
        <f t="shared" si="44"/>
        <v>1987</v>
      </c>
      <c r="AR69">
        <f t="shared" si="27"/>
        <v>-0.97990145425834219</v>
      </c>
      <c r="AS69">
        <f t="shared" si="28"/>
        <v>1.4513028040402589</v>
      </c>
      <c r="AT69">
        <f t="shared" si="29"/>
        <v>-1.1283150409978757</v>
      </c>
      <c r="AU69">
        <f t="shared" si="30"/>
        <v>-0.17952311665190274</v>
      </c>
      <c r="AV69">
        <f t="shared" si="31"/>
        <v>1.5474234099876021</v>
      </c>
      <c r="AW69">
        <f t="shared" si="32"/>
        <v>0.40144588356485972</v>
      </c>
      <c r="AX69">
        <f t="shared" si="33"/>
        <v>-0.9746871790670012</v>
      </c>
      <c r="AY69">
        <f t="shared" si="34"/>
        <v>-1.3315386694727043</v>
      </c>
      <c r="AZ69">
        <f t="shared" si="35"/>
        <v>0.7485263415705411</v>
      </c>
      <c r="BA69">
        <f t="shared" si="36"/>
        <v>-3.3842158928763119E-2</v>
      </c>
      <c r="BB69">
        <f t="shared" si="37"/>
        <v>0.17087027238762997</v>
      </c>
      <c r="BC69">
        <f t="shared" si="38"/>
        <v>8.2073676442087851E-2</v>
      </c>
      <c r="BD69">
        <f t="shared" si="39"/>
        <v>-0.20094185112597246</v>
      </c>
      <c r="BE69">
        <f t="shared" si="40"/>
        <v>-0.14645851347933522</v>
      </c>
      <c r="BF69">
        <f t="shared" si="41"/>
        <v>-0.1338296023731082</v>
      </c>
      <c r="BH69">
        <v>10</v>
      </c>
      <c r="BI69">
        <v>100</v>
      </c>
      <c r="BJ69">
        <v>48.602344454463491</v>
      </c>
    </row>
    <row r="70" spans="1:62" x14ac:dyDescent="0.15">
      <c r="A70" s="21">
        <v>1988</v>
      </c>
      <c r="B70">
        <v>4.59532E-2</v>
      </c>
      <c r="C70">
        <v>2.44348E-2</v>
      </c>
      <c r="D70">
        <v>6.4515100000000006E-2</v>
      </c>
      <c r="E70">
        <v>0.20845</v>
      </c>
      <c r="F70">
        <v>8.8990899999999998E-2</v>
      </c>
      <c r="G70">
        <v>0.30043399999999998</v>
      </c>
      <c r="H70">
        <v>6.8894200000000003E-2</v>
      </c>
      <c r="I70">
        <v>8.4485299999999999E-2</v>
      </c>
      <c r="J70">
        <v>4.27873E-2</v>
      </c>
      <c r="K70">
        <v>5.5919900000000002E-2</v>
      </c>
      <c r="L70">
        <v>1.0647200000000001E-2</v>
      </c>
      <c r="M70">
        <v>2.4116200000000002E-3</v>
      </c>
      <c r="N70">
        <v>9.9460999999999994E-4</v>
      </c>
      <c r="O70">
        <v>5.6612000000000003E-4</v>
      </c>
      <c r="P70">
        <v>5.1556900000000001E-4</v>
      </c>
      <c r="S70">
        <v>8.0560499999999993E-2</v>
      </c>
      <c r="T70">
        <v>4.1618299999999997E-2</v>
      </c>
      <c r="U70">
        <v>9.6235100000000004E-2</v>
      </c>
      <c r="V70">
        <v>0.18257499999999999</v>
      </c>
      <c r="W70">
        <v>7.9456299999999994E-2</v>
      </c>
      <c r="X70">
        <v>0.257855</v>
      </c>
      <c r="Y70">
        <v>7.6463799999999998E-2</v>
      </c>
      <c r="Z70">
        <v>5.7960299999999999E-2</v>
      </c>
      <c r="AA70">
        <v>3.3421300000000001E-2</v>
      </c>
      <c r="AB70">
        <v>7.9180299999999995E-2</v>
      </c>
      <c r="AC70">
        <v>7.4786399999999999E-3</v>
      </c>
      <c r="AD70">
        <v>4.4498699999999999E-3</v>
      </c>
      <c r="AE70">
        <v>9.1289799999999999E-4</v>
      </c>
      <c r="AF70">
        <v>1.2036200000000001E-3</v>
      </c>
      <c r="AG70">
        <v>6.2911200000000003E-4</v>
      </c>
      <c r="AJ70" s="27">
        <f t="shared" si="42"/>
        <v>128.85076351946324</v>
      </c>
      <c r="AO70" s="28">
        <f t="shared" si="43"/>
        <v>0.81059757700167312</v>
      </c>
      <c r="AP70">
        <v>100</v>
      </c>
      <c r="AQ70">
        <f t="shared" si="44"/>
        <v>1988</v>
      </c>
      <c r="AR70">
        <f t="shared" si="27"/>
        <v>1.652817865228057</v>
      </c>
      <c r="AS70">
        <f t="shared" si="28"/>
        <v>1.1129587877543086</v>
      </c>
      <c r="AT70">
        <f t="shared" si="29"/>
        <v>1.2911720025952618</v>
      </c>
      <c r="AU70">
        <f t="shared" si="30"/>
        <v>-0.63700117307878568</v>
      </c>
      <c r="AV70">
        <f t="shared" si="31"/>
        <v>-0.33486389231436703</v>
      </c>
      <c r="AW70">
        <f t="shared" si="32"/>
        <v>-0.92876656031097871</v>
      </c>
      <c r="AX70">
        <f t="shared" si="33"/>
        <v>0.29886983512795179</v>
      </c>
      <c r="AY70">
        <f t="shared" si="34"/>
        <v>-0.95374474115020735</v>
      </c>
      <c r="AZ70">
        <f t="shared" si="35"/>
        <v>-0.46279907936263615</v>
      </c>
      <c r="BA70">
        <f t="shared" si="36"/>
        <v>1.0123473820845177</v>
      </c>
      <c r="BB70">
        <f t="shared" si="37"/>
        <v>-0.30872275113082881</v>
      </c>
      <c r="BC70">
        <f t="shared" si="38"/>
        <v>0.41555386086912138</v>
      </c>
      <c r="BD70">
        <f t="shared" si="39"/>
        <v>-2.5922418283692874E-2</v>
      </c>
      <c r="BE70">
        <f t="shared" si="40"/>
        <v>0.26800870873078597</v>
      </c>
      <c r="BF70">
        <f t="shared" si="41"/>
        <v>5.0018302637857052E-2</v>
      </c>
      <c r="BH70">
        <v>10</v>
      </c>
      <c r="BI70">
        <v>100</v>
      </c>
      <c r="BJ70">
        <v>35.978358881875572</v>
      </c>
    </row>
    <row r="71" spans="1:62" x14ac:dyDescent="0.15">
      <c r="A71" s="21">
        <v>1989</v>
      </c>
      <c r="B71">
        <v>6.1263900000000003E-2</v>
      </c>
      <c r="C71">
        <v>1.8325000000000001E-2</v>
      </c>
      <c r="D71">
        <v>3.9380400000000003E-2</v>
      </c>
      <c r="E71">
        <v>9.8855299999999993E-2</v>
      </c>
      <c r="F71">
        <v>0.26284800000000003</v>
      </c>
      <c r="G71">
        <v>8.7976299999999993E-2</v>
      </c>
      <c r="H71">
        <v>0.24446300000000001</v>
      </c>
      <c r="I71">
        <v>5.0284000000000002E-2</v>
      </c>
      <c r="J71">
        <v>5.9269000000000002E-2</v>
      </c>
      <c r="K71">
        <v>2.92234E-2</v>
      </c>
      <c r="L71">
        <v>3.7904399999999998E-2</v>
      </c>
      <c r="M71">
        <v>7.1860400000000003E-3</v>
      </c>
      <c r="N71">
        <v>1.62466E-3</v>
      </c>
      <c r="O71">
        <v>6.6952099999999996E-4</v>
      </c>
      <c r="P71">
        <v>7.2783400000000001E-4</v>
      </c>
      <c r="S71">
        <v>6.2500399999999998E-2</v>
      </c>
      <c r="T71">
        <v>2.06403E-2</v>
      </c>
      <c r="U71">
        <v>3.9994500000000002E-2</v>
      </c>
      <c r="V71">
        <v>0.13198099999999999</v>
      </c>
      <c r="W71">
        <v>0.29633599999999999</v>
      </c>
      <c r="X71">
        <v>5.8837399999999998E-2</v>
      </c>
      <c r="Y71">
        <v>0.223769</v>
      </c>
      <c r="Z71">
        <v>3.3990899999999998E-2</v>
      </c>
      <c r="AA71">
        <v>4.0892400000000002E-2</v>
      </c>
      <c r="AB71">
        <v>1.5856599999999998E-2</v>
      </c>
      <c r="AC71">
        <v>4.9814200000000003E-2</v>
      </c>
      <c r="AD71">
        <v>8.6449200000000004E-3</v>
      </c>
      <c r="AE71">
        <v>7.5970100000000004E-3</v>
      </c>
      <c r="AF71">
        <v>3.8170000000000001E-3</v>
      </c>
      <c r="AG71">
        <v>5.32834E-3</v>
      </c>
      <c r="AJ71" s="27">
        <f t="shared" si="42"/>
        <v>186.75060720946649</v>
      </c>
      <c r="AO71" s="28">
        <f t="shared" si="43"/>
        <v>0.89110429694224069</v>
      </c>
      <c r="AP71">
        <v>100</v>
      </c>
      <c r="AQ71">
        <f t="shared" si="44"/>
        <v>1989</v>
      </c>
      <c r="AR71">
        <f t="shared" si="27"/>
        <v>5.1560846758034039E-2</v>
      </c>
      <c r="AS71">
        <f t="shared" si="28"/>
        <v>0.17262409492301353</v>
      </c>
      <c r="AT71">
        <f t="shared" si="29"/>
        <v>3.1573542668181277E-2</v>
      </c>
      <c r="AU71">
        <f t="shared" si="30"/>
        <v>1.1098590272083206</v>
      </c>
      <c r="AV71">
        <f t="shared" si="31"/>
        <v>0.76077870631207967</v>
      </c>
      <c r="AW71">
        <f t="shared" si="32"/>
        <v>-1.028696457979666</v>
      </c>
      <c r="AX71">
        <f t="shared" si="33"/>
        <v>-0.48151520719426794</v>
      </c>
      <c r="AY71">
        <f t="shared" si="34"/>
        <v>-0.74557602943431633</v>
      </c>
      <c r="AZ71">
        <f t="shared" si="35"/>
        <v>-0.77824911328252311</v>
      </c>
      <c r="BA71">
        <f t="shared" si="36"/>
        <v>-0.79360140680927627</v>
      </c>
      <c r="BB71">
        <f t="shared" si="37"/>
        <v>0.62366380641504693</v>
      </c>
      <c r="BC71">
        <f t="shared" si="38"/>
        <v>0.17271927954646368</v>
      </c>
      <c r="BD71">
        <f t="shared" si="39"/>
        <v>1.482917820607063</v>
      </c>
      <c r="BE71">
        <f t="shared" si="40"/>
        <v>1.2168195333650957</v>
      </c>
      <c r="BF71">
        <f t="shared" si="41"/>
        <v>1.705876303723018</v>
      </c>
      <c r="BH71">
        <v>10</v>
      </c>
      <c r="BI71">
        <v>100</v>
      </c>
      <c r="BJ71">
        <v>54.283137962128052</v>
      </c>
    </row>
    <row r="72" spans="1:62" x14ac:dyDescent="0.15">
      <c r="A72" s="21">
        <v>1990</v>
      </c>
      <c r="B72">
        <v>0.162413</v>
      </c>
      <c r="C72">
        <v>2.83396E-2</v>
      </c>
      <c r="D72">
        <v>2.46375E-2</v>
      </c>
      <c r="E72">
        <v>5.2970099999999999E-2</v>
      </c>
      <c r="F72">
        <v>0.111683</v>
      </c>
      <c r="G72">
        <v>0.24494299999999999</v>
      </c>
      <c r="H72">
        <v>6.9710300000000003E-2</v>
      </c>
      <c r="I72">
        <v>0.175286</v>
      </c>
      <c r="J72">
        <v>3.52127E-2</v>
      </c>
      <c r="K72">
        <v>4.1300299999999998E-2</v>
      </c>
      <c r="L72">
        <v>2.0253899999999998E-2</v>
      </c>
      <c r="M72">
        <v>2.6203000000000001E-2</v>
      </c>
      <c r="N72">
        <v>4.9625199999999998E-3</v>
      </c>
      <c r="O72">
        <v>1.1214899999999999E-3</v>
      </c>
      <c r="P72">
        <v>9.6438199999999996E-4</v>
      </c>
      <c r="S72">
        <v>0.13082099999999999</v>
      </c>
      <c r="T72">
        <v>2.2177100000000002E-2</v>
      </c>
      <c r="U72">
        <v>7.9688999999999992E-3</v>
      </c>
      <c r="V72">
        <v>5.1098999999999999E-2</v>
      </c>
      <c r="W72">
        <v>0.102044</v>
      </c>
      <c r="X72">
        <v>0.34212300000000001</v>
      </c>
      <c r="Y72">
        <v>6.8666599999999994E-2</v>
      </c>
      <c r="Z72">
        <v>0.168905</v>
      </c>
      <c r="AA72">
        <v>1.7118600000000001E-2</v>
      </c>
      <c r="AB72">
        <v>3.0346999999999999E-2</v>
      </c>
      <c r="AC72">
        <v>4.6716300000000004E-3</v>
      </c>
      <c r="AD72">
        <v>4.3605499999999998E-2</v>
      </c>
      <c r="AE72">
        <v>3.8093900000000002E-3</v>
      </c>
      <c r="AF72">
        <v>2.8248700000000002E-3</v>
      </c>
      <c r="AG72">
        <v>3.8193699999999999E-3</v>
      </c>
      <c r="AJ72" s="27">
        <f t="shared" si="42"/>
        <v>72.031779547061475</v>
      </c>
      <c r="AO72" s="28">
        <f t="shared" si="43"/>
        <v>0.92645871212518549</v>
      </c>
      <c r="AP72">
        <v>100</v>
      </c>
      <c r="AQ72">
        <f t="shared" si="44"/>
        <v>1990</v>
      </c>
      <c r="AR72">
        <f t="shared" si="27"/>
        <v>-0.85654811254371088</v>
      </c>
      <c r="AS72">
        <f t="shared" si="28"/>
        <v>-0.37136658373358172</v>
      </c>
      <c r="AT72">
        <f t="shared" si="29"/>
        <v>-1.075270618890563</v>
      </c>
      <c r="AU72">
        <f t="shared" si="30"/>
        <v>-8.3541016803164503E-2</v>
      </c>
      <c r="AV72">
        <f t="shared" si="31"/>
        <v>-0.30602327452026401</v>
      </c>
      <c r="AW72">
        <f t="shared" si="32"/>
        <v>2.2597193749990048</v>
      </c>
      <c r="AX72">
        <f t="shared" si="33"/>
        <v>-4.0984354683589248E-2</v>
      </c>
      <c r="AY72">
        <f t="shared" si="34"/>
        <v>-0.1678276238690449</v>
      </c>
      <c r="AZ72">
        <f t="shared" si="35"/>
        <v>-0.9816835957317066</v>
      </c>
      <c r="BA72">
        <f t="shared" si="36"/>
        <v>-0.55046167058372941</v>
      </c>
      <c r="BB72">
        <f t="shared" si="37"/>
        <v>-1.1061642612762417</v>
      </c>
      <c r="BC72">
        <f t="shared" si="38"/>
        <v>1.0894364906723861</v>
      </c>
      <c r="BD72">
        <f t="shared" si="39"/>
        <v>-0.16409955982686911</v>
      </c>
      <c r="BE72">
        <f t="shared" si="40"/>
        <v>0.50892936022358859</v>
      </c>
      <c r="BF72">
        <f t="shared" si="41"/>
        <v>0.91979120641901035</v>
      </c>
      <c r="BH72">
        <v>10</v>
      </c>
      <c r="BI72">
        <v>100</v>
      </c>
      <c r="BJ72">
        <v>77.006311992786308</v>
      </c>
    </row>
    <row r="73" spans="1:62" x14ac:dyDescent="0.15">
      <c r="A73" s="21">
        <v>1991</v>
      </c>
      <c r="B73">
        <v>0.23936199999999999</v>
      </c>
      <c r="C73">
        <v>8.0950599999999998E-2</v>
      </c>
      <c r="D73">
        <v>3.4943799999999997E-2</v>
      </c>
      <c r="E73">
        <v>3.0676100000000001E-2</v>
      </c>
      <c r="F73">
        <v>5.65984E-2</v>
      </c>
      <c r="G73">
        <v>0.100129</v>
      </c>
      <c r="H73">
        <v>0.19033</v>
      </c>
      <c r="I73">
        <v>5.1513999999999997E-2</v>
      </c>
      <c r="J73">
        <v>0.12382799999999999</v>
      </c>
      <c r="K73">
        <v>2.4805299999999999E-2</v>
      </c>
      <c r="L73">
        <v>2.9153100000000001E-2</v>
      </c>
      <c r="M73">
        <v>1.4279099999999999E-2</v>
      </c>
      <c r="N73">
        <v>1.8464899999999999E-2</v>
      </c>
      <c r="O73">
        <v>3.49644E-3</v>
      </c>
      <c r="P73">
        <v>1.4695299999999999E-3</v>
      </c>
      <c r="S73">
        <v>0.27298</v>
      </c>
      <c r="T73">
        <v>7.8259499999999996E-2</v>
      </c>
      <c r="U73">
        <v>2.7986199999999999E-2</v>
      </c>
      <c r="V73">
        <v>9.0563399999999995E-3</v>
      </c>
      <c r="W73">
        <v>5.5119000000000001E-2</v>
      </c>
      <c r="X73">
        <v>5.1479200000000003E-2</v>
      </c>
      <c r="Y73">
        <v>0.170266</v>
      </c>
      <c r="Z73">
        <v>6.4015299999999997E-2</v>
      </c>
      <c r="AA73">
        <v>0.13773099999999999</v>
      </c>
      <c r="AB73">
        <v>3.6031300000000002E-2</v>
      </c>
      <c r="AC73">
        <v>4.8694099999999997E-2</v>
      </c>
      <c r="AD73">
        <v>1.0057699999999999E-2</v>
      </c>
      <c r="AE73">
        <v>3.02394E-2</v>
      </c>
      <c r="AF73">
        <v>4.26261E-3</v>
      </c>
      <c r="AG73">
        <v>3.8226499999999999E-3</v>
      </c>
      <c r="AJ73" s="27">
        <f t="shared" si="42"/>
        <v>158.77923463860483</v>
      </c>
      <c r="AO73" s="28">
        <f t="shared" si="43"/>
        <v>0.79399500376222576</v>
      </c>
      <c r="AP73">
        <v>100</v>
      </c>
      <c r="AQ73">
        <f t="shared" si="44"/>
        <v>1991</v>
      </c>
      <c r="AR73">
        <f t="shared" si="27"/>
        <v>0.78787126498436866</v>
      </c>
      <c r="AS73">
        <f t="shared" si="28"/>
        <v>-9.8662103907117285E-2</v>
      </c>
      <c r="AT73">
        <f t="shared" si="29"/>
        <v>-0.37887686655790892</v>
      </c>
      <c r="AU73">
        <f t="shared" si="30"/>
        <v>-1.2537655591939656</v>
      </c>
      <c r="AV73">
        <f t="shared" si="31"/>
        <v>-6.4022883913456341E-2</v>
      </c>
      <c r="AW73">
        <f t="shared" si="32"/>
        <v>-1.6207311967548639</v>
      </c>
      <c r="AX73">
        <f t="shared" si="33"/>
        <v>-0.51110469610014064</v>
      </c>
      <c r="AY73">
        <f t="shared" si="34"/>
        <v>0.56555790624447988</v>
      </c>
      <c r="AZ73">
        <f t="shared" si="35"/>
        <v>0.42208936366437128</v>
      </c>
      <c r="BA73">
        <f t="shared" si="36"/>
        <v>0.72178379908835422</v>
      </c>
      <c r="BB73">
        <f t="shared" si="37"/>
        <v>1.1615262776691011</v>
      </c>
      <c r="BC73">
        <f t="shared" si="38"/>
        <v>-0.35581897626111753</v>
      </c>
      <c r="BD73">
        <f t="shared" si="39"/>
        <v>0.87461329883202121</v>
      </c>
      <c r="BE73">
        <f t="shared" si="40"/>
        <v>0.12979939719493924</v>
      </c>
      <c r="BF73">
        <f t="shared" si="41"/>
        <v>0.61429104726096195</v>
      </c>
      <c r="BH73">
        <v>10</v>
      </c>
      <c r="BI73">
        <v>100</v>
      </c>
      <c r="BJ73">
        <v>80.793507664562682</v>
      </c>
    </row>
    <row r="74" spans="1:62" x14ac:dyDescent="0.15">
      <c r="A74" s="21">
        <v>1992</v>
      </c>
      <c r="B74">
        <v>0.172433</v>
      </c>
      <c r="C74">
        <v>5.7992500000000002E-2</v>
      </c>
      <c r="D74">
        <v>0.208484</v>
      </c>
      <c r="E74">
        <v>8.3730799999999994E-2</v>
      </c>
      <c r="F74">
        <v>5.3654599999999997E-2</v>
      </c>
      <c r="G74">
        <v>6.3877400000000001E-2</v>
      </c>
      <c r="H74">
        <v>7.9125500000000001E-2</v>
      </c>
      <c r="I74">
        <v>0.122474</v>
      </c>
      <c r="J74">
        <v>3.16028E-2</v>
      </c>
      <c r="K74">
        <v>7.3061600000000004E-2</v>
      </c>
      <c r="L74">
        <v>1.45297E-2</v>
      </c>
      <c r="M74">
        <v>1.7030099999999999E-2</v>
      </c>
      <c r="N74">
        <v>8.3336499999999997E-3</v>
      </c>
      <c r="O74">
        <v>1.07732E-2</v>
      </c>
      <c r="P74">
        <v>2.8970200000000002E-3</v>
      </c>
      <c r="S74">
        <v>0.16431499999999999</v>
      </c>
      <c r="T74">
        <v>4.6244E-2</v>
      </c>
      <c r="U74">
        <v>0.24077899999999999</v>
      </c>
      <c r="V74">
        <v>4.05253E-2</v>
      </c>
      <c r="W74">
        <v>4.5298499999999998E-2</v>
      </c>
      <c r="X74">
        <v>7.5875999999999999E-2</v>
      </c>
      <c r="Y74">
        <v>6.6657999999999995E-2</v>
      </c>
      <c r="Z74">
        <v>9.5532000000000006E-2</v>
      </c>
      <c r="AA74">
        <v>4.2576299999999997E-2</v>
      </c>
      <c r="AB74">
        <v>8.11915E-2</v>
      </c>
      <c r="AC74">
        <v>2.85335E-2</v>
      </c>
      <c r="AD74">
        <v>3.5582799999999998E-2</v>
      </c>
      <c r="AE74">
        <v>1.52376E-2</v>
      </c>
      <c r="AF74">
        <v>1.2069399999999999E-2</v>
      </c>
      <c r="AG74">
        <v>9.5817200000000002E-3</v>
      </c>
      <c r="AJ74" s="27">
        <f t="shared" si="42"/>
        <v>175.19918593003985</v>
      </c>
      <c r="AO74" s="28">
        <f t="shared" si="43"/>
        <v>0.84838874638418538</v>
      </c>
      <c r="AP74">
        <v>100</v>
      </c>
      <c r="AQ74">
        <f t="shared" si="44"/>
        <v>1992</v>
      </c>
      <c r="AR74">
        <f t="shared" si="27"/>
        <v>-0.2149004241617273</v>
      </c>
      <c r="AS74">
        <f t="shared" si="28"/>
        <v>-0.50265421117263342</v>
      </c>
      <c r="AT74">
        <f t="shared" si="29"/>
        <v>0.79500356161933761</v>
      </c>
      <c r="AU74">
        <f t="shared" si="30"/>
        <v>-1.559857304540172</v>
      </c>
      <c r="AV74">
        <f t="shared" si="31"/>
        <v>-0.3708303834296055</v>
      </c>
      <c r="AW74">
        <f t="shared" si="32"/>
        <v>0.49067123070530722</v>
      </c>
      <c r="AX74">
        <f t="shared" si="33"/>
        <v>-0.46187123938819369</v>
      </c>
      <c r="AY74">
        <f t="shared" si="34"/>
        <v>-0.82182222938091243</v>
      </c>
      <c r="AZ74">
        <f t="shared" si="35"/>
        <v>0.62727159854196468</v>
      </c>
      <c r="BA74">
        <f t="shared" si="36"/>
        <v>0.3124029867717672</v>
      </c>
      <c r="BB74">
        <f t="shared" si="37"/>
        <v>1.170296229720865</v>
      </c>
      <c r="BC74">
        <f t="shared" si="38"/>
        <v>1.4339315266298338</v>
      </c>
      <c r="BD74">
        <f t="shared" si="39"/>
        <v>0.75944656253782705</v>
      </c>
      <c r="BE74">
        <f t="shared" si="40"/>
        <v>0.12556011912365608</v>
      </c>
      <c r="BF74">
        <f t="shared" si="41"/>
        <v>1.2437588032734883</v>
      </c>
      <c r="BH74">
        <v>10</v>
      </c>
      <c r="BI74">
        <v>100</v>
      </c>
      <c r="BJ74">
        <v>79.531109107303891</v>
      </c>
    </row>
    <row r="75" spans="1:62" x14ac:dyDescent="0.15">
      <c r="A75" s="21">
        <v>1993</v>
      </c>
      <c r="B75">
        <v>0.23847099999999999</v>
      </c>
      <c r="C75">
        <v>4.31787E-2</v>
      </c>
      <c r="D75">
        <v>9.4154799999999997E-2</v>
      </c>
      <c r="E75">
        <v>0.30335899999999999</v>
      </c>
      <c r="F75">
        <v>9.4653000000000001E-2</v>
      </c>
      <c r="G75">
        <v>4.07111E-2</v>
      </c>
      <c r="H75">
        <v>3.4011100000000002E-2</v>
      </c>
      <c r="I75">
        <v>3.5258600000000001E-2</v>
      </c>
      <c r="J75">
        <v>5.1182100000000001E-2</v>
      </c>
      <c r="K75">
        <v>1.30238E-2</v>
      </c>
      <c r="L75">
        <v>3.0035200000000001E-2</v>
      </c>
      <c r="M75">
        <v>5.9610000000000002E-3</v>
      </c>
      <c r="N75">
        <v>6.9820799999999999E-3</v>
      </c>
      <c r="O75">
        <v>3.4158999999999999E-3</v>
      </c>
      <c r="P75">
        <v>5.6028700000000002E-3</v>
      </c>
      <c r="S75">
        <v>0.221888</v>
      </c>
      <c r="T75">
        <v>3.2978399999999998E-2</v>
      </c>
      <c r="U75">
        <v>7.3808499999999999E-2</v>
      </c>
      <c r="V75">
        <v>0.31200299999999997</v>
      </c>
      <c r="W75">
        <v>6.75312E-2</v>
      </c>
      <c r="X75">
        <v>5.4057899999999999E-2</v>
      </c>
      <c r="Y75">
        <v>2.8105600000000001E-2</v>
      </c>
      <c r="Z75">
        <v>3.8765099999999997E-2</v>
      </c>
      <c r="AA75">
        <v>5.2790700000000003E-2</v>
      </c>
      <c r="AB75">
        <v>3.2570200000000001E-2</v>
      </c>
      <c r="AC75">
        <v>2.8573000000000001E-2</v>
      </c>
      <c r="AD75">
        <v>2.0820399999999999E-2</v>
      </c>
      <c r="AE75">
        <v>1.6319699999999999E-2</v>
      </c>
      <c r="AF75">
        <v>8.9887300000000003E-3</v>
      </c>
      <c r="AG75">
        <v>1.0800199999999999E-2</v>
      </c>
      <c r="AJ75" s="27">
        <f t="shared" si="42"/>
        <v>319.01856492148465</v>
      </c>
      <c r="AO75" s="28">
        <f t="shared" si="43"/>
        <v>0.85851985995040603</v>
      </c>
      <c r="AP75">
        <v>100</v>
      </c>
      <c r="AQ75">
        <f t="shared" si="44"/>
        <v>1993</v>
      </c>
      <c r="AR75">
        <f t="shared" si="27"/>
        <v>-0.38913660989408932</v>
      </c>
      <c r="AS75">
        <f t="shared" si="28"/>
        <v>-0.50183707851264403</v>
      </c>
      <c r="AT75">
        <f t="shared" si="29"/>
        <v>-0.69668621503375028</v>
      </c>
      <c r="AU75">
        <f t="shared" si="30"/>
        <v>0.18803201531186076</v>
      </c>
      <c r="AV75">
        <f t="shared" si="31"/>
        <v>-0.92649650205407341</v>
      </c>
      <c r="AW75">
        <f t="shared" si="32"/>
        <v>0.67537662351704919</v>
      </c>
      <c r="AX75">
        <f t="shared" si="33"/>
        <v>-0.32580689178028183</v>
      </c>
      <c r="AY75">
        <f t="shared" si="34"/>
        <v>0.19012352306704833</v>
      </c>
      <c r="AZ75">
        <f t="shared" si="35"/>
        <v>7.2995750687354991E-2</v>
      </c>
      <c r="BA75">
        <f t="shared" si="36"/>
        <v>1.7240290629761819</v>
      </c>
      <c r="BB75">
        <f t="shared" si="37"/>
        <v>-8.566699408080386E-2</v>
      </c>
      <c r="BC75">
        <f t="shared" si="38"/>
        <v>1.9303675165071252</v>
      </c>
      <c r="BD75">
        <f t="shared" si="39"/>
        <v>1.1214121130236316</v>
      </c>
      <c r="BE75">
        <f t="shared" si="40"/>
        <v>0.95513826432316051</v>
      </c>
      <c r="BF75">
        <f t="shared" si="41"/>
        <v>0.69629790550925419</v>
      </c>
      <c r="BH75">
        <v>10</v>
      </c>
      <c r="BI75">
        <v>100</v>
      </c>
      <c r="BJ75">
        <v>87.736699729486034</v>
      </c>
    </row>
    <row r="76" spans="1:62" x14ac:dyDescent="0.15">
      <c r="A76" s="21">
        <v>1994</v>
      </c>
      <c r="B76">
        <v>0.136492</v>
      </c>
      <c r="C76">
        <v>6.9234599999999993E-2</v>
      </c>
      <c r="D76">
        <v>6.7940100000000003E-2</v>
      </c>
      <c r="E76">
        <v>0.141627</v>
      </c>
      <c r="F76">
        <v>0.34688799999999997</v>
      </c>
      <c r="G76">
        <v>8.9104900000000001E-2</v>
      </c>
      <c r="H76">
        <v>3.0274599999999999E-2</v>
      </c>
      <c r="I76">
        <v>2.2333599999999999E-2</v>
      </c>
      <c r="J76">
        <v>2.2483400000000001E-2</v>
      </c>
      <c r="K76">
        <v>3.2404500000000003E-2</v>
      </c>
      <c r="L76">
        <v>8.2646600000000001E-3</v>
      </c>
      <c r="M76">
        <v>1.9038300000000001E-2</v>
      </c>
      <c r="N76">
        <v>3.7770999999999998E-3</v>
      </c>
      <c r="O76">
        <v>4.4235799999999999E-3</v>
      </c>
      <c r="P76">
        <v>5.7136499999999998E-3</v>
      </c>
      <c r="S76">
        <v>0.144006</v>
      </c>
      <c r="T76">
        <v>6.3904799999999998E-2</v>
      </c>
      <c r="U76">
        <v>4.8798000000000001E-2</v>
      </c>
      <c r="V76">
        <v>0.138988</v>
      </c>
      <c r="W76">
        <v>0.376135</v>
      </c>
      <c r="X76">
        <v>6.5939300000000006E-2</v>
      </c>
      <c r="Y76">
        <v>1.7181700000000001E-2</v>
      </c>
      <c r="Z76">
        <v>1.4891700000000001E-2</v>
      </c>
      <c r="AA76">
        <v>1.6713200000000001E-2</v>
      </c>
      <c r="AB76">
        <v>3.1433900000000001E-2</v>
      </c>
      <c r="AC76">
        <v>1.91542E-2</v>
      </c>
      <c r="AD76">
        <v>2.6799E-2</v>
      </c>
      <c r="AE76">
        <v>1.01399E-2</v>
      </c>
      <c r="AF76">
        <v>9.7456899999999996E-3</v>
      </c>
      <c r="AG76">
        <v>1.61695E-2</v>
      </c>
      <c r="AJ76" s="27">
        <f t="shared" si="42"/>
        <v>332.28240382617275</v>
      </c>
      <c r="AO76" s="28">
        <f t="shared" si="43"/>
        <v>0.7454431967861529</v>
      </c>
      <c r="AP76">
        <v>100</v>
      </c>
      <c r="AQ76">
        <f t="shared" si="44"/>
        <v>1994</v>
      </c>
      <c r="AR76">
        <f t="shared" si="27"/>
        <v>0.21886907842031217</v>
      </c>
      <c r="AS76">
        <f t="shared" si="28"/>
        <v>-0.20995644153880974</v>
      </c>
      <c r="AT76">
        <f t="shared" si="29"/>
        <v>-0.76068451917848778</v>
      </c>
      <c r="AU76">
        <f t="shared" si="30"/>
        <v>-7.5688228055376602E-2</v>
      </c>
      <c r="AV76">
        <f t="shared" si="31"/>
        <v>0.6144589228609445</v>
      </c>
      <c r="AW76">
        <f t="shared" si="32"/>
        <v>-0.81312736415586795</v>
      </c>
      <c r="AX76">
        <f t="shared" si="33"/>
        <v>-0.76413881114293958</v>
      </c>
      <c r="AY76">
        <f t="shared" si="34"/>
        <v>-0.50362713124489134</v>
      </c>
      <c r="AZ76">
        <f t="shared" si="35"/>
        <v>-0.38922237853494673</v>
      </c>
      <c r="BA76">
        <f t="shared" si="36"/>
        <v>-5.4813900191673592E-2</v>
      </c>
      <c r="BB76">
        <f t="shared" si="37"/>
        <v>1.20281585434288</v>
      </c>
      <c r="BC76">
        <f t="shared" si="38"/>
        <v>0.56788550911989844</v>
      </c>
      <c r="BD76">
        <f t="shared" si="39"/>
        <v>1.0372674998333311</v>
      </c>
      <c r="BE76">
        <f t="shared" si="40"/>
        <v>0.80197273316095241</v>
      </c>
      <c r="BF76">
        <f t="shared" si="41"/>
        <v>1.3872246231342995</v>
      </c>
      <c r="BH76">
        <v>10</v>
      </c>
      <c r="BI76">
        <v>100</v>
      </c>
      <c r="BJ76">
        <v>65.644724977457173</v>
      </c>
    </row>
    <row r="77" spans="1:62" x14ac:dyDescent="0.15">
      <c r="A77" s="21">
        <v>1995</v>
      </c>
      <c r="B77">
        <v>0.132718</v>
      </c>
      <c r="C77">
        <v>1.5852000000000002E-2</v>
      </c>
      <c r="D77">
        <v>9.4268599999999994E-2</v>
      </c>
      <c r="E77">
        <v>9.2949299999999999E-2</v>
      </c>
      <c r="F77">
        <v>0.16471</v>
      </c>
      <c r="G77">
        <v>0.31293799999999999</v>
      </c>
      <c r="H77">
        <v>7.4161900000000003E-2</v>
      </c>
      <c r="I77">
        <v>2.3185000000000001E-2</v>
      </c>
      <c r="J77">
        <v>1.6829899999999998E-2</v>
      </c>
      <c r="K77">
        <v>1.6925699999999998E-2</v>
      </c>
      <c r="L77">
        <v>2.44219E-2</v>
      </c>
      <c r="M77">
        <v>6.2249799999999997E-3</v>
      </c>
      <c r="N77">
        <v>1.43372E-2</v>
      </c>
      <c r="O77">
        <v>2.8443000000000001E-3</v>
      </c>
      <c r="P77">
        <v>7.6334799999999998E-3</v>
      </c>
      <c r="S77">
        <v>0.14286799999999999</v>
      </c>
      <c r="T77">
        <v>1.41274E-2</v>
      </c>
      <c r="U77">
        <v>2.7284300000000001E-2</v>
      </c>
      <c r="V77">
        <v>0.127469</v>
      </c>
      <c r="W77">
        <v>0.1696</v>
      </c>
      <c r="X77">
        <v>0.27618100000000001</v>
      </c>
      <c r="Y77">
        <v>0.117225</v>
      </c>
      <c r="Z77">
        <v>3.0877100000000001E-2</v>
      </c>
      <c r="AA77">
        <v>1.89082E-2</v>
      </c>
      <c r="AB77">
        <v>1.18409E-2</v>
      </c>
      <c r="AC77">
        <v>2.2322100000000001E-2</v>
      </c>
      <c r="AD77">
        <v>8.9162900000000003E-3</v>
      </c>
      <c r="AE77">
        <v>1.6492799999999998E-2</v>
      </c>
      <c r="AF77">
        <v>6.5191900000000002E-3</v>
      </c>
      <c r="AG77">
        <v>9.3687100000000006E-3</v>
      </c>
      <c r="AJ77" s="27">
        <f t="shared" si="42"/>
        <v>91.071314063675274</v>
      </c>
      <c r="AO77" s="28">
        <f t="shared" si="43"/>
        <v>0.88966382924630383</v>
      </c>
      <c r="AP77">
        <v>100</v>
      </c>
      <c r="AQ77">
        <f t="shared" si="44"/>
        <v>1995</v>
      </c>
      <c r="AR77">
        <f t="shared" si="27"/>
        <v>0.29917201157803652</v>
      </c>
      <c r="AS77">
        <f t="shared" si="28"/>
        <v>-0.13807534683623737</v>
      </c>
      <c r="AT77">
        <f t="shared" si="29"/>
        <v>-2.2923967417111468</v>
      </c>
      <c r="AU77">
        <f t="shared" si="30"/>
        <v>1.1888530316629875</v>
      </c>
      <c r="AV77">
        <f t="shared" si="31"/>
        <v>0.13183485154190214</v>
      </c>
      <c r="AW77">
        <f t="shared" si="32"/>
        <v>-0.79270745467828529</v>
      </c>
      <c r="AX77">
        <f t="shared" si="33"/>
        <v>1.6434153611187801</v>
      </c>
      <c r="AY77">
        <f t="shared" si="34"/>
        <v>0.5111345188000439</v>
      </c>
      <c r="AZ77">
        <f t="shared" si="35"/>
        <v>0.16156717770050377</v>
      </c>
      <c r="BA77">
        <f t="shared" si="36"/>
        <v>-0.39419161745002818</v>
      </c>
      <c r="BB77">
        <f t="shared" si="37"/>
        <v>-0.13603704379944212</v>
      </c>
      <c r="BC77">
        <f t="shared" si="38"/>
        <v>0.3421769153461604</v>
      </c>
      <c r="BD77">
        <f t="shared" si="39"/>
        <v>0.18133090124918944</v>
      </c>
      <c r="BE77">
        <f t="shared" si="40"/>
        <v>0.69004141206657565</v>
      </c>
      <c r="BF77">
        <f t="shared" si="41"/>
        <v>0.19936995440592137</v>
      </c>
      <c r="BH77">
        <v>10</v>
      </c>
      <c r="BI77">
        <v>100</v>
      </c>
      <c r="BJ77">
        <v>32.822362488728587</v>
      </c>
    </row>
    <row r="78" spans="1:62" x14ac:dyDescent="0.15">
      <c r="A78" s="21">
        <v>1996</v>
      </c>
      <c r="B78">
        <f>pm.rep!B438</f>
        <v>0.23236499999999999</v>
      </c>
      <c r="C78">
        <f>pm.rep!C438</f>
        <v>1.0066200000000001E-2</v>
      </c>
      <c r="D78">
        <f>pm.rep!D438</f>
        <v>2.6276799999999999E-2</v>
      </c>
      <c r="E78">
        <f>pm.rep!E438</f>
        <v>0.14383199999999999</v>
      </c>
      <c r="F78">
        <f>pm.rep!F438</f>
        <v>0.114884</v>
      </c>
      <c r="G78">
        <f>pm.rep!G438</f>
        <v>0.148504</v>
      </c>
      <c r="H78">
        <f>pm.rep!H438</f>
        <v>0.20777499999999999</v>
      </c>
      <c r="I78">
        <f>pm.rep!I438</f>
        <v>4.5879200000000002E-2</v>
      </c>
      <c r="J78">
        <f>pm.rep!J438</f>
        <v>1.4264199999999999E-2</v>
      </c>
      <c r="K78">
        <f>pm.rep!K438</f>
        <v>1.0527699999999999E-2</v>
      </c>
      <c r="L78">
        <f>pm.rep!L438</f>
        <v>1.0648400000000001E-2</v>
      </c>
      <c r="M78">
        <f>pm.rep!M438</f>
        <v>1.53899E-2</v>
      </c>
      <c r="N78">
        <f>pm.rep!N438</f>
        <v>3.9265799999999998E-3</v>
      </c>
      <c r="O78">
        <f>pm.rep!O438</f>
        <v>9.0479500000000008E-3</v>
      </c>
      <c r="P78">
        <f>pm.rep!P438</f>
        <v>6.6133399999999997E-3</v>
      </c>
      <c r="S78">
        <f>pm.rep!B402</f>
        <v>0.222584</v>
      </c>
      <c r="T78">
        <f>pm.rep!C402</f>
        <v>5.3051800000000003E-2</v>
      </c>
      <c r="U78">
        <f>pm.rep!D402</f>
        <v>2.4316600000000001E-2</v>
      </c>
      <c r="V78">
        <f>pm.rep!E402</f>
        <v>4.8618399999999999E-2</v>
      </c>
      <c r="W78">
        <f>pm.rep!F402</f>
        <v>0.133988</v>
      </c>
      <c r="X78">
        <f>pm.rep!G402</f>
        <v>0.18931500000000001</v>
      </c>
      <c r="Y78">
        <f>pm.rep!H402</f>
        <v>0.17338799999999999</v>
      </c>
      <c r="Z78">
        <f>pm.rep!I402</f>
        <v>5.9051800000000002E-2</v>
      </c>
      <c r="AA78">
        <f>pm.rep!J402</f>
        <v>1.47458E-2</v>
      </c>
      <c r="AB78">
        <f>pm.rep!K402</f>
        <v>1.5829900000000001E-2</v>
      </c>
      <c r="AC78">
        <f>pm.rep!L402</f>
        <v>1.0711E-2</v>
      </c>
      <c r="AD78">
        <f>pm.rep!M402</f>
        <v>2.0150499999999998E-2</v>
      </c>
      <c r="AE78">
        <f>pm.rep!N402</f>
        <v>6.5718E-3</v>
      </c>
      <c r="AF78">
        <f>pm.rep!O402</f>
        <v>1.1902899999999999E-2</v>
      </c>
      <c r="AG78">
        <f>pm.rep!P402</f>
        <v>1.5774400000000001E-2</v>
      </c>
      <c r="AJ78" s="27">
        <f t="shared" si="42"/>
        <v>57.953629973450603</v>
      </c>
      <c r="AO78" s="28">
        <f t="shared" si="43"/>
        <v>1.4307899063259184</v>
      </c>
      <c r="AP78">
        <v>100</v>
      </c>
      <c r="AQ78">
        <f t="shared" si="44"/>
        <v>1996</v>
      </c>
      <c r="AR78">
        <f t="shared" si="27"/>
        <v>-0.2315903816416674</v>
      </c>
      <c r="AS78">
        <f t="shared" si="28"/>
        <v>4.3061300230295414</v>
      </c>
      <c r="AT78">
        <f t="shared" si="29"/>
        <v>-0.12254522350875491</v>
      </c>
      <c r="AU78">
        <f t="shared" si="30"/>
        <v>-2.713261987684672</v>
      </c>
      <c r="AV78">
        <f t="shared" si="31"/>
        <v>0.59909326815866593</v>
      </c>
      <c r="AW78">
        <f t="shared" si="32"/>
        <v>1.1476695381532442</v>
      </c>
      <c r="AX78">
        <f t="shared" si="33"/>
        <v>-0.84756569717923957</v>
      </c>
      <c r="AY78">
        <f t="shared" si="34"/>
        <v>0.62959591880441412</v>
      </c>
      <c r="AZ78">
        <f t="shared" si="35"/>
        <v>4.061463023902185E-2</v>
      </c>
      <c r="BA78">
        <f t="shared" si="36"/>
        <v>0.51950237177302094</v>
      </c>
      <c r="BB78">
        <f t="shared" si="37"/>
        <v>6.0989745988879566E-3</v>
      </c>
      <c r="BC78">
        <f t="shared" si="38"/>
        <v>0.38673337226116355</v>
      </c>
      <c r="BD78">
        <f t="shared" si="39"/>
        <v>0.42296934914260198</v>
      </c>
      <c r="BE78">
        <f t="shared" si="40"/>
        <v>0.30150678546226745</v>
      </c>
      <c r="BF78">
        <f t="shared" si="41"/>
        <v>1.1302542279488232</v>
      </c>
      <c r="BH78">
        <v>50</v>
      </c>
      <c r="BI78">
        <v>100</v>
      </c>
      <c r="BJ78">
        <v>50</v>
      </c>
    </row>
    <row r="79" spans="1:62" x14ac:dyDescent="0.15">
      <c r="A79" s="21">
        <v>1997</v>
      </c>
      <c r="B79">
        <f>pm.rep!B439</f>
        <v>0.24148600000000001</v>
      </c>
      <c r="C79">
        <f>pm.rep!C439</f>
        <v>3.1779200000000001E-2</v>
      </c>
      <c r="D79">
        <f>pm.rep!D439</f>
        <v>2.3485200000000001E-2</v>
      </c>
      <c r="E79">
        <f>pm.rep!E439</f>
        <v>5.4889199999999999E-2</v>
      </c>
      <c r="F79">
        <f>pm.rep!F439</f>
        <v>0.23743800000000001</v>
      </c>
      <c r="G79">
        <f>pm.rep!G439</f>
        <v>0.135407</v>
      </c>
      <c r="H79">
        <f>pm.rep!H439</f>
        <v>0.11304599999999999</v>
      </c>
      <c r="I79">
        <f>pm.rep!I439</f>
        <v>0.111443</v>
      </c>
      <c r="J79">
        <f>pm.rep!J439</f>
        <v>2.086E-2</v>
      </c>
      <c r="K79">
        <f>pm.rep!K439</f>
        <v>6.2213199999999998E-3</v>
      </c>
      <c r="L79">
        <f>pm.rep!L439</f>
        <v>4.53528E-3</v>
      </c>
      <c r="M79">
        <f>pm.rep!M439</f>
        <v>4.5426099999999999E-3</v>
      </c>
      <c r="N79">
        <f>pm.rep!N439</f>
        <v>6.5454199999999997E-3</v>
      </c>
      <c r="O79">
        <f>pm.rep!O439</f>
        <v>1.6686100000000001E-3</v>
      </c>
      <c r="P79">
        <f>pm.rep!P439</f>
        <v>6.6527299999999999E-3</v>
      </c>
      <c r="S79">
        <f>pm.rep!B403</f>
        <v>0.244612</v>
      </c>
      <c r="T79">
        <f>pm.rep!C403</f>
        <v>3.7678400000000001E-2</v>
      </c>
      <c r="U79">
        <f>pm.rep!D403</f>
        <v>1.9625900000000002E-2</v>
      </c>
      <c r="V79">
        <f>pm.rep!E403</f>
        <v>2.53648E-2</v>
      </c>
      <c r="W79">
        <f>pm.rep!F403</f>
        <v>0.30297800000000003</v>
      </c>
      <c r="X79">
        <f>pm.rep!G403</f>
        <v>0.13248499999999999</v>
      </c>
      <c r="Y79">
        <f>pm.rep!H403</f>
        <v>7.8495099999999998E-2</v>
      </c>
      <c r="Z79">
        <f>pm.rep!I403</f>
        <v>9.4790899999999997E-2</v>
      </c>
      <c r="AA79">
        <f>pm.rep!J403</f>
        <v>1.6114199999999999E-2</v>
      </c>
      <c r="AB79">
        <f>pm.rep!K403</f>
        <v>8.1574999999999998E-3</v>
      </c>
      <c r="AC79">
        <f>pm.rep!L403</f>
        <v>6.1509700000000004E-3</v>
      </c>
      <c r="AD79">
        <f>pm.rep!M403</f>
        <v>6.7197300000000001E-3</v>
      </c>
      <c r="AE79">
        <f>pm.rep!N403</f>
        <v>1.09742E-2</v>
      </c>
      <c r="AF79">
        <f>pm.rep!O403</f>
        <v>3.54661E-3</v>
      </c>
      <c r="AG79">
        <f>pm.rep!P403</f>
        <v>1.23056E-2</v>
      </c>
      <c r="AJ79" s="27">
        <f t="shared" si="42"/>
        <v>123.11976746012301</v>
      </c>
      <c r="AO79" s="28">
        <f t="shared" si="43"/>
        <v>0.70676892191092744</v>
      </c>
      <c r="AP79">
        <v>100</v>
      </c>
      <c r="AQ79">
        <f t="shared" si="44"/>
        <v>1997</v>
      </c>
      <c r="AR79">
        <f t="shared" si="27"/>
        <v>7.3040072268719849E-2</v>
      </c>
      <c r="AS79">
        <f t="shared" si="28"/>
        <v>0.33630586096792198</v>
      </c>
      <c r="AT79">
        <f t="shared" si="29"/>
        <v>-0.2548425799277616</v>
      </c>
      <c r="AU79">
        <f t="shared" si="30"/>
        <v>-1.2962723786185539</v>
      </c>
      <c r="AV79">
        <f t="shared" si="31"/>
        <v>1.5402589621940488</v>
      </c>
      <c r="AW79">
        <f t="shared" si="32"/>
        <v>-8.5399198748361702E-2</v>
      </c>
      <c r="AX79">
        <f t="shared" si="33"/>
        <v>-1.0911418578546099</v>
      </c>
      <c r="AY79">
        <f t="shared" si="34"/>
        <v>-0.52917578982326774</v>
      </c>
      <c r="AZ79">
        <f t="shared" si="35"/>
        <v>-0.33207018456930543</v>
      </c>
      <c r="BA79">
        <f t="shared" si="36"/>
        <v>0.24624057797945481</v>
      </c>
      <c r="BB79">
        <f t="shared" si="37"/>
        <v>0.2404601137159468</v>
      </c>
      <c r="BC79">
        <f t="shared" si="38"/>
        <v>0.32375635626784222</v>
      </c>
      <c r="BD79">
        <f t="shared" si="39"/>
        <v>0.54921367144516942</v>
      </c>
      <c r="BE79">
        <f t="shared" si="40"/>
        <v>0.46013026899246623</v>
      </c>
      <c r="BF79">
        <f t="shared" si="41"/>
        <v>0.69537407899939052</v>
      </c>
      <c r="BH79">
        <v>50</v>
      </c>
      <c r="BI79">
        <v>100</v>
      </c>
      <c r="BJ79" t="s">
        <v>66</v>
      </c>
    </row>
    <row r="80" spans="1:62" x14ac:dyDescent="0.15">
      <c r="A80" s="21">
        <v>1998</v>
      </c>
      <c r="B80">
        <f>pm.rep!B440</f>
        <v>0.11674900000000001</v>
      </c>
      <c r="C80">
        <f>pm.rep!C440</f>
        <v>5.7282699999999999E-2</v>
      </c>
      <c r="D80">
        <f>pm.rep!D440</f>
        <v>5.9409499999999997E-2</v>
      </c>
      <c r="E80">
        <f>pm.rep!E440</f>
        <v>4.1619900000000001E-2</v>
      </c>
      <c r="F80">
        <f>pm.rep!F440</f>
        <v>8.3399500000000001E-2</v>
      </c>
      <c r="G80">
        <f>pm.rep!G440</f>
        <v>0.29199000000000003</v>
      </c>
      <c r="H80">
        <f>pm.rep!H440</f>
        <v>0.13769600000000001</v>
      </c>
      <c r="I80">
        <f>pm.rep!I440</f>
        <v>9.3020699999999998E-2</v>
      </c>
      <c r="J80">
        <f>pm.rep!J440</f>
        <v>8.2373600000000005E-2</v>
      </c>
      <c r="K80">
        <f>pm.rep!K440</f>
        <v>1.4930499999999999E-2</v>
      </c>
      <c r="L80">
        <f>pm.rep!L440</f>
        <v>4.4502700000000001E-3</v>
      </c>
      <c r="M80">
        <f>pm.rep!M440</f>
        <v>3.2344600000000002E-3</v>
      </c>
      <c r="N80">
        <f>pm.rep!N440</f>
        <v>3.2392300000000001E-3</v>
      </c>
      <c r="O80">
        <f>pm.rep!O440</f>
        <v>4.6697600000000002E-3</v>
      </c>
      <c r="P80">
        <f>pm.rep!P440</f>
        <v>5.93444E-3</v>
      </c>
      <c r="S80">
        <f>pm.rep!B404</f>
        <v>0.10742</v>
      </c>
      <c r="T80">
        <f>pm.rep!C404</f>
        <v>9.4089400000000004E-2</v>
      </c>
      <c r="U80">
        <f>pm.rep!D404</f>
        <v>4.9330800000000001E-2</v>
      </c>
      <c r="V80">
        <f>pm.rep!E404</f>
        <v>3.5298900000000001E-2</v>
      </c>
      <c r="W80">
        <f>pm.rep!F404</f>
        <v>6.8948700000000002E-2</v>
      </c>
      <c r="X80">
        <f>pm.rep!G404</f>
        <v>0.39334200000000002</v>
      </c>
      <c r="Y80">
        <f>pm.rep!H404</f>
        <v>0.100006</v>
      </c>
      <c r="Z80">
        <f>pm.rep!I404</f>
        <v>6.3192300000000007E-2</v>
      </c>
      <c r="AA80">
        <f>pm.rep!J404</f>
        <v>4.8960999999999998E-2</v>
      </c>
      <c r="AB80">
        <f>pm.rep!K404</f>
        <v>1.22393E-2</v>
      </c>
      <c r="AC80">
        <f>pm.rep!L404</f>
        <v>5.4811900000000004E-3</v>
      </c>
      <c r="AD80">
        <f>pm.rep!M404</f>
        <v>1.8785399999999999E-3</v>
      </c>
      <c r="AE80">
        <f>pm.rep!N404</f>
        <v>4.2456500000000001E-3</v>
      </c>
      <c r="AF80">
        <f>pm.rep!O404</f>
        <v>4.6416699999999997E-3</v>
      </c>
      <c r="AG80">
        <f>pm.rep!P404</f>
        <v>1.0924100000000001E-2</v>
      </c>
      <c r="AJ80" s="27">
        <f t="shared" si="42"/>
        <v>54.800616086660703</v>
      </c>
      <c r="AO80" s="28">
        <f t="shared" si="43"/>
        <v>0.94141304703582085</v>
      </c>
      <c r="AP80">
        <v>100</v>
      </c>
      <c r="AQ80">
        <f t="shared" si="44"/>
        <v>1998</v>
      </c>
      <c r="AR80">
        <f t="shared" si="27"/>
        <v>-0.2905135808588547</v>
      </c>
      <c r="AS80">
        <f t="shared" si="28"/>
        <v>1.5838877606709365</v>
      </c>
      <c r="AT80">
        <f t="shared" si="29"/>
        <v>-0.42635982533960692</v>
      </c>
      <c r="AU80">
        <f t="shared" si="30"/>
        <v>-0.31649465532861443</v>
      </c>
      <c r="AV80">
        <f t="shared" si="31"/>
        <v>-0.52266103246833084</v>
      </c>
      <c r="AW80">
        <f t="shared" si="32"/>
        <v>2.2290953104954907</v>
      </c>
      <c r="AX80">
        <f t="shared" si="33"/>
        <v>-1.0937933405964895</v>
      </c>
      <c r="AY80">
        <f t="shared" si="34"/>
        <v>-1.0269314846052648</v>
      </c>
      <c r="AZ80">
        <f t="shared" si="35"/>
        <v>-1.2152994419134993</v>
      </c>
      <c r="BA80">
        <f t="shared" si="36"/>
        <v>-0.22190922768158283</v>
      </c>
      <c r="BB80">
        <f t="shared" si="37"/>
        <v>0.15488177077325863</v>
      </c>
      <c r="BC80">
        <f t="shared" si="38"/>
        <v>-0.23880128902290315</v>
      </c>
      <c r="BD80">
        <f t="shared" si="39"/>
        <v>0.17711808061711948</v>
      </c>
      <c r="BE80">
        <f t="shared" si="40"/>
        <v>-4.1202243018115554E-3</v>
      </c>
      <c r="BF80">
        <f t="shared" si="41"/>
        <v>0.64964121202499725</v>
      </c>
      <c r="BH80">
        <v>50</v>
      </c>
      <c r="BI80">
        <v>100</v>
      </c>
      <c r="BJ80" t="s">
        <v>587</v>
      </c>
    </row>
    <row r="81" spans="1:62" x14ac:dyDescent="0.15">
      <c r="A81" s="21">
        <v>1999</v>
      </c>
      <c r="B81">
        <f>pm.rep!B441</f>
        <v>0.100941</v>
      </c>
      <c r="C81">
        <f>pm.rep!C441</f>
        <v>4.3166200000000002E-2</v>
      </c>
      <c r="D81">
        <f>pm.rep!D441</f>
        <v>0.115512</v>
      </c>
      <c r="E81">
        <f>pm.rep!E441</f>
        <v>0.114899</v>
      </c>
      <c r="F81">
        <f>pm.rep!F441</f>
        <v>6.7799899999999996E-2</v>
      </c>
      <c r="G81">
        <f>pm.rep!G441</f>
        <v>0.10557</v>
      </c>
      <c r="H81">
        <f>pm.rep!H441</f>
        <v>0.25812600000000002</v>
      </c>
      <c r="I81">
        <f>pm.rep!I441</f>
        <v>9.3126299999999995E-2</v>
      </c>
      <c r="J81">
        <f>pm.rep!J441</f>
        <v>4.89478E-2</v>
      </c>
      <c r="K81">
        <f>pm.rep!K441</f>
        <v>3.7195499999999999E-2</v>
      </c>
      <c r="L81">
        <f>pm.rep!L441</f>
        <v>6.2719000000000004E-3</v>
      </c>
      <c r="M81">
        <f>pm.rep!M441</f>
        <v>1.79144E-3</v>
      </c>
      <c r="N81">
        <f>pm.rep!N441</f>
        <v>1.27513E-3</v>
      </c>
      <c r="O81">
        <f>pm.rep!O441</f>
        <v>1.2643999999999999E-3</v>
      </c>
      <c r="P81">
        <f>pm.rep!P441</f>
        <v>4.1129699999999996E-3</v>
      </c>
      <c r="S81">
        <f>pm.rep!B405</f>
        <v>0.110613</v>
      </c>
      <c r="T81">
        <f>pm.rep!C405</f>
        <v>0.101602</v>
      </c>
      <c r="U81">
        <f>pm.rep!D405</f>
        <v>9.4213699999999997E-2</v>
      </c>
      <c r="V81">
        <f>pm.rep!E405</f>
        <v>0.10218000000000001</v>
      </c>
      <c r="W81">
        <f>pm.rep!F405</f>
        <v>5.8271700000000003E-2</v>
      </c>
      <c r="X81">
        <f>pm.rep!G405</f>
        <v>0.104061</v>
      </c>
      <c r="Y81">
        <f>pm.rep!H405</f>
        <v>0.26187100000000002</v>
      </c>
      <c r="Z81">
        <f>pm.rep!I405</f>
        <v>7.05929E-2</v>
      </c>
      <c r="AA81">
        <f>pm.rep!J405</f>
        <v>3.4074800000000002E-2</v>
      </c>
      <c r="AB81">
        <f>pm.rep!K405</f>
        <v>3.1753799999999999E-2</v>
      </c>
      <c r="AC81">
        <f>pm.rep!L405</f>
        <v>1.16086E-2</v>
      </c>
      <c r="AD81">
        <f>pm.rep!M405</f>
        <v>4.90173E-3</v>
      </c>
      <c r="AE81">
        <f>pm.rep!N405</f>
        <v>1.9402200000000001E-3</v>
      </c>
      <c r="AF81">
        <f>pm.rep!O405</f>
        <v>2.7915800000000001E-3</v>
      </c>
      <c r="AG81">
        <f>pm.rep!P405</f>
        <v>9.5238500000000004E-3</v>
      </c>
      <c r="AJ81" s="27">
        <f t="shared" si="42"/>
        <v>171.2636762227977</v>
      </c>
      <c r="AO81" s="28">
        <f t="shared" si="43"/>
        <v>0.9123739226948987</v>
      </c>
      <c r="AP81">
        <v>100</v>
      </c>
      <c r="AQ81">
        <f t="shared" si="44"/>
        <v>1999</v>
      </c>
      <c r="AR81">
        <f t="shared" si="27"/>
        <v>0.32106161797665961</v>
      </c>
      <c r="AS81">
        <f t="shared" si="28"/>
        <v>2.8753375141353508</v>
      </c>
      <c r="AT81">
        <f t="shared" si="29"/>
        <v>-0.66632393801472822</v>
      </c>
      <c r="AU81">
        <f t="shared" si="30"/>
        <v>-0.39883974246574427</v>
      </c>
      <c r="AV81">
        <f t="shared" si="31"/>
        <v>-0.37900222999523675</v>
      </c>
      <c r="AW81">
        <f t="shared" si="32"/>
        <v>-4.9107271021884523E-2</v>
      </c>
      <c r="AX81">
        <f t="shared" si="33"/>
        <v>8.5579721894828695E-2</v>
      </c>
      <c r="AY81">
        <f t="shared" si="34"/>
        <v>-0.77538455919258464</v>
      </c>
      <c r="AZ81">
        <f t="shared" si="35"/>
        <v>-0.68933417862115121</v>
      </c>
      <c r="BA81">
        <f t="shared" si="36"/>
        <v>-0.28755461316524661</v>
      </c>
      <c r="BB81">
        <f t="shared" si="37"/>
        <v>0.67598870875392236</v>
      </c>
      <c r="BC81">
        <f t="shared" si="38"/>
        <v>0.73551088716670365</v>
      </c>
      <c r="BD81">
        <f t="shared" si="39"/>
        <v>0.18637182326498805</v>
      </c>
      <c r="BE81">
        <f t="shared" si="40"/>
        <v>0.42975676218599479</v>
      </c>
      <c r="BF81">
        <f t="shared" si="41"/>
        <v>0.8454444809148417</v>
      </c>
      <c r="BH81">
        <v>50</v>
      </c>
      <c r="BI81">
        <v>100</v>
      </c>
      <c r="BJ81" t="s">
        <v>67</v>
      </c>
    </row>
    <row r="82" spans="1:62" x14ac:dyDescent="0.15">
      <c r="A82" s="21">
        <v>2000</v>
      </c>
      <c r="B82">
        <f>pm.rep!B442</f>
        <v>0.10363799999999999</v>
      </c>
      <c r="C82">
        <f>pm.rep!C442</f>
        <v>4.5069699999999997E-2</v>
      </c>
      <c r="D82">
        <f>pm.rep!D442</f>
        <v>5.8121800000000001E-2</v>
      </c>
      <c r="E82">
        <f>pm.rep!E442</f>
        <v>0.15839700000000001</v>
      </c>
      <c r="F82">
        <f>pm.rep!F442</f>
        <v>0.14451900000000001</v>
      </c>
      <c r="G82">
        <f>pm.rep!G442</f>
        <v>7.6120199999999999E-2</v>
      </c>
      <c r="H82">
        <f>pm.rep!H442</f>
        <v>9.65863E-2</v>
      </c>
      <c r="I82">
        <f>pm.rep!I442</f>
        <v>0.189918</v>
      </c>
      <c r="J82">
        <f>pm.rep!J442</f>
        <v>6.36216E-2</v>
      </c>
      <c r="K82">
        <f>pm.rep!K442</f>
        <v>3.1737000000000001E-2</v>
      </c>
      <c r="L82">
        <f>pm.rep!L442</f>
        <v>2.3324000000000001E-2</v>
      </c>
      <c r="M82">
        <f>pm.rep!M442</f>
        <v>3.8519800000000001E-3</v>
      </c>
      <c r="N82">
        <f>pm.rep!N442</f>
        <v>1.0886100000000001E-3</v>
      </c>
      <c r="O82">
        <f>pm.rep!O442</f>
        <v>7.7074999999999995E-4</v>
      </c>
      <c r="P82">
        <f>pm.rep!P442</f>
        <v>3.2372199999999999E-3</v>
      </c>
      <c r="S82">
        <f>pm.rep!B406</f>
        <v>9.5045199999999996E-2</v>
      </c>
      <c r="T82">
        <f>pm.rep!C406</f>
        <v>3.5261500000000001E-2</v>
      </c>
      <c r="U82">
        <f>pm.rep!D406</f>
        <v>4.3982399999999998E-2</v>
      </c>
      <c r="V82">
        <f>pm.rep!E406</f>
        <v>0.14898500000000001</v>
      </c>
      <c r="W82">
        <f>pm.rep!F406</f>
        <v>0.149031</v>
      </c>
      <c r="X82">
        <f>pm.rep!G406</f>
        <v>7.7004699999999995E-2</v>
      </c>
      <c r="Y82">
        <f>pm.rep!H406</f>
        <v>6.5377400000000002E-2</v>
      </c>
      <c r="Z82">
        <f>pm.rep!I406</f>
        <v>0.21404799999999999</v>
      </c>
      <c r="AA82">
        <f>pm.rep!J406</f>
        <v>8.3490200000000001E-2</v>
      </c>
      <c r="AB82">
        <f>pm.rep!K406</f>
        <v>4.3776099999999998E-2</v>
      </c>
      <c r="AC82">
        <f>pm.rep!L406</f>
        <v>1.8535900000000001E-2</v>
      </c>
      <c r="AD82">
        <f>pm.rep!M406</f>
        <v>1.25454E-2</v>
      </c>
      <c r="AE82">
        <f>pm.rep!N406</f>
        <v>3.8502599999999999E-3</v>
      </c>
      <c r="AF82">
        <f>pm.rep!O406</f>
        <v>1.69308E-3</v>
      </c>
      <c r="AG82">
        <f>pm.rep!P406</f>
        <v>7.3735700000000003E-3</v>
      </c>
      <c r="AJ82" s="27">
        <f t="shared" si="42"/>
        <v>326.35049680893019</v>
      </c>
      <c r="AO82" s="28">
        <f t="shared" si="43"/>
        <v>0.673307526444194</v>
      </c>
      <c r="AP82">
        <v>100</v>
      </c>
      <c r="AQ82">
        <f t="shared" si="44"/>
        <v>2000</v>
      </c>
      <c r="AR82">
        <f t="shared" si="27"/>
        <v>-0.28192492488687682</v>
      </c>
      <c r="AS82">
        <f t="shared" si="28"/>
        <v>-0.47278222751790983</v>
      </c>
      <c r="AT82">
        <f t="shared" si="29"/>
        <v>-0.60431598250877672</v>
      </c>
      <c r="AU82">
        <f t="shared" si="30"/>
        <v>-0.25778331549828609</v>
      </c>
      <c r="AV82">
        <f t="shared" si="31"/>
        <v>0.12832209249654075</v>
      </c>
      <c r="AW82">
        <f t="shared" si="32"/>
        <v>3.335340224054717E-2</v>
      </c>
      <c r="AX82">
        <f t="shared" si="33"/>
        <v>-1.0565191194861332</v>
      </c>
      <c r="AY82">
        <f t="shared" si="34"/>
        <v>0.61519070737475001</v>
      </c>
      <c r="AZ82">
        <f t="shared" si="35"/>
        <v>0.81402788019814765</v>
      </c>
      <c r="BA82">
        <f t="shared" si="36"/>
        <v>0.68677490518343742</v>
      </c>
      <c r="BB82">
        <f t="shared" si="37"/>
        <v>-0.31723890181227832</v>
      </c>
      <c r="BC82">
        <f t="shared" si="38"/>
        <v>1.4034169327075219</v>
      </c>
      <c r="BD82">
        <f t="shared" si="39"/>
        <v>0.83746949119703451</v>
      </c>
      <c r="BE82">
        <f t="shared" si="40"/>
        <v>0.332351006956702</v>
      </c>
      <c r="BF82">
        <f t="shared" si="41"/>
        <v>0.72817416418470038</v>
      </c>
      <c r="BH82">
        <v>50</v>
      </c>
      <c r="BI82">
        <v>100</v>
      </c>
      <c r="BJ82" t="s">
        <v>121</v>
      </c>
    </row>
    <row r="83" spans="1:62" x14ac:dyDescent="0.15">
      <c r="A83" s="21">
        <v>2001</v>
      </c>
      <c r="B83">
        <f>pm.rep!B443</f>
        <v>0.17747599999999999</v>
      </c>
      <c r="C83">
        <f>pm.rep!C443</f>
        <v>5.8368299999999998E-2</v>
      </c>
      <c r="D83">
        <f>pm.rep!D443</f>
        <v>5.4178799999999999E-2</v>
      </c>
      <c r="E83">
        <f>pm.rep!E443</f>
        <v>7.0725300000000005E-2</v>
      </c>
      <c r="F83">
        <f>pm.rep!F443</f>
        <v>0.16692899999999999</v>
      </c>
      <c r="G83">
        <f>pm.rep!G443</f>
        <v>0.13090399999999999</v>
      </c>
      <c r="H83">
        <f>pm.rep!H443</f>
        <v>6.2699900000000003E-2</v>
      </c>
      <c r="I83">
        <f>pm.rep!I443</f>
        <v>6.9553500000000004E-2</v>
      </c>
      <c r="J83">
        <f>pm.rep!J443</f>
        <v>0.12548599999999999</v>
      </c>
      <c r="K83">
        <f>pm.rep!K443</f>
        <v>4.1987499999999997E-2</v>
      </c>
      <c r="L83">
        <f>pm.rep!L443</f>
        <v>2.0797099999999999E-2</v>
      </c>
      <c r="M83">
        <f>pm.rep!M443</f>
        <v>1.5130599999999999E-2</v>
      </c>
      <c r="N83">
        <f>pm.rep!N443</f>
        <v>2.4868199999999998E-3</v>
      </c>
      <c r="O83">
        <f>pm.rep!O443</f>
        <v>7.0121300000000001E-4</v>
      </c>
      <c r="P83">
        <f>pm.rep!P443</f>
        <v>2.5765499999999999E-3</v>
      </c>
      <c r="S83">
        <f>pm.rep!B407</f>
        <v>0.18360199999999999</v>
      </c>
      <c r="T83">
        <f>pm.rep!C407</f>
        <v>0.10591299999999999</v>
      </c>
      <c r="U83">
        <f>pm.rep!D407</f>
        <v>5.72685E-2</v>
      </c>
      <c r="V83">
        <f>pm.rep!E407</f>
        <v>5.4757199999999999E-2</v>
      </c>
      <c r="W83">
        <f>pm.rep!F407</f>
        <v>0.13844500000000001</v>
      </c>
      <c r="X83">
        <f>pm.rep!G407</f>
        <v>0.14477999999999999</v>
      </c>
      <c r="Y83">
        <f>pm.rep!H407</f>
        <v>6.2247200000000003E-2</v>
      </c>
      <c r="Z83">
        <f>pm.rep!I407</f>
        <v>3.08854E-2</v>
      </c>
      <c r="AA83">
        <f>pm.rep!J407</f>
        <v>9.2017100000000004E-2</v>
      </c>
      <c r="AB83">
        <f>pm.rep!K407</f>
        <v>6.6054399999999999E-2</v>
      </c>
      <c r="AC83">
        <f>pm.rep!L407</f>
        <v>2.5241900000000001E-2</v>
      </c>
      <c r="AD83">
        <f>pm.rep!M407</f>
        <v>2.0187900000000002E-2</v>
      </c>
      <c r="AE83">
        <f>pm.rep!N407</f>
        <v>7.9983899999999993E-3</v>
      </c>
      <c r="AF83">
        <f>pm.rep!O407</f>
        <v>2.8586499999999999E-3</v>
      </c>
      <c r="AG83">
        <f>pm.rep!P407</f>
        <v>7.7431699999999997E-3</v>
      </c>
      <c r="AJ83" s="27">
        <f t="shared" si="42"/>
        <v>128.88249787955357</v>
      </c>
      <c r="AO83" s="28">
        <f t="shared" si="43"/>
        <v>0.93994852134553752</v>
      </c>
      <c r="AP83">
        <v>100</v>
      </c>
      <c r="AQ83">
        <f t="shared" si="44"/>
        <v>2001</v>
      </c>
      <c r="AR83">
        <f t="shared" si="27"/>
        <v>0.16033668015400671</v>
      </c>
      <c r="AS83">
        <f t="shared" si="28"/>
        <v>2.0280238302845963</v>
      </c>
      <c r="AT83">
        <f t="shared" si="29"/>
        <v>0.13648882653150191</v>
      </c>
      <c r="AU83">
        <f t="shared" si="30"/>
        <v>-0.6228647994273</v>
      </c>
      <c r="AV83">
        <f t="shared" si="31"/>
        <v>-0.76382535921745709</v>
      </c>
      <c r="AW83">
        <f t="shared" si="32"/>
        <v>0.41139021427470268</v>
      </c>
      <c r="AX83">
        <f t="shared" si="33"/>
        <v>-1.8674016522438677E-2</v>
      </c>
      <c r="AY83">
        <f t="shared" si="34"/>
        <v>-1.5200141654280113</v>
      </c>
      <c r="AZ83">
        <f t="shared" si="35"/>
        <v>-1.0103234139250075</v>
      </c>
      <c r="BA83">
        <f t="shared" si="36"/>
        <v>1.1999815180473643</v>
      </c>
      <c r="BB83">
        <f t="shared" si="37"/>
        <v>0.31146875615269931</v>
      </c>
      <c r="BC83">
        <f t="shared" si="38"/>
        <v>0.41428701334999007</v>
      </c>
      <c r="BD83">
        <f t="shared" si="39"/>
        <v>1.1066080635937647</v>
      </c>
      <c r="BE83">
        <f t="shared" si="40"/>
        <v>0.81501473944297242</v>
      </c>
      <c r="BF83">
        <f t="shared" si="41"/>
        <v>1.0191719119991671</v>
      </c>
      <c r="BH83">
        <v>50</v>
      </c>
      <c r="BI83">
        <v>100</v>
      </c>
      <c r="BJ83" t="s">
        <v>588</v>
      </c>
    </row>
    <row r="84" spans="1:62" x14ac:dyDescent="0.15">
      <c r="A84" s="21">
        <v>2002</v>
      </c>
      <c r="B84">
        <f>pm.rep!B444</f>
        <v>8.2618499999999997E-2</v>
      </c>
      <c r="C84">
        <f>pm.rep!C444</f>
        <v>7.20528E-2</v>
      </c>
      <c r="D84">
        <f>pm.rep!D444</f>
        <v>8.2442299999999996E-2</v>
      </c>
      <c r="E84">
        <f>pm.rep!E444</f>
        <v>8.47194E-2</v>
      </c>
      <c r="F84">
        <f>pm.rep!F444</f>
        <v>0.10360999999999999</v>
      </c>
      <c r="G84">
        <f>pm.rep!G444</f>
        <v>0.19681299999999999</v>
      </c>
      <c r="H84">
        <f>pm.rep!H444</f>
        <v>0.12815199999999999</v>
      </c>
      <c r="I84">
        <f>pm.rep!I444</f>
        <v>5.2341699999999998E-2</v>
      </c>
      <c r="J84">
        <f>pm.rep!J444</f>
        <v>5.1729400000000002E-2</v>
      </c>
      <c r="K84">
        <f>pm.rep!K444</f>
        <v>8.9086499999999999E-2</v>
      </c>
      <c r="L84">
        <f>pm.rep!L444</f>
        <v>2.8733700000000001E-2</v>
      </c>
      <c r="M84">
        <f>pm.rep!M444</f>
        <v>1.3909599999999999E-2</v>
      </c>
      <c r="N84">
        <f>pm.rep!N444</f>
        <v>1.0007E-2</v>
      </c>
      <c r="O84">
        <f>pm.rep!O444</f>
        <v>1.6359199999999999E-3</v>
      </c>
      <c r="P84">
        <f>pm.rep!P444</f>
        <v>2.1483600000000002E-3</v>
      </c>
      <c r="S84">
        <f>pm.rep!B408</f>
        <v>8.0569799999999997E-2</v>
      </c>
      <c r="T84">
        <f>pm.rep!C408</f>
        <v>4.1032600000000002E-2</v>
      </c>
      <c r="U84">
        <f>pm.rep!D408</f>
        <v>8.4541699999999997E-2</v>
      </c>
      <c r="V84">
        <f>pm.rep!E408</f>
        <v>0.121541</v>
      </c>
      <c r="W84">
        <f>pm.rep!F408</f>
        <v>0.12614300000000001</v>
      </c>
      <c r="X84">
        <f>pm.rep!G408</f>
        <v>0.163443</v>
      </c>
      <c r="Y84">
        <f>pm.rep!H408</f>
        <v>8.4876800000000002E-2</v>
      </c>
      <c r="Z84">
        <f>pm.rep!I408</f>
        <v>4.1049000000000002E-2</v>
      </c>
      <c r="AA84">
        <f>pm.rep!J408</f>
        <v>5.5526100000000002E-2</v>
      </c>
      <c r="AB84">
        <f>pm.rep!K408</f>
        <v>0.10426000000000001</v>
      </c>
      <c r="AC84">
        <f>pm.rep!L408</f>
        <v>5.19716E-2</v>
      </c>
      <c r="AD84">
        <f>pm.rep!M408</f>
        <v>2.2998399999999999E-2</v>
      </c>
      <c r="AE84">
        <f>pm.rep!N408</f>
        <v>1.3530500000000001E-2</v>
      </c>
      <c r="AF84">
        <f>pm.rep!O408</f>
        <v>4.0884299999999997E-3</v>
      </c>
      <c r="AG84">
        <f>pm.rep!P408</f>
        <v>4.4287700000000003E-3</v>
      </c>
      <c r="AJ84" s="27">
        <f t="shared" si="42"/>
        <v>130.66517683047701</v>
      </c>
      <c r="AO84" s="28">
        <f t="shared" si="43"/>
        <v>0.82536732089933174</v>
      </c>
      <c r="AP84">
        <v>100</v>
      </c>
      <c r="AQ84">
        <f t="shared" si="44"/>
        <v>2002</v>
      </c>
      <c r="AR84">
        <f t="shared" si="27"/>
        <v>-7.4415726433419913E-2</v>
      </c>
      <c r="AS84">
        <f t="shared" si="28"/>
        <v>-1.1996582074176803</v>
      </c>
      <c r="AT84">
        <f t="shared" si="29"/>
        <v>7.6331439239564355E-2</v>
      </c>
      <c r="AU84">
        <f t="shared" si="30"/>
        <v>1.3223124639211405</v>
      </c>
      <c r="AV84">
        <f t="shared" si="31"/>
        <v>0.73938337008175803</v>
      </c>
      <c r="AW84">
        <f t="shared" si="32"/>
        <v>-0.83930726182572368</v>
      </c>
      <c r="AX84">
        <f t="shared" si="33"/>
        <v>-1.2946608093450276</v>
      </c>
      <c r="AY84">
        <f t="shared" si="34"/>
        <v>-0.50704673856367666</v>
      </c>
      <c r="AZ84">
        <f t="shared" si="35"/>
        <v>0.17142391870202428</v>
      </c>
      <c r="BA84">
        <f t="shared" si="36"/>
        <v>0.53264916597434975</v>
      </c>
      <c r="BB84">
        <f t="shared" si="37"/>
        <v>1.3910154116954976</v>
      </c>
      <c r="BC84">
        <f t="shared" si="38"/>
        <v>0.77605206860427689</v>
      </c>
      <c r="BD84">
        <f t="shared" si="39"/>
        <v>0.35400244698917377</v>
      </c>
      <c r="BE84">
        <f t="shared" si="40"/>
        <v>0.6068554859659161</v>
      </c>
      <c r="BF84">
        <f t="shared" si="41"/>
        <v>0.49252289122653953</v>
      </c>
      <c r="BH84">
        <v>50</v>
      </c>
      <c r="BI84">
        <v>100</v>
      </c>
      <c r="BJ84">
        <v>79.214285714285708</v>
      </c>
    </row>
    <row r="85" spans="1:62" x14ac:dyDescent="0.15">
      <c r="A85" s="21">
        <v>2003</v>
      </c>
      <c r="B85">
        <f>pm.rep!B445</f>
        <v>4.77022E-2</v>
      </c>
      <c r="C85">
        <f>pm.rep!C445</f>
        <v>3.0361800000000001E-2</v>
      </c>
      <c r="D85">
        <f>pm.rep!D445</f>
        <v>8.1617400000000007E-2</v>
      </c>
      <c r="E85">
        <f>pm.rep!E445</f>
        <v>0.10835500000000001</v>
      </c>
      <c r="F85">
        <f>pm.rep!F445</f>
        <v>0.108374</v>
      </c>
      <c r="G85">
        <f>pm.rep!G445</f>
        <v>0.119758</v>
      </c>
      <c r="H85">
        <f>pm.rep!H445</f>
        <v>0.18934599999999999</v>
      </c>
      <c r="I85">
        <f>pm.rep!I445</f>
        <v>0.111591</v>
      </c>
      <c r="J85">
        <f>pm.rep!J445</f>
        <v>4.2906E-2</v>
      </c>
      <c r="K85">
        <f>pm.rep!K445</f>
        <v>4.2164399999999998E-2</v>
      </c>
      <c r="L85">
        <f>pm.rep!L445</f>
        <v>7.2551500000000005E-2</v>
      </c>
      <c r="M85">
        <f>pm.rep!M445</f>
        <v>2.3125199999999999E-2</v>
      </c>
      <c r="N85">
        <f>pm.rep!N445</f>
        <v>1.11358E-2</v>
      </c>
      <c r="O85">
        <f>pm.rep!O445</f>
        <v>7.9930999999999995E-3</v>
      </c>
      <c r="P85">
        <f>pm.rep!P445</f>
        <v>3.0187899999999999E-3</v>
      </c>
      <c r="S85">
        <f>pm.rep!B409</f>
        <v>3.4714000000000002E-2</v>
      </c>
      <c r="T85">
        <f>pm.rep!C409</f>
        <v>1.06325E-2</v>
      </c>
      <c r="U85">
        <f>pm.rep!D409</f>
        <v>6.4951099999999998E-2</v>
      </c>
      <c r="V85">
        <f>pm.rep!E409</f>
        <v>0.10893600000000001</v>
      </c>
      <c r="W85">
        <f>pm.rep!F409</f>
        <v>0.12921099999999999</v>
      </c>
      <c r="X85">
        <f>pm.rep!G409</f>
        <v>0.118598</v>
      </c>
      <c r="Y85">
        <f>pm.rep!H409</f>
        <v>0.15884000000000001</v>
      </c>
      <c r="Z85">
        <f>pm.rep!I409</f>
        <v>8.9808100000000002E-2</v>
      </c>
      <c r="AA85">
        <f>pm.rep!J409</f>
        <v>4.1043000000000003E-2</v>
      </c>
      <c r="AB85">
        <f>pm.rep!K409</f>
        <v>5.3499900000000003E-2</v>
      </c>
      <c r="AC85">
        <f>pm.rep!L409</f>
        <v>0.108922</v>
      </c>
      <c r="AD85">
        <f>pm.rep!M409</f>
        <v>4.71385E-2</v>
      </c>
      <c r="AE85">
        <f>pm.rep!N409</f>
        <v>1.7758199999999998E-2</v>
      </c>
      <c r="AF85">
        <f>pm.rep!O409</f>
        <v>9.2140299999999998E-3</v>
      </c>
      <c r="AG85">
        <f>pm.rep!P409</f>
        <v>6.7347300000000004E-3</v>
      </c>
      <c r="AJ85" s="27">
        <f t="shared" si="42"/>
        <v>187.61236254847145</v>
      </c>
      <c r="AO85" s="28">
        <f t="shared" si="43"/>
        <v>0.80714895195473602</v>
      </c>
      <c r="AP85">
        <v>100</v>
      </c>
      <c r="AQ85">
        <f t="shared" si="44"/>
        <v>2003</v>
      </c>
      <c r="AR85">
        <f t="shared" si="27"/>
        <v>-0.60938726285883771</v>
      </c>
      <c r="AS85">
        <f t="shared" si="28"/>
        <v>-1.1498549542311838</v>
      </c>
      <c r="AT85">
        <f t="shared" si="29"/>
        <v>-0.60874582224504625</v>
      </c>
      <c r="AU85">
        <f t="shared" si="30"/>
        <v>1.8691995374196978E-2</v>
      </c>
      <c r="AV85">
        <f t="shared" si="31"/>
        <v>0.67031861194812326</v>
      </c>
      <c r="AW85">
        <f t="shared" si="32"/>
        <v>-3.5727668703321953E-2</v>
      </c>
      <c r="AX85">
        <f t="shared" si="33"/>
        <v>-0.77864488222506945</v>
      </c>
      <c r="AY85">
        <f t="shared" si="34"/>
        <v>-0.69182242973409491</v>
      </c>
      <c r="AZ85">
        <f t="shared" si="35"/>
        <v>-9.1934082007891493E-2</v>
      </c>
      <c r="BA85">
        <f t="shared" si="36"/>
        <v>0.5640560109157845</v>
      </c>
      <c r="BB85">
        <f t="shared" si="37"/>
        <v>1.4021070467262928</v>
      </c>
      <c r="BC85">
        <f t="shared" si="38"/>
        <v>1.5976794333207518</v>
      </c>
      <c r="BD85">
        <f t="shared" si="39"/>
        <v>0.63108283915883112</v>
      </c>
      <c r="BE85">
        <f t="shared" si="40"/>
        <v>0.13711210408236849</v>
      </c>
      <c r="BF85">
        <f t="shared" si="41"/>
        <v>0.677343168505953</v>
      </c>
      <c r="BH85">
        <v>50</v>
      </c>
      <c r="BI85">
        <v>100</v>
      </c>
      <c r="BJ85">
        <v>0.63119927862939595</v>
      </c>
    </row>
    <row r="86" spans="1:62" x14ac:dyDescent="0.15">
      <c r="A86" s="21">
        <v>2004</v>
      </c>
      <c r="B86">
        <f>pm.rep!B446</f>
        <v>4.8804199999999999E-2</v>
      </c>
      <c r="C86">
        <f>pm.rep!C446</f>
        <v>2.0848200000000001E-2</v>
      </c>
      <c r="D86">
        <f>pm.rep!D446</f>
        <v>6.3198599999999994E-2</v>
      </c>
      <c r="E86">
        <f>pm.rep!E446</f>
        <v>0.16292499999999999</v>
      </c>
      <c r="F86">
        <f>pm.rep!F446</f>
        <v>0.18942899999999999</v>
      </c>
      <c r="G86">
        <f>pm.rep!G446</f>
        <v>0.13794799999999999</v>
      </c>
      <c r="H86">
        <f>pm.rep!H446</f>
        <v>0.100838</v>
      </c>
      <c r="I86">
        <f>pm.rep!I446</f>
        <v>0.116364</v>
      </c>
      <c r="J86">
        <f>pm.rep!J446</f>
        <v>5.8613800000000001E-2</v>
      </c>
      <c r="K86">
        <f>pm.rep!K446</f>
        <v>2.16499E-2</v>
      </c>
      <c r="L86">
        <f>pm.rep!L446</f>
        <v>2.1168900000000001E-2</v>
      </c>
      <c r="M86">
        <f>pm.rep!M446</f>
        <v>3.5930799999999999E-2</v>
      </c>
      <c r="N86">
        <f>pm.rep!N446</f>
        <v>1.1394100000000001E-2</v>
      </c>
      <c r="O86">
        <f>pm.rep!O446</f>
        <v>5.4763800000000003E-3</v>
      </c>
      <c r="P86">
        <f>pm.rep!P446</f>
        <v>5.4111300000000001E-3</v>
      </c>
      <c r="S86">
        <f>pm.rep!B410</f>
        <v>5.6781900000000003E-2</v>
      </c>
      <c r="T86">
        <f>pm.rep!C410</f>
        <v>4.0108900000000003E-2</v>
      </c>
      <c r="U86">
        <f>pm.rep!D410</f>
        <v>2.5434700000000001E-2</v>
      </c>
      <c r="V86">
        <f>pm.rep!E410</f>
        <v>0.191833</v>
      </c>
      <c r="W86">
        <f>pm.rep!F410</f>
        <v>0.18709600000000001</v>
      </c>
      <c r="X86">
        <f>pm.rep!G410</f>
        <v>0.142343</v>
      </c>
      <c r="Y86">
        <f>pm.rep!H410</f>
        <v>8.3699999999999997E-2</v>
      </c>
      <c r="Z86">
        <f>pm.rep!I410</f>
        <v>9.0659900000000002E-2</v>
      </c>
      <c r="AA86">
        <f>pm.rep!J410</f>
        <v>4.4834600000000002E-2</v>
      </c>
      <c r="AB86">
        <f>pm.rep!K410</f>
        <v>2.8036700000000001E-2</v>
      </c>
      <c r="AC86">
        <f>pm.rep!L410</f>
        <v>2.79476E-2</v>
      </c>
      <c r="AD86">
        <f>pm.rep!M410</f>
        <v>5.0453499999999998E-2</v>
      </c>
      <c r="AE86">
        <f>pm.rep!N410</f>
        <v>2.14751E-2</v>
      </c>
      <c r="AF86">
        <f>pm.rep!O410</f>
        <v>5.2153099999999999E-3</v>
      </c>
      <c r="AG86">
        <f>pm.rep!P410</f>
        <v>4.0807300000000003E-3</v>
      </c>
      <c r="AJ86" s="27">
        <f t="shared" si="42"/>
        <v>206.76878421077237</v>
      </c>
      <c r="AO86" s="28">
        <f t="shared" si="43"/>
        <v>0.76154324514841631</v>
      </c>
      <c r="AP86">
        <v>100</v>
      </c>
      <c r="AQ86">
        <f t="shared" si="44"/>
        <v>2004</v>
      </c>
      <c r="AR86">
        <f t="shared" si="27"/>
        <v>0.37026626021329268</v>
      </c>
      <c r="AS86">
        <f t="shared" si="28"/>
        <v>1.34807101563325</v>
      </c>
      <c r="AT86">
        <f t="shared" si="29"/>
        <v>-1.5520272583336223</v>
      </c>
      <c r="AU86">
        <f t="shared" si="30"/>
        <v>0.78278409966238527</v>
      </c>
      <c r="AV86">
        <f t="shared" si="31"/>
        <v>-5.9538237556898091E-2</v>
      </c>
      <c r="AW86">
        <f t="shared" si="32"/>
        <v>0.12744841633911316</v>
      </c>
      <c r="AX86">
        <f t="shared" si="33"/>
        <v>-0.56915303292880659</v>
      </c>
      <c r="AY86">
        <f t="shared" si="34"/>
        <v>-0.80159754933197447</v>
      </c>
      <c r="AZ86">
        <f t="shared" si="35"/>
        <v>-0.58659742330101683</v>
      </c>
      <c r="BA86">
        <f t="shared" si="36"/>
        <v>0.43884203711830888</v>
      </c>
      <c r="BB86">
        <f t="shared" si="37"/>
        <v>0.47091593732058418</v>
      </c>
      <c r="BC86">
        <f t="shared" si="38"/>
        <v>0.78029678676751102</v>
      </c>
      <c r="BD86">
        <f t="shared" si="39"/>
        <v>0.94984338472358643</v>
      </c>
      <c r="BE86">
        <f t="shared" si="40"/>
        <v>-3.5375503529194934E-2</v>
      </c>
      <c r="BF86">
        <f t="shared" si="41"/>
        <v>-0.18134953855478728</v>
      </c>
      <c r="BH86">
        <v>50</v>
      </c>
      <c r="BI86">
        <v>100</v>
      </c>
      <c r="BJ86" t="s">
        <v>589</v>
      </c>
    </row>
    <row r="87" spans="1:62" x14ac:dyDescent="0.15">
      <c r="A87" s="21">
        <v>2005</v>
      </c>
      <c r="B87">
        <f>pm.rep!B447</f>
        <v>3.8002399999999999E-2</v>
      </c>
      <c r="C87">
        <f>pm.rep!C447</f>
        <v>1.07332E-2</v>
      </c>
      <c r="D87">
        <f>pm.rep!D447</f>
        <v>4.5447399999999999E-2</v>
      </c>
      <c r="E87">
        <f>pm.rep!E447</f>
        <v>0.13614499999999999</v>
      </c>
      <c r="F87">
        <f>pm.rep!F447</f>
        <v>0.259071</v>
      </c>
      <c r="G87">
        <f>pm.rep!G447</f>
        <v>0.214835</v>
      </c>
      <c r="H87">
        <f>pm.rep!H447</f>
        <v>0.10620300000000001</v>
      </c>
      <c r="I87">
        <f>pm.rep!I447</f>
        <v>5.6863999999999998E-2</v>
      </c>
      <c r="J87">
        <f>pm.rep!J447</f>
        <v>5.7069700000000001E-2</v>
      </c>
      <c r="K87">
        <f>pm.rep!K447</f>
        <v>2.7978800000000002E-2</v>
      </c>
      <c r="L87">
        <f>pm.rep!L447</f>
        <v>1.0308899999999999E-2</v>
      </c>
      <c r="M87">
        <f>pm.rep!M447</f>
        <v>9.9867800000000007E-3</v>
      </c>
      <c r="N87">
        <f>pm.rep!N447</f>
        <v>1.68938E-2</v>
      </c>
      <c r="O87">
        <f>pm.rep!O447</f>
        <v>5.3507299999999997E-3</v>
      </c>
      <c r="P87">
        <f>pm.rep!P447</f>
        <v>5.1100900000000003E-3</v>
      </c>
      <c r="S87">
        <f>pm.rep!B411</f>
        <v>4.1549799999999998E-2</v>
      </c>
      <c r="T87">
        <f>pm.rep!C411</f>
        <v>1.55443E-2</v>
      </c>
      <c r="U87">
        <f>pm.rep!D411</f>
        <v>2.4657700000000001E-2</v>
      </c>
      <c r="V87">
        <f>pm.rep!E411</f>
        <v>0.10874300000000001</v>
      </c>
      <c r="W87">
        <f>pm.rep!F411</f>
        <v>0.30831799999999998</v>
      </c>
      <c r="X87">
        <f>pm.rep!G411</f>
        <v>0.20802999999999999</v>
      </c>
      <c r="Y87">
        <f>pm.rep!H411</f>
        <v>0.108934</v>
      </c>
      <c r="Z87">
        <f>pm.rep!I411</f>
        <v>4.9595100000000003E-2</v>
      </c>
      <c r="AA87">
        <f>pm.rep!J411</f>
        <v>3.7714200000000003E-2</v>
      </c>
      <c r="AB87">
        <f>pm.rep!K411</f>
        <v>2.7754600000000001E-2</v>
      </c>
      <c r="AC87">
        <f>pm.rep!L411</f>
        <v>7.4750099999999998E-3</v>
      </c>
      <c r="AD87">
        <f>pm.rep!M411</f>
        <v>1.5784300000000001E-2</v>
      </c>
      <c r="AE87">
        <f>pm.rep!N411</f>
        <v>2.5690899999999999E-2</v>
      </c>
      <c r="AF87">
        <f>pm.rep!O411</f>
        <v>9.9928099999999995E-3</v>
      </c>
      <c r="AG87">
        <f>pm.rep!P411</f>
        <v>1.0216599999999999E-2</v>
      </c>
      <c r="AJ87" s="27">
        <f t="shared" si="42"/>
        <v>196.98609361615121</v>
      </c>
      <c r="AO87" s="28">
        <f t="shared" si="43"/>
        <v>0.63840123718568775</v>
      </c>
      <c r="AP87">
        <v>100</v>
      </c>
      <c r="AQ87">
        <f t="shared" si="44"/>
        <v>2005</v>
      </c>
      <c r="AR87">
        <f t="shared" si="27"/>
        <v>0.18553149964195648</v>
      </c>
      <c r="AS87">
        <f t="shared" si="28"/>
        <v>0.46689912042457032</v>
      </c>
      <c r="AT87">
        <f t="shared" si="29"/>
        <v>-0.99814530567050375</v>
      </c>
      <c r="AU87">
        <f t="shared" si="30"/>
        <v>-0.79902614146705275</v>
      </c>
      <c r="AV87">
        <f t="shared" si="31"/>
        <v>1.1240408174027297</v>
      </c>
      <c r="AW87">
        <f t="shared" si="32"/>
        <v>-0.16568956030784684</v>
      </c>
      <c r="AX87">
        <f t="shared" si="33"/>
        <v>8.8640839686397743E-2</v>
      </c>
      <c r="AY87">
        <f t="shared" si="34"/>
        <v>-0.31387941169040678</v>
      </c>
      <c r="AZ87">
        <f t="shared" si="35"/>
        <v>-0.83437600113059884</v>
      </c>
      <c r="BA87">
        <f t="shared" si="36"/>
        <v>-1.3595124772984675E-2</v>
      </c>
      <c r="BB87">
        <f t="shared" si="37"/>
        <v>-0.28056080106758646</v>
      </c>
      <c r="BC87">
        <f t="shared" si="38"/>
        <v>0.58305431950477671</v>
      </c>
      <c r="BD87">
        <f t="shared" si="39"/>
        <v>0.68261470090337828</v>
      </c>
      <c r="BE87">
        <f t="shared" si="40"/>
        <v>0.63631347189579934</v>
      </c>
      <c r="BF87">
        <f t="shared" si="41"/>
        <v>0.71618034668982411</v>
      </c>
      <c r="BH87">
        <v>50</v>
      </c>
      <c r="BI87">
        <v>100</v>
      </c>
      <c r="BJ87">
        <v>50</v>
      </c>
    </row>
    <row r="88" spans="1:62" x14ac:dyDescent="0.15">
      <c r="A88" s="21">
        <v>2006</v>
      </c>
      <c r="B88">
        <f>pm.rep!B448</f>
        <v>0.14664199999999999</v>
      </c>
      <c r="C88">
        <f>pm.rep!C448</f>
        <v>4.7350999999999999E-3</v>
      </c>
      <c r="D88">
        <f>pm.rep!D448</f>
        <v>1.27282E-2</v>
      </c>
      <c r="E88">
        <f>pm.rep!E448</f>
        <v>5.5028599999999997E-2</v>
      </c>
      <c r="F88">
        <f>pm.rep!F448</f>
        <v>0.143784</v>
      </c>
      <c r="G88">
        <f>pm.rep!G448</f>
        <v>0.22709099999999999</v>
      </c>
      <c r="H88">
        <f>pm.rep!H448</f>
        <v>0.17428299999999999</v>
      </c>
      <c r="I88">
        <f>pm.rep!I448</f>
        <v>8.38034E-2</v>
      </c>
      <c r="J88">
        <f>pm.rep!J448</f>
        <v>4.4979400000000003E-2</v>
      </c>
      <c r="K88">
        <f>pm.rep!K448</f>
        <v>4.56832E-2</v>
      </c>
      <c r="L88">
        <f>pm.rep!L448</f>
        <v>2.2682799999999999E-2</v>
      </c>
      <c r="M88">
        <f>pm.rep!M448</f>
        <v>8.3462499999999995E-3</v>
      </c>
      <c r="N88">
        <f>pm.rep!N448</f>
        <v>8.0815999999999995E-3</v>
      </c>
      <c r="O88">
        <f>pm.rep!O448</f>
        <v>1.36688E-2</v>
      </c>
      <c r="P88">
        <f>pm.rep!P448</f>
        <v>8.4630499999999997E-3</v>
      </c>
      <c r="S88">
        <f>pm.rep!B412</f>
        <v>0.14789099999999999</v>
      </c>
      <c r="T88">
        <f>pm.rep!C412</f>
        <v>1.35651E-2</v>
      </c>
      <c r="U88">
        <f>pm.rep!D412</f>
        <v>2.0999299999999999E-2</v>
      </c>
      <c r="V88">
        <f>pm.rep!E412</f>
        <v>6.8769700000000003E-2</v>
      </c>
      <c r="W88">
        <f>pm.rep!F412</f>
        <v>0.17236699999999999</v>
      </c>
      <c r="X88">
        <f>pm.rep!G412</f>
        <v>0.21882499999999999</v>
      </c>
      <c r="Y88">
        <f>pm.rep!H412</f>
        <v>0.14005100000000001</v>
      </c>
      <c r="Z88">
        <f>pm.rep!I412</f>
        <v>6.7364099999999996E-2</v>
      </c>
      <c r="AA88">
        <f>pm.rep!J412</f>
        <v>3.8474099999999997E-2</v>
      </c>
      <c r="AB88">
        <f>pm.rep!K412</f>
        <v>3.3126999999999997E-2</v>
      </c>
      <c r="AC88">
        <f>pm.rep!L412</f>
        <v>1.5943200000000001E-2</v>
      </c>
      <c r="AD88">
        <f>pm.rep!M412</f>
        <v>9.9107199999999996E-3</v>
      </c>
      <c r="AE88">
        <f>pm.rep!N412</f>
        <v>1.4341100000000001E-2</v>
      </c>
      <c r="AF88">
        <f>pm.rep!O412</f>
        <v>1.9275799999999999E-2</v>
      </c>
      <c r="AG88">
        <f>pm.rep!P412</f>
        <v>1.9095299999999999E-2</v>
      </c>
      <c r="AJ88" s="27">
        <f t="shared" si="42"/>
        <v>278.00953106289745</v>
      </c>
      <c r="AO88" s="28">
        <f t="shared" ref="AO88:AO93" si="45">STDEV(AR88:BF88)</f>
        <v>0.68781553092589698</v>
      </c>
      <c r="AP88">
        <v>100</v>
      </c>
      <c r="AQ88">
        <f t="shared" ref="AQ88:AQ93" si="46">A88</f>
        <v>2006</v>
      </c>
      <c r="AR88">
        <f t="shared" ref="AR88:BF93" si="47">(S88-B88)/(SQRT(B88*(1-B88)/$AP88))</f>
        <v>3.5307552915345673E-2</v>
      </c>
      <c r="AS88">
        <f t="shared" si="47"/>
        <v>1.2862541290409861</v>
      </c>
      <c r="AT88">
        <f t="shared" si="47"/>
        <v>0.73783866542620635</v>
      </c>
      <c r="AU88">
        <f t="shared" si="47"/>
        <v>0.60258447168705687</v>
      </c>
      <c r="AV88">
        <f t="shared" si="47"/>
        <v>0.81463086183588396</v>
      </c>
      <c r="AW88">
        <f t="shared" si="47"/>
        <v>-0.19730189540766052</v>
      </c>
      <c r="AX88">
        <f t="shared" si="47"/>
        <v>-0.9023793470574647</v>
      </c>
      <c r="AY88">
        <f t="shared" si="47"/>
        <v>-0.59327789013594501</v>
      </c>
      <c r="AZ88">
        <f t="shared" si="47"/>
        <v>-0.3138731245131674</v>
      </c>
      <c r="BA88">
        <f t="shared" si="47"/>
        <v>-0.60135881471167774</v>
      </c>
      <c r="BB88">
        <f t="shared" si="47"/>
        <v>-0.45265572636321172</v>
      </c>
      <c r="BC88">
        <f t="shared" si="47"/>
        <v>0.17196557481557156</v>
      </c>
      <c r="BD88">
        <f t="shared" si="47"/>
        <v>0.69912204219553553</v>
      </c>
      <c r="BE88">
        <f t="shared" si="47"/>
        <v>0.482896409223116</v>
      </c>
      <c r="BF88">
        <f t="shared" si="47"/>
        <v>1.16066603292419</v>
      </c>
      <c r="BH88">
        <v>50</v>
      </c>
      <c r="BI88">
        <v>100</v>
      </c>
      <c r="BJ88">
        <v>10</v>
      </c>
    </row>
    <row r="89" spans="1:62" x14ac:dyDescent="0.15">
      <c r="A89" s="21">
        <v>2007</v>
      </c>
      <c r="B89">
        <f>pm.rep!B449</f>
        <v>0.23388700000000001</v>
      </c>
      <c r="C89">
        <f>pm.rep!C449</f>
        <v>1.62933E-2</v>
      </c>
      <c r="D89">
        <f>pm.rep!D449</f>
        <v>1.3916400000000001E-2</v>
      </c>
      <c r="E89">
        <f>pm.rep!E449</f>
        <v>3.8533999999999999E-2</v>
      </c>
      <c r="F89">
        <f>pm.rep!F449</f>
        <v>0.12758800000000001</v>
      </c>
      <c r="G89">
        <f>pm.rep!G449</f>
        <v>0.194384</v>
      </c>
      <c r="H89">
        <f>pm.rep!H449</f>
        <v>0.179037</v>
      </c>
      <c r="I89">
        <f>pm.rep!I449</f>
        <v>9.4959299999999996E-2</v>
      </c>
      <c r="J89">
        <f>pm.rep!J449</f>
        <v>3.7828800000000003E-2</v>
      </c>
      <c r="K89">
        <f>pm.rep!K449</f>
        <v>1.9146400000000001E-2</v>
      </c>
      <c r="L89">
        <f>pm.rep!L449</f>
        <v>1.9132400000000001E-2</v>
      </c>
      <c r="M89">
        <f>pm.rep!M449</f>
        <v>9.3972799999999992E-3</v>
      </c>
      <c r="N89">
        <f>pm.rep!N449</f>
        <v>3.44495E-3</v>
      </c>
      <c r="O89">
        <f>pm.rep!O449</f>
        <v>3.3315100000000002E-3</v>
      </c>
      <c r="P89">
        <f>pm.rep!P449</f>
        <v>9.1190200000000003E-3</v>
      </c>
      <c r="S89">
        <f>pm.rep!B413</f>
        <v>0.242753</v>
      </c>
      <c r="T89">
        <f>pm.rep!C413</f>
        <v>6.9056999999999999E-3</v>
      </c>
      <c r="U89">
        <f>pm.rep!D413</f>
        <v>1.7364899999999999E-2</v>
      </c>
      <c r="V89">
        <f>pm.rep!E413</f>
        <v>4.9730499999999997E-2</v>
      </c>
      <c r="W89">
        <f>pm.rep!F413</f>
        <v>0.15553400000000001</v>
      </c>
      <c r="X89">
        <f>pm.rep!G413</f>
        <v>0.181975</v>
      </c>
      <c r="Y89">
        <f>pm.rep!H413</f>
        <v>0.13123099999999999</v>
      </c>
      <c r="Z89">
        <f>pm.rep!I413</f>
        <v>9.4691899999999996E-2</v>
      </c>
      <c r="AA89">
        <f>pm.rep!J413</f>
        <v>3.9973099999999998E-2</v>
      </c>
      <c r="AB89">
        <f>pm.rep!K413</f>
        <v>1.79052E-2</v>
      </c>
      <c r="AC89">
        <f>pm.rep!L413</f>
        <v>1.6596199999999998E-2</v>
      </c>
      <c r="AD89">
        <f>pm.rep!M413</f>
        <v>1.4437999999999999E-2</v>
      </c>
      <c r="AE89">
        <f>pm.rep!N413</f>
        <v>6.6328799999999999E-3</v>
      </c>
      <c r="AF89">
        <f>pm.rep!O413</f>
        <v>8.2683199999999991E-3</v>
      </c>
      <c r="AG89">
        <f>pm.rep!P413</f>
        <v>1.6000400000000001E-2</v>
      </c>
      <c r="AJ89" s="27">
        <f t="shared" si="42"/>
        <v>232.10445562721762</v>
      </c>
      <c r="AO89" s="28">
        <f t="shared" si="45"/>
        <v>0.59539740840630262</v>
      </c>
      <c r="AP89">
        <v>100</v>
      </c>
      <c r="AQ89">
        <f t="shared" si="46"/>
        <v>2007</v>
      </c>
      <c r="AR89">
        <f t="shared" si="47"/>
        <v>0.20944898947226445</v>
      </c>
      <c r="AS89">
        <f t="shared" si="47"/>
        <v>-0.74151037955569554</v>
      </c>
      <c r="AT89">
        <f t="shared" si="47"/>
        <v>0.2943810911813553</v>
      </c>
      <c r="AU89">
        <f t="shared" si="47"/>
        <v>0.58169224296492539</v>
      </c>
      <c r="AV89">
        <f t="shared" si="47"/>
        <v>0.8376332810906707</v>
      </c>
      <c r="AW89">
        <f t="shared" si="47"/>
        <v>-0.31357576158415762</v>
      </c>
      <c r="AX89">
        <f t="shared" si="47"/>
        <v>-1.2469505150470073</v>
      </c>
      <c r="AY89">
        <f t="shared" si="47"/>
        <v>-9.1213389751019433E-3</v>
      </c>
      <c r="AZ89">
        <f t="shared" si="47"/>
        <v>0.11239528334107818</v>
      </c>
      <c r="BA89">
        <f t="shared" si="47"/>
        <v>-9.0572448367067099E-2</v>
      </c>
      <c r="BB89">
        <f t="shared" si="47"/>
        <v>-0.18513715156868057</v>
      </c>
      <c r="BC89">
        <f t="shared" si="47"/>
        <v>0.52244638972010859</v>
      </c>
      <c r="BD89">
        <f t="shared" si="47"/>
        <v>0.54408489371160051</v>
      </c>
      <c r="BE89">
        <f t="shared" si="47"/>
        <v>0.856742849543911</v>
      </c>
      <c r="BF89">
        <f t="shared" si="47"/>
        <v>0.72392022584103488</v>
      </c>
      <c r="BH89">
        <v>50</v>
      </c>
      <c r="BI89">
        <v>100</v>
      </c>
      <c r="BJ89">
        <v>48</v>
      </c>
    </row>
    <row r="90" spans="1:62" x14ac:dyDescent="0.15">
      <c r="A90" s="21">
        <v>2008</v>
      </c>
      <c r="B90">
        <f>pm.rep!B450</f>
        <v>0.103725</v>
      </c>
      <c r="C90">
        <f>pm.rep!C450</f>
        <v>3.4260400000000003E-2</v>
      </c>
      <c r="D90">
        <f>pm.rep!D450</f>
        <v>3.9935499999999999E-2</v>
      </c>
      <c r="E90">
        <f>pm.rep!E450</f>
        <v>3.6852900000000001E-2</v>
      </c>
      <c r="F90">
        <f>pm.rep!F450</f>
        <v>8.5154900000000006E-2</v>
      </c>
      <c r="G90">
        <f>pm.rep!G450</f>
        <v>0.182725</v>
      </c>
      <c r="H90">
        <f>pm.rep!H450</f>
        <v>0.19423799999999999</v>
      </c>
      <c r="I90">
        <f>pm.rep!I450</f>
        <v>0.157614</v>
      </c>
      <c r="J90">
        <f>pm.rep!J450</f>
        <v>7.9821600000000006E-2</v>
      </c>
      <c r="K90">
        <f>pm.rep!K450</f>
        <v>3.1938300000000003E-2</v>
      </c>
      <c r="L90">
        <f>pm.rep!L450</f>
        <v>1.62133E-2</v>
      </c>
      <c r="M90">
        <f>pm.rep!M450</f>
        <v>1.6166400000000001E-2</v>
      </c>
      <c r="N90">
        <f>pm.rep!N450</f>
        <v>7.9352499999999996E-3</v>
      </c>
      <c r="O90">
        <f>pm.rep!O450</f>
        <v>2.9083999999999998E-3</v>
      </c>
      <c r="P90">
        <f>pm.rep!P450</f>
        <v>1.05106E-2</v>
      </c>
      <c r="S90">
        <f>pm.rep!B414</f>
        <v>0.102299</v>
      </c>
      <c r="T90">
        <f>pm.rep!C414</f>
        <v>2.5153700000000001E-2</v>
      </c>
      <c r="U90">
        <f>pm.rep!D414</f>
        <v>2.09599E-2</v>
      </c>
      <c r="V90">
        <f>pm.rep!E414</f>
        <v>3.83837E-2</v>
      </c>
      <c r="W90">
        <f>pm.rep!F414</f>
        <v>0.10938100000000001</v>
      </c>
      <c r="X90">
        <f>pm.rep!G414</f>
        <v>0.219664</v>
      </c>
      <c r="Y90">
        <f>pm.rep!H414</f>
        <v>0.17214499999999999</v>
      </c>
      <c r="Z90">
        <f>pm.rep!I414</f>
        <v>0.11969</v>
      </c>
      <c r="AA90">
        <f>pm.rep!J414</f>
        <v>7.59494E-2</v>
      </c>
      <c r="AB90">
        <f>pm.rep!K414</f>
        <v>2.9760100000000001E-2</v>
      </c>
      <c r="AC90">
        <f>pm.rep!L414</f>
        <v>2.4816399999999999E-2</v>
      </c>
      <c r="AD90">
        <f>pm.rep!M414</f>
        <v>1.8946399999999999E-2</v>
      </c>
      <c r="AE90">
        <f>pm.rep!N414</f>
        <v>8.6034600000000003E-3</v>
      </c>
      <c r="AF90">
        <f>pm.rep!O414</f>
        <v>4.7130100000000001E-3</v>
      </c>
      <c r="AG90">
        <f>pm.rep!P414</f>
        <v>2.9534899999999999E-2</v>
      </c>
      <c r="AJ90" s="27">
        <f t="shared" si="42"/>
        <v>182.3386787694262</v>
      </c>
      <c r="AO90" s="28">
        <f t="shared" si="45"/>
        <v>0.76599147728697459</v>
      </c>
      <c r="AP90">
        <v>100</v>
      </c>
      <c r="AQ90">
        <f t="shared" si="46"/>
        <v>2008</v>
      </c>
      <c r="AR90">
        <f t="shared" si="47"/>
        <v>-4.6768900747545888E-2</v>
      </c>
      <c r="AS90">
        <f t="shared" si="47"/>
        <v>-0.50065066272025005</v>
      </c>
      <c r="AT90">
        <f t="shared" si="47"/>
        <v>-0.96909365086532917</v>
      </c>
      <c r="AU90">
        <f t="shared" si="47"/>
        <v>8.125242070758619E-2</v>
      </c>
      <c r="AV90">
        <f t="shared" si="47"/>
        <v>0.86797037180703895</v>
      </c>
      <c r="AW90">
        <f t="shared" si="47"/>
        <v>0.95587706578372689</v>
      </c>
      <c r="AX90">
        <f t="shared" si="47"/>
        <v>-0.55844988096561199</v>
      </c>
      <c r="AY90">
        <f t="shared" si="47"/>
        <v>-1.0407853540711434</v>
      </c>
      <c r="AZ90">
        <f t="shared" si="47"/>
        <v>-0.14287674543304407</v>
      </c>
      <c r="BA90">
        <f t="shared" si="47"/>
        <v>-0.12387690226898233</v>
      </c>
      <c r="BB90">
        <f t="shared" si="47"/>
        <v>0.68119082255883179</v>
      </c>
      <c r="BC90">
        <f t="shared" si="47"/>
        <v>0.22043335493329899</v>
      </c>
      <c r="BD90">
        <f t="shared" si="47"/>
        <v>7.5311735303255509E-2</v>
      </c>
      <c r="BE90">
        <f t="shared" si="47"/>
        <v>0.3351110610323087</v>
      </c>
      <c r="BF90">
        <f t="shared" si="47"/>
        <v>1.8654746789343499</v>
      </c>
      <c r="BH90">
        <v>50</v>
      </c>
      <c r="BI90">
        <v>100</v>
      </c>
      <c r="BJ90">
        <v>73</v>
      </c>
    </row>
    <row r="91" spans="1:62" x14ac:dyDescent="0.15">
      <c r="A91" s="21">
        <f>pm.rep!A451</f>
        <v>2009</v>
      </c>
      <c r="B91">
        <f>pm.rep!B451</f>
        <v>0.192103</v>
      </c>
      <c r="C91">
        <f>pm.rep!C451</f>
        <v>2.1109300000000001E-2</v>
      </c>
      <c r="D91">
        <f>pm.rep!D451</f>
        <v>9.98864E-2</v>
      </c>
      <c r="E91">
        <f>pm.rep!E451</f>
        <v>0.112834</v>
      </c>
      <c r="F91">
        <f>pm.rep!F451</f>
        <v>7.5099600000000002E-2</v>
      </c>
      <c r="G91">
        <f>pm.rep!G451</f>
        <v>9.5385600000000001E-2</v>
      </c>
      <c r="H91">
        <f>pm.rep!H451</f>
        <v>0.121766</v>
      </c>
      <c r="I91">
        <f>pm.rep!I451</f>
        <v>0.108875</v>
      </c>
      <c r="J91">
        <f>pm.rep!J451</f>
        <v>8.4592399999999998E-2</v>
      </c>
      <c r="K91">
        <f>pm.rep!K451</f>
        <v>4.2382999999999997E-2</v>
      </c>
      <c r="L91">
        <f>pm.rep!L451</f>
        <v>1.7151900000000001E-2</v>
      </c>
      <c r="M91">
        <f>pm.rep!M451</f>
        <v>8.6965299999999992E-3</v>
      </c>
      <c r="N91">
        <f>pm.rep!N451</f>
        <v>8.6686300000000001E-3</v>
      </c>
      <c r="O91">
        <f>pm.rep!O451</f>
        <v>4.2546199999999998E-3</v>
      </c>
      <c r="P91">
        <f>pm.rep!P451</f>
        <v>7.1946099999999997E-3</v>
      </c>
      <c r="S91">
        <f>pm.rep!B415</f>
        <v>0.17974699999999999</v>
      </c>
      <c r="T91">
        <f>pm.rep!C415</f>
        <v>4.9731400000000002E-2</v>
      </c>
      <c r="U91">
        <f>pm.rep!D415</f>
        <v>0.103968</v>
      </c>
      <c r="V91">
        <f>pm.rep!E415</f>
        <v>0.111998</v>
      </c>
      <c r="W91">
        <f>pm.rep!F415</f>
        <v>6.5233600000000003E-2</v>
      </c>
      <c r="X91">
        <f>pm.rep!G415</f>
        <v>9.4641699999999995E-2</v>
      </c>
      <c r="Y91">
        <f>pm.rep!H415</f>
        <v>0.12800900000000001</v>
      </c>
      <c r="Z91">
        <f>pm.rep!I415</f>
        <v>0.10001500000000001</v>
      </c>
      <c r="AA91">
        <f>pm.rep!J415</f>
        <v>7.2696499999999997E-2</v>
      </c>
      <c r="AB91">
        <f>pm.rep!K415</f>
        <v>3.5283700000000001E-2</v>
      </c>
      <c r="AC91">
        <f>pm.rep!L415</f>
        <v>2.32804E-2</v>
      </c>
      <c r="AD91">
        <f>pm.rep!M415</f>
        <v>7.6386300000000004E-3</v>
      </c>
      <c r="AE91">
        <f>pm.rep!N415</f>
        <v>7.6804000000000004E-3</v>
      </c>
      <c r="AF91">
        <f>pm.rep!O415</f>
        <v>4.00249E-3</v>
      </c>
      <c r="AG91">
        <f>pm.rep!P415</f>
        <v>1.6075699999999998E-2</v>
      </c>
      <c r="AJ91" s="27">
        <f t="shared" si="42"/>
        <v>586.78804014411764</v>
      </c>
      <c r="AO91" s="28">
        <f t="shared" si="45"/>
        <v>0.64306323464070014</v>
      </c>
      <c r="AP91">
        <v>100</v>
      </c>
      <c r="AQ91">
        <f t="shared" si="46"/>
        <v>2009</v>
      </c>
      <c r="AR91">
        <f t="shared" si="47"/>
        <v>-0.31364099889369473</v>
      </c>
      <c r="AS91">
        <f t="shared" si="47"/>
        <v>1.9911201961049256</v>
      </c>
      <c r="AT91">
        <f t="shared" si="47"/>
        <v>0.13612208698507883</v>
      </c>
      <c r="AU91">
        <f t="shared" si="47"/>
        <v>-2.6423104392271357E-2</v>
      </c>
      <c r="AV91">
        <f t="shared" si="47"/>
        <v>-0.37434739521785115</v>
      </c>
      <c r="AW91">
        <f t="shared" si="47"/>
        <v>-2.53245304901621E-2</v>
      </c>
      <c r="AX91">
        <f t="shared" si="47"/>
        <v>0.1909084677051848</v>
      </c>
      <c r="AY91">
        <f t="shared" si="47"/>
        <v>-0.28444632296458255</v>
      </c>
      <c r="AZ91">
        <f t="shared" si="47"/>
        <v>-0.42748843936826686</v>
      </c>
      <c r="BA91">
        <f t="shared" si="47"/>
        <v>-0.35239014806618357</v>
      </c>
      <c r="BB91">
        <f t="shared" si="47"/>
        <v>0.47201399040145608</v>
      </c>
      <c r="BC91">
        <f t="shared" si="47"/>
        <v>-0.11393792453677708</v>
      </c>
      <c r="BD91">
        <f t="shared" si="47"/>
        <v>-0.10660396937122459</v>
      </c>
      <c r="BE91">
        <f t="shared" si="47"/>
        <v>-3.8736464969327672E-2</v>
      </c>
      <c r="BF91">
        <f t="shared" si="47"/>
        <v>1.0508254429294774</v>
      </c>
      <c r="BH91">
        <v>179.29039093352588</v>
      </c>
      <c r="BJ91">
        <v>25</v>
      </c>
    </row>
    <row r="92" spans="1:62" x14ac:dyDescent="0.15">
      <c r="A92" s="21">
        <f>pm.rep!A452</f>
        <v>2010</v>
      </c>
      <c r="B92">
        <f>pm.rep!B452</f>
        <v>8.0019099999999996E-2</v>
      </c>
      <c r="C92">
        <f>pm.rep!C452</f>
        <v>7.2054300000000002E-2</v>
      </c>
      <c r="D92">
        <f>pm.rep!D452</f>
        <v>5.7743200000000001E-2</v>
      </c>
      <c r="E92">
        <f>pm.rep!E452</f>
        <v>0.27576299999999998</v>
      </c>
      <c r="F92">
        <f>pm.rep!F452</f>
        <v>0.21002299999999999</v>
      </c>
      <c r="G92">
        <f>pm.rep!G452</f>
        <v>7.2322499999999998E-2</v>
      </c>
      <c r="H92">
        <f>pm.rep!H452</f>
        <v>5.3917399999999997E-2</v>
      </c>
      <c r="I92">
        <f>pm.rep!I452</f>
        <v>5.5810699999999998E-2</v>
      </c>
      <c r="J92">
        <f>pm.rep!J452</f>
        <v>4.7714699999999999E-2</v>
      </c>
      <c r="K92">
        <f>pm.rep!K452</f>
        <v>3.6516600000000003E-2</v>
      </c>
      <c r="L92">
        <f>pm.rep!L452</f>
        <v>1.8294500000000002E-2</v>
      </c>
      <c r="M92">
        <f>pm.rep!M452</f>
        <v>7.39698E-3</v>
      </c>
      <c r="N92">
        <f>pm.rep!N452</f>
        <v>3.7496700000000001E-3</v>
      </c>
      <c r="O92">
        <f>pm.rep!O452</f>
        <v>3.7374299999999999E-3</v>
      </c>
      <c r="P92">
        <f>pm.rep!P452</f>
        <v>4.9361800000000001E-3</v>
      </c>
      <c r="S92">
        <f>pm.rep!B416</f>
        <v>6.7704200000000006E-2</v>
      </c>
      <c r="T92">
        <f>pm.rep!C416</f>
        <v>1.9119299999999999E-2</v>
      </c>
      <c r="U92">
        <f>pm.rep!D416</f>
        <v>3.6787199999999999E-2</v>
      </c>
      <c r="V92">
        <f>pm.rep!E416</f>
        <v>0.39569900000000002</v>
      </c>
      <c r="W92">
        <f>pm.rep!F416</f>
        <v>0.17724000000000001</v>
      </c>
      <c r="X92">
        <f>pm.rep!G416</f>
        <v>5.5248100000000001E-2</v>
      </c>
      <c r="Y92">
        <f>pm.rep!H416</f>
        <v>4.7562899999999998E-2</v>
      </c>
      <c r="Z92">
        <f>pm.rep!I416</f>
        <v>5.0303800000000003E-2</v>
      </c>
      <c r="AA92">
        <f>pm.rep!J416</f>
        <v>5.2901799999999999E-2</v>
      </c>
      <c r="AB92">
        <f>pm.rep!K416</f>
        <v>3.6017500000000001E-2</v>
      </c>
      <c r="AC92">
        <f>pm.rep!L416</f>
        <v>3.1056799999999999E-2</v>
      </c>
      <c r="AD92">
        <f>pm.rep!M416</f>
        <v>1.12841E-2</v>
      </c>
      <c r="AE92">
        <f>pm.rep!N416</f>
        <v>6.7627900000000003E-3</v>
      </c>
      <c r="AF92">
        <f>pm.rep!O416</f>
        <v>3.90581E-3</v>
      </c>
      <c r="AG92">
        <f>pm.rep!P416</f>
        <v>8.4068300000000006E-3</v>
      </c>
      <c r="AJ92" s="27">
        <f t="shared" si="42"/>
        <v>43.702396162382819</v>
      </c>
      <c r="AO92" s="28">
        <f t="shared" si="45"/>
        <v>1.0449495645820408</v>
      </c>
      <c r="AP92">
        <v>100</v>
      </c>
      <c r="AQ92">
        <f t="shared" si="46"/>
        <v>2010</v>
      </c>
      <c r="AR92">
        <f t="shared" si="47"/>
        <v>-0.4538837694193627</v>
      </c>
      <c r="AS92">
        <f t="shared" si="47"/>
        <v>-2.0471595131989808</v>
      </c>
      <c r="AT92">
        <f t="shared" si="47"/>
        <v>-0.89840741082213915</v>
      </c>
      <c r="AU92">
        <f t="shared" si="47"/>
        <v>2.6837447557673326</v>
      </c>
      <c r="AV92">
        <f t="shared" si="47"/>
        <v>-0.80483719964632972</v>
      </c>
      <c r="AW92">
        <f t="shared" si="47"/>
        <v>-0.65918941443745116</v>
      </c>
      <c r="AX92">
        <f t="shared" si="47"/>
        <v>-0.28135354120116635</v>
      </c>
      <c r="AY92">
        <f t="shared" si="47"/>
        <v>-0.23989374158217772</v>
      </c>
      <c r="AZ92">
        <f t="shared" si="47"/>
        <v>0.24334082811744634</v>
      </c>
      <c r="BA92">
        <f t="shared" si="47"/>
        <v>-2.6608493362977742E-2</v>
      </c>
      <c r="BB92">
        <f t="shared" si="47"/>
        <v>0.95230938640618068</v>
      </c>
      <c r="BC92">
        <f t="shared" si="47"/>
        <v>0.45364165865931283</v>
      </c>
      <c r="BD92">
        <f t="shared" si="47"/>
        <v>0.4929872245511055</v>
      </c>
      <c r="BE92">
        <f t="shared" si="47"/>
        <v>2.7594152780830036E-2</v>
      </c>
      <c r="BF92">
        <f t="shared" si="47"/>
        <v>0.49521051451894776</v>
      </c>
      <c r="BH92">
        <v>206.87692783388039</v>
      </c>
      <c r="BJ92">
        <v>62</v>
      </c>
    </row>
    <row r="93" spans="1:62" x14ac:dyDescent="0.15">
      <c r="A93" s="21">
        <f>pm.rep!A453</f>
        <v>2011</v>
      </c>
      <c r="B93">
        <f>pm.rep!B453</f>
        <v>0.17882999999999999</v>
      </c>
      <c r="C93">
        <f>pm.rep!C453</f>
        <v>1.1780499999999999E-2</v>
      </c>
      <c r="D93">
        <f>pm.rep!D453</f>
        <v>9.5147300000000004E-2</v>
      </c>
      <c r="E93">
        <f>pm.rep!E453</f>
        <v>7.7115199999999995E-2</v>
      </c>
      <c r="F93">
        <f>pm.rep!F453</f>
        <v>0.26878600000000002</v>
      </c>
      <c r="G93">
        <f>pm.rep!G453</f>
        <v>0.164489</v>
      </c>
      <c r="H93">
        <f>pm.rep!H453</f>
        <v>5.04917E-2</v>
      </c>
      <c r="I93">
        <f>pm.rep!I453</f>
        <v>3.5815800000000002E-2</v>
      </c>
      <c r="J93">
        <f>pm.rep!J453</f>
        <v>3.6571600000000003E-2</v>
      </c>
      <c r="K93">
        <f>pm.rep!K453</f>
        <v>3.1528899999999999E-2</v>
      </c>
      <c r="L93">
        <f>pm.rep!L453</f>
        <v>2.4193599999999999E-2</v>
      </c>
      <c r="M93">
        <f>pm.rep!M453</f>
        <v>1.2119899999999999E-2</v>
      </c>
      <c r="N93">
        <f>pm.rep!N453</f>
        <v>4.9003600000000003E-3</v>
      </c>
      <c r="O93">
        <f>pm.rep!O453</f>
        <v>2.4840800000000001E-3</v>
      </c>
      <c r="P93">
        <f>pm.rep!P453</f>
        <v>5.7460799999999998E-3</v>
      </c>
      <c r="S93">
        <f>pm.rep!B417</f>
        <v>0.189805</v>
      </c>
      <c r="T93">
        <f>pm.rep!C417</f>
        <v>2.0439100000000002E-2</v>
      </c>
      <c r="U93">
        <f>pm.rep!D417</f>
        <v>4.4503399999999999E-2</v>
      </c>
      <c r="V93">
        <f>pm.rep!E417</f>
        <v>6.0828300000000002E-2</v>
      </c>
      <c r="W93">
        <f>pm.rep!F417</f>
        <v>0.30427599999999999</v>
      </c>
      <c r="X93">
        <f>pm.rep!G417</f>
        <v>0.14888799999999999</v>
      </c>
      <c r="Y93">
        <f>pm.rep!H417</f>
        <v>4.3643599999999998E-2</v>
      </c>
      <c r="Z93">
        <f>pm.rep!I417</f>
        <v>2.4779700000000002E-2</v>
      </c>
      <c r="AA93">
        <f>pm.rep!J417</f>
        <v>3.8763699999999998E-2</v>
      </c>
      <c r="AB93">
        <f>pm.rep!K417</f>
        <v>3.8562300000000001E-2</v>
      </c>
      <c r="AC93">
        <f>pm.rep!L417</f>
        <v>3.2318899999999998E-2</v>
      </c>
      <c r="AD93">
        <f>pm.rep!M417</f>
        <v>2.46999E-2</v>
      </c>
      <c r="AE93">
        <f>pm.rep!N417</f>
        <v>1.0431899999999999E-2</v>
      </c>
      <c r="AF93">
        <f>pm.rep!O417</f>
        <v>4.9224899999999999E-3</v>
      </c>
      <c r="AG93">
        <f>pm.rep!P417</f>
        <v>1.31383E-2</v>
      </c>
      <c r="AJ93" s="27">
        <f t="shared" si="42"/>
        <v>167.0898428261259</v>
      </c>
      <c r="AO93" s="28">
        <f t="shared" si="45"/>
        <v>0.77769278034143507</v>
      </c>
      <c r="AP93">
        <v>100</v>
      </c>
      <c r="AQ93">
        <f t="shared" si="46"/>
        <v>2011</v>
      </c>
      <c r="AR93">
        <f t="shared" si="47"/>
        <v>0.28639656396940022</v>
      </c>
      <c r="AS93">
        <f t="shared" si="47"/>
        <v>0.80248903235196456</v>
      </c>
      <c r="AT93">
        <f t="shared" si="47"/>
        <v>-1.7259967151915407</v>
      </c>
      <c r="AU93">
        <f t="shared" si="47"/>
        <v>-0.61051268029294126</v>
      </c>
      <c r="AV93">
        <f t="shared" si="47"/>
        <v>0.80053519150254637</v>
      </c>
      <c r="AW93">
        <f t="shared" si="47"/>
        <v>-0.42083119048351175</v>
      </c>
      <c r="AX93">
        <f t="shared" si="47"/>
        <v>-0.31275964697519348</v>
      </c>
      <c r="AY93">
        <f t="shared" si="47"/>
        <v>-0.59387944459264941</v>
      </c>
      <c r="AZ93">
        <f t="shared" si="47"/>
        <v>0.11678273966782432</v>
      </c>
      <c r="BA93">
        <f t="shared" si="47"/>
        <v>0.40250156635924333</v>
      </c>
      <c r="BB93">
        <f t="shared" si="47"/>
        <v>0.52881933503762846</v>
      </c>
      <c r="BC93">
        <f t="shared" si="47"/>
        <v>1.1496853684861936</v>
      </c>
      <c r="BD93">
        <f t="shared" si="47"/>
        <v>0.79213422813873324</v>
      </c>
      <c r="BE93">
        <f t="shared" si="47"/>
        <v>0.48985102801649366</v>
      </c>
      <c r="BF93">
        <f t="shared" si="47"/>
        <v>0.97800346483805956</v>
      </c>
    </row>
    <row r="94" spans="1:62" x14ac:dyDescent="0.15">
      <c r="A94" s="21">
        <f>pm.rep!A454</f>
        <v>2012</v>
      </c>
      <c r="B94">
        <f>pm.rep!B454</f>
        <v>0.117575</v>
      </c>
      <c r="C94">
        <f>pm.rep!C454</f>
        <v>1.3046200000000001E-2</v>
      </c>
      <c r="D94">
        <f>pm.rep!D454</f>
        <v>5.3924800000000002E-2</v>
      </c>
      <c r="E94">
        <f>pm.rep!E454</f>
        <v>0.32003700000000002</v>
      </c>
      <c r="F94">
        <f>pm.rep!F454</f>
        <v>0.15148800000000001</v>
      </c>
      <c r="G94">
        <f>pm.rep!G454</f>
        <v>0.20117399999999999</v>
      </c>
      <c r="H94">
        <f>pm.rep!H454</f>
        <v>7.1010699999999996E-2</v>
      </c>
      <c r="I94">
        <f>pm.rep!I454</f>
        <v>1.8131000000000001E-2</v>
      </c>
      <c r="J94">
        <f>pm.rep!J454</f>
        <v>1.24726E-2</v>
      </c>
      <c r="K94">
        <f>pm.rep!K454</f>
        <v>1.2756200000000001E-2</v>
      </c>
      <c r="L94">
        <f>pm.rep!L454</f>
        <v>1.10542E-2</v>
      </c>
      <c r="M94">
        <f>pm.rep!M454</f>
        <v>8.4800199999999996E-3</v>
      </c>
      <c r="N94">
        <f>pm.rep!N454</f>
        <v>4.2479600000000003E-3</v>
      </c>
      <c r="O94">
        <f>pm.rep!O454</f>
        <v>1.71754E-3</v>
      </c>
      <c r="P94">
        <f>pm.rep!P454</f>
        <v>2.8846200000000001E-3</v>
      </c>
      <c r="S94">
        <f>pm.rep!B418</f>
        <v>0.13955200000000001</v>
      </c>
      <c r="T94">
        <f>pm.rep!C418</f>
        <v>2.8490600000000001E-2</v>
      </c>
      <c r="U94">
        <f>pm.rep!D418</f>
        <v>5.3492600000000001E-2</v>
      </c>
      <c r="V94">
        <f>pm.rep!E418</f>
        <v>0.38286199999999998</v>
      </c>
      <c r="W94">
        <f>pm.rep!F418</f>
        <v>8.9483099999999996E-2</v>
      </c>
      <c r="X94">
        <f>pm.rep!G418</f>
        <v>0.144451</v>
      </c>
      <c r="Y94">
        <f>pm.rep!H418</f>
        <v>4.9455300000000001E-2</v>
      </c>
      <c r="Z94">
        <f>pm.rep!I418</f>
        <v>1.9781300000000002E-2</v>
      </c>
      <c r="AA94">
        <f>pm.rep!J418</f>
        <v>1.49885E-2</v>
      </c>
      <c r="AB94">
        <f>pm.rep!K418</f>
        <v>2.0701399999999998E-2</v>
      </c>
      <c r="AC94">
        <f>pm.rep!L418</f>
        <v>1.6978900000000002E-2</v>
      </c>
      <c r="AD94">
        <f>pm.rep!M418</f>
        <v>1.4964699999999999E-2</v>
      </c>
      <c r="AE94">
        <f>pm.rep!N418</f>
        <v>1.2460799999999999E-2</v>
      </c>
      <c r="AF94">
        <f>pm.rep!O418</f>
        <v>4.4274900000000001E-3</v>
      </c>
      <c r="AG94">
        <f>pm.rep!P418</f>
        <v>7.9097200000000003E-3</v>
      </c>
      <c r="AJ94" s="27">
        <f t="shared" si="42"/>
        <v>65.195202429769338</v>
      </c>
      <c r="AO94" s="28">
        <f>STDEV(AR94:BF94)</f>
        <v>0.95337851713810939</v>
      </c>
      <c r="AP94">
        <v>100</v>
      </c>
      <c r="AQ94">
        <f>A94</f>
        <v>2012</v>
      </c>
      <c r="AR94">
        <f t="shared" ref="AR94:BF95" si="48">(S94-B94)/(SQRT(B94*(1-B94)/$AP94))</f>
        <v>0.68229472345553288</v>
      </c>
      <c r="AS94">
        <f t="shared" si="48"/>
        <v>1.3610704753445664</v>
      </c>
      <c r="AT94">
        <f t="shared" si="48"/>
        <v>-1.9134964547393236E-2</v>
      </c>
      <c r="AU94">
        <f t="shared" si="48"/>
        <v>1.3467586115884971</v>
      </c>
      <c r="AV94">
        <f t="shared" si="48"/>
        <v>-1.7294495637489939</v>
      </c>
      <c r="AW94">
        <f t="shared" si="48"/>
        <v>-1.4149697993987225</v>
      </c>
      <c r="AX94">
        <f t="shared" si="48"/>
        <v>-0.83924513729305472</v>
      </c>
      <c r="AY94">
        <f t="shared" si="48"/>
        <v>0.12368733906313445</v>
      </c>
      <c r="AZ94">
        <f t="shared" si="48"/>
        <v>0.22669414352831513</v>
      </c>
      <c r="BA94">
        <f t="shared" si="48"/>
        <v>0.70799789513364753</v>
      </c>
      <c r="BB94">
        <f t="shared" si="48"/>
        <v>0.56665204496280186</v>
      </c>
      <c r="BC94">
        <f t="shared" si="48"/>
        <v>0.70719531757005782</v>
      </c>
      <c r="BD94">
        <f t="shared" si="48"/>
        <v>1.2627795798272006</v>
      </c>
      <c r="BE94">
        <f t="shared" si="48"/>
        <v>0.65445701565098868</v>
      </c>
      <c r="BF94">
        <f t="shared" si="48"/>
        <v>0.93697433686019893</v>
      </c>
    </row>
    <row r="95" spans="1:62" x14ac:dyDescent="0.15">
      <c r="A95" s="21">
        <f>pm.rep!A455</f>
        <v>2013</v>
      </c>
      <c r="B95">
        <f>pm.rep!B455</f>
        <v>0.14164399999999999</v>
      </c>
      <c r="C95">
        <f>pm.rep!C455</f>
        <v>8.4906800000000004E-3</v>
      </c>
      <c r="D95">
        <f>pm.rep!D455</f>
        <v>2.5510999999999999E-2</v>
      </c>
      <c r="E95">
        <f>pm.rep!E455</f>
        <v>9.9898200000000006E-2</v>
      </c>
      <c r="F95">
        <f>pm.rep!F455</f>
        <v>0.43189300000000003</v>
      </c>
      <c r="G95">
        <f>pm.rep!G455</f>
        <v>0.132441</v>
      </c>
      <c r="H95">
        <f>pm.rep!H455</f>
        <v>0.102549</v>
      </c>
      <c r="I95">
        <f>pm.rep!I455</f>
        <v>2.9400599999999999E-2</v>
      </c>
      <c r="J95">
        <f>pm.rep!J455</f>
        <v>7.1407700000000003E-3</v>
      </c>
      <c r="K95">
        <f>pm.rep!K455</f>
        <v>4.8926999999999998E-3</v>
      </c>
      <c r="L95">
        <f>pm.rep!L455</f>
        <v>5.0086000000000002E-3</v>
      </c>
      <c r="M95">
        <f>pm.rep!M455</f>
        <v>4.3355700000000004E-3</v>
      </c>
      <c r="N95">
        <f>pm.rep!N455</f>
        <v>3.3249799999999999E-3</v>
      </c>
      <c r="O95">
        <f>pm.rep!O455</f>
        <v>1.66548E-3</v>
      </c>
      <c r="P95">
        <f>pm.rep!P455</f>
        <v>1.8043E-3</v>
      </c>
      <c r="S95">
        <f>pm.rep!B419</f>
        <v>0.119953</v>
      </c>
      <c r="T95">
        <f>pm.rep!C419</f>
        <v>1.2940500000000001E-2</v>
      </c>
      <c r="U95">
        <f>pm.rep!D419</f>
        <v>2.4894699999999999E-2</v>
      </c>
      <c r="V95">
        <f>pm.rep!E419</f>
        <v>9.7944400000000001E-2</v>
      </c>
      <c r="W95">
        <f>pm.rep!F419</f>
        <v>0.48710100000000001</v>
      </c>
      <c r="X95">
        <f>pm.rep!G419</f>
        <v>0.11297500000000001</v>
      </c>
      <c r="Y95">
        <f>pm.rep!H419</f>
        <v>7.0415199999999997E-2</v>
      </c>
      <c r="Z95">
        <f>pm.rep!I419</f>
        <v>2.47005E-2</v>
      </c>
      <c r="AA95">
        <f>pm.rep!J419</f>
        <v>8.3618500000000005E-3</v>
      </c>
      <c r="AB95">
        <f>pm.rep!K419</f>
        <v>7.55546E-3</v>
      </c>
      <c r="AC95">
        <f>pm.rep!L419</f>
        <v>9.9280600000000007E-3</v>
      </c>
      <c r="AD95">
        <f>pm.rep!M419</f>
        <v>7.46899E-3</v>
      </c>
      <c r="AE95">
        <f>pm.rep!N419</f>
        <v>6.9214799999999998E-3</v>
      </c>
      <c r="AF95">
        <f>pm.rep!O419</f>
        <v>3.78466E-3</v>
      </c>
      <c r="AG95">
        <f>pm.rep!P419</f>
        <v>5.0545499999999997E-3</v>
      </c>
      <c r="AJ95" s="27">
        <f t="shared" si="42"/>
        <v>149.33702857791329</v>
      </c>
      <c r="AO95" s="28">
        <f>STDEV(AR95:BF95)</f>
        <v>0.60267049936434314</v>
      </c>
      <c r="AP95">
        <v>100</v>
      </c>
      <c r="AQ95">
        <f>A95</f>
        <v>2013</v>
      </c>
      <c r="AR95">
        <f t="shared" si="48"/>
        <v>-0.62208074554103876</v>
      </c>
      <c r="AS95">
        <f t="shared" si="48"/>
        <v>0.48497885804057783</v>
      </c>
      <c r="AT95">
        <f t="shared" si="48"/>
        <v>-3.9087685541250534E-2</v>
      </c>
      <c r="AU95">
        <f t="shared" si="48"/>
        <v>-6.5156156632673087E-2</v>
      </c>
      <c r="AV95">
        <f t="shared" si="48"/>
        <v>1.114548217264042</v>
      </c>
      <c r="AW95">
        <f t="shared" si="48"/>
        <v>-0.57426980752976076</v>
      </c>
      <c r="AX95">
        <f t="shared" si="48"/>
        <v>-1.0592317706583547</v>
      </c>
      <c r="AY95">
        <f t="shared" si="48"/>
        <v>-0.27823322658214811</v>
      </c>
      <c r="AZ95">
        <f t="shared" si="48"/>
        <v>0.14501995191335357</v>
      </c>
      <c r="BA95">
        <f t="shared" si="48"/>
        <v>0.38161266047974152</v>
      </c>
      <c r="BB95">
        <f t="shared" si="48"/>
        <v>0.69686651301600744</v>
      </c>
      <c r="BC95">
        <f t="shared" si="48"/>
        <v>0.47691283839739373</v>
      </c>
      <c r="BD95">
        <f t="shared" si="48"/>
        <v>0.62475358831448824</v>
      </c>
      <c r="BE95">
        <f t="shared" si="48"/>
        <v>0.5197088251101587</v>
      </c>
      <c r="BF95">
        <f t="shared" si="48"/>
        <v>0.76586909534732139</v>
      </c>
    </row>
    <row r="96" spans="1:62" x14ac:dyDescent="0.15">
      <c r="A96" s="21">
        <f>pm.rep!A456</f>
        <v>2014</v>
      </c>
      <c r="B96">
        <f>pm.rep!B456</f>
        <v>0.13359499999999999</v>
      </c>
      <c r="C96">
        <f>pm.rep!C456</f>
        <v>4.4328699999999999E-2</v>
      </c>
      <c r="D96">
        <f>pm.rep!D456</f>
        <v>2.0363800000000001E-2</v>
      </c>
      <c r="E96">
        <f>pm.rep!E456</f>
        <v>5.9028900000000002E-2</v>
      </c>
      <c r="F96">
        <f>pm.rep!F456</f>
        <v>0.162632</v>
      </c>
      <c r="G96">
        <f>pm.rep!G456</f>
        <v>0.41829499999999997</v>
      </c>
      <c r="H96">
        <f>pm.rep!H456</f>
        <v>8.2972199999999996E-2</v>
      </c>
      <c r="I96">
        <f>pm.rep!I456</f>
        <v>5.2388799999999999E-2</v>
      </c>
      <c r="J96">
        <f>pm.rep!J456</f>
        <v>1.3684999999999999E-2</v>
      </c>
      <c r="K96">
        <f>pm.rep!K456</f>
        <v>3.2324900000000002E-3</v>
      </c>
      <c r="L96">
        <f>pm.rep!L456</f>
        <v>2.2072400000000001E-3</v>
      </c>
      <c r="M96">
        <f>pm.rep!M456</f>
        <v>2.2571399999999999E-3</v>
      </c>
      <c r="N96">
        <f>pm.rep!N456</f>
        <v>1.9532899999999999E-3</v>
      </c>
      <c r="O96">
        <f>pm.rep!O456</f>
        <v>1.49788E-3</v>
      </c>
      <c r="P96">
        <f>pm.rep!P456</f>
        <v>1.5630799999999999E-3</v>
      </c>
      <c r="S96">
        <f>pm.rep!B420</f>
        <v>0.138797</v>
      </c>
      <c r="T96">
        <f>pm.rep!C420</f>
        <v>3.75898E-2</v>
      </c>
      <c r="U96">
        <f>pm.rep!D420</f>
        <v>1.7266500000000001E-2</v>
      </c>
      <c r="V96">
        <f>pm.rep!E420</f>
        <v>2.26354E-2</v>
      </c>
      <c r="W96">
        <f>pm.rep!F420</f>
        <v>0.104709</v>
      </c>
      <c r="X96">
        <f>pm.rep!G420</f>
        <v>0.38415899999999997</v>
      </c>
      <c r="Y96">
        <f>pm.rep!H420</f>
        <v>0.199827</v>
      </c>
      <c r="Z96">
        <f>pm.rep!I420</f>
        <v>4.2568599999999998E-2</v>
      </c>
      <c r="AA96">
        <f>pm.rep!J420</f>
        <v>2.34142E-2</v>
      </c>
      <c r="AB96">
        <f>pm.rep!K420</f>
        <v>8.5265199999999992E-3</v>
      </c>
      <c r="AC96">
        <f>pm.rep!L420</f>
        <v>3.2620100000000001E-3</v>
      </c>
      <c r="AD96">
        <f>pm.rep!M420</f>
        <v>4.6009299999999996E-3</v>
      </c>
      <c r="AE96">
        <f>pm.rep!N420</f>
        <v>4.6777600000000004E-3</v>
      </c>
      <c r="AF96">
        <f>pm.rep!O420</f>
        <v>2.1857700000000001E-3</v>
      </c>
      <c r="AG96">
        <f>pm.rep!P420</f>
        <v>5.7800400000000002E-3</v>
      </c>
      <c r="AJ96" s="27"/>
      <c r="AO96" s="28"/>
    </row>
    <row r="97" spans="1:62" x14ac:dyDescent="0.15">
      <c r="A97" s="21">
        <f>pm.rep!A457</f>
        <v>2015</v>
      </c>
      <c r="B97">
        <f>pm.rep!B457</f>
        <v>7.9860299999999995E-2</v>
      </c>
      <c r="C97">
        <f>pm.rep!C457</f>
        <v>3.6344399999999999E-2</v>
      </c>
      <c r="D97">
        <f>pm.rep!D457</f>
        <v>0.15753200000000001</v>
      </c>
      <c r="E97">
        <f>pm.rep!E457</f>
        <v>5.7220100000000003E-2</v>
      </c>
      <c r="F97">
        <f>pm.rep!F457</f>
        <v>0.10391400000000001</v>
      </c>
      <c r="G97">
        <f>pm.rep!G457</f>
        <v>0.16246099999999999</v>
      </c>
      <c r="H97">
        <f>pm.rep!H457</f>
        <v>0.30416199999999999</v>
      </c>
      <c r="I97">
        <f>pm.rep!I457</f>
        <v>5.1318500000000003E-2</v>
      </c>
      <c r="J97">
        <f>pm.rep!J457</f>
        <v>3.1922600000000002E-2</v>
      </c>
      <c r="K97">
        <f>pm.rep!K457</f>
        <v>7.9773699999999993E-3</v>
      </c>
      <c r="L97">
        <f>pm.rep!L457</f>
        <v>1.85377E-3</v>
      </c>
      <c r="M97">
        <f>pm.rep!M457</f>
        <v>1.2654299999999999E-3</v>
      </c>
      <c r="N97">
        <f>pm.rep!N457</f>
        <v>1.29397E-3</v>
      </c>
      <c r="O97">
        <f>pm.rep!O457</f>
        <v>1.1197799999999999E-3</v>
      </c>
      <c r="P97">
        <f>pm.rep!P457</f>
        <v>1.7547800000000001E-3</v>
      </c>
      <c r="S97">
        <f>pm.rep!B421</f>
        <v>8.16577E-2</v>
      </c>
      <c r="T97">
        <f>pm.rep!C421</f>
        <v>5.6112000000000002E-2</v>
      </c>
      <c r="U97">
        <f>pm.rep!D421</f>
        <v>0.158055</v>
      </c>
      <c r="V97">
        <f>pm.rep!E421</f>
        <v>3.9749E-2</v>
      </c>
      <c r="W97">
        <f>pm.rep!F421</f>
        <v>8.2799700000000004E-2</v>
      </c>
      <c r="X97">
        <f>pm.rep!G421</f>
        <v>0.15426000000000001</v>
      </c>
      <c r="Y97">
        <f>pm.rep!H421</f>
        <v>0.300537</v>
      </c>
      <c r="Z97">
        <f>pm.rep!I421</f>
        <v>8.7637499999999993E-2</v>
      </c>
      <c r="AA97">
        <f>pm.rep!J421</f>
        <v>2.0758700000000001E-2</v>
      </c>
      <c r="AB97">
        <f>pm.rep!K421</f>
        <v>9.9453000000000007E-3</v>
      </c>
      <c r="AC97">
        <f>pm.rep!L421</f>
        <v>1.2902600000000001E-3</v>
      </c>
      <c r="AD97">
        <f>pm.rep!M421</f>
        <v>1.21312E-3</v>
      </c>
      <c r="AE97">
        <f>pm.rep!N421</f>
        <v>2.0871700000000002E-3</v>
      </c>
      <c r="AF97">
        <f>pm.rep!O421</f>
        <v>1.2406299999999999E-3</v>
      </c>
      <c r="AG97">
        <f>pm.rep!P421</f>
        <v>2.6570000000000001E-3</v>
      </c>
      <c r="AJ97" s="27"/>
      <c r="AO97" s="28"/>
    </row>
    <row r="98" spans="1:62" x14ac:dyDescent="0.15">
      <c r="A98" s="21">
        <f>pm.rep!A458</f>
        <v>2016</v>
      </c>
      <c r="B98">
        <f>pm.rep!B458</f>
        <v>6.9640999999999995E-2</v>
      </c>
      <c r="C98">
        <f>pm.rep!C458</f>
        <v>2.0264600000000001E-2</v>
      </c>
      <c r="D98">
        <f>pm.rep!D458</f>
        <v>7.4175199999999997E-2</v>
      </c>
      <c r="E98">
        <f>pm.rep!E458</f>
        <v>0.290715</v>
      </c>
      <c r="F98">
        <f>pm.rep!F458</f>
        <v>7.9574400000000003E-2</v>
      </c>
      <c r="G98">
        <f>pm.rep!G458</f>
        <v>9.8223400000000002E-2</v>
      </c>
      <c r="H98">
        <f>pm.rep!H458</f>
        <v>0.114882</v>
      </c>
      <c r="I98">
        <f>pm.rep!I458</f>
        <v>0.193773</v>
      </c>
      <c r="J98">
        <f>pm.rep!J458</f>
        <v>3.1390099999999997E-2</v>
      </c>
      <c r="K98">
        <f>pm.rep!K458</f>
        <v>1.8753499999999999E-2</v>
      </c>
      <c r="L98">
        <f>pm.rep!L458</f>
        <v>4.5012699999999999E-3</v>
      </c>
      <c r="M98">
        <f>pm.rep!M458</f>
        <v>1.0449999999999999E-3</v>
      </c>
      <c r="N98">
        <f>pm.rep!N458</f>
        <v>7.1315300000000001E-4</v>
      </c>
      <c r="O98">
        <f>pm.rep!O458</f>
        <v>7.2918199999999999E-4</v>
      </c>
      <c r="P98">
        <f>pm.rep!P458</f>
        <v>1.6198199999999999E-3</v>
      </c>
      <c r="S98">
        <f>pm.rep!B422</f>
        <v>6.7427399999999998E-2</v>
      </c>
      <c r="T98">
        <f>pm.rep!C422</f>
        <v>4.2472500000000003E-2</v>
      </c>
      <c r="U98">
        <f>pm.rep!D422</f>
        <v>6.0998299999999998E-2</v>
      </c>
      <c r="V98">
        <f>pm.rep!E422</f>
        <v>0.292244</v>
      </c>
      <c r="W98">
        <f>pm.rep!F422</f>
        <v>0.11980200000000001</v>
      </c>
      <c r="X98">
        <f>pm.rep!G422</f>
        <v>8.0919400000000002E-2</v>
      </c>
      <c r="Y98">
        <f>pm.rep!H422</f>
        <v>0.114202</v>
      </c>
      <c r="Z98">
        <f>pm.rep!I422</f>
        <v>0.16842599999999999</v>
      </c>
      <c r="AA98">
        <f>pm.rep!J422</f>
        <v>3.3073400000000003E-2</v>
      </c>
      <c r="AB98">
        <f>pm.rep!K422</f>
        <v>1.2974299999999999E-2</v>
      </c>
      <c r="AC98">
        <f>pm.rep!L422</f>
        <v>4.3286000000000002E-3</v>
      </c>
      <c r="AD98">
        <f>pm.rep!M422</f>
        <v>1.0198900000000001E-3</v>
      </c>
      <c r="AE98">
        <f>pm.rep!N422</f>
        <v>1.0491299999999999E-3</v>
      </c>
      <c r="AF98">
        <f>pm.rep!O422</f>
        <v>3.6423899999999998E-4</v>
      </c>
      <c r="AG98">
        <f>pm.rep!P422</f>
        <v>6.9845699999999998E-4</v>
      </c>
      <c r="AJ98" s="27"/>
    </row>
    <row r="99" spans="1:62" x14ac:dyDescent="0.15">
      <c r="AJ99" s="27"/>
    </row>
    <row r="100" spans="1:62" x14ac:dyDescent="0.15">
      <c r="A100" s="21" t="s">
        <v>169</v>
      </c>
      <c r="AJ100" s="53">
        <f>AVERAGE(AJ64:AJ98)</f>
        <v>169.10781175285572</v>
      </c>
      <c r="BH100">
        <v>281.30255532293853</v>
      </c>
      <c r="BJ100">
        <v>77</v>
      </c>
    </row>
    <row r="101" spans="1:62" s="21" customFormat="1" x14ac:dyDescent="0.15">
      <c r="A101" s="21" t="s">
        <v>127</v>
      </c>
      <c r="B101" s="21">
        <v>1</v>
      </c>
      <c r="C101" s="21">
        <v>2</v>
      </c>
      <c r="D101" s="21">
        <v>3</v>
      </c>
      <c r="E101" s="21">
        <v>4</v>
      </c>
      <c r="F101" s="21">
        <v>5</v>
      </c>
      <c r="G101" s="21">
        <v>6</v>
      </c>
      <c r="H101" s="21">
        <v>7</v>
      </c>
      <c r="I101" s="21">
        <v>8</v>
      </c>
      <c r="J101" s="21">
        <v>9</v>
      </c>
      <c r="K101" s="21">
        <v>10</v>
      </c>
      <c r="L101" s="21">
        <v>11</v>
      </c>
      <c r="M101" s="21">
        <v>12</v>
      </c>
      <c r="N101" s="21">
        <v>13</v>
      </c>
      <c r="O101" s="21">
        <v>14</v>
      </c>
      <c r="P101" s="21">
        <v>15</v>
      </c>
      <c r="R101" s="21" t="s">
        <v>128</v>
      </c>
      <c r="S101" s="21">
        <v>1</v>
      </c>
      <c r="T101" s="21">
        <v>2</v>
      </c>
      <c r="U101" s="21">
        <v>3</v>
      </c>
      <c r="V101" s="21">
        <v>4</v>
      </c>
      <c r="W101" s="21">
        <v>5</v>
      </c>
      <c r="X101" s="21">
        <v>6</v>
      </c>
      <c r="Y101" s="21">
        <v>7</v>
      </c>
      <c r="Z101" s="21">
        <v>8</v>
      </c>
      <c r="AA101" s="21">
        <v>9</v>
      </c>
      <c r="AB101" s="21">
        <v>10</v>
      </c>
      <c r="AC101" s="21">
        <v>11</v>
      </c>
      <c r="AD101" s="21">
        <v>12</v>
      </c>
      <c r="AE101" s="21">
        <v>13</v>
      </c>
      <c r="AF101" s="21">
        <v>14</v>
      </c>
      <c r="AG101" s="21">
        <v>15</v>
      </c>
      <c r="AJ101" s="21" t="s">
        <v>121</v>
      </c>
      <c r="AQ101" s="21" t="s">
        <v>128</v>
      </c>
      <c r="AR101" s="21">
        <v>1</v>
      </c>
      <c r="AS101" s="21">
        <v>2</v>
      </c>
      <c r="AT101" s="21">
        <v>3</v>
      </c>
      <c r="AU101" s="21">
        <v>4</v>
      </c>
      <c r="AV101" s="21">
        <v>5</v>
      </c>
      <c r="AW101" s="21">
        <v>6</v>
      </c>
      <c r="AX101" s="21">
        <v>7</v>
      </c>
      <c r="AY101" s="21">
        <v>8</v>
      </c>
      <c r="AZ101" s="21">
        <v>9</v>
      </c>
      <c r="BA101" s="21">
        <v>10</v>
      </c>
      <c r="BB101" s="21">
        <v>11</v>
      </c>
      <c r="BC101" s="21">
        <v>12</v>
      </c>
      <c r="BD101" s="21">
        <v>13</v>
      </c>
      <c r="BE101" s="21">
        <v>14</v>
      </c>
      <c r="BF101" s="21">
        <v>15</v>
      </c>
      <c r="BH101" s="21">
        <v>111.36946756155719</v>
      </c>
      <c r="BI101" s="21" t="s">
        <v>590</v>
      </c>
      <c r="BJ101" s="21">
        <v>57</v>
      </c>
    </row>
    <row r="102" spans="1:62" x14ac:dyDescent="0.15">
      <c r="A102" s="21">
        <v>1979</v>
      </c>
      <c r="B102">
        <f t="array" ref="B102:P108">pm.rep!$B$481:$P$487</f>
        <v>0</v>
      </c>
      <c r="C102">
        <v>0.86766100000000002</v>
      </c>
      <c r="D102">
        <v>8.08421E-2</v>
      </c>
      <c r="E102">
        <v>2.2579100000000001E-2</v>
      </c>
      <c r="F102">
        <v>1.4646899999999999E-2</v>
      </c>
      <c r="G102">
        <v>7.57458E-3</v>
      </c>
      <c r="H102">
        <v>4.2726999999999999E-3</v>
      </c>
      <c r="I102">
        <v>9.25149E-4</v>
      </c>
      <c r="J102">
        <v>5.6624300000000002E-4</v>
      </c>
      <c r="K102">
        <v>4.4787000000000001E-4</v>
      </c>
      <c r="L102">
        <v>2.53828E-4</v>
      </c>
      <c r="M102">
        <v>1.1387000000000001E-4</v>
      </c>
      <c r="N102">
        <v>6.99038E-5</v>
      </c>
      <c r="O102">
        <v>2.2399300000000001E-5</v>
      </c>
      <c r="P102">
        <v>2.3873400000000001E-5</v>
      </c>
      <c r="S102">
        <f t="array" ref="S102:AG108">pm.rep!$B$460:$P$466</f>
        <v>0</v>
      </c>
      <c r="T102">
        <v>0.88811200000000001</v>
      </c>
      <c r="U102">
        <v>8.3862300000000001E-2</v>
      </c>
      <c r="V102">
        <v>8.9173900000000007E-3</v>
      </c>
      <c r="W102">
        <v>1.153E-2</v>
      </c>
      <c r="X102">
        <v>2.7637400000000002E-3</v>
      </c>
      <c r="Y102">
        <v>6.4775200000000003E-4</v>
      </c>
      <c r="Z102">
        <v>8.6366999999999995E-5</v>
      </c>
      <c r="AA102">
        <v>6.04569E-4</v>
      </c>
      <c r="AB102">
        <v>1.2739100000000001E-3</v>
      </c>
      <c r="AC102">
        <v>1.4898299999999999E-3</v>
      </c>
      <c r="AD102">
        <v>6.2616099999999997E-4</v>
      </c>
      <c r="AE102">
        <v>6.4775200000000003E-5</v>
      </c>
      <c r="AF102">
        <v>2.1591699999999999E-5</v>
      </c>
      <c r="AG102">
        <v>0</v>
      </c>
      <c r="AJ102" s="27">
        <f>SUMPRODUCT((1-B102:P102),B102:P102)/SUMXMY2(B102:P102,S102:AG102)</f>
        <v>361.62917961170189</v>
      </c>
      <c r="AO102" s="28">
        <f>STDEV(AS102:BF102)</f>
        <v>0.11789805169078059</v>
      </c>
      <c r="AP102">
        <v>6.0929169840060924</v>
      </c>
      <c r="AQ102">
        <f>A102</f>
        <v>1979</v>
      </c>
      <c r="AR102" t="e">
        <f t="shared" ref="AR102:AR113" si="49">(S102-B102)/(SQRT(B102*(1-B102)/$AP102))</f>
        <v>#DIV/0!</v>
      </c>
      <c r="AS102">
        <f t="shared" ref="AS102:AS113" si="50">(T102-C102)/(SQRT(C102*(1-C102)/$AP102))</f>
        <v>0.148973223894484</v>
      </c>
      <c r="AT102">
        <f t="shared" ref="AT102:AT113" si="51">(U102-D102)/(SQRT(D102*(1-D102)/$AP102))</f>
        <v>2.7348560895633988E-2</v>
      </c>
      <c r="AU102">
        <f t="shared" ref="AU102:AU113" si="52">(V102-E102)/(SQRT(E102*(1-E102)/$AP102))</f>
        <v>-0.22699880376922382</v>
      </c>
      <c r="AV102">
        <f t="shared" ref="AV102:AV113" si="53">(W102-F102)/(SQRT(F102*(1-F102)/$AP102))</f>
        <v>-6.4042267097080344E-2</v>
      </c>
      <c r="AW102">
        <f t="shared" ref="AW102:AW113" si="54">(X102-G102)/(SQRT(G102*(1-G102)/$AP102))</f>
        <v>-0.1369636513442099</v>
      </c>
      <c r="AX102">
        <f t="shared" ref="AX102:AX113" si="55">(Y102-H102)/(SQRT(H102*(1-H102)/$AP102))</f>
        <v>-0.13718069660905885</v>
      </c>
      <c r="AY102">
        <f t="shared" ref="AY102:AY113" si="56">(Z102-I102)/(SQRT(I102*(1-I102)/$AP102))</f>
        <v>-6.8101531272324115E-2</v>
      </c>
      <c r="AZ102">
        <f t="shared" ref="AZ102:AZ113" si="57">(AA102-J102)/(SQRT(J102*(1-J102)/$AP102))</f>
        <v>3.9767445589056101E-3</v>
      </c>
      <c r="BA102">
        <f t="shared" ref="BA102:BA113" si="58">(AB102-K102)/(SQRT(K102*(1-K102)/$AP102))</f>
        <v>9.6368477473001826E-2</v>
      </c>
      <c r="BB102">
        <f t="shared" ref="BB102:BB113" si="59">(AC102-L102)/(SQRT(L102*(1-L102)/$AP102))</f>
        <v>0.19152133709714717</v>
      </c>
      <c r="BC102">
        <f t="shared" ref="BC102:BC113" si="60">(AD102-M102)/(SQRT(M102*(1-M102)/$AP102))</f>
        <v>0.11850847902508078</v>
      </c>
      <c r="BD102">
        <f t="shared" ref="BD102:BD113" si="61">(AE102-N102)/(SQRT(N102*(1-N102)/$AP102))</f>
        <v>-1.5141756087043343E-3</v>
      </c>
      <c r="BE102">
        <f t="shared" ref="BE102:BE113" si="62">(AF102-O102)/(SQRT(O102*(1-O102)/$AP102))</f>
        <v>-4.2120797126332969E-4</v>
      </c>
      <c r="BF102">
        <f t="shared" ref="BF102:BF113" si="63">(AG102-P102)/(SQRT(P102*(1-P102)/$AP102))</f>
        <v>-1.2060767678770496E-2</v>
      </c>
      <c r="BH102">
        <v>142.24495671321014</v>
      </c>
      <c r="BI102">
        <v>100</v>
      </c>
      <c r="BJ102">
        <v>86</v>
      </c>
    </row>
    <row r="103" spans="1:62" x14ac:dyDescent="0.15">
      <c r="A103" s="21">
        <f>(A102+3)</f>
        <v>1982</v>
      </c>
      <c r="B103">
        <v>0</v>
      </c>
      <c r="C103">
        <v>0.31978899999999999</v>
      </c>
      <c r="D103">
        <v>0.22568199999999999</v>
      </c>
      <c r="E103">
        <v>0.35183300000000001</v>
      </c>
      <c r="F103">
        <v>7.5790499999999997E-2</v>
      </c>
      <c r="G103">
        <v>1.47539E-2</v>
      </c>
      <c r="H103">
        <v>6.2867299999999999E-3</v>
      </c>
      <c r="I103">
        <v>3.0593199999999999E-3</v>
      </c>
      <c r="J103">
        <v>1.53016E-3</v>
      </c>
      <c r="K103">
        <v>8.31308E-4</v>
      </c>
      <c r="L103">
        <v>1.7082600000000001E-4</v>
      </c>
      <c r="M103">
        <v>1.03223E-4</v>
      </c>
      <c r="N103">
        <v>8.1597100000000005E-5</v>
      </c>
      <c r="O103">
        <v>4.6244700000000001E-5</v>
      </c>
      <c r="P103">
        <v>4.1912000000000001E-5</v>
      </c>
      <c r="S103">
        <v>0</v>
      </c>
      <c r="T103">
        <v>0.19101399999999999</v>
      </c>
      <c r="U103">
        <v>0.23072200000000001</v>
      </c>
      <c r="V103">
        <v>0.42892400000000003</v>
      </c>
      <c r="W103">
        <v>0.100534</v>
      </c>
      <c r="X103">
        <v>1.58944E-2</v>
      </c>
      <c r="Y103">
        <v>7.91912E-3</v>
      </c>
      <c r="Z103">
        <v>9.9971899999999995E-3</v>
      </c>
      <c r="AA103">
        <v>5.0547600000000002E-3</v>
      </c>
      <c r="AB103">
        <v>3.08902E-3</v>
      </c>
      <c r="AC103">
        <v>6.8520100000000004E-3</v>
      </c>
      <c r="AD103">
        <v>0</v>
      </c>
      <c r="AE103">
        <v>0</v>
      </c>
      <c r="AF103">
        <v>0</v>
      </c>
      <c r="AG103">
        <v>0</v>
      </c>
      <c r="AJ103" s="27">
        <f t="shared" ref="AJ103:AJ117" si="64">SUMPRODUCT((1-B103:P103),B103:P103)/SUMXMY2(B103:P103,S103:AG103)</f>
        <v>30.801777002222391</v>
      </c>
      <c r="AO103" s="28">
        <f t="shared" ref="AO103:AO113" si="65">STDEV(AS103:BF103)</f>
        <v>0.89788093034220473</v>
      </c>
      <c r="AP103">
        <v>29.246001523229246</v>
      </c>
      <c r="AQ103">
        <f t="shared" ref="AQ103:AQ113" si="66">A103</f>
        <v>1982</v>
      </c>
      <c r="AR103" t="e">
        <f t="shared" si="49"/>
        <v>#DIV/0!</v>
      </c>
      <c r="AS103">
        <f t="shared" si="50"/>
        <v>-1.4931767597119916</v>
      </c>
      <c r="AT103">
        <f t="shared" si="51"/>
        <v>6.520120874919573E-2</v>
      </c>
      <c r="AU103">
        <f t="shared" si="52"/>
        <v>0.87302199316986551</v>
      </c>
      <c r="AV103">
        <f t="shared" si="53"/>
        <v>0.50559384702934373</v>
      </c>
      <c r="AW103">
        <f t="shared" si="54"/>
        <v>5.1156727962285251E-2</v>
      </c>
      <c r="AX103">
        <f t="shared" si="55"/>
        <v>0.11168998320726845</v>
      </c>
      <c r="AY103">
        <f t="shared" si="56"/>
        <v>0.67937927658073916</v>
      </c>
      <c r="AZ103">
        <f t="shared" si="57"/>
        <v>0.48764883171529</v>
      </c>
      <c r="BA103">
        <f t="shared" si="58"/>
        <v>0.42364433348343222</v>
      </c>
      <c r="BB103">
        <f t="shared" si="59"/>
        <v>2.764692238102441</v>
      </c>
      <c r="BC103">
        <f t="shared" si="60"/>
        <v>-5.4946989573486933E-2</v>
      </c>
      <c r="BD103">
        <f t="shared" si="61"/>
        <v>-4.8852672897148335E-2</v>
      </c>
      <c r="BE103">
        <f t="shared" si="62"/>
        <v>-3.6776828495968444E-2</v>
      </c>
      <c r="BF103">
        <f t="shared" si="63"/>
        <v>-3.5011566545665819E-2</v>
      </c>
      <c r="BH103">
        <v>153.7280419389993</v>
      </c>
      <c r="BJ103">
        <v>122</v>
      </c>
    </row>
    <row r="104" spans="1:62" x14ac:dyDescent="0.15">
      <c r="A104" s="21">
        <f>(A103+3)</f>
        <v>1985</v>
      </c>
      <c r="B104">
        <v>0</v>
      </c>
      <c r="C104">
        <v>0.146341</v>
      </c>
      <c r="D104">
        <v>0.454264</v>
      </c>
      <c r="E104">
        <v>0.106421</v>
      </c>
      <c r="F104">
        <v>0.13614999999999999</v>
      </c>
      <c r="G104">
        <v>6.0384599999999997E-2</v>
      </c>
      <c r="H104">
        <v>7.8341099999999997E-2</v>
      </c>
      <c r="I104">
        <v>1.26981E-2</v>
      </c>
      <c r="J104">
        <v>2.8961899999999999E-3</v>
      </c>
      <c r="K104">
        <v>1.19939E-3</v>
      </c>
      <c r="L104">
        <v>6.8239500000000003E-4</v>
      </c>
      <c r="M104">
        <v>3.3890100000000001E-4</v>
      </c>
      <c r="N104">
        <v>1.8414500000000001E-4</v>
      </c>
      <c r="O104">
        <v>3.7840099999999997E-5</v>
      </c>
      <c r="P104">
        <v>6.0467599999999997E-5</v>
      </c>
      <c r="S104">
        <v>0</v>
      </c>
      <c r="T104">
        <v>6.20782E-2</v>
      </c>
      <c r="U104">
        <v>0.54453700000000005</v>
      </c>
      <c r="V104">
        <v>6.0006700000000003E-2</v>
      </c>
      <c r="W104">
        <v>0.14607400000000001</v>
      </c>
      <c r="X104">
        <v>0.10090200000000001</v>
      </c>
      <c r="Y104">
        <v>7.5309100000000004E-2</v>
      </c>
      <c r="Z104">
        <v>8.6869400000000006E-3</v>
      </c>
      <c r="AA104">
        <v>1.4032700000000001E-3</v>
      </c>
      <c r="AB104">
        <v>4.6775799999999998E-4</v>
      </c>
      <c r="AC104">
        <v>5.3458100000000001E-4</v>
      </c>
      <c r="AD104">
        <v>0</v>
      </c>
      <c r="AE104">
        <v>0</v>
      </c>
      <c r="AF104">
        <v>0</v>
      </c>
      <c r="AG104">
        <v>0</v>
      </c>
      <c r="AJ104" s="27">
        <f t="shared" si="64"/>
        <v>38.20189305787401</v>
      </c>
      <c r="AO104" s="28">
        <f t="shared" si="65"/>
        <v>0.70111752725270271</v>
      </c>
      <c r="AP104">
        <v>44.478293983244477</v>
      </c>
      <c r="AQ104">
        <f t="shared" si="66"/>
        <v>1985</v>
      </c>
      <c r="AR104" t="e">
        <f t="shared" si="49"/>
        <v>#DIV/0!</v>
      </c>
      <c r="AS104">
        <f t="shared" si="50"/>
        <v>-1.5899546089641996</v>
      </c>
      <c r="AT104">
        <f t="shared" si="51"/>
        <v>1.2091675227049186</v>
      </c>
      <c r="AU104">
        <f t="shared" si="52"/>
        <v>-1.0037966011210389</v>
      </c>
      <c r="AV104">
        <f t="shared" si="53"/>
        <v>0.19298911940931904</v>
      </c>
      <c r="AW104">
        <f t="shared" si="54"/>
        <v>1.134429390262867</v>
      </c>
      <c r="AX104">
        <f t="shared" si="55"/>
        <v>-7.5252912712709341E-2</v>
      </c>
      <c r="AY104">
        <f t="shared" si="56"/>
        <v>-0.23891844992891278</v>
      </c>
      <c r="AZ104">
        <f t="shared" si="57"/>
        <v>-0.18527929261697487</v>
      </c>
      <c r="BA104">
        <f t="shared" si="58"/>
        <v>-0.14097663548799375</v>
      </c>
      <c r="BB104">
        <f t="shared" si="59"/>
        <v>-3.7750259631119054E-2</v>
      </c>
      <c r="BC104">
        <f t="shared" si="60"/>
        <v>-0.12279596306909542</v>
      </c>
      <c r="BD104">
        <f t="shared" si="61"/>
        <v>-9.050946886788698E-2</v>
      </c>
      <c r="BE104">
        <f t="shared" si="62"/>
        <v>-4.1025928165504148E-2</v>
      </c>
      <c r="BF104">
        <f t="shared" si="63"/>
        <v>-5.1861915954243859E-2</v>
      </c>
      <c r="BH104">
        <v>264.60407656258684</v>
      </c>
      <c r="BJ104">
        <v>128</v>
      </c>
    </row>
    <row r="105" spans="1:62" x14ac:dyDescent="0.15">
      <c r="A105" s="21">
        <f>(A104+3)</f>
        <v>1988</v>
      </c>
      <c r="B105">
        <v>0</v>
      </c>
      <c r="C105">
        <v>0.11824999999999999</v>
      </c>
      <c r="D105">
        <v>0.17533399999999999</v>
      </c>
      <c r="E105">
        <v>0.317602</v>
      </c>
      <c r="F105">
        <v>8.64896E-2</v>
      </c>
      <c r="G105">
        <v>0.18455299999999999</v>
      </c>
      <c r="H105">
        <v>3.6816399999999999E-2</v>
      </c>
      <c r="I105">
        <v>3.5288E-2</v>
      </c>
      <c r="J105">
        <v>1.7321900000000001E-2</v>
      </c>
      <c r="K105">
        <v>2.2338199999999999E-2</v>
      </c>
      <c r="L105">
        <v>4.2292900000000001E-3</v>
      </c>
      <c r="M105">
        <v>9.5568400000000005E-4</v>
      </c>
      <c r="N105">
        <v>3.93757E-4</v>
      </c>
      <c r="O105">
        <v>2.2402899999999999E-4</v>
      </c>
      <c r="P105">
        <v>2.0398899999999999E-4</v>
      </c>
      <c r="S105">
        <v>0</v>
      </c>
      <c r="T105">
        <v>9.0553400000000006E-2</v>
      </c>
      <c r="U105">
        <v>0.292018</v>
      </c>
      <c r="V105">
        <v>0.31465700000000002</v>
      </c>
      <c r="W105">
        <v>6.01789E-2</v>
      </c>
      <c r="X105">
        <v>0.153257</v>
      </c>
      <c r="Y105">
        <v>3.2817499999999999E-2</v>
      </c>
      <c r="Z105">
        <v>1.2296400000000001E-2</v>
      </c>
      <c r="AA105">
        <v>1.0547900000000001E-2</v>
      </c>
      <c r="AB105">
        <v>2.07262E-2</v>
      </c>
      <c r="AC105">
        <v>1.2947800000000001E-2</v>
      </c>
      <c r="AD105">
        <v>0</v>
      </c>
      <c r="AE105">
        <v>0</v>
      </c>
      <c r="AF105">
        <v>0</v>
      </c>
      <c r="AG105">
        <v>0</v>
      </c>
      <c r="AJ105" s="27">
        <f t="shared" si="64"/>
        <v>48.374482139693185</v>
      </c>
      <c r="AO105" s="28">
        <f t="shared" si="65"/>
        <v>0.42551025125024527</v>
      </c>
      <c r="AP105">
        <v>15.232292460015232</v>
      </c>
      <c r="AQ105">
        <f t="shared" si="66"/>
        <v>1988</v>
      </c>
      <c r="AR105" t="e">
        <f t="shared" si="49"/>
        <v>#DIV/0!</v>
      </c>
      <c r="AS105">
        <f t="shared" si="50"/>
        <v>-0.3347617155380504</v>
      </c>
      <c r="AT105">
        <f t="shared" si="51"/>
        <v>1.1976276889416815</v>
      </c>
      <c r="AU105">
        <f t="shared" si="52"/>
        <v>-2.4689224397650093E-2</v>
      </c>
      <c r="AV105">
        <f t="shared" si="53"/>
        <v>-0.36532243625799465</v>
      </c>
      <c r="AW105">
        <f t="shared" si="54"/>
        <v>-0.3148567756111999</v>
      </c>
      <c r="AX105">
        <f t="shared" si="55"/>
        <v>-8.2879663502466172E-2</v>
      </c>
      <c r="AY105">
        <f t="shared" si="56"/>
        <v>-0.48633941403244224</v>
      </c>
      <c r="AZ105">
        <f t="shared" si="57"/>
        <v>-0.20263964914281671</v>
      </c>
      <c r="BA105">
        <f t="shared" si="58"/>
        <v>-4.2572510529012557E-2</v>
      </c>
      <c r="BB105">
        <f t="shared" si="59"/>
        <v>0.5243381992820999</v>
      </c>
      <c r="BC105">
        <f t="shared" si="60"/>
        <v>-0.12071115787042087</v>
      </c>
      <c r="BD105">
        <f t="shared" si="61"/>
        <v>-7.7460857191137142E-2</v>
      </c>
      <c r="BE105">
        <f t="shared" si="62"/>
        <v>-5.8422939948696975E-2</v>
      </c>
      <c r="BF105">
        <f t="shared" si="63"/>
        <v>-5.5748130683197665E-2</v>
      </c>
      <c r="BH105">
        <v>278.20968075098335</v>
      </c>
      <c r="BJ105">
        <v>126</v>
      </c>
    </row>
    <row r="106" spans="1:62" x14ac:dyDescent="0.15">
      <c r="A106" s="21">
        <f>(A105+3)</f>
        <v>1991</v>
      </c>
      <c r="B106">
        <v>0</v>
      </c>
      <c r="C106">
        <v>0.64966400000000002</v>
      </c>
      <c r="D106">
        <v>0.11895799999999999</v>
      </c>
      <c r="E106">
        <v>4.3221900000000001E-2</v>
      </c>
      <c r="F106">
        <v>3.8533999999999999E-2</v>
      </c>
      <c r="G106">
        <v>3.60556E-2</v>
      </c>
      <c r="H106">
        <v>5.5491600000000002E-2</v>
      </c>
      <c r="I106">
        <v>1.1543899999999999E-2</v>
      </c>
      <c r="J106">
        <v>2.6895700000000002E-2</v>
      </c>
      <c r="K106">
        <v>5.3304700000000003E-3</v>
      </c>
      <c r="L106">
        <v>6.2421999999999998E-3</v>
      </c>
      <c r="M106">
        <v>3.0537099999999998E-3</v>
      </c>
      <c r="N106">
        <v>3.9472600000000002E-3</v>
      </c>
      <c r="O106">
        <v>7.4733500000000001E-4</v>
      </c>
      <c r="P106">
        <v>3.1408500000000003E-4</v>
      </c>
      <c r="S106">
        <v>0</v>
      </c>
      <c r="T106">
        <v>0.76878400000000002</v>
      </c>
      <c r="U106">
        <v>0.125108</v>
      </c>
      <c r="V106">
        <v>2.7757E-2</v>
      </c>
      <c r="W106">
        <v>2.8996500000000001E-2</v>
      </c>
      <c r="X106">
        <v>1.7212600000000002E-2</v>
      </c>
      <c r="Y106">
        <v>1.5490200000000001E-2</v>
      </c>
      <c r="Z106">
        <v>5.0048799999999997E-3</v>
      </c>
      <c r="AA106">
        <v>4.7916299999999998E-3</v>
      </c>
      <c r="AB106">
        <v>1.89756E-3</v>
      </c>
      <c r="AC106">
        <v>2.075E-3</v>
      </c>
      <c r="AD106">
        <v>6.8245000000000003E-4</v>
      </c>
      <c r="AE106">
        <v>1.0171900000000001E-3</v>
      </c>
      <c r="AF106">
        <v>5.9382700000000001E-4</v>
      </c>
      <c r="AG106">
        <v>5.8932799999999997E-4</v>
      </c>
      <c r="AJ106" s="27">
        <f t="shared" si="64"/>
        <v>32.485939640636403</v>
      </c>
      <c r="AO106" s="28">
        <f t="shared" si="65"/>
        <v>0.60225706002291968</v>
      </c>
      <c r="AP106">
        <v>37.776085300837771</v>
      </c>
      <c r="AQ106">
        <f t="shared" si="66"/>
        <v>1991</v>
      </c>
      <c r="AR106" t="e">
        <f t="shared" si="49"/>
        <v>#DIV/0!</v>
      </c>
      <c r="AS106">
        <f t="shared" si="50"/>
        <v>1.5346395114702338</v>
      </c>
      <c r="AT106">
        <f t="shared" si="51"/>
        <v>0.11675848682964357</v>
      </c>
      <c r="AU106">
        <f t="shared" si="52"/>
        <v>-0.46741005542204872</v>
      </c>
      <c r="AV106">
        <f t="shared" si="53"/>
        <v>-0.30454678146909969</v>
      </c>
      <c r="AW106">
        <f t="shared" si="54"/>
        <v>-0.62122105594161559</v>
      </c>
      <c r="AX106">
        <f t="shared" si="55"/>
        <v>-1.0739081311753946</v>
      </c>
      <c r="AY106">
        <f t="shared" si="56"/>
        <v>-0.37624104323343005</v>
      </c>
      <c r="AZ106">
        <f t="shared" si="57"/>
        <v>-0.83976853982825095</v>
      </c>
      <c r="BA106">
        <f t="shared" si="58"/>
        <v>-0.28976687295005105</v>
      </c>
      <c r="BB106">
        <f t="shared" si="59"/>
        <v>-0.32519488408859654</v>
      </c>
      <c r="BC106">
        <f t="shared" si="60"/>
        <v>-0.26414225078336889</v>
      </c>
      <c r="BD106">
        <f t="shared" si="61"/>
        <v>-0.28720859800172516</v>
      </c>
      <c r="BE106">
        <f t="shared" si="62"/>
        <v>-3.4525833356665675E-2</v>
      </c>
      <c r="BF106">
        <f t="shared" si="63"/>
        <v>9.5470538763544305E-2</v>
      </c>
      <c r="BH106">
        <v>470.34542436407611</v>
      </c>
      <c r="BJ106">
        <v>139</v>
      </c>
    </row>
    <row r="107" spans="1:62" x14ac:dyDescent="0.15">
      <c r="A107" s="21">
        <f>(A106+3)</f>
        <v>1994</v>
      </c>
      <c r="B107">
        <v>0</v>
      </c>
      <c r="C107">
        <v>0.45737800000000001</v>
      </c>
      <c r="D107">
        <v>0.18087900000000001</v>
      </c>
      <c r="E107">
        <v>0.14805399999999999</v>
      </c>
      <c r="F107">
        <v>0.16752600000000001</v>
      </c>
      <c r="G107">
        <v>2.2241199999999999E-2</v>
      </c>
      <c r="H107">
        <v>6.09627E-3</v>
      </c>
      <c r="I107">
        <v>3.4654099999999999E-3</v>
      </c>
      <c r="J107">
        <v>3.3893299999999999E-3</v>
      </c>
      <c r="K107">
        <v>4.8390799999999999E-3</v>
      </c>
      <c r="L107">
        <v>1.2304499999999999E-3</v>
      </c>
      <c r="M107">
        <v>2.8316700000000001E-3</v>
      </c>
      <c r="N107">
        <v>5.6161399999999999E-4</v>
      </c>
      <c r="O107">
        <v>6.57673E-4</v>
      </c>
      <c r="P107">
        <v>8.4944700000000003E-4</v>
      </c>
      <c r="S107">
        <v>0</v>
      </c>
      <c r="T107">
        <v>0.42779499999999998</v>
      </c>
      <c r="U107">
        <v>0.12347</v>
      </c>
      <c r="V107">
        <v>0.18295400000000001</v>
      </c>
      <c r="W107">
        <v>0.20904300000000001</v>
      </c>
      <c r="X107">
        <v>3.21211E-2</v>
      </c>
      <c r="Y107">
        <v>7.5938400000000001E-3</v>
      </c>
      <c r="Z107">
        <v>7.31374E-3</v>
      </c>
      <c r="AA107">
        <v>3.2963699999999999E-3</v>
      </c>
      <c r="AB107">
        <v>2.30693E-3</v>
      </c>
      <c r="AC107">
        <v>6.9996499999999998E-4</v>
      </c>
      <c r="AD107">
        <v>1.4250199999999999E-3</v>
      </c>
      <c r="AE107">
        <v>3.2652899999999999E-4</v>
      </c>
      <c r="AF107">
        <v>6.2038000000000002E-4</v>
      </c>
      <c r="AG107">
        <v>1.0330199999999999E-3</v>
      </c>
      <c r="AJ107" s="27">
        <f t="shared" si="64"/>
        <v>97.77602382666403</v>
      </c>
      <c r="AO107" s="28">
        <f t="shared" si="65"/>
        <v>0.46147193175889439</v>
      </c>
      <c r="AP107">
        <v>46.915460776846913</v>
      </c>
      <c r="AQ107">
        <f t="shared" si="66"/>
        <v>1994</v>
      </c>
      <c r="AR107" t="e">
        <f t="shared" si="49"/>
        <v>#DIV/0!</v>
      </c>
      <c r="AS107">
        <f t="shared" si="50"/>
        <v>-0.40673717895598621</v>
      </c>
      <c r="AT107">
        <f t="shared" si="51"/>
        <v>-1.0215740931400816</v>
      </c>
      <c r="AU107">
        <f t="shared" si="52"/>
        <v>0.67308097205017348</v>
      </c>
      <c r="AV107">
        <f t="shared" si="53"/>
        <v>0.76147825914308598</v>
      </c>
      <c r="AW107">
        <f t="shared" si="54"/>
        <v>0.4588973687372474</v>
      </c>
      <c r="AX107">
        <f t="shared" si="55"/>
        <v>0.13177737968542516</v>
      </c>
      <c r="AY107">
        <f t="shared" si="56"/>
        <v>0.44854580401288519</v>
      </c>
      <c r="AZ107">
        <f t="shared" si="57"/>
        <v>-1.0955555768906985E-2</v>
      </c>
      <c r="BA107">
        <f t="shared" si="58"/>
        <v>-0.24993056129328883</v>
      </c>
      <c r="BB107">
        <f t="shared" si="59"/>
        <v>-0.10364932290070707</v>
      </c>
      <c r="BC107">
        <f t="shared" si="60"/>
        <v>-0.18131698350727318</v>
      </c>
      <c r="BD107">
        <f t="shared" si="61"/>
        <v>-6.7965096305777919E-2</v>
      </c>
      <c r="BE107">
        <f t="shared" si="62"/>
        <v>-9.963757904757892E-3</v>
      </c>
      <c r="BF107">
        <f t="shared" si="63"/>
        <v>4.3160174150866863E-2</v>
      </c>
      <c r="BH107">
        <v>466.97375031984069</v>
      </c>
      <c r="BJ107">
        <v>104</v>
      </c>
    </row>
    <row r="108" spans="1:62" x14ac:dyDescent="0.15">
      <c r="A108" s="21">
        <v>1996</v>
      </c>
      <c r="B108">
        <v>0</v>
      </c>
      <c r="C108">
        <v>0.14604600000000001</v>
      </c>
      <c r="D108">
        <v>0.17418900000000001</v>
      </c>
      <c r="E108">
        <v>0.39764699999999997</v>
      </c>
      <c r="F108">
        <v>0.13544500000000001</v>
      </c>
      <c r="G108">
        <v>7.0372299999999999E-2</v>
      </c>
      <c r="H108">
        <v>5.8461600000000002E-2</v>
      </c>
      <c r="I108">
        <v>7.9652200000000003E-3</v>
      </c>
      <c r="J108">
        <v>2.1419899999999999E-3</v>
      </c>
      <c r="K108">
        <v>1.48825E-3</v>
      </c>
      <c r="L108">
        <v>1.47014E-3</v>
      </c>
      <c r="M108">
        <v>2.1056899999999999E-3</v>
      </c>
      <c r="N108">
        <v>5.3541999999999999E-4</v>
      </c>
      <c r="O108">
        <v>1.23218E-3</v>
      </c>
      <c r="P108">
        <v>9.0019399999999999E-4</v>
      </c>
      <c r="S108">
        <v>0</v>
      </c>
      <c r="T108">
        <v>8.0389799999999997E-2</v>
      </c>
      <c r="U108">
        <v>9.3711600000000006E-2</v>
      </c>
      <c r="V108">
        <v>0.48379800000000001</v>
      </c>
      <c r="W108">
        <v>0.14780299999999999</v>
      </c>
      <c r="X108">
        <v>9.1716900000000004E-2</v>
      </c>
      <c r="Y108">
        <v>7.8221100000000002E-2</v>
      </c>
      <c r="Z108">
        <v>1.5283700000000001E-2</v>
      </c>
      <c r="AA108">
        <v>3.0115400000000001E-3</v>
      </c>
      <c r="AB108">
        <v>1.13003E-3</v>
      </c>
      <c r="AC108">
        <v>1.02629E-3</v>
      </c>
      <c r="AD108">
        <v>2.1871600000000001E-3</v>
      </c>
      <c r="AE108">
        <v>2.35541E-4</v>
      </c>
      <c r="AF108">
        <v>8.6138299999999996E-4</v>
      </c>
      <c r="AG108">
        <v>6.2441799999999996E-4</v>
      </c>
      <c r="AJ108" s="27">
        <f t="shared" si="64"/>
        <v>39.630846601289328</v>
      </c>
      <c r="AO108" s="28">
        <f t="shared" si="65"/>
        <v>0.59739521542964458</v>
      </c>
      <c r="AP108">
        <v>34.72962680883473</v>
      </c>
      <c r="AQ108">
        <f t="shared" si="66"/>
        <v>1996</v>
      </c>
      <c r="AR108" t="e">
        <f t="shared" si="49"/>
        <v>#DIV/0!</v>
      </c>
      <c r="AS108">
        <f t="shared" si="50"/>
        <v>-1.0956295315536071</v>
      </c>
      <c r="AT108">
        <f t="shared" si="51"/>
        <v>-1.2504700680567631</v>
      </c>
      <c r="AU108">
        <f t="shared" si="52"/>
        <v>1.0373755006459415</v>
      </c>
      <c r="AV108">
        <f t="shared" si="53"/>
        <v>0.21282392431624983</v>
      </c>
      <c r="AW108">
        <f t="shared" si="54"/>
        <v>0.49179337965967451</v>
      </c>
      <c r="AX108">
        <f t="shared" si="55"/>
        <v>0.49633127508016994</v>
      </c>
      <c r="AY108">
        <f t="shared" si="56"/>
        <v>0.48518639186495549</v>
      </c>
      <c r="AZ108">
        <f t="shared" si="57"/>
        <v>0.11084127793697343</v>
      </c>
      <c r="BA108">
        <f t="shared" si="58"/>
        <v>-5.4762763052968684E-2</v>
      </c>
      <c r="BB108">
        <f t="shared" si="59"/>
        <v>-6.8269450488479266E-2</v>
      </c>
      <c r="BC108">
        <f t="shared" si="60"/>
        <v>1.0473896647444724E-2</v>
      </c>
      <c r="BD108">
        <f t="shared" si="61"/>
        <v>-7.6395031355036461E-2</v>
      </c>
      <c r="BE108">
        <f t="shared" si="62"/>
        <v>-6.2289797906535146E-2</v>
      </c>
      <c r="BF108">
        <f t="shared" si="63"/>
        <v>-5.4191856846667726E-2</v>
      </c>
      <c r="BH108">
        <v>300.99949817799586</v>
      </c>
      <c r="BJ108">
        <v>52</v>
      </c>
    </row>
    <row r="109" spans="1:62" x14ac:dyDescent="0.15">
      <c r="A109" s="21">
        <v>1997</v>
      </c>
      <c r="B109">
        <f>pm.rep!B488</f>
        <v>0</v>
      </c>
      <c r="C109">
        <f>pm.rep!C488</f>
        <v>0.30843900000000002</v>
      </c>
      <c r="D109">
        <f>pm.rep!D488</f>
        <v>0.11966</v>
      </c>
      <c r="E109">
        <f>pm.rep!E488</f>
        <v>0.134686</v>
      </c>
      <c r="F109">
        <f>pm.rep!F488</f>
        <v>0.28726299999999999</v>
      </c>
      <c r="G109">
        <f>pm.rep!G488</f>
        <v>7.49108E-2</v>
      </c>
      <c r="H109">
        <f>pm.rep!H488</f>
        <v>4.0374699999999999E-2</v>
      </c>
      <c r="I109">
        <f>pm.rep!I488</f>
        <v>2.52835E-2</v>
      </c>
      <c r="J109">
        <f>pm.rep!J488</f>
        <v>4.0832799999999999E-3</v>
      </c>
      <c r="K109">
        <f>pm.rep!K488</f>
        <v>1.13502E-3</v>
      </c>
      <c r="L109">
        <f>pm.rep!L488</f>
        <v>8.01616E-4</v>
      </c>
      <c r="M109">
        <f>pm.rep!M488</f>
        <v>7.9186299999999996E-4</v>
      </c>
      <c r="N109">
        <f>pm.rep!N488</f>
        <v>1.13419E-3</v>
      </c>
      <c r="O109">
        <f>pm.rep!O488</f>
        <v>2.8839300000000002E-4</v>
      </c>
      <c r="P109">
        <f>pm.rep!P488</f>
        <v>1.1485600000000001E-3</v>
      </c>
      <c r="S109">
        <f>pm.rep!B467</f>
        <v>0</v>
      </c>
      <c r="T109">
        <f>pm.rep!C467</f>
        <v>0.43401499999999998</v>
      </c>
      <c r="U109">
        <f>pm.rep!D467</f>
        <v>6.09747E-2</v>
      </c>
      <c r="V109">
        <f>pm.rep!E467</f>
        <v>7.7681899999999998E-2</v>
      </c>
      <c r="W109">
        <f>pm.rep!F467</f>
        <v>0.30352400000000002</v>
      </c>
      <c r="X109">
        <f>pm.rep!G467</f>
        <v>6.0765399999999997E-2</v>
      </c>
      <c r="Y109">
        <f>pm.rep!H467</f>
        <v>3.2484499999999999E-2</v>
      </c>
      <c r="Z109">
        <f>pm.rep!I467</f>
        <v>2.2576599999999999E-2</v>
      </c>
      <c r="AA109">
        <f>pm.rep!J467</f>
        <v>5.1801399999999997E-3</v>
      </c>
      <c r="AB109">
        <f>pm.rep!K467</f>
        <v>6.1531499999999996E-4</v>
      </c>
      <c r="AC109">
        <f>pm.rep!L467</f>
        <v>7.8258500000000003E-4</v>
      </c>
      <c r="AD109">
        <f>pm.rep!M467</f>
        <v>3.1809999999999998E-4</v>
      </c>
      <c r="AE109">
        <f>pm.rep!N467</f>
        <v>3.5334500000000003E-4</v>
      </c>
      <c r="AF109">
        <f>pm.rep!O467</f>
        <v>3.6392E-4</v>
      </c>
      <c r="AG109">
        <f>pm.rep!P467</f>
        <v>3.6497100000000001E-4</v>
      </c>
      <c r="AJ109" s="27">
        <f t="shared" si="64"/>
        <v>33.999599692425832</v>
      </c>
      <c r="AO109" s="28">
        <f t="shared" si="65"/>
        <v>0.74955463963412472</v>
      </c>
      <c r="AP109">
        <v>52.399086062452398</v>
      </c>
      <c r="AQ109">
        <f t="shared" si="66"/>
        <v>1997</v>
      </c>
      <c r="AR109" t="e">
        <f t="shared" si="49"/>
        <v>#DIV/0!</v>
      </c>
      <c r="AS109">
        <f t="shared" si="50"/>
        <v>1.9681972076373548</v>
      </c>
      <c r="AT109">
        <f t="shared" si="51"/>
        <v>-1.3088547944453433</v>
      </c>
      <c r="AU109">
        <f t="shared" si="52"/>
        <v>-1.2087037142259764</v>
      </c>
      <c r="AV109">
        <f t="shared" si="53"/>
        <v>0.26013848561721209</v>
      </c>
      <c r="AW109">
        <f t="shared" si="54"/>
        <v>-0.38896727645200802</v>
      </c>
      <c r="AX109">
        <f t="shared" si="55"/>
        <v>-0.29016456089357501</v>
      </c>
      <c r="AY109">
        <f t="shared" si="56"/>
        <v>-0.12481773936775284</v>
      </c>
      <c r="AZ109">
        <f t="shared" si="57"/>
        <v>0.12450791557937473</v>
      </c>
      <c r="BA109">
        <f t="shared" si="58"/>
        <v>-0.11172840540216422</v>
      </c>
      <c r="BB109">
        <f t="shared" si="59"/>
        <v>-4.8675947648553815E-3</v>
      </c>
      <c r="BC109">
        <f t="shared" si="60"/>
        <v>-0.1219186063821511</v>
      </c>
      <c r="BD109">
        <f t="shared" si="61"/>
        <v>-0.16793074275610709</v>
      </c>
      <c r="BE109">
        <f t="shared" si="62"/>
        <v>3.2198405532170266E-2</v>
      </c>
      <c r="BF109">
        <f t="shared" si="63"/>
        <v>-0.16746455244038608</v>
      </c>
      <c r="BH109">
        <v>449.27881122184306</v>
      </c>
      <c r="BJ109">
        <v>52</v>
      </c>
    </row>
    <row r="110" spans="1:62" x14ac:dyDescent="0.15">
      <c r="A110" s="21">
        <v>1999</v>
      </c>
      <c r="B110">
        <f>pm.rep!B489</f>
        <v>0</v>
      </c>
      <c r="C110">
        <f>pm.rep!C489</f>
        <v>0.21018899999999999</v>
      </c>
      <c r="D110">
        <f>pm.rep!D489</f>
        <v>0.34025699999999998</v>
      </c>
      <c r="E110">
        <f>pm.rep!E489</f>
        <v>0.18992600000000001</v>
      </c>
      <c r="F110">
        <f>pm.rep!F489</f>
        <v>6.4921000000000006E-2</v>
      </c>
      <c r="G110">
        <f>pm.rep!G489</f>
        <v>5.3878200000000001E-2</v>
      </c>
      <c r="H110">
        <f>pm.rep!H489</f>
        <v>9.56954E-2</v>
      </c>
      <c r="I110">
        <f>pm.rep!I489</f>
        <v>2.3461099999999999E-2</v>
      </c>
      <c r="J110">
        <f>pm.rep!J489</f>
        <v>1.0933500000000001E-2</v>
      </c>
      <c r="K110">
        <f>pm.rep!K489</f>
        <v>7.7954399999999998E-3</v>
      </c>
      <c r="L110">
        <f>pm.rep!L489</f>
        <v>1.27271E-3</v>
      </c>
      <c r="M110">
        <f>pm.rep!M489</f>
        <v>3.5776299999999998E-4</v>
      </c>
      <c r="N110">
        <f>pm.rep!N489</f>
        <v>2.5267399999999999E-4</v>
      </c>
      <c r="O110">
        <f>pm.rep!O489</f>
        <v>2.4959899999999998E-4</v>
      </c>
      <c r="P110">
        <f>pm.rep!P489</f>
        <v>8.1043599999999999E-4</v>
      </c>
      <c r="S110">
        <f>pm.rep!B468</f>
        <v>0</v>
      </c>
      <c r="T110">
        <f>pm.rep!C468</f>
        <v>0.16731499999999999</v>
      </c>
      <c r="U110">
        <f>pm.rep!D468</f>
        <v>0.37907400000000002</v>
      </c>
      <c r="V110">
        <f>pm.rep!E468</f>
        <v>0.17743</v>
      </c>
      <c r="W110">
        <f>pm.rep!F468</f>
        <v>6.1395199999999997E-2</v>
      </c>
      <c r="X110">
        <f>pm.rep!G468</f>
        <v>2.88705E-2</v>
      </c>
      <c r="Y110">
        <f>pm.rep!H468</f>
        <v>0.12320399999999999</v>
      </c>
      <c r="Z110">
        <f>pm.rep!I468</f>
        <v>4.2179800000000003E-2</v>
      </c>
      <c r="AA110">
        <f>pm.rep!J468</f>
        <v>1.1028100000000001E-2</v>
      </c>
      <c r="AB110">
        <f>pm.rep!K468</f>
        <v>7.0476499999999999E-3</v>
      </c>
      <c r="AC110">
        <f>pm.rep!L468</f>
        <v>1.5243800000000001E-3</v>
      </c>
      <c r="AD110">
        <f>pm.rep!M468</f>
        <v>6.8201999999999998E-4</v>
      </c>
      <c r="AE110">
        <f>pm.rep!N468</f>
        <v>1.7602699999999999E-4</v>
      </c>
      <c r="AF110">
        <f>pm.rep!O468</f>
        <v>0</v>
      </c>
      <c r="AG110">
        <f>pm.rep!P468</f>
        <v>7.3060300000000002E-5</v>
      </c>
      <c r="AJ110" s="27">
        <f t="shared" si="64"/>
        <v>149.9733524046265</v>
      </c>
      <c r="AO110" s="28">
        <f t="shared" si="65"/>
        <v>0.56923725104276746</v>
      </c>
      <c r="AP110">
        <v>74.333587204874334</v>
      </c>
      <c r="AQ110">
        <f t="shared" si="66"/>
        <v>1999</v>
      </c>
      <c r="AR110" t="e">
        <f t="shared" si="49"/>
        <v>#DIV/0!</v>
      </c>
      <c r="AS110">
        <f t="shared" si="50"/>
        <v>-0.9072353592722423</v>
      </c>
      <c r="AT110">
        <f t="shared" si="51"/>
        <v>0.7063559106469729</v>
      </c>
      <c r="AU110">
        <f t="shared" si="52"/>
        <v>-0.27466859423529039</v>
      </c>
      <c r="AV110">
        <f t="shared" si="53"/>
        <v>-0.12337679009139374</v>
      </c>
      <c r="AW110">
        <f t="shared" si="54"/>
        <v>-0.95496231318453395</v>
      </c>
      <c r="AX110">
        <f t="shared" si="55"/>
        <v>0.80622847542241449</v>
      </c>
      <c r="AY110">
        <f t="shared" si="56"/>
        <v>1.0662260046968961</v>
      </c>
      <c r="AZ110">
        <f t="shared" si="57"/>
        <v>7.8431646351077126E-3</v>
      </c>
      <c r="BA110">
        <f t="shared" si="58"/>
        <v>-7.3307983429263146E-2</v>
      </c>
      <c r="BB110">
        <f t="shared" si="59"/>
        <v>6.0860540941853031E-2</v>
      </c>
      <c r="BC110">
        <f t="shared" si="60"/>
        <v>0.14782976803804718</v>
      </c>
      <c r="BD110">
        <f t="shared" si="61"/>
        <v>-4.1577876357470497E-2</v>
      </c>
      <c r="BE110">
        <f t="shared" si="62"/>
        <v>-0.13622856215268989</v>
      </c>
      <c r="BF110">
        <f t="shared" si="63"/>
        <v>-0.22340766031920073</v>
      </c>
      <c r="BH110">
        <v>401.76175259158515</v>
      </c>
    </row>
    <row r="111" spans="1:62" x14ac:dyDescent="0.15">
      <c r="A111" s="21">
        <v>2000</v>
      </c>
      <c r="B111">
        <f>pm.rep!B490</f>
        <v>0</v>
      </c>
      <c r="C111">
        <f>pm.rep!C490</f>
        <v>0.247394</v>
      </c>
      <c r="D111">
        <f>pm.rep!D490</f>
        <v>0.18485799999999999</v>
      </c>
      <c r="E111">
        <f>pm.rep!E490</f>
        <v>0.27243299999999998</v>
      </c>
      <c r="F111">
        <f>pm.rep!F490</f>
        <v>0.14050599999999999</v>
      </c>
      <c r="G111">
        <f>pm.rep!G490</f>
        <v>3.9211299999999998E-2</v>
      </c>
      <c r="H111">
        <f>pm.rep!H490</f>
        <v>3.6556699999999998E-2</v>
      </c>
      <c r="I111">
        <f>pm.rep!I490</f>
        <v>4.9797399999999999E-2</v>
      </c>
      <c r="J111">
        <f>pm.rep!J490</f>
        <v>1.50566E-2</v>
      </c>
      <c r="K111">
        <f>pm.rep!K490</f>
        <v>7.1367499999999999E-3</v>
      </c>
      <c r="L111">
        <f>pm.rep!L490</f>
        <v>5.1180899999999996E-3</v>
      </c>
      <c r="M111">
        <f>pm.rep!M490</f>
        <v>8.3559499999999996E-4</v>
      </c>
      <c r="N111">
        <f>pm.rep!N490</f>
        <v>2.3488900000000001E-4</v>
      </c>
      <c r="O111">
        <f>pm.rep!O490</f>
        <v>1.65892E-4</v>
      </c>
      <c r="P111">
        <f>pm.rep!P490</f>
        <v>6.95965E-4</v>
      </c>
      <c r="S111">
        <f>pm.rep!B469</f>
        <v>0</v>
      </c>
      <c r="T111">
        <f>pm.rep!C469</f>
        <v>0.172593</v>
      </c>
      <c r="U111">
        <f>pm.rep!D469</f>
        <v>0.16073899999999999</v>
      </c>
      <c r="V111">
        <f>pm.rep!E469</f>
        <v>0.33641900000000002</v>
      </c>
      <c r="W111">
        <f>pm.rep!F469</f>
        <v>0.122047</v>
      </c>
      <c r="X111">
        <f>pm.rep!G469</f>
        <v>3.3083799999999997E-2</v>
      </c>
      <c r="Y111">
        <f>pm.rep!H469</f>
        <v>3.1741499999999999E-2</v>
      </c>
      <c r="Z111">
        <f>pm.rep!I469</f>
        <v>9.8364199999999999E-2</v>
      </c>
      <c r="AA111">
        <f>pm.rep!J469</f>
        <v>2.5831799999999999E-2</v>
      </c>
      <c r="AB111">
        <f>pm.rep!K469</f>
        <v>1.14889E-2</v>
      </c>
      <c r="AC111">
        <f>pm.rep!L469</f>
        <v>4.8326999999999997E-3</v>
      </c>
      <c r="AD111">
        <f>pm.rep!M469</f>
        <v>2.45225E-3</v>
      </c>
      <c r="AE111">
        <f>pm.rep!N469</f>
        <v>1.5823200000000001E-4</v>
      </c>
      <c r="AF111">
        <f>pm.rep!O469</f>
        <v>1.8382199999999999E-4</v>
      </c>
      <c r="AG111">
        <f>pm.rep!P469</f>
        <v>6.35347E-5</v>
      </c>
      <c r="AJ111" s="27">
        <f t="shared" si="64"/>
        <v>61.126475932183084</v>
      </c>
      <c r="AO111" s="28">
        <f t="shared" si="65"/>
        <v>0.8508702127995007</v>
      </c>
      <c r="AP111">
        <v>77.989337395277985</v>
      </c>
      <c r="AQ111">
        <f t="shared" si="66"/>
        <v>2000</v>
      </c>
      <c r="AR111" t="e">
        <f t="shared" si="49"/>
        <v>#DIV/0!</v>
      </c>
      <c r="AS111">
        <f t="shared" si="50"/>
        <v>-1.5308992128051377</v>
      </c>
      <c r="AT111">
        <f t="shared" si="51"/>
        <v>-0.54870782353169412</v>
      </c>
      <c r="AU111">
        <f t="shared" si="52"/>
        <v>1.2692180045892461</v>
      </c>
      <c r="AV111">
        <f t="shared" si="53"/>
        <v>-0.46909081064360947</v>
      </c>
      <c r="AW111">
        <f t="shared" si="54"/>
        <v>-0.27879268300260929</v>
      </c>
      <c r="AX111">
        <f t="shared" si="55"/>
        <v>-0.22658720000641325</v>
      </c>
      <c r="AY111">
        <f t="shared" si="56"/>
        <v>1.9717219142364444</v>
      </c>
      <c r="AZ111">
        <f t="shared" si="57"/>
        <v>0.78140081802807404</v>
      </c>
      <c r="BA111">
        <f t="shared" si="58"/>
        <v>0.45659012101450575</v>
      </c>
      <c r="BB111">
        <f t="shared" si="59"/>
        <v>-3.5319670259511209E-2</v>
      </c>
      <c r="BC111">
        <f t="shared" si="60"/>
        <v>0.49410422986745384</v>
      </c>
      <c r="BD111">
        <f t="shared" si="61"/>
        <v>-4.4176276367400708E-2</v>
      </c>
      <c r="BE111">
        <f t="shared" si="62"/>
        <v>1.2294792663360834E-2</v>
      </c>
      <c r="BF111">
        <f t="shared" si="63"/>
        <v>-0.21178137516237666</v>
      </c>
      <c r="BH111">
        <v>342.92011216510161</v>
      </c>
    </row>
    <row r="112" spans="1:62" x14ac:dyDescent="0.15">
      <c r="A112" s="21">
        <v>2002</v>
      </c>
      <c r="B112">
        <f>pm.rep!B491</f>
        <v>0</v>
      </c>
      <c r="C112">
        <f>pm.rep!C491</f>
        <v>0.42229100000000003</v>
      </c>
      <c r="D112">
        <f>pm.rep!D491</f>
        <v>0.24704300000000001</v>
      </c>
      <c r="E112">
        <f>pm.rep!E491</f>
        <v>0.120811</v>
      </c>
      <c r="F112">
        <f>pm.rep!F491</f>
        <v>7.4020000000000002E-2</v>
      </c>
      <c r="G112">
        <f>pm.rep!G491</f>
        <v>6.7868999999999999E-2</v>
      </c>
      <c r="H112">
        <f>pm.rep!H491</f>
        <v>3.09094E-2</v>
      </c>
      <c r="I112">
        <f>pm.rep!I491</f>
        <v>8.6394000000000002E-3</v>
      </c>
      <c r="J112">
        <f>pm.rep!J491</f>
        <v>7.7427399999999997E-3</v>
      </c>
      <c r="K112">
        <f>pm.rep!K491</f>
        <v>1.27697E-2</v>
      </c>
      <c r="L112">
        <f>pm.rep!L491</f>
        <v>4.0436500000000002E-3</v>
      </c>
      <c r="M112">
        <f>pm.rep!M491</f>
        <v>1.9425099999999999E-3</v>
      </c>
      <c r="N112">
        <f>pm.rep!N491</f>
        <v>1.39306E-3</v>
      </c>
      <c r="O112">
        <f>pm.rep!O491</f>
        <v>2.27436E-4</v>
      </c>
      <c r="P112">
        <f>pm.rep!P491</f>
        <v>2.9851699999999999E-4</v>
      </c>
      <c r="S112">
        <f>pm.rep!B470</f>
        <v>0</v>
      </c>
      <c r="T112">
        <f>pm.rep!C470</f>
        <v>0.36223100000000003</v>
      </c>
      <c r="U112">
        <f>pm.rep!D470</f>
        <v>0.33225700000000002</v>
      </c>
      <c r="V112">
        <f>pm.rep!E470</f>
        <v>0.112043</v>
      </c>
      <c r="W112">
        <f>pm.rep!F470</f>
        <v>5.9283700000000002E-2</v>
      </c>
      <c r="X112">
        <f>pm.rep!G470</f>
        <v>5.1324599999999998E-2</v>
      </c>
      <c r="Y112">
        <f>pm.rep!H470</f>
        <v>2.4875600000000001E-2</v>
      </c>
      <c r="Z112">
        <f>pm.rep!I470</f>
        <v>8.6494499999999995E-3</v>
      </c>
      <c r="AA112">
        <f>pm.rep!J470</f>
        <v>1.1393500000000001E-2</v>
      </c>
      <c r="AB112">
        <f>pm.rep!K470</f>
        <v>2.0576799999999999E-2</v>
      </c>
      <c r="AC112">
        <f>pm.rep!L470</f>
        <v>1.0196500000000001E-2</v>
      </c>
      <c r="AD112">
        <f>pm.rep!M470</f>
        <v>4.1608499999999998E-3</v>
      </c>
      <c r="AE112">
        <f>pm.rep!N470</f>
        <v>2.1798500000000001E-3</v>
      </c>
      <c r="AF112">
        <f>pm.rep!O470</f>
        <v>5.5583300000000004E-4</v>
      </c>
      <c r="AG112">
        <f>pm.rep!P470</f>
        <v>2.7284199999999997E-4</v>
      </c>
      <c r="AJ112" s="27">
        <f t="shared" si="64"/>
        <v>63.386396654721274</v>
      </c>
      <c r="AO112" s="28">
        <f t="shared" si="65"/>
        <v>0.68755132041859768</v>
      </c>
      <c r="AP112">
        <v>76.770753998476764</v>
      </c>
      <c r="AQ112">
        <f t="shared" si="66"/>
        <v>2002</v>
      </c>
      <c r="AR112" t="e">
        <f t="shared" si="49"/>
        <v>#DIV/0!</v>
      </c>
      <c r="AS112">
        <f t="shared" si="50"/>
        <v>-1.0654246764893482</v>
      </c>
      <c r="AT112">
        <f t="shared" si="51"/>
        <v>1.7311611249089291</v>
      </c>
      <c r="AU112">
        <f t="shared" si="52"/>
        <v>-0.23572415179153525</v>
      </c>
      <c r="AV112">
        <f t="shared" si="53"/>
        <v>-0.49318631088775333</v>
      </c>
      <c r="AW112">
        <f t="shared" si="54"/>
        <v>-0.57633464072177454</v>
      </c>
      <c r="AX112">
        <f t="shared" si="55"/>
        <v>-0.30546491529108372</v>
      </c>
      <c r="AY112">
        <f t="shared" si="56"/>
        <v>9.5149464061565893E-4</v>
      </c>
      <c r="AZ112">
        <f t="shared" si="57"/>
        <v>0.36494020016863127</v>
      </c>
      <c r="BA112">
        <f t="shared" si="58"/>
        <v>0.60923950961590911</v>
      </c>
      <c r="BB112">
        <f t="shared" si="59"/>
        <v>0.84950765976866616</v>
      </c>
      <c r="BC112">
        <f t="shared" si="60"/>
        <v>0.44143483586553472</v>
      </c>
      <c r="BD112">
        <f t="shared" si="61"/>
        <v>0.18483088092293362</v>
      </c>
      <c r="BE112">
        <f t="shared" si="62"/>
        <v>0.19081691599930248</v>
      </c>
      <c r="BF112">
        <f t="shared" si="63"/>
        <v>-1.3022328687546105E-2</v>
      </c>
      <c r="BH112">
        <v>411.5021280406483</v>
      </c>
    </row>
    <row r="113" spans="1:60" x14ac:dyDescent="0.15">
      <c r="A113" s="21">
        <v>2004</v>
      </c>
      <c r="B113">
        <f>pm.rep!B492</f>
        <v>0</v>
      </c>
      <c r="C113">
        <f>pm.rep!C492</f>
        <v>0.20080600000000001</v>
      </c>
      <c r="D113">
        <f>pm.rep!D492</f>
        <v>0.267453</v>
      </c>
      <c r="E113">
        <f>pm.rep!E492</f>
        <v>0.281557</v>
      </c>
      <c r="F113">
        <f>pm.rep!F492</f>
        <v>0.142456</v>
      </c>
      <c r="G113">
        <f>pm.rep!G492</f>
        <v>4.54064E-2</v>
      </c>
      <c r="H113">
        <f>pm.rep!H492</f>
        <v>2.24362E-2</v>
      </c>
      <c r="I113">
        <f>pm.rep!I492</f>
        <v>1.7860500000000001E-2</v>
      </c>
      <c r="J113">
        <f>pm.rep!J492</f>
        <v>8.3011500000000002E-3</v>
      </c>
      <c r="K113">
        <f>pm.rep!K492</f>
        <v>2.9743899999999999E-3</v>
      </c>
      <c r="L113">
        <f>pm.rep!L492</f>
        <v>2.87624E-3</v>
      </c>
      <c r="M113">
        <f>pm.rep!M492</f>
        <v>4.8625200000000004E-3</v>
      </c>
      <c r="N113">
        <f>pm.rep!N492</f>
        <v>1.53977E-3</v>
      </c>
      <c r="O113">
        <f>pm.rep!O492</f>
        <v>7.3968299999999999E-4</v>
      </c>
      <c r="P113">
        <f>pm.rep!P492</f>
        <v>7.3073599999999995E-4</v>
      </c>
      <c r="S113">
        <f>pm.rep!B471</f>
        <v>0</v>
      </c>
      <c r="T113">
        <f>pm.rep!C471</f>
        <v>4.0339800000000002E-2</v>
      </c>
      <c r="U113">
        <f>pm.rep!D471</f>
        <v>0.174343</v>
      </c>
      <c r="V113">
        <f>pm.rep!E471</f>
        <v>0.42954300000000001</v>
      </c>
      <c r="W113">
        <f>pm.rep!F471</f>
        <v>0.21182000000000001</v>
      </c>
      <c r="X113">
        <f>pm.rep!G471</f>
        <v>6.1158900000000002E-2</v>
      </c>
      <c r="Y113">
        <f>pm.rep!H471</f>
        <v>2.9696699999999999E-2</v>
      </c>
      <c r="Z113">
        <f>pm.rep!I471</f>
        <v>2.82705E-2</v>
      </c>
      <c r="AA113">
        <f>pm.rep!J471</f>
        <v>9.9722200000000004E-3</v>
      </c>
      <c r="AB113">
        <f>pm.rep!K471</f>
        <v>5.08881E-3</v>
      </c>
      <c r="AC113">
        <f>pm.rep!L471</f>
        <v>3.6076900000000002E-3</v>
      </c>
      <c r="AD113">
        <f>pm.rep!M471</f>
        <v>2.9052599999999998E-3</v>
      </c>
      <c r="AE113">
        <f>pm.rep!N471</f>
        <v>1.78079E-3</v>
      </c>
      <c r="AF113">
        <f>pm.rep!O471</f>
        <v>8.5052900000000004E-4</v>
      </c>
      <c r="AG113">
        <f>pm.rep!P471</f>
        <v>6.2339100000000005E-4</v>
      </c>
      <c r="AJ113" s="27">
        <f t="shared" si="64"/>
        <v>12.763070531841656</v>
      </c>
      <c r="AO113" s="28">
        <f t="shared" si="65"/>
        <v>1.5473340250850673</v>
      </c>
      <c r="AP113">
        <v>84.691546077684691</v>
      </c>
      <c r="AQ113">
        <f t="shared" si="66"/>
        <v>2004</v>
      </c>
      <c r="AR113" t="e">
        <f t="shared" si="49"/>
        <v>#DIV/0!</v>
      </c>
      <c r="AS113">
        <f t="shared" si="50"/>
        <v>-3.6862870350874624</v>
      </c>
      <c r="AT113">
        <f t="shared" si="51"/>
        <v>-1.9358641323851276</v>
      </c>
      <c r="AU113">
        <f t="shared" si="52"/>
        <v>3.0280381235844795</v>
      </c>
      <c r="AV113">
        <f t="shared" si="53"/>
        <v>1.8263566108451903</v>
      </c>
      <c r="AW113">
        <f t="shared" si="54"/>
        <v>0.69630854427509303</v>
      </c>
      <c r="AX113">
        <f t="shared" si="55"/>
        <v>0.45116910602805899</v>
      </c>
      <c r="AY113">
        <f t="shared" si="56"/>
        <v>0.72333147730290959</v>
      </c>
      <c r="AZ113">
        <f t="shared" si="57"/>
        <v>0.16949451070163266</v>
      </c>
      <c r="BA113">
        <f t="shared" si="58"/>
        <v>0.35732152228750191</v>
      </c>
      <c r="BB113">
        <f t="shared" si="59"/>
        <v>0.12569487819917269</v>
      </c>
      <c r="BC113">
        <f t="shared" si="60"/>
        <v>-0.25893830999329681</v>
      </c>
      <c r="BD113">
        <f t="shared" si="61"/>
        <v>5.6569169163752674E-2</v>
      </c>
      <c r="BE113">
        <f t="shared" si="62"/>
        <v>3.7521303469402627E-2</v>
      </c>
      <c r="BF113">
        <f t="shared" si="63"/>
        <v>-3.6557823726135641E-2</v>
      </c>
      <c r="BH113">
        <v>338.5924255012269</v>
      </c>
    </row>
    <row r="114" spans="1:60" x14ac:dyDescent="0.15">
      <c r="A114" s="21">
        <v>2006</v>
      </c>
      <c r="B114">
        <f>pm.rep!B493</f>
        <v>0</v>
      </c>
      <c r="C114">
        <f>pm.rep!C493</f>
        <v>0.12535299999999999</v>
      </c>
      <c r="D114">
        <f>pm.rep!D493</f>
        <v>0.13852900000000001</v>
      </c>
      <c r="E114">
        <f>pm.rep!E493</f>
        <v>0.22647300000000001</v>
      </c>
      <c r="F114">
        <f>pm.rep!F493</f>
        <v>0.234621</v>
      </c>
      <c r="G114">
        <f>pm.rep!G493</f>
        <v>0.14651600000000001</v>
      </c>
      <c r="H114">
        <f>pm.rep!H493</f>
        <v>7.0217100000000005E-2</v>
      </c>
      <c r="I114">
        <f>pm.rep!I493</f>
        <v>2.2395999999999999E-2</v>
      </c>
      <c r="J114">
        <f>pm.rep!J493</f>
        <v>1.0946600000000001E-2</v>
      </c>
      <c r="K114">
        <f>pm.rep!K493</f>
        <v>1.07502E-2</v>
      </c>
      <c r="L114">
        <f>pm.rep!L493</f>
        <v>5.2762099999999999E-3</v>
      </c>
      <c r="M114">
        <f>pm.rep!M493</f>
        <v>1.93377E-3</v>
      </c>
      <c r="N114">
        <f>pm.rep!N493</f>
        <v>1.8699599999999999E-3</v>
      </c>
      <c r="O114">
        <f>pm.rep!O493</f>
        <v>3.16132E-3</v>
      </c>
      <c r="P114">
        <f>pm.rep!P493</f>
        <v>1.9570400000000002E-3</v>
      </c>
      <c r="S114">
        <f>pm.rep!B472</f>
        <v>0</v>
      </c>
      <c r="T114">
        <f>pm.rep!C472</f>
        <v>7.0954500000000004E-2</v>
      </c>
      <c r="U114">
        <f>pm.rep!D472</f>
        <v>9.5906199999999997E-2</v>
      </c>
      <c r="V114">
        <f>pm.rep!E472</f>
        <v>0.20750199999999999</v>
      </c>
      <c r="W114">
        <f>pm.rep!F472</f>
        <v>0.236488</v>
      </c>
      <c r="X114">
        <f>pm.rep!G472</f>
        <v>0.18767400000000001</v>
      </c>
      <c r="Y114">
        <f>pm.rep!H472</f>
        <v>0.108739</v>
      </c>
      <c r="Z114">
        <f>pm.rep!I472</f>
        <v>3.7438300000000001E-2</v>
      </c>
      <c r="AA114">
        <f>pm.rep!J472</f>
        <v>1.8023000000000001E-2</v>
      </c>
      <c r="AB114">
        <f>pm.rep!K472</f>
        <v>1.37159E-2</v>
      </c>
      <c r="AC114">
        <f>pm.rep!L472</f>
        <v>7.9322100000000003E-3</v>
      </c>
      <c r="AD114">
        <f>pm.rep!M472</f>
        <v>5.5203099999999996E-3</v>
      </c>
      <c r="AE114">
        <f>pm.rep!N472</f>
        <v>2.9128000000000001E-3</v>
      </c>
      <c r="AF114">
        <f>pm.rep!O472</f>
        <v>3.3653400000000001E-3</v>
      </c>
      <c r="AG114">
        <f>pm.rep!P472</f>
        <v>3.8291100000000002E-3</v>
      </c>
      <c r="AJ114" s="27">
        <f t="shared" si="64"/>
        <v>96.393457923282241</v>
      </c>
      <c r="AO114" s="28">
        <f t="shared" ref="AO114:AO119" si="67">STDEV(AS114:BF114)</f>
        <v>0.69531288004442449</v>
      </c>
      <c r="AP114">
        <v>63.366336633663366</v>
      </c>
      <c r="AQ114">
        <f t="shared" ref="AQ114:AQ119" si="68">A114</f>
        <v>2006</v>
      </c>
      <c r="AR114" t="e">
        <f t="shared" ref="AR114:BF118" si="69">(S114-B114)/(SQRT(B114*(1-B114)/$AP114))</f>
        <v>#DIV/0!</v>
      </c>
      <c r="AS114">
        <f t="shared" si="69"/>
        <v>-1.3077732599670029</v>
      </c>
      <c r="AT114">
        <f t="shared" si="69"/>
        <v>-0.98215627481535372</v>
      </c>
      <c r="AU114">
        <f t="shared" si="69"/>
        <v>-0.3608058487310391</v>
      </c>
      <c r="AV114">
        <f t="shared" si="69"/>
        <v>3.5071303383678053E-2</v>
      </c>
      <c r="AW114">
        <f t="shared" si="69"/>
        <v>0.92649556375713826</v>
      </c>
      <c r="AX114">
        <f t="shared" si="69"/>
        <v>1.2001202887783708</v>
      </c>
      <c r="AY114">
        <f t="shared" si="69"/>
        <v>0.8092390501256107</v>
      </c>
      <c r="AZ114">
        <f t="shared" si="69"/>
        <v>0.54136749907501536</v>
      </c>
      <c r="BA114">
        <f t="shared" si="69"/>
        <v>0.22892607364811321</v>
      </c>
      <c r="BB114">
        <f t="shared" si="69"/>
        <v>0.29184017836567383</v>
      </c>
      <c r="BC114">
        <f t="shared" si="69"/>
        <v>0.64986461303058429</v>
      </c>
      <c r="BD114">
        <f t="shared" si="69"/>
        <v>0.19214861546594558</v>
      </c>
      <c r="BE114">
        <f t="shared" si="69"/>
        <v>2.8930462271664927E-2</v>
      </c>
      <c r="BF114">
        <f t="shared" si="69"/>
        <v>0.33719173029203853</v>
      </c>
      <c r="BH114">
        <v>364.33822190232559</v>
      </c>
    </row>
    <row r="115" spans="1:60" x14ac:dyDescent="0.15">
      <c r="A115" s="21">
        <v>2007</v>
      </c>
      <c r="B115">
        <f>pm.rep!B494</f>
        <v>0</v>
      </c>
      <c r="C115">
        <f>pm.rep!C494</f>
        <v>0.35106599999999999</v>
      </c>
      <c r="D115">
        <f>pm.rep!D494</f>
        <v>0.11167299999999999</v>
      </c>
      <c r="E115">
        <f>pm.rep!E494</f>
        <v>0.11122799999999999</v>
      </c>
      <c r="F115">
        <f>pm.rep!F494</f>
        <v>0.155912</v>
      </c>
      <c r="G115">
        <f>pm.rep!G494</f>
        <v>0.115841</v>
      </c>
      <c r="H115">
        <f>pm.rep!H494</f>
        <v>8.4376199999999998E-2</v>
      </c>
      <c r="I115">
        <f>pm.rep!I494</f>
        <v>3.4405100000000001E-2</v>
      </c>
      <c r="J115">
        <f>pm.rep!J494</f>
        <v>1.3331300000000001E-2</v>
      </c>
      <c r="K115">
        <f>pm.rep!K494</f>
        <v>6.6907800000000003E-3</v>
      </c>
      <c r="L115">
        <f>pm.rep!L494</f>
        <v>6.66893E-3</v>
      </c>
      <c r="M115">
        <f>pm.rep!M494</f>
        <v>3.2731100000000001E-3</v>
      </c>
      <c r="N115">
        <f>pm.rep!N494</f>
        <v>1.19962E-3</v>
      </c>
      <c r="O115">
        <f>pm.rep!O494</f>
        <v>1.16003E-3</v>
      </c>
      <c r="P115">
        <f>pm.rep!P494</f>
        <v>3.17519E-3</v>
      </c>
      <c r="S115">
        <f>pm.rep!B473</f>
        <v>0</v>
      </c>
      <c r="T115">
        <f>pm.rep!C473</f>
        <v>0.28363100000000002</v>
      </c>
      <c r="U115">
        <f>pm.rep!D473</f>
        <v>8.8362599999999999E-2</v>
      </c>
      <c r="V115">
        <f>pm.rep!E473</f>
        <v>0.118866</v>
      </c>
      <c r="W115">
        <f>pm.rep!F473</f>
        <v>0.18495500000000001</v>
      </c>
      <c r="X115">
        <f>pm.rep!G473</f>
        <v>0.162744</v>
      </c>
      <c r="Y115">
        <f>pm.rep!H473</f>
        <v>8.4482799999999997E-2</v>
      </c>
      <c r="Z115">
        <f>pm.rep!I473</f>
        <v>4.5938399999999997E-2</v>
      </c>
      <c r="AA115">
        <f>pm.rep!J473</f>
        <v>1.6638E-2</v>
      </c>
      <c r="AB115">
        <f>pm.rep!K473</f>
        <v>5.1898100000000004E-3</v>
      </c>
      <c r="AC115">
        <f>pm.rep!L473</f>
        <v>5.5768700000000003E-3</v>
      </c>
      <c r="AD115">
        <f>pm.rep!M473</f>
        <v>1.5847000000000001E-3</v>
      </c>
      <c r="AE115">
        <f>pm.rep!N473</f>
        <v>4.70989E-4</v>
      </c>
      <c r="AF115">
        <f>pm.rep!O473</f>
        <v>5.8042E-4</v>
      </c>
      <c r="AG115">
        <f>pm.rep!P473</f>
        <v>9.7914599999999997E-4</v>
      </c>
      <c r="AJ115" s="27">
        <f t="shared" si="64"/>
        <v>96.494741413550571</v>
      </c>
      <c r="AO115" s="28">
        <f t="shared" si="67"/>
        <v>0.55147843811422637</v>
      </c>
      <c r="AP115">
        <v>63.366336633663366</v>
      </c>
      <c r="AQ115">
        <f t="shared" si="68"/>
        <v>2007</v>
      </c>
      <c r="AR115" t="e">
        <f t="shared" si="69"/>
        <v>#DIV/0!</v>
      </c>
      <c r="AS115">
        <f t="shared" si="69"/>
        <v>-1.1246567960378728</v>
      </c>
      <c r="AT115">
        <f t="shared" si="69"/>
        <v>-0.58913999029992659</v>
      </c>
      <c r="AU115">
        <f t="shared" si="69"/>
        <v>0.1933778413697079</v>
      </c>
      <c r="AV115">
        <f t="shared" si="69"/>
        <v>0.63729005391467208</v>
      </c>
      <c r="AW115">
        <f t="shared" si="69"/>
        <v>1.1666312002593793</v>
      </c>
      <c r="AX115">
        <f t="shared" si="69"/>
        <v>3.0529380179001322E-3</v>
      </c>
      <c r="AY115">
        <f t="shared" si="69"/>
        <v>0.5037023709516516</v>
      </c>
      <c r="AZ115">
        <f t="shared" si="69"/>
        <v>0.22951029383833799</v>
      </c>
      <c r="BA115">
        <f t="shared" si="69"/>
        <v>-0.14656177086075362</v>
      </c>
      <c r="BB115">
        <f t="shared" si="69"/>
        <v>-0.10680724446731826</v>
      </c>
      <c r="BC115">
        <f t="shared" si="69"/>
        <v>-0.23530915693069712</v>
      </c>
      <c r="BD115">
        <f t="shared" si="69"/>
        <v>-0.16756208140552956</v>
      </c>
      <c r="BE115">
        <f t="shared" si="69"/>
        <v>-0.13554471943334936</v>
      </c>
      <c r="BF115">
        <f t="shared" si="69"/>
        <v>-0.31072490158040789</v>
      </c>
    </row>
    <row r="116" spans="1:60" x14ac:dyDescent="0.15">
      <c r="A116" s="21">
        <v>2008</v>
      </c>
      <c r="B116">
        <f>pm.rep!B495</f>
        <v>0</v>
      </c>
      <c r="C116">
        <f>pm.rep!C495</f>
        <v>0.54394799999999999</v>
      </c>
      <c r="D116">
        <f>pm.rep!D495</f>
        <v>0.20409099999999999</v>
      </c>
      <c r="E116">
        <f>pm.rep!E495</f>
        <v>5.8278999999999997E-2</v>
      </c>
      <c r="F116">
        <f>pm.rep!F495</f>
        <v>5.0035499999999997E-2</v>
      </c>
      <c r="G116">
        <f>pm.rep!G495</f>
        <v>4.9290199999999999E-2</v>
      </c>
      <c r="H116">
        <f>pm.rep!H495</f>
        <v>4.14244E-2</v>
      </c>
      <c r="I116">
        <f>pm.rep!I495</f>
        <v>2.6140900000000002E-2</v>
      </c>
      <c r="J116">
        <f>pm.rep!J495</f>
        <v>1.29661E-2</v>
      </c>
      <c r="K116">
        <f>pm.rep!K495</f>
        <v>5.1595599999999997E-3</v>
      </c>
      <c r="L116">
        <f>pm.rep!L495</f>
        <v>2.6154500000000001E-3</v>
      </c>
      <c r="M116">
        <f>pm.rep!M495</f>
        <v>2.60691E-3</v>
      </c>
      <c r="N116">
        <f>pm.rep!N495</f>
        <v>1.27947E-3</v>
      </c>
      <c r="O116">
        <f>pm.rep!O495</f>
        <v>4.6893599999999998E-4</v>
      </c>
      <c r="P116">
        <f>pm.rep!P495</f>
        <v>1.69466E-3</v>
      </c>
      <c r="S116">
        <f>pm.rep!B474</f>
        <v>0</v>
      </c>
      <c r="T116">
        <f>pm.rep!C474</f>
        <v>0.62245099999999998</v>
      </c>
      <c r="U116">
        <f>pm.rep!D474</f>
        <v>0.22101899999999999</v>
      </c>
      <c r="V116">
        <f>pm.rep!E474</f>
        <v>3.0934799999999998E-2</v>
      </c>
      <c r="W116">
        <f>pm.rep!F474</f>
        <v>2.2896E-2</v>
      </c>
      <c r="X116">
        <f>pm.rep!G474</f>
        <v>3.6459800000000001E-2</v>
      </c>
      <c r="Y116">
        <f>pm.rep!H474</f>
        <v>2.8361500000000001E-2</v>
      </c>
      <c r="Z116">
        <f>pm.rep!I474</f>
        <v>1.51453E-2</v>
      </c>
      <c r="AA116">
        <f>pm.rep!J474</f>
        <v>1.2473E-2</v>
      </c>
      <c r="AB116">
        <f>pm.rep!K474</f>
        <v>3.20682E-3</v>
      </c>
      <c r="AC116">
        <f>pm.rep!L474</f>
        <v>3.2455299999999999E-3</v>
      </c>
      <c r="AD116">
        <f>pm.rep!M474</f>
        <v>1.4844400000000001E-3</v>
      </c>
      <c r="AE116">
        <f>pm.rep!N474</f>
        <v>9.5449900000000004E-4</v>
      </c>
      <c r="AF116">
        <f>pm.rep!O474</f>
        <v>4.12979E-4</v>
      </c>
      <c r="AG116">
        <f>pm.rep!P474</f>
        <v>9.5483299999999998E-4</v>
      </c>
      <c r="AJ116" s="27">
        <f t="shared" si="64"/>
        <v>77.598900782635425</v>
      </c>
      <c r="AO116" s="28">
        <f t="shared" si="67"/>
        <v>0.54509932486561485</v>
      </c>
      <c r="AP116">
        <v>60.929169840060929</v>
      </c>
      <c r="AQ116">
        <f t="shared" si="68"/>
        <v>2008</v>
      </c>
      <c r="AR116" t="e">
        <f t="shared" si="69"/>
        <v>#DIV/0!</v>
      </c>
      <c r="AS116">
        <f t="shared" si="69"/>
        <v>1.2303056251106268</v>
      </c>
      <c r="AT116">
        <f t="shared" si="69"/>
        <v>0.32784959096421945</v>
      </c>
      <c r="AU116">
        <f t="shared" si="69"/>
        <v>-0.91108873978957572</v>
      </c>
      <c r="AV116">
        <f t="shared" si="69"/>
        <v>-0.97167641768310176</v>
      </c>
      <c r="AW116">
        <f t="shared" si="69"/>
        <v>-0.46264572241238028</v>
      </c>
      <c r="AX116">
        <f t="shared" si="69"/>
        <v>-0.51169471836517055</v>
      </c>
      <c r="AY116">
        <f t="shared" si="69"/>
        <v>-0.53792686197941897</v>
      </c>
      <c r="AZ116">
        <f t="shared" si="69"/>
        <v>-3.4023337650362501E-2</v>
      </c>
      <c r="BA116">
        <f t="shared" si="69"/>
        <v>-0.21275217265710461</v>
      </c>
      <c r="BB116">
        <f t="shared" si="69"/>
        <v>9.62950129007831E-2</v>
      </c>
      <c r="BC116">
        <f t="shared" si="69"/>
        <v>-0.17182690853526922</v>
      </c>
      <c r="BD116">
        <f t="shared" si="69"/>
        <v>-7.096107643813615E-2</v>
      </c>
      <c r="BE116">
        <f t="shared" si="69"/>
        <v>-2.0174933782971947E-2</v>
      </c>
      <c r="BF116">
        <f t="shared" si="69"/>
        <v>-0.14040087709366331</v>
      </c>
    </row>
    <row r="117" spans="1:60" x14ac:dyDescent="0.15">
      <c r="A117" s="21">
        <f>pm.rep!A496</f>
        <v>2009</v>
      </c>
      <c r="B117">
        <f>pm.rep!B496</f>
        <v>0</v>
      </c>
      <c r="C117">
        <f>pm.rep!C496</f>
        <v>0.29369600000000001</v>
      </c>
      <c r="D117">
        <f>pm.rep!D496</f>
        <v>0.430149</v>
      </c>
      <c r="E117">
        <f>pm.rep!E496</f>
        <v>0.14706900000000001</v>
      </c>
      <c r="F117">
        <f>pm.rep!F496</f>
        <v>3.7205500000000002E-2</v>
      </c>
      <c r="G117">
        <f>pm.rep!G496</f>
        <v>2.3099000000000001E-2</v>
      </c>
      <c r="H117">
        <f>pm.rep!H496</f>
        <v>2.4429599999999999E-2</v>
      </c>
      <c r="I117">
        <f>pm.rep!I496</f>
        <v>1.7312899999999999E-2</v>
      </c>
      <c r="J117">
        <f>pm.rep!J496</f>
        <v>1.3254699999999999E-2</v>
      </c>
      <c r="K117">
        <f>pm.rep!K496</f>
        <v>6.6163599999999999E-3</v>
      </c>
      <c r="L117">
        <f>pm.rep!L496</f>
        <v>2.6750699999999999E-3</v>
      </c>
      <c r="M117">
        <f>pm.rep!M496</f>
        <v>1.35603E-3</v>
      </c>
      <c r="N117">
        <f>pm.rep!N496</f>
        <v>1.3515999999999999E-3</v>
      </c>
      <c r="O117">
        <f>pm.rep!O496</f>
        <v>6.6336599999999998E-4</v>
      </c>
      <c r="P117">
        <f>pm.rep!P496</f>
        <v>1.1217499999999999E-3</v>
      </c>
      <c r="S117">
        <f>pm.rep!B475</f>
        <v>0</v>
      </c>
      <c r="T117">
        <f>pm.rep!C475</f>
        <v>0.27786699999999998</v>
      </c>
      <c r="U117">
        <f>pm.rep!D475</f>
        <v>0.58345400000000003</v>
      </c>
      <c r="V117">
        <f>pm.rep!E475</f>
        <v>6.9321400000000005E-2</v>
      </c>
      <c r="W117">
        <f>pm.rep!F475</f>
        <v>1.0822200000000001E-2</v>
      </c>
      <c r="X117">
        <f>pm.rep!G475</f>
        <v>1.18161E-2</v>
      </c>
      <c r="Y117">
        <f>pm.rep!H475</f>
        <v>1.7602199999999998E-2</v>
      </c>
      <c r="Z117">
        <f>pm.rep!I475</f>
        <v>1.30732E-2</v>
      </c>
      <c r="AA117">
        <f>pm.rep!J475</f>
        <v>7.2459899999999999E-3</v>
      </c>
      <c r="AB117">
        <f>pm.rep!K475</f>
        <v>5.5134600000000004E-3</v>
      </c>
      <c r="AC117">
        <f>pm.rep!L475</f>
        <v>1.9325099999999999E-3</v>
      </c>
      <c r="AD117">
        <f>pm.rep!M475</f>
        <v>7.5251300000000001E-4</v>
      </c>
      <c r="AE117">
        <f>pm.rep!N475</f>
        <v>1.7954000000000001E-4</v>
      </c>
      <c r="AF117">
        <f>pm.rep!O475</f>
        <v>1.45549E-4</v>
      </c>
      <c r="AG117">
        <f>pm.rep!P475</f>
        <v>2.7432999999999998E-4</v>
      </c>
      <c r="AJ117" s="27">
        <f t="shared" si="64"/>
        <v>22.913275885003564</v>
      </c>
      <c r="AO117" s="28">
        <f t="shared" si="67"/>
        <v>0.80104079310198117</v>
      </c>
      <c r="AP117">
        <v>50</v>
      </c>
      <c r="AQ117">
        <f t="shared" si="68"/>
        <v>2009</v>
      </c>
      <c r="AR117" t="e">
        <f t="shared" si="69"/>
        <v>#DIV/0!</v>
      </c>
      <c r="AS117">
        <f t="shared" si="69"/>
        <v>-0.24575005999470856</v>
      </c>
      <c r="AT117">
        <f t="shared" si="69"/>
        <v>2.1895315396803583</v>
      </c>
      <c r="AU117">
        <f t="shared" si="69"/>
        <v>-1.5522242872547187</v>
      </c>
      <c r="AV117">
        <f t="shared" si="69"/>
        <v>-0.98569770397119316</v>
      </c>
      <c r="AW117">
        <f t="shared" si="69"/>
        <v>-0.53110926143856241</v>
      </c>
      <c r="AX117">
        <f t="shared" si="69"/>
        <v>-0.31271798894145314</v>
      </c>
      <c r="AY117">
        <f t="shared" si="69"/>
        <v>-0.22984104710061443</v>
      </c>
      <c r="AZ117">
        <f t="shared" si="69"/>
        <v>-0.3715170603461358</v>
      </c>
      <c r="BA117">
        <f t="shared" si="69"/>
        <v>-9.619512726059852E-2</v>
      </c>
      <c r="BB117">
        <f t="shared" si="69"/>
        <v>-0.10165544367843424</v>
      </c>
      <c r="BC117">
        <f t="shared" si="69"/>
        <v>-0.11596702586525864</v>
      </c>
      <c r="BD117">
        <f t="shared" si="69"/>
        <v>-0.22558200373805307</v>
      </c>
      <c r="BE117">
        <f t="shared" si="69"/>
        <v>-0.14220956175847638</v>
      </c>
      <c r="BF117">
        <f t="shared" si="69"/>
        <v>-0.17901086630649118</v>
      </c>
    </row>
    <row r="118" spans="1:60" x14ac:dyDescent="0.15">
      <c r="A118" s="21">
        <f>pm.rep!A497</f>
        <v>2010</v>
      </c>
      <c r="B118">
        <f>pm.rep!B497</f>
        <v>0</v>
      </c>
      <c r="C118">
        <f>pm.rep!C497</f>
        <v>0.614811</v>
      </c>
      <c r="D118">
        <f>pm.rep!D497</f>
        <v>0.129023</v>
      </c>
      <c r="E118">
        <f>pm.rep!E497</f>
        <v>0.168125</v>
      </c>
      <c r="F118">
        <f>pm.rep!F497</f>
        <v>5.1811900000000001E-2</v>
      </c>
      <c r="G118">
        <f>pm.rep!G497</f>
        <v>1.02851E-2</v>
      </c>
      <c r="H118">
        <f>pm.rep!H497</f>
        <v>7.0108799999999997E-3</v>
      </c>
      <c r="I118">
        <f>pm.rep!I497</f>
        <v>5.9532500000000002E-3</v>
      </c>
      <c r="J118">
        <f>pm.rep!J497</f>
        <v>5.06545E-3</v>
      </c>
      <c r="K118">
        <f>pm.rep!K497</f>
        <v>3.8727900000000001E-3</v>
      </c>
      <c r="L118">
        <f>pm.rep!L497</f>
        <v>1.93983E-3</v>
      </c>
      <c r="M118">
        <f>pm.rep!M497</f>
        <v>7.8429499999999996E-4</v>
      </c>
      <c r="N118">
        <f>pm.rep!N497</f>
        <v>3.9756999999999998E-4</v>
      </c>
      <c r="O118">
        <f>pm.rep!O497</f>
        <v>3.9627199999999998E-4</v>
      </c>
      <c r="P118">
        <f>pm.rep!P497</f>
        <v>5.2337300000000005E-4</v>
      </c>
      <c r="S118">
        <f>pm.rep!B476</f>
        <v>0</v>
      </c>
      <c r="T118">
        <f>pm.rep!C476</f>
        <v>0.63805000000000001</v>
      </c>
      <c r="U118">
        <f>pm.rep!D476</f>
        <v>9.7123799999999996E-2</v>
      </c>
      <c r="V118">
        <f>pm.rep!E476</f>
        <v>0.21784300000000001</v>
      </c>
      <c r="W118">
        <f>pm.rep!F476</f>
        <v>3.8276400000000002E-2</v>
      </c>
      <c r="X118">
        <f>pm.rep!G476</f>
        <v>4.6190500000000004E-3</v>
      </c>
      <c r="Y118">
        <f>pm.rep!H476</f>
        <v>6.20599E-4</v>
      </c>
      <c r="Z118">
        <f>pm.rep!I476</f>
        <v>7.3831799999999996E-4</v>
      </c>
      <c r="AA118">
        <f>pm.rep!J476</f>
        <v>6.7735600000000005E-4</v>
      </c>
      <c r="AB118">
        <f>pm.rep!K476</f>
        <v>6.4644500000000005E-4</v>
      </c>
      <c r="AC118">
        <f>pm.rep!L476</f>
        <v>5.97655E-4</v>
      </c>
      <c r="AD118">
        <f>pm.rep!M476</f>
        <v>2.6026700000000001E-4</v>
      </c>
      <c r="AE118">
        <f>pm.rep!N476</f>
        <v>1.93418E-4</v>
      </c>
      <c r="AF118">
        <f>pm.rep!O476</f>
        <v>1.2924200000000001E-4</v>
      </c>
      <c r="AG118">
        <f>pm.rep!P476</f>
        <v>2.23699E-4</v>
      </c>
      <c r="AJ118" s="27">
        <f>SUMPRODUCT((1-B118:P118),B118:P118)/SUMXMY2(B118:P118,S118:AG118)</f>
        <v>132.15259660026618</v>
      </c>
      <c r="AO118" s="28">
        <f t="shared" si="67"/>
        <v>0.41381187086988253</v>
      </c>
      <c r="AP118">
        <v>50</v>
      </c>
      <c r="AQ118">
        <f t="shared" si="68"/>
        <v>2010</v>
      </c>
      <c r="AR118" t="e">
        <f t="shared" si="69"/>
        <v>#DIV/0!</v>
      </c>
      <c r="AS118">
        <f t="shared" si="69"/>
        <v>0.33767171640868343</v>
      </c>
      <c r="AT118">
        <f t="shared" si="69"/>
        <v>-0.67286491325068032</v>
      </c>
      <c r="AU118">
        <f t="shared" si="69"/>
        <v>0.94005544025116583</v>
      </c>
      <c r="AV118">
        <f t="shared" si="69"/>
        <v>-0.43181457384569882</v>
      </c>
      <c r="AW118">
        <f t="shared" si="69"/>
        <v>-0.39710567284838633</v>
      </c>
      <c r="AX118">
        <f t="shared" si="69"/>
        <v>-0.54155983360558335</v>
      </c>
      <c r="AY118">
        <f t="shared" si="69"/>
        <v>-0.4793505023103658</v>
      </c>
      <c r="AZ118">
        <f t="shared" si="69"/>
        <v>-0.43707367716016665</v>
      </c>
      <c r="BA118">
        <f t="shared" si="69"/>
        <v>-0.3673046546454411</v>
      </c>
      <c r="BB118">
        <f t="shared" si="69"/>
        <v>-0.21569195626796028</v>
      </c>
      <c r="BC118">
        <f t="shared" si="69"/>
        <v>-0.13236408025649055</v>
      </c>
      <c r="BD118">
        <f t="shared" si="69"/>
        <v>-7.2413274502410113E-2</v>
      </c>
      <c r="BE118">
        <f t="shared" si="69"/>
        <v>-9.4871208095456863E-2</v>
      </c>
      <c r="BF118">
        <f t="shared" si="69"/>
        <v>-9.2649288509617039E-2</v>
      </c>
    </row>
    <row r="119" spans="1:60" x14ac:dyDescent="0.15">
      <c r="A119" s="21">
        <f>pm.rep!A498</f>
        <v>2012</v>
      </c>
      <c r="B119">
        <f>pm.rep!B498</f>
        <v>0</v>
      </c>
      <c r="C119">
        <f>pm.rep!C498</f>
        <v>0.171822</v>
      </c>
      <c r="D119">
        <f>pm.rep!D498</f>
        <v>0.23314699999999999</v>
      </c>
      <c r="E119">
        <f>pm.rep!E498</f>
        <v>0.43938100000000002</v>
      </c>
      <c r="F119">
        <f>pm.rep!F498</f>
        <v>8.0008800000000005E-2</v>
      </c>
      <c r="G119">
        <f>pm.rep!G498</f>
        <v>5.0343100000000002E-2</v>
      </c>
      <c r="H119">
        <f>pm.rep!H498</f>
        <v>1.4257499999999999E-2</v>
      </c>
      <c r="I119">
        <f>pm.rep!I498</f>
        <v>2.8425E-3</v>
      </c>
      <c r="J119">
        <f>pm.rep!J498</f>
        <v>1.9167399999999999E-3</v>
      </c>
      <c r="K119">
        <f>pm.rep!K498</f>
        <v>1.9498499999999999E-3</v>
      </c>
      <c r="L119">
        <f>pm.rep!L498</f>
        <v>1.68728E-3</v>
      </c>
      <c r="M119">
        <f>pm.rep!M498</f>
        <v>1.2938699999999999E-3</v>
      </c>
      <c r="N119">
        <f>pm.rep!N498</f>
        <v>6.4808400000000005E-4</v>
      </c>
      <c r="O119">
        <f>pm.rep!O498</f>
        <v>2.6202799999999998E-4</v>
      </c>
      <c r="P119">
        <f>pm.rep!P498</f>
        <v>4.4007300000000003E-4</v>
      </c>
      <c r="S119">
        <f>pm.rep!B477</f>
        <v>0</v>
      </c>
      <c r="T119">
        <f>pm.rep!C477</f>
        <v>0.29742000000000002</v>
      </c>
      <c r="U119">
        <f>pm.rep!D477</f>
        <v>0.24856300000000001</v>
      </c>
      <c r="V119">
        <f>pm.rep!E477</f>
        <v>0.37030099999999999</v>
      </c>
      <c r="W119">
        <f>pm.rep!F477</f>
        <v>3.07009E-2</v>
      </c>
      <c r="X119">
        <f>pm.rep!G477</f>
        <v>3.7281300000000003E-2</v>
      </c>
      <c r="Y119">
        <f>pm.rep!H477</f>
        <v>9.6402099999999998E-3</v>
      </c>
      <c r="Z119">
        <f>pm.rep!I477</f>
        <v>1.9818000000000001E-3</v>
      </c>
      <c r="AA119">
        <f>pm.rep!J477</f>
        <v>1.26224E-3</v>
      </c>
      <c r="AB119">
        <f>pm.rep!K477</f>
        <v>9.7876600000000005E-4</v>
      </c>
      <c r="AC119">
        <f>pm.rep!L477</f>
        <v>9.9498800000000004E-4</v>
      </c>
      <c r="AD119">
        <f>pm.rep!M477</f>
        <v>2.9777500000000001E-4</v>
      </c>
      <c r="AE119">
        <f>pm.rep!N477</f>
        <v>3.7759399999999998E-4</v>
      </c>
      <c r="AF119">
        <f>pm.rep!O477</f>
        <v>8.9782400000000003E-5</v>
      </c>
      <c r="AG119">
        <f>pm.rep!P477</f>
        <v>1.10802E-4</v>
      </c>
      <c r="AJ119" s="27">
        <f>SUMPRODUCT((1-B119:P119),B119:P119)/SUMXMY2(B119:P119,S119:AG119)</f>
        <v>30.493663956463017</v>
      </c>
      <c r="AO119" s="28">
        <f t="shared" si="67"/>
        <v>0.80796027357643341</v>
      </c>
      <c r="AP119">
        <v>50</v>
      </c>
      <c r="AQ119">
        <f t="shared" si="68"/>
        <v>2012</v>
      </c>
      <c r="AR119" t="e">
        <f t="shared" ref="AR119:BF119" si="70">(S119-B119)/(SQRT(B119*(1-B119)/$AP119))</f>
        <v>#DIV/0!</v>
      </c>
      <c r="AS119">
        <f t="shared" si="70"/>
        <v>2.3543254442514399</v>
      </c>
      <c r="AT119">
        <f t="shared" si="70"/>
        <v>0.25780167074154742</v>
      </c>
      <c r="AU119">
        <f t="shared" si="70"/>
        <v>-0.98419870304091905</v>
      </c>
      <c r="AV119">
        <f t="shared" si="70"/>
        <v>-1.285111451962305</v>
      </c>
      <c r="AW119">
        <f t="shared" si="70"/>
        <v>-0.42241048570913453</v>
      </c>
      <c r="AX119">
        <f t="shared" si="70"/>
        <v>-0.27540303606065969</v>
      </c>
      <c r="AY119">
        <f t="shared" si="70"/>
        <v>-0.1143153863348845</v>
      </c>
      <c r="AZ119">
        <f t="shared" si="70"/>
        <v>-0.10581071868151369</v>
      </c>
      <c r="BA119">
        <f t="shared" si="70"/>
        <v>-0.15565569581789337</v>
      </c>
      <c r="BB119">
        <f t="shared" si="70"/>
        <v>-0.11927445298660731</v>
      </c>
      <c r="BC119">
        <f t="shared" si="70"/>
        <v>-0.19593931383465349</v>
      </c>
      <c r="BD119">
        <f t="shared" si="70"/>
        <v>-7.51555991691331E-2</v>
      </c>
      <c r="BE119">
        <f t="shared" si="70"/>
        <v>-7.5251678952578005E-2</v>
      </c>
      <c r="BF119">
        <f t="shared" si="70"/>
        <v>-0.11101245435715801</v>
      </c>
    </row>
    <row r="120" spans="1:60" x14ac:dyDescent="0.15">
      <c r="A120" s="21">
        <f>pm.rep!A499</f>
        <v>2014</v>
      </c>
      <c r="B120">
        <f>pm.rep!B499</f>
        <v>0</v>
      </c>
      <c r="C120">
        <f>pm.rep!C499</f>
        <v>0.60579400000000005</v>
      </c>
      <c r="D120">
        <f>pm.rep!D499</f>
        <v>8.7000800000000003E-2</v>
      </c>
      <c r="E120">
        <f>pm.rep!E499</f>
        <v>7.7964099999999995E-2</v>
      </c>
      <c r="F120">
        <f>pm.rep!F499</f>
        <v>8.50191E-2</v>
      </c>
      <c r="G120">
        <f>pm.rep!G499</f>
        <v>0.111447</v>
      </c>
      <c r="H120">
        <f>pm.rep!H499</f>
        <v>1.8691300000000001E-2</v>
      </c>
      <c r="I120">
        <f>pm.rep!I499</f>
        <v>9.4123399999999999E-3</v>
      </c>
      <c r="J120">
        <f>pm.rep!J499</f>
        <v>2.4265799999999998E-3</v>
      </c>
      <c r="K120">
        <f>pm.rep!K499</f>
        <v>5.7127299999999996E-4</v>
      </c>
      <c r="L120">
        <f>pm.rep!L499</f>
        <v>3.8975799999999998E-4</v>
      </c>
      <c r="M120">
        <f>pm.rep!M499</f>
        <v>3.9848500000000002E-4</v>
      </c>
      <c r="N120">
        <f>pm.rep!N499</f>
        <v>3.4482399999999998E-4</v>
      </c>
      <c r="O120">
        <f>pm.rep!O499</f>
        <v>2.6442499999999999E-4</v>
      </c>
      <c r="P120">
        <f>pm.rep!P499</f>
        <v>2.7593399999999998E-4</v>
      </c>
      <c r="S120">
        <f>pm.rep!B478</f>
        <v>0</v>
      </c>
      <c r="T120">
        <f>pm.rep!C478</f>
        <v>0.66548799999999997</v>
      </c>
      <c r="U120">
        <f>pm.rep!D478</f>
        <v>7.2712100000000002E-2</v>
      </c>
      <c r="V120">
        <f>pm.rep!E478</f>
        <v>8.5023600000000005E-2</v>
      </c>
      <c r="W120">
        <f>pm.rep!F478</f>
        <v>6.8931699999999999E-2</v>
      </c>
      <c r="X120">
        <f>pm.rep!G478</f>
        <v>7.5288900000000006E-2</v>
      </c>
      <c r="Y120">
        <f>pm.rep!H478</f>
        <v>2.4481800000000001E-2</v>
      </c>
      <c r="Z120">
        <f>pm.rep!I478</f>
        <v>5.1673600000000002E-3</v>
      </c>
      <c r="AA120">
        <f>pm.rep!J478</f>
        <v>1.6588099999999999E-3</v>
      </c>
      <c r="AB120">
        <f>pm.rep!K478</f>
        <v>4.5017599999999999E-4</v>
      </c>
      <c r="AC120">
        <f>pm.rep!L478</f>
        <v>2.1221200000000001E-4</v>
      </c>
      <c r="AD120">
        <f>pm.rep!M478</f>
        <v>1.3956099999999999E-4</v>
      </c>
      <c r="AE120">
        <f>pm.rep!N478</f>
        <v>2.1548699999999999E-4</v>
      </c>
      <c r="AF120">
        <f>pm.rep!O478</f>
        <v>9.6175000000000007E-5</v>
      </c>
      <c r="AG120">
        <f>pm.rep!P478</f>
        <v>1.3444100000000001E-4</v>
      </c>
      <c r="AJ120" s="27"/>
      <c r="AO120" s="28"/>
    </row>
    <row r="121" spans="1:60" x14ac:dyDescent="0.15">
      <c r="A121" s="21">
        <f>pm.rep!A500</f>
        <v>2016</v>
      </c>
      <c r="B121">
        <f>pm.rep!B500</f>
        <v>0</v>
      </c>
      <c r="C121">
        <f>pm.rep!C500</f>
        <v>0.18871399999999999</v>
      </c>
      <c r="D121">
        <f>pm.rep!D500</f>
        <v>0.26739200000000002</v>
      </c>
      <c r="E121">
        <f>pm.rep!E500</f>
        <v>0.393376</v>
      </c>
      <c r="F121">
        <f>pm.rep!F500</f>
        <v>4.7548600000000003E-2</v>
      </c>
      <c r="G121">
        <f>pm.rep!G500</f>
        <v>2.94249E-2</v>
      </c>
      <c r="H121">
        <f>pm.rep!H500</f>
        <v>2.7460399999999999E-2</v>
      </c>
      <c r="I121">
        <f>pm.rep!I500</f>
        <v>3.5632700000000003E-2</v>
      </c>
      <c r="J121">
        <f>pm.rep!J500</f>
        <v>5.61036E-3</v>
      </c>
      <c r="K121">
        <f>pm.rep!K500</f>
        <v>3.3219E-3</v>
      </c>
      <c r="L121">
        <f>pm.rep!L500</f>
        <v>7.9511100000000004E-4</v>
      </c>
      <c r="M121">
        <f>pm.rep!M500</f>
        <v>1.8442999999999999E-4</v>
      </c>
      <c r="N121">
        <f>pm.rep!N500</f>
        <v>1.2583000000000001E-4</v>
      </c>
      <c r="O121">
        <f>pm.rep!O500</f>
        <v>1.2864699999999999E-4</v>
      </c>
      <c r="P121">
        <f>pm.rep!P500</f>
        <v>2.8577300000000002E-4</v>
      </c>
      <c r="S121">
        <f>pm.rep!B479</f>
        <v>0</v>
      </c>
      <c r="T121">
        <f>pm.rep!C479</f>
        <v>9.5130599999999996E-2</v>
      </c>
      <c r="U121">
        <f>pm.rep!D479</f>
        <v>0.40145999999999998</v>
      </c>
      <c r="V121">
        <f>pm.rep!E479</f>
        <v>0.35024100000000002</v>
      </c>
      <c r="W121">
        <f>pm.rep!F479</f>
        <v>8.2686899999999994E-2</v>
      </c>
      <c r="X121">
        <f>pm.rep!G479</f>
        <v>2.37121E-2</v>
      </c>
      <c r="Y121">
        <f>pm.rep!H479</f>
        <v>2.1854200000000001E-2</v>
      </c>
      <c r="Z121">
        <f>pm.rep!I479</f>
        <v>1.96618E-2</v>
      </c>
      <c r="AA121">
        <f>pm.rep!J479</f>
        <v>3.3687000000000001E-3</v>
      </c>
      <c r="AB121">
        <f>pm.rep!K479</f>
        <v>1.3037599999999999E-3</v>
      </c>
      <c r="AC121">
        <f>pm.rep!L479</f>
        <v>3.27404E-4</v>
      </c>
      <c r="AD121">
        <f>pm.rep!M479</f>
        <v>1.06235E-4</v>
      </c>
      <c r="AE121">
        <f>pm.rep!N479</f>
        <v>7.6722299999999996E-5</v>
      </c>
      <c r="AF121">
        <f>pm.rep!O479</f>
        <v>1.8813699999999999E-5</v>
      </c>
      <c r="AG121">
        <f>pm.rep!P479</f>
        <v>5.2370500000000003E-5</v>
      </c>
      <c r="AJ121" s="27"/>
      <c r="AO121" s="28"/>
    </row>
    <row r="122" spans="1:60" x14ac:dyDescent="0.15">
      <c r="AJ122" s="27"/>
    </row>
    <row r="123" spans="1:60" x14ac:dyDescent="0.15">
      <c r="AJ123" s="27"/>
    </row>
    <row r="124" spans="1:60" x14ac:dyDescent="0.15">
      <c r="D124" s="21">
        <v>1982</v>
      </c>
      <c r="E124" s="21">
        <v>1983</v>
      </c>
      <c r="F124" s="21">
        <v>1984</v>
      </c>
      <c r="G124" s="21">
        <v>1985</v>
      </c>
      <c r="H124" s="21">
        <v>1986</v>
      </c>
      <c r="I124" s="21">
        <v>1987</v>
      </c>
      <c r="J124" s="21">
        <v>1988</v>
      </c>
      <c r="K124" s="21">
        <v>1989</v>
      </c>
      <c r="L124" s="21">
        <v>1990</v>
      </c>
      <c r="M124" s="21">
        <v>1991</v>
      </c>
      <c r="N124" s="21">
        <v>1992</v>
      </c>
      <c r="O124" s="21">
        <v>1993</v>
      </c>
      <c r="P124" s="21">
        <v>1994</v>
      </c>
      <c r="Q124" s="21">
        <v>1995</v>
      </c>
      <c r="R124" s="21">
        <v>1996</v>
      </c>
      <c r="S124" s="21">
        <v>1997</v>
      </c>
      <c r="T124" s="21">
        <v>1998</v>
      </c>
      <c r="U124" s="21">
        <v>1999</v>
      </c>
      <c r="V124" s="21">
        <v>2000</v>
      </c>
      <c r="W124" s="21">
        <v>2001</v>
      </c>
      <c r="X124" s="21">
        <v>2002</v>
      </c>
      <c r="Y124" s="21">
        <v>2003</v>
      </c>
      <c r="Z124" s="21">
        <v>2004</v>
      </c>
      <c r="AA124" s="21">
        <v>2005</v>
      </c>
      <c r="AB124" s="21">
        <v>2006</v>
      </c>
      <c r="AC124" s="21">
        <v>2007</v>
      </c>
      <c r="AD124" s="21">
        <v>2008</v>
      </c>
      <c r="AE124" s="21">
        <v>2009</v>
      </c>
      <c r="AF124" s="21">
        <v>2010</v>
      </c>
      <c r="AG124" s="21">
        <v>2011</v>
      </c>
      <c r="AH124" s="21">
        <v>2012</v>
      </c>
      <c r="AI124" s="21"/>
      <c r="AJ124" s="27">
        <f>AVERAGE(AJ102:AJ119)</f>
        <v>79.233092980948925</v>
      </c>
    </row>
    <row r="125" spans="1:60" x14ac:dyDescent="0.15">
      <c r="C125" t="str">
        <f>Summary!U6</f>
        <v>Predicted</v>
      </c>
      <c r="D125">
        <f>Summary!V6</f>
        <v>6310.33</v>
      </c>
      <c r="E125">
        <f>Summary!W6</f>
        <v>6929.87</v>
      </c>
      <c r="F125">
        <f>Summary!X6</f>
        <v>5254.46</v>
      </c>
      <c r="G125">
        <f>Summary!Y6</f>
        <v>6348.25</v>
      </c>
      <c r="H125">
        <f>Summary!Z6</f>
        <v>5121.55</v>
      </c>
      <c r="I125">
        <f>Summary!AA6</f>
        <v>7347.19</v>
      </c>
      <c r="J125">
        <f>Summary!AB6</f>
        <v>8657.6</v>
      </c>
      <c r="K125">
        <f>Summary!AC6</f>
        <v>7786.73</v>
      </c>
      <c r="L125">
        <f>Summary!AD6</f>
        <v>5958.58</v>
      </c>
      <c r="M125">
        <f>Summary!AE6</f>
        <v>4226.82</v>
      </c>
      <c r="N125">
        <f>Summary!AF6</f>
        <v>3952.03</v>
      </c>
      <c r="O125">
        <f>Summary!AG6</f>
        <v>4540.47</v>
      </c>
      <c r="P125">
        <f>Summary!AH6</f>
        <v>4557.5</v>
      </c>
      <c r="Q125">
        <f>Summary!AI6</f>
        <v>3458.3</v>
      </c>
      <c r="R125">
        <f>Summary!AJ6</f>
        <v>2700.03</v>
      </c>
      <c r="S125">
        <f>Summary!AK6</f>
        <v>3356.55</v>
      </c>
      <c r="T125">
        <f>Summary!AL6</f>
        <v>2952.98</v>
      </c>
      <c r="U125">
        <f>Summary!AM6</f>
        <v>4515.58</v>
      </c>
      <c r="V125">
        <f>Summary!AN6</f>
        <v>4539.2</v>
      </c>
      <c r="W125">
        <f>Summary!AO6</f>
        <v>3840.49</v>
      </c>
      <c r="X125">
        <f>Summary!AP6</f>
        <v>3759.51</v>
      </c>
      <c r="Y125">
        <f>Summary!AQ6</f>
        <v>2772.96</v>
      </c>
      <c r="Z125">
        <f>Summary!AR6</f>
        <v>3243.85</v>
      </c>
      <c r="AA125">
        <f>Summary!AS6</f>
        <v>4133.6499999999996</v>
      </c>
      <c r="AB125">
        <f>Summary!AT6</f>
        <v>2635.86</v>
      </c>
      <c r="AC125">
        <f>Summary!AU6</f>
        <v>3214.05</v>
      </c>
      <c r="AD125">
        <f>Summary!AV6</f>
        <v>2429.92</v>
      </c>
      <c r="AE125">
        <f>Summary!AW6</f>
        <v>2174.61</v>
      </c>
      <c r="AF125">
        <f>Summary!AX6</f>
        <v>3132.32</v>
      </c>
      <c r="AG125">
        <f>Summary!AY6</f>
        <v>2291.08</v>
      </c>
      <c r="AH125">
        <f>Summary!AZ6</f>
        <v>3659.74</v>
      </c>
      <c r="AI125">
        <f>Summary!BA6</f>
        <v>4702.3999999999996</v>
      </c>
      <c r="AJ125" s="27"/>
    </row>
    <row r="126" spans="1:60" x14ac:dyDescent="0.15">
      <c r="C126" t="str">
        <f>Summary!U7</f>
        <v>Observed</v>
      </c>
      <c r="D126">
        <f>Summary!V7</f>
        <v>12818.7</v>
      </c>
      <c r="E126">
        <f>Summary!W7</f>
        <v>15926.6</v>
      </c>
      <c r="F126">
        <f>Summary!X7</f>
        <v>10877.4</v>
      </c>
      <c r="G126">
        <f>Summary!Y7</f>
        <v>15166.2</v>
      </c>
      <c r="H126">
        <f>Summary!Z7</f>
        <v>9997.84</v>
      </c>
      <c r="I126">
        <f>Summary!AA7</f>
        <v>12858.9</v>
      </c>
      <c r="J126">
        <f>Summary!AB7</f>
        <v>18892.400000000001</v>
      </c>
      <c r="K126">
        <f>Summary!AC7</f>
        <v>15757.8</v>
      </c>
      <c r="L126">
        <f>Summary!AD7</f>
        <v>15785.4</v>
      </c>
      <c r="M126">
        <f>Summary!AE7</f>
        <v>8479.68</v>
      </c>
      <c r="N126">
        <f>Summary!AF7</f>
        <v>8325.0300000000007</v>
      </c>
      <c r="O126">
        <f>Summary!AG7</f>
        <v>10213.1</v>
      </c>
      <c r="P126">
        <f>Summary!AH7</f>
        <v>10042.799999999999</v>
      </c>
      <c r="Q126">
        <f>Summary!AI7</f>
        <v>13415.1</v>
      </c>
      <c r="R126">
        <f>Summary!AJ7</f>
        <v>6213.77</v>
      </c>
      <c r="S126">
        <f>Summary!AK7</f>
        <v>8496.35</v>
      </c>
      <c r="T126">
        <f>Summary!AL7</f>
        <v>6296.36</v>
      </c>
      <c r="U126">
        <f>Summary!AM7</f>
        <v>9138.4500000000007</v>
      </c>
      <c r="V126">
        <f>Summary!AN7</f>
        <v>11305.7</v>
      </c>
      <c r="W126">
        <f>Summary!AO7</f>
        <v>8144.45</v>
      </c>
      <c r="X126">
        <f>Summary!AP7</f>
        <v>9537.39</v>
      </c>
      <c r="Y126">
        <f>Summary!AQ7</f>
        <v>15526.5</v>
      </c>
      <c r="Z126">
        <f>Summary!AR7</f>
        <v>6744.19</v>
      </c>
      <c r="AA126">
        <f>Summary!AS7</f>
        <v>10345.6</v>
      </c>
      <c r="AB126">
        <f>Summary!AT7</f>
        <v>5056.71</v>
      </c>
      <c r="AC126">
        <f>Summary!AU7</f>
        <v>7357.24</v>
      </c>
      <c r="AD126">
        <f>Summary!AV7</f>
        <v>4636.5</v>
      </c>
      <c r="AE126">
        <f>Summary!AW7</f>
        <v>3648.9</v>
      </c>
      <c r="AF126">
        <f>Summary!AX7</f>
        <v>7033.5</v>
      </c>
      <c r="AG126">
        <f>Summary!AY7</f>
        <v>4950.78</v>
      </c>
      <c r="AH126">
        <f>Summary!AZ7</f>
        <v>7317.35</v>
      </c>
      <c r="AI126">
        <f>Summary!BA7</f>
        <v>9055.2000000000007</v>
      </c>
      <c r="AJ126" s="27"/>
    </row>
    <row r="127" spans="1:60" x14ac:dyDescent="0.15">
      <c r="AJ127" s="27"/>
    </row>
    <row r="128" spans="1:60" x14ac:dyDescent="0.15">
      <c r="D128" s="21" t="s">
        <v>209</v>
      </c>
      <c r="E128" s="21" t="s">
        <v>128</v>
      </c>
      <c r="F128" s="21"/>
      <c r="G128" s="21" t="s">
        <v>128</v>
      </c>
      <c r="H128" s="21" t="s">
        <v>127</v>
      </c>
      <c r="I128" s="21" t="s">
        <v>210</v>
      </c>
      <c r="J128" s="21"/>
      <c r="K128" s="21" t="s">
        <v>210</v>
      </c>
      <c r="L128" s="21" t="s">
        <v>128</v>
      </c>
      <c r="M128" s="21"/>
      <c r="N128" s="21" t="s">
        <v>209</v>
      </c>
      <c r="AJ128" s="27"/>
    </row>
    <row r="129" spans="3:36" x14ac:dyDescent="0.15">
      <c r="C129" s="21">
        <v>1982</v>
      </c>
      <c r="D129">
        <f t="array" ref="D129:E160">TRANSPOSE(D125:AL126)</f>
        <v>6310.33</v>
      </c>
      <c r="E129">
        <v>12818.7</v>
      </c>
      <c r="G129" s="6">
        <f t="shared" ref="G129:G159" si="71">E129*S64</f>
        <v>1169.70509313</v>
      </c>
      <c r="H129">
        <f t="shared" ref="H129:H158" si="72">D129*B64</f>
        <v>577.97385226099993</v>
      </c>
      <c r="I129">
        <f>pm.rep!D81</f>
        <v>6933.92</v>
      </c>
      <c r="J129">
        <f>LN(H129/I129)</f>
        <v>-2.4846519594799092</v>
      </c>
      <c r="K129">
        <f t="shared" ref="K129:K158" si="73">I129*$J$159</f>
        <v>696.80429142486355</v>
      </c>
      <c r="L129">
        <f t="shared" ref="L129:L158" si="74">G129*$J$159</f>
        <v>117.54613964316054</v>
      </c>
      <c r="N129">
        <v>1249.2559755</v>
      </c>
      <c r="AJ129" s="27"/>
    </row>
    <row r="130" spans="3:36" x14ac:dyDescent="0.15">
      <c r="C130" s="21">
        <v>1983</v>
      </c>
      <c r="D130">
        <v>6929.87</v>
      </c>
      <c r="E130">
        <v>15926.6</v>
      </c>
      <c r="G130" s="6">
        <f t="shared" si="71"/>
        <v>3939.9541611999998</v>
      </c>
      <c r="H130">
        <f t="shared" si="72"/>
        <v>1674.0001868100001</v>
      </c>
      <c r="I130">
        <f>pm.rep!D82</f>
        <v>7895.15</v>
      </c>
      <c r="J130">
        <f t="shared" ref="J130:J155" si="75">LN(H130/I130)</f>
        <v>-1.551032563231548</v>
      </c>
      <c r="K130">
        <f t="shared" si="73"/>
        <v>793.40032787269126</v>
      </c>
      <c r="L130">
        <f t="shared" si="74"/>
        <v>395.93432972134212</v>
      </c>
      <c r="N130">
        <v>3658.1079055999999</v>
      </c>
      <c r="AJ130" s="27"/>
    </row>
    <row r="131" spans="3:36" x14ac:dyDescent="0.15">
      <c r="C131" s="21">
        <v>1984</v>
      </c>
      <c r="D131">
        <v>5254.46</v>
      </c>
      <c r="E131">
        <v>10877.4</v>
      </c>
      <c r="G131" s="6">
        <f t="shared" si="71"/>
        <v>474.65710380000002</v>
      </c>
      <c r="H131">
        <f t="shared" si="72"/>
        <v>342.066396892</v>
      </c>
      <c r="I131">
        <f>pm.rep!D83</f>
        <v>4193.2</v>
      </c>
      <c r="J131">
        <f t="shared" si="75"/>
        <v>-2.5062145834000535</v>
      </c>
      <c r="K131">
        <f t="shared" si="73"/>
        <v>421.38353987394402</v>
      </c>
      <c r="L131">
        <f t="shared" si="74"/>
        <v>47.699296629199203</v>
      </c>
      <c r="N131">
        <v>1109.5584476400002</v>
      </c>
    </row>
    <row r="132" spans="3:36" x14ac:dyDescent="0.15">
      <c r="C132" s="21">
        <v>1985</v>
      </c>
      <c r="D132">
        <v>6348.25</v>
      </c>
      <c r="E132">
        <v>15166.2</v>
      </c>
      <c r="G132" s="6">
        <f t="shared" si="71"/>
        <v>4373.6590884000007</v>
      </c>
      <c r="H132">
        <f t="shared" si="72"/>
        <v>1754.9800607500001</v>
      </c>
      <c r="I132">
        <f>pm.rep!D84</f>
        <v>13436.4</v>
      </c>
      <c r="J132">
        <f t="shared" si="75"/>
        <v>-2.0355099466147379</v>
      </c>
      <c r="K132">
        <f t="shared" si="73"/>
        <v>1350.2522644191217</v>
      </c>
      <c r="L132">
        <f t="shared" si="74"/>
        <v>439.51825547835529</v>
      </c>
      <c r="N132">
        <v>4197.7078670000001</v>
      </c>
    </row>
    <row r="133" spans="3:36" x14ac:dyDescent="0.15">
      <c r="C133" s="21">
        <v>1986</v>
      </c>
      <c r="D133">
        <v>5121.55</v>
      </c>
      <c r="E133">
        <v>9997.84</v>
      </c>
      <c r="G133" s="6">
        <f t="shared" si="71"/>
        <v>2199.3748324000003</v>
      </c>
      <c r="H133">
        <f t="shared" si="72"/>
        <v>960.40842065000004</v>
      </c>
      <c r="I133">
        <f>pm.rep!D85</f>
        <v>3495.58</v>
      </c>
      <c r="J133">
        <f t="shared" si="75"/>
        <v>-1.291895960092788</v>
      </c>
      <c r="K133">
        <f t="shared" si="73"/>
        <v>351.27823006595469</v>
      </c>
      <c r="L133">
        <f t="shared" si="74"/>
        <v>221.01983029342136</v>
      </c>
      <c r="N133">
        <v>1782.6834025000001</v>
      </c>
    </row>
    <row r="134" spans="3:36" x14ac:dyDescent="0.15">
      <c r="C134" s="21">
        <v>1987</v>
      </c>
      <c r="D134">
        <v>7347.19</v>
      </c>
      <c r="E134">
        <v>12858.9</v>
      </c>
      <c r="G134" s="6">
        <f t="shared" si="71"/>
        <v>425.00207568000002</v>
      </c>
      <c r="H134">
        <f t="shared" si="72"/>
        <v>407.64561220799999</v>
      </c>
      <c r="I134">
        <f>pm.rep!D86</f>
        <v>8925.2199999999993</v>
      </c>
      <c r="J134">
        <f t="shared" si="75"/>
        <v>-3.0862380567786487</v>
      </c>
      <c r="K134">
        <f t="shared" si="73"/>
        <v>896.91424157057202</v>
      </c>
      <c r="L134">
        <f t="shared" si="74"/>
        <v>42.709357794479693</v>
      </c>
      <c r="N134">
        <v>801.23638784000002</v>
      </c>
    </row>
    <row r="135" spans="3:36" x14ac:dyDescent="0.15">
      <c r="C135" s="21">
        <v>1988</v>
      </c>
      <c r="D135">
        <v>8657.6</v>
      </c>
      <c r="E135">
        <v>18892.400000000001</v>
      </c>
      <c r="G135" s="6">
        <f t="shared" si="71"/>
        <v>1521.9811901999999</v>
      </c>
      <c r="H135">
        <f t="shared" si="72"/>
        <v>397.84442432000003</v>
      </c>
      <c r="I135">
        <f>pm.rep!D87</f>
        <v>3755.53</v>
      </c>
      <c r="J135">
        <f t="shared" si="75"/>
        <v>-2.2449236641807597</v>
      </c>
      <c r="K135">
        <f t="shared" si="73"/>
        <v>377.4011555620512</v>
      </c>
      <c r="L135">
        <f t="shared" si="74"/>
        <v>152.94710997520616</v>
      </c>
      <c r="N135">
        <v>587.83122003999995</v>
      </c>
    </row>
    <row r="136" spans="3:36" x14ac:dyDescent="0.15">
      <c r="C136" s="21">
        <v>1989</v>
      </c>
      <c r="D136">
        <v>7786.73</v>
      </c>
      <c r="E136">
        <v>15757.8</v>
      </c>
      <c r="G136" s="6">
        <f t="shared" si="71"/>
        <v>984.86880311999994</v>
      </c>
      <c r="H136">
        <f t="shared" si="72"/>
        <v>477.04544804699998</v>
      </c>
      <c r="I136">
        <f>pm.rep!D88</f>
        <v>2020.97</v>
      </c>
      <c r="J136">
        <f t="shared" si="75"/>
        <v>-1.4437211078827585</v>
      </c>
      <c r="K136">
        <f t="shared" si="73"/>
        <v>203.09155122079667</v>
      </c>
      <c r="L136">
        <f t="shared" si="74"/>
        <v>98.971549787780219</v>
      </c>
      <c r="N136">
        <v>566.488814832</v>
      </c>
    </row>
    <row r="137" spans="3:36" x14ac:dyDescent="0.15">
      <c r="C137" s="21">
        <v>1990</v>
      </c>
      <c r="D137">
        <v>5958.58</v>
      </c>
      <c r="E137">
        <v>15785.4</v>
      </c>
      <c r="G137" s="6">
        <f t="shared" si="71"/>
        <v>2065.0618133999997</v>
      </c>
      <c r="H137">
        <f t="shared" si="72"/>
        <v>967.75085353999998</v>
      </c>
      <c r="I137">
        <f>pm.rep!D89</f>
        <v>1434.67</v>
      </c>
      <c r="J137">
        <f t="shared" si="75"/>
        <v>-0.39371546514953393</v>
      </c>
      <c r="K137">
        <f t="shared" si="73"/>
        <v>144.17302374104534</v>
      </c>
      <c r="L137">
        <f t="shared" si="74"/>
        <v>207.5224308377845</v>
      </c>
      <c r="N137">
        <v>1900.1558842000002</v>
      </c>
    </row>
    <row r="138" spans="3:36" x14ac:dyDescent="0.15">
      <c r="C138" s="21">
        <v>1991</v>
      </c>
      <c r="D138">
        <v>4226.82</v>
      </c>
      <c r="E138">
        <v>8479.68</v>
      </c>
      <c r="G138" s="6">
        <f t="shared" si="71"/>
        <v>2314.7830463999999</v>
      </c>
      <c r="H138">
        <f t="shared" si="72"/>
        <v>1011.7400888399999</v>
      </c>
      <c r="I138">
        <f>pm.rep!D90</f>
        <v>2858.66</v>
      </c>
      <c r="J138">
        <f t="shared" si="75"/>
        <v>-1.0386812748985468</v>
      </c>
      <c r="K138">
        <f t="shared" si="73"/>
        <v>287.27279168559784</v>
      </c>
      <c r="L138">
        <f t="shared" si="74"/>
        <v>232.61744589626633</v>
      </c>
      <c r="N138">
        <v>1437.1489443</v>
      </c>
    </row>
    <row r="139" spans="3:36" x14ac:dyDescent="0.15">
      <c r="C139" s="21">
        <v>1992</v>
      </c>
      <c r="D139">
        <v>3952.03</v>
      </c>
      <c r="E139">
        <v>8325.0300000000007</v>
      </c>
      <c r="G139" s="6">
        <f t="shared" si="71"/>
        <v>1367.9273044500001</v>
      </c>
      <c r="H139">
        <f t="shared" si="72"/>
        <v>681.46038899000007</v>
      </c>
      <c r="I139">
        <f>pm.rep!D91</f>
        <v>12571.5</v>
      </c>
      <c r="J139">
        <f t="shared" si="75"/>
        <v>-2.9149495000318995</v>
      </c>
      <c r="K139">
        <f t="shared" si="73"/>
        <v>1263.3366334840425</v>
      </c>
      <c r="L139">
        <f t="shared" si="74"/>
        <v>137.46590905260024</v>
      </c>
      <c r="N139">
        <v>1092.44947368</v>
      </c>
    </row>
    <row r="140" spans="3:36" x14ac:dyDescent="0.15">
      <c r="C140" s="21">
        <v>1993</v>
      </c>
      <c r="D140">
        <v>4540.47</v>
      </c>
      <c r="E140">
        <v>10213.1</v>
      </c>
      <c r="G140" s="6">
        <f t="shared" si="71"/>
        <v>2266.1643328</v>
      </c>
      <c r="H140">
        <f t="shared" si="72"/>
        <v>1082.7704213700001</v>
      </c>
      <c r="I140">
        <f>pm.rep!D92</f>
        <v>6574.82</v>
      </c>
      <c r="J140">
        <f t="shared" si="75"/>
        <v>-1.8037242396773723</v>
      </c>
      <c r="K140">
        <f t="shared" si="73"/>
        <v>660.71757264952885</v>
      </c>
      <c r="L140">
        <f t="shared" si="74"/>
        <v>227.73164850027152</v>
      </c>
      <c r="N140">
        <v>1539.00495424</v>
      </c>
    </row>
    <row r="141" spans="3:36" x14ac:dyDescent="0.15">
      <c r="C141" s="21">
        <v>1994</v>
      </c>
      <c r="D141">
        <v>4557.5</v>
      </c>
      <c r="E141">
        <v>10042.799999999999</v>
      </c>
      <c r="G141" s="6">
        <f t="shared" si="71"/>
        <v>1446.2234567999999</v>
      </c>
      <c r="H141">
        <f t="shared" si="72"/>
        <v>622.06228999999996</v>
      </c>
      <c r="I141">
        <f>pm.rep!D93</f>
        <v>5882.78</v>
      </c>
      <c r="J141">
        <f t="shared" si="75"/>
        <v>-2.2467444858591916</v>
      </c>
      <c r="K141">
        <f t="shared" si="73"/>
        <v>591.17300884757231</v>
      </c>
      <c r="L141">
        <f t="shared" si="74"/>
        <v>145.33405505940951</v>
      </c>
      <c r="N141">
        <v>930.60615152000003</v>
      </c>
    </row>
    <row r="142" spans="3:36" x14ac:dyDescent="0.15">
      <c r="C142" s="21">
        <v>1995</v>
      </c>
      <c r="D142">
        <v>3458.3</v>
      </c>
      <c r="E142">
        <v>13415.1</v>
      </c>
      <c r="G142" s="6">
        <f t="shared" si="71"/>
        <v>1916.5885068</v>
      </c>
      <c r="H142">
        <f t="shared" si="72"/>
        <v>458.97865940000003</v>
      </c>
      <c r="I142">
        <f>pm.rep!D94</f>
        <v>12108.4</v>
      </c>
      <c r="J142">
        <f t="shared" si="75"/>
        <v>-3.2726509903074192</v>
      </c>
      <c r="K142">
        <f t="shared" si="73"/>
        <v>1216.7987346679538</v>
      </c>
      <c r="L142">
        <f t="shared" si="74"/>
        <v>192.60203412122021</v>
      </c>
      <c r="N142">
        <v>1235.8440916</v>
      </c>
    </row>
    <row r="143" spans="3:36" x14ac:dyDescent="0.15">
      <c r="C143" s="21">
        <v>1996</v>
      </c>
      <c r="D143">
        <v>2700.03</v>
      </c>
      <c r="E143">
        <v>6213.77</v>
      </c>
      <c r="G143" s="6">
        <f t="shared" si="71"/>
        <v>1383.0857816800001</v>
      </c>
      <c r="H143">
        <f t="shared" si="72"/>
        <v>627.39247094999996</v>
      </c>
      <c r="I143">
        <f>pm.rep!D95</f>
        <v>4118.8900000000003</v>
      </c>
      <c r="J143">
        <f t="shared" si="75"/>
        <v>-1.8817666932823334</v>
      </c>
      <c r="K143">
        <f t="shared" si="73"/>
        <v>413.91597075059366</v>
      </c>
      <c r="L143">
        <f t="shared" si="74"/>
        <v>138.98921650139258</v>
      </c>
    </row>
    <row r="144" spans="3:36" x14ac:dyDescent="0.15">
      <c r="C144" s="21">
        <v>1997</v>
      </c>
      <c r="D144">
        <v>3356.55</v>
      </c>
      <c r="E144">
        <v>8496.35</v>
      </c>
      <c r="G144" s="6">
        <f t="shared" si="71"/>
        <v>2078.3091662000002</v>
      </c>
      <c r="H144">
        <f t="shared" si="72"/>
        <v>810.55983330000004</v>
      </c>
      <c r="I144">
        <f>pm.rep!D96</f>
        <v>2812.38</v>
      </c>
      <c r="J144">
        <f t="shared" si="75"/>
        <v>-1.2440612177827559</v>
      </c>
      <c r="K144">
        <f t="shared" si="73"/>
        <v>282.62201656746225</v>
      </c>
      <c r="L144">
        <f t="shared" si="74"/>
        <v>208.85368534909404</v>
      </c>
    </row>
    <row r="145" spans="3:12" x14ac:dyDescent="0.15">
      <c r="C145" s="21">
        <v>1998</v>
      </c>
      <c r="D145">
        <v>2952.98</v>
      </c>
      <c r="E145">
        <v>6296.36</v>
      </c>
      <c r="G145" s="6">
        <f t="shared" si="71"/>
        <v>676.35499119999997</v>
      </c>
      <c r="H145">
        <f t="shared" si="72"/>
        <v>344.75746201999999</v>
      </c>
      <c r="I145">
        <f>pm.rep!D97</f>
        <v>5889.16</v>
      </c>
      <c r="J145">
        <f t="shared" si="75"/>
        <v>-2.8380274907069531</v>
      </c>
      <c r="K145">
        <f t="shared" si="73"/>
        <v>591.81414854622631</v>
      </c>
      <c r="L145">
        <f t="shared" si="74"/>
        <v>67.968344081671816</v>
      </c>
    </row>
    <row r="146" spans="3:12" x14ac:dyDescent="0.15">
      <c r="C146" s="21">
        <v>1999</v>
      </c>
      <c r="D146">
        <v>4515.58</v>
      </c>
      <c r="E146">
        <v>9138.4500000000007</v>
      </c>
      <c r="G146" s="6">
        <f t="shared" si="71"/>
        <v>1010.8313698500001</v>
      </c>
      <c r="H146">
        <f t="shared" si="72"/>
        <v>455.80716078</v>
      </c>
      <c r="I146">
        <f>pm.rep!D98</f>
        <v>8045.23</v>
      </c>
      <c r="J146">
        <f t="shared" si="75"/>
        <v>-2.8707648211600536</v>
      </c>
      <c r="K146">
        <f t="shared" si="73"/>
        <v>808.48218460842565</v>
      </c>
      <c r="L146">
        <f t="shared" si="74"/>
        <v>101.58058304946603</v>
      </c>
    </row>
    <row r="147" spans="3:12" x14ac:dyDescent="0.15">
      <c r="C147" s="21">
        <v>2000</v>
      </c>
      <c r="D147">
        <v>4539.2</v>
      </c>
      <c r="E147">
        <v>11305.7</v>
      </c>
      <c r="G147" s="6">
        <f t="shared" si="71"/>
        <v>1074.5525176400001</v>
      </c>
      <c r="H147">
        <f t="shared" si="72"/>
        <v>470.43360959999995</v>
      </c>
      <c r="I147">
        <f>pm.rep!D99</f>
        <v>4003.5</v>
      </c>
      <c r="J147">
        <f t="shared" si="75"/>
        <v>-2.1412694145010365</v>
      </c>
      <c r="K147">
        <f t="shared" si="73"/>
        <v>402.32018551114538</v>
      </c>
      <c r="L147">
        <f t="shared" si="74"/>
        <v>107.98405601058903</v>
      </c>
    </row>
    <row r="148" spans="3:12" x14ac:dyDescent="0.15">
      <c r="C148" s="21">
        <v>2001</v>
      </c>
      <c r="D148">
        <v>3840.49</v>
      </c>
      <c r="E148">
        <v>8144.45</v>
      </c>
      <c r="G148" s="6">
        <f t="shared" si="71"/>
        <v>1495.3373088999999</v>
      </c>
      <c r="H148">
        <f t="shared" si="72"/>
        <v>681.59480323999992</v>
      </c>
      <c r="I148">
        <f>pm.rep!D100</f>
        <v>4351.45</v>
      </c>
      <c r="J148">
        <f t="shared" si="75"/>
        <v>-1.8538290507412698</v>
      </c>
      <c r="K148">
        <f t="shared" si="73"/>
        <v>437.28641719557226</v>
      </c>
      <c r="L148">
        <f t="shared" si="74"/>
        <v>150.2696099708717</v>
      </c>
    </row>
    <row r="149" spans="3:12" x14ac:dyDescent="0.15">
      <c r="C149" s="21">
        <v>2002</v>
      </c>
      <c r="D149">
        <v>3759.51</v>
      </c>
      <c r="E149">
        <v>9537.39</v>
      </c>
      <c r="G149" s="6">
        <f t="shared" si="71"/>
        <v>768.42560482199997</v>
      </c>
      <c r="H149">
        <f t="shared" si="72"/>
        <v>310.605076935</v>
      </c>
      <c r="I149">
        <f>pm.rep!D101</f>
        <v>6686.97</v>
      </c>
      <c r="J149">
        <f t="shared" si="75"/>
        <v>-3.0693938795730977</v>
      </c>
      <c r="K149">
        <f t="shared" si="73"/>
        <v>671.98776343386135</v>
      </c>
      <c r="L149">
        <f t="shared" si="74"/>
        <v>77.220714845385572</v>
      </c>
    </row>
    <row r="150" spans="3:12" x14ac:dyDescent="0.15">
      <c r="C150" s="21">
        <v>2003</v>
      </c>
      <c r="D150">
        <v>2772.96</v>
      </c>
      <c r="E150">
        <v>15526.5</v>
      </c>
      <c r="G150" s="6">
        <f t="shared" si="71"/>
        <v>538.98692100000005</v>
      </c>
      <c r="H150">
        <f t="shared" si="72"/>
        <v>132.276292512</v>
      </c>
      <c r="I150">
        <f>pm.rep!D102</f>
        <v>9289.35</v>
      </c>
      <c r="J150">
        <f t="shared" si="75"/>
        <v>-4.2517310015098708</v>
      </c>
      <c r="K150">
        <f t="shared" si="73"/>
        <v>933.5064356882624</v>
      </c>
      <c r="L150">
        <f t="shared" si="74"/>
        <v>54.16393606714152</v>
      </c>
    </row>
    <row r="151" spans="3:12" x14ac:dyDescent="0.15">
      <c r="C151" s="21">
        <v>2004</v>
      </c>
      <c r="D151">
        <v>3243.85</v>
      </c>
      <c r="E151">
        <v>6744.19</v>
      </c>
      <c r="G151" s="6">
        <f t="shared" si="71"/>
        <v>382.94792216100001</v>
      </c>
      <c r="H151">
        <f t="shared" si="72"/>
        <v>158.31350416999999</v>
      </c>
      <c r="I151">
        <f>pm.rep!D103</f>
        <v>6193.41</v>
      </c>
      <c r="J151">
        <f t="shared" si="75"/>
        <v>-3.6666638318224538</v>
      </c>
      <c r="K151">
        <f t="shared" si="73"/>
        <v>622.38887477122091</v>
      </c>
      <c r="L151">
        <f t="shared" si="74"/>
        <v>38.483246930166402</v>
      </c>
    </row>
    <row r="152" spans="3:12" x14ac:dyDescent="0.15">
      <c r="C152" s="21">
        <v>2005</v>
      </c>
      <c r="D152">
        <v>4133.6499999999996</v>
      </c>
      <c r="E152">
        <v>10345.6</v>
      </c>
      <c r="G152" s="6">
        <f t="shared" si="71"/>
        <v>429.85761087999998</v>
      </c>
      <c r="H152">
        <f t="shared" si="72"/>
        <v>157.08862075999997</v>
      </c>
      <c r="I152">
        <f>pm.rep!D104</f>
        <v>3784.62</v>
      </c>
      <c r="J152">
        <f t="shared" si="75"/>
        <v>-3.1818906549920789</v>
      </c>
      <c r="K152">
        <f t="shared" si="73"/>
        <v>380.32447120998904</v>
      </c>
      <c r="L152">
        <f t="shared" si="74"/>
        <v>43.197300799954874</v>
      </c>
    </row>
    <row r="153" spans="3:12" x14ac:dyDescent="0.15">
      <c r="C153" s="21">
        <v>2006</v>
      </c>
      <c r="D153">
        <v>2635.86</v>
      </c>
      <c r="E153">
        <v>5056.71</v>
      </c>
      <c r="G153" s="6">
        <f t="shared" si="71"/>
        <v>747.84189860999993</v>
      </c>
      <c r="H153">
        <f t="shared" si="72"/>
        <v>386.52778211999998</v>
      </c>
      <c r="I153">
        <f>pm.rep!D105</f>
        <v>1718.21</v>
      </c>
      <c r="J153">
        <f t="shared" si="75"/>
        <v>-1.4918345834934508</v>
      </c>
      <c r="K153">
        <f t="shared" si="73"/>
        <v>172.666558248309</v>
      </c>
      <c r="L153">
        <f t="shared" si="74"/>
        <v>75.152214657620178</v>
      </c>
    </row>
    <row r="154" spans="3:12" x14ac:dyDescent="0.15">
      <c r="C154" s="21">
        <v>2007</v>
      </c>
      <c r="D154">
        <v>3214.05</v>
      </c>
      <c r="E154">
        <v>7357.24</v>
      </c>
      <c r="G154" s="6">
        <f t="shared" si="71"/>
        <v>1785.99208172</v>
      </c>
      <c r="H154">
        <f t="shared" si="72"/>
        <v>751.72451235000005</v>
      </c>
      <c r="I154">
        <f>pm.rep!D106</f>
        <v>1248.8900000000001</v>
      </c>
      <c r="J154">
        <f t="shared" si="75"/>
        <v>-0.50764051891992468</v>
      </c>
      <c r="K154">
        <f t="shared" si="73"/>
        <v>125.50359847209053</v>
      </c>
      <c r="L154">
        <f t="shared" si="74"/>
        <v>179.4781230520862</v>
      </c>
    </row>
    <row r="155" spans="3:12" x14ac:dyDescent="0.15">
      <c r="C155" s="21">
        <v>2008</v>
      </c>
      <c r="D155">
        <v>2429.92</v>
      </c>
      <c r="E155">
        <v>4636.5</v>
      </c>
      <c r="G155" s="6">
        <f t="shared" si="71"/>
        <v>474.30931350000003</v>
      </c>
      <c r="H155">
        <f t="shared" si="72"/>
        <v>252.043452</v>
      </c>
      <c r="I155">
        <f>pm.rep!D107</f>
        <v>3154.19</v>
      </c>
      <c r="J155">
        <f t="shared" si="75"/>
        <v>-2.526885505453671</v>
      </c>
      <c r="K155">
        <f t="shared" si="73"/>
        <v>316.97122666102155</v>
      </c>
      <c r="L155">
        <f t="shared" si="74"/>
        <v>47.664346446105668</v>
      </c>
    </row>
    <row r="156" spans="3:12" x14ac:dyDescent="0.15">
      <c r="C156" s="21">
        <v>2009</v>
      </c>
      <c r="D156">
        <v>2174.61</v>
      </c>
      <c r="E156">
        <v>3648.9</v>
      </c>
      <c r="G156" s="6">
        <f t="shared" si="71"/>
        <v>655.87882830000001</v>
      </c>
      <c r="H156">
        <f t="shared" si="72"/>
        <v>417.74910483000002</v>
      </c>
      <c r="I156">
        <f>pm.rep!D108</f>
        <v>6821.99</v>
      </c>
      <c r="J156">
        <f>LN(H156/I156)</f>
        <v>-2.7930254724951409</v>
      </c>
      <c r="K156">
        <f t="shared" si="73"/>
        <v>685.55620890600187</v>
      </c>
      <c r="L156">
        <f t="shared" si="74"/>
        <v>65.910651148866918</v>
      </c>
    </row>
    <row r="157" spans="3:12" x14ac:dyDescent="0.15">
      <c r="C157" s="21">
        <v>2010</v>
      </c>
      <c r="D157">
        <v>3132.32</v>
      </c>
      <c r="E157">
        <v>7033.5</v>
      </c>
      <c r="G157" s="6">
        <f t="shared" si="71"/>
        <v>476.19749070000006</v>
      </c>
      <c r="H157">
        <f t="shared" si="72"/>
        <v>250.64542731200001</v>
      </c>
      <c r="I157">
        <f>pm.rep!D109</f>
        <v>3783.56</v>
      </c>
      <c r="J157">
        <f>LN(H157/I157)</f>
        <v>-2.714381344117335</v>
      </c>
      <c r="K157">
        <f t="shared" si="73"/>
        <v>380.21794956726598</v>
      </c>
      <c r="L157">
        <f t="shared" si="74"/>
        <v>47.854093367894585</v>
      </c>
    </row>
    <row r="158" spans="3:12" x14ac:dyDescent="0.15">
      <c r="C158" s="21">
        <v>2011</v>
      </c>
      <c r="D158">
        <v>2291.08</v>
      </c>
      <c r="E158">
        <v>4950.78</v>
      </c>
      <c r="G158" s="6">
        <f t="shared" si="71"/>
        <v>939.68279789999997</v>
      </c>
      <c r="H158">
        <f t="shared" si="72"/>
        <v>409.71383639999993</v>
      </c>
      <c r="I158">
        <f>pm.rep!D110</f>
        <v>14734.1</v>
      </c>
      <c r="J158">
        <f>LN(H158/I158)</f>
        <v>-3.5824608582320621</v>
      </c>
      <c r="K158">
        <f t="shared" si="73"/>
        <v>1480.6608830622624</v>
      </c>
      <c r="L158">
        <f t="shared" si="74"/>
        <v>94.430712519735266</v>
      </c>
    </row>
    <row r="159" spans="3:12" x14ac:dyDescent="0.15">
      <c r="C159" s="21">
        <v>2012</v>
      </c>
      <c r="D159">
        <v>3659.74</v>
      </c>
      <c r="E159">
        <v>7317.35</v>
      </c>
      <c r="G159" s="6">
        <f t="shared" si="71"/>
        <v>1021.1508272000001</v>
      </c>
      <c r="H159">
        <f>AVERAGE(H129:H158)</f>
        <v>601.13200177856675</v>
      </c>
      <c r="I159">
        <f>AVERAGE(I129:I158)</f>
        <v>5957.4233333333332</v>
      </c>
      <c r="J159">
        <f>EXP(AVERAGE(J129:J158))</f>
        <v>0.10049211577648193</v>
      </c>
      <c r="K159">
        <f>AVERAGE(K129:K158)</f>
        <v>598.67407534284814</v>
      </c>
      <c r="L159">
        <f>AVERAGE(L129:L158)</f>
        <v>138.62734091961798</v>
      </c>
    </row>
    <row r="160" spans="3:12" x14ac:dyDescent="0.15">
      <c r="C160" s="21"/>
      <c r="D160">
        <v>4702.3999999999996</v>
      </c>
      <c r="E160">
        <v>9055.2000000000007</v>
      </c>
      <c r="G160" s="6"/>
    </row>
    <row r="162" spans="1:34" x14ac:dyDescent="0.15">
      <c r="C162" s="227"/>
    </row>
    <row r="165" spans="1:34" x14ac:dyDescent="0.15">
      <c r="A165" s="21">
        <v>1000</v>
      </c>
    </row>
    <row r="166" spans="1:34" x14ac:dyDescent="0.15">
      <c r="B166" s="53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</row>
    <row r="167" spans="1:34" x14ac:dyDescent="0.15">
      <c r="B167" s="53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</row>
    <row r="168" spans="1:34" x14ac:dyDescent="0.15">
      <c r="A168" s="141">
        <f>pm.rep!A377</f>
        <v>2008</v>
      </c>
      <c r="B168" s="27" t="e">
        <v>#REF!</v>
      </c>
      <c r="C168" s="27" t="e">
        <v>#REF!</v>
      </c>
      <c r="D168" s="27" t="e">
        <v>#REF!</v>
      </c>
      <c r="E168" s="27" t="e">
        <v>#REF!</v>
      </c>
      <c r="F168" s="27" t="e">
        <v>#REF!</v>
      </c>
      <c r="G168" s="27" t="e">
        <v>#REF!</v>
      </c>
      <c r="H168" s="27" t="e">
        <v>#REF!</v>
      </c>
      <c r="I168" s="27" t="e">
        <v>#REF!</v>
      </c>
      <c r="J168" s="27" t="e">
        <v>#REF!</v>
      </c>
      <c r="K168" s="27" t="e">
        <v>#REF!</v>
      </c>
      <c r="L168" s="27" t="e">
        <v>#REF!</v>
      </c>
      <c r="M168" s="27" t="e">
        <v>#REF!</v>
      </c>
      <c r="N168" s="27" t="e">
        <v>#REF!</v>
      </c>
      <c r="O168" s="27" t="e">
        <v>#REF!</v>
      </c>
      <c r="P168" s="27" t="e">
        <v>#REF!</v>
      </c>
      <c r="R168" s="27"/>
      <c r="S168" s="27">
        <f>pm.rep!B570</f>
        <v>0.36520399999999997</v>
      </c>
      <c r="T168" s="27">
        <f>pm.rep!C570</f>
        <v>24.292999999999999</v>
      </c>
      <c r="U168" s="27">
        <f>pm.rep!D570</f>
        <v>68.296800000000005</v>
      </c>
      <c r="V168" s="27">
        <f>pm.rep!E570</f>
        <v>82.889600000000002</v>
      </c>
      <c r="W168" s="27">
        <f>pm.rep!F570</f>
        <v>152.791</v>
      </c>
      <c r="X168" s="27">
        <f>pm.rep!G570</f>
        <v>309.52999999999997</v>
      </c>
      <c r="Y168" s="27">
        <f>pm.rep!H570</f>
        <v>240.94</v>
      </c>
      <c r="Z168" s="27">
        <f>pm.rep!I570</f>
        <v>160.87799999999999</v>
      </c>
      <c r="AA168" s="27">
        <f>pm.rep!J570</f>
        <v>78.475800000000007</v>
      </c>
      <c r="AB168" s="27">
        <f>pm.rep!K570</f>
        <v>28.369</v>
      </c>
      <c r="AC168" s="27">
        <f>pm.rep!L570</f>
        <v>14.380699999999999</v>
      </c>
      <c r="AD168" s="27">
        <f>pm.rep!M570</f>
        <v>14.3337</v>
      </c>
      <c r="AE168" s="27">
        <f>pm.rep!N570</f>
        <v>7.0349700000000004</v>
      </c>
      <c r="AF168" s="27">
        <f>pm.rep!O570</f>
        <v>2.5783700000000001</v>
      </c>
      <c r="AG168" s="27">
        <f>pm.rep!P570</f>
        <v>9.3178000000000001</v>
      </c>
    </row>
    <row r="169" spans="1:34" x14ac:dyDescent="0.15">
      <c r="A169" s="141">
        <f>pm.rep!A378</f>
        <v>2009</v>
      </c>
      <c r="B169" s="27" t="e">
        <v>#REF!</v>
      </c>
      <c r="C169" s="27" t="e">
        <v>#REF!</v>
      </c>
      <c r="D169" s="27" t="e">
        <v>#REF!</v>
      </c>
      <c r="E169" s="27" t="e">
        <v>#REF!</v>
      </c>
      <c r="F169" s="27" t="e">
        <v>#REF!</v>
      </c>
      <c r="G169" s="27" t="e">
        <v>#REF!</v>
      </c>
      <c r="H169" s="27" t="e">
        <v>#REF!</v>
      </c>
      <c r="I169" s="27" t="e">
        <v>#REF!</v>
      </c>
      <c r="J169" s="27" t="e">
        <v>#REF!</v>
      </c>
      <c r="K169" s="27" t="e">
        <v>#REF!</v>
      </c>
      <c r="L169" s="27" t="e">
        <v>#REF!</v>
      </c>
      <c r="M169" s="27" t="e">
        <v>#REF!</v>
      </c>
      <c r="N169" s="27" t="e">
        <v>#REF!</v>
      </c>
      <c r="O169" s="27" t="e">
        <v>#REF!</v>
      </c>
      <c r="P169" s="27" t="e">
        <v>#REF!</v>
      </c>
      <c r="S169" s="27">
        <f>pm.rep!B571</f>
        <v>1.2663599999999999</v>
      </c>
      <c r="T169" s="27">
        <f>pm.rep!C571</f>
        <v>8.8630800000000001</v>
      </c>
      <c r="U169" s="27">
        <f>pm.rep!D571</f>
        <v>142.04400000000001</v>
      </c>
      <c r="V169" s="27">
        <f>pm.rep!E571</f>
        <v>192.57300000000001</v>
      </c>
      <c r="W169" s="27">
        <f>pm.rep!F571</f>
        <v>81.0762</v>
      </c>
      <c r="X169" s="27">
        <f>pm.rep!G571</f>
        <v>105.319</v>
      </c>
      <c r="Y169" s="27">
        <f>pm.rep!H571</f>
        <v>124.568</v>
      </c>
      <c r="Z169" s="27">
        <f>pm.rep!I571</f>
        <v>102.565</v>
      </c>
      <c r="AA169" s="27">
        <f>pm.rep!J571</f>
        <v>80.593900000000005</v>
      </c>
      <c r="AB169" s="27">
        <f>pm.rep!K571</f>
        <v>39.417400000000001</v>
      </c>
      <c r="AC169" s="27">
        <f>pm.rep!L571</f>
        <v>15.9369</v>
      </c>
      <c r="AD169" s="27">
        <f>pm.rep!M571</f>
        <v>8.07864</v>
      </c>
      <c r="AE169" s="27">
        <f>pm.rep!N571</f>
        <v>8.0522600000000004</v>
      </c>
      <c r="AF169" s="27">
        <f>pm.rep!O571</f>
        <v>3.9520400000000002</v>
      </c>
      <c r="AG169" s="27">
        <f>pm.rep!P571</f>
        <v>6.6829299999999998</v>
      </c>
    </row>
    <row r="170" spans="1:34" x14ac:dyDescent="0.15">
      <c r="A170" s="141">
        <v>2010</v>
      </c>
      <c r="B170" s="27" t="e">
        <v>#REF!</v>
      </c>
      <c r="C170" s="27" t="e">
        <v>#REF!</v>
      </c>
      <c r="D170" s="27" t="e">
        <v>#REF!</v>
      </c>
      <c r="E170" s="27" t="e">
        <v>#REF!</v>
      </c>
      <c r="F170" s="27" t="e">
        <v>#REF!</v>
      </c>
      <c r="G170" s="27" t="e">
        <v>#REF!</v>
      </c>
      <c r="H170" s="27" t="e">
        <v>#REF!</v>
      </c>
      <c r="I170" s="27" t="e">
        <v>#REF!</v>
      </c>
      <c r="J170" s="27" t="e">
        <v>#REF!</v>
      </c>
      <c r="K170" s="27" t="e">
        <v>#REF!</v>
      </c>
      <c r="L170" s="27" t="e">
        <v>#REF!</v>
      </c>
      <c r="M170" s="27" t="e">
        <v>#REF!</v>
      </c>
      <c r="N170" s="27" t="e">
        <v>#REF!</v>
      </c>
      <c r="O170" s="27" t="e">
        <v>#REF!</v>
      </c>
      <c r="P170" s="27" t="e">
        <v>#REF!</v>
      </c>
      <c r="S170" s="27">
        <f>pm.rep!B572</f>
        <v>0.42104000000000003</v>
      </c>
      <c r="T170" s="27">
        <f>pm.rep!C572</f>
        <v>30.450099999999999</v>
      </c>
      <c r="U170" s="27">
        <f>pm.rep!D572</f>
        <v>40.442399999999999</v>
      </c>
      <c r="V170" s="27">
        <f>pm.rep!E572</f>
        <v>553.54600000000005</v>
      </c>
      <c r="W170" s="27">
        <f>pm.rep!F572</f>
        <v>224.85300000000001</v>
      </c>
      <c r="X170" s="27">
        <f>pm.rep!G572</f>
        <v>62.106000000000002</v>
      </c>
      <c r="Y170" s="27">
        <f>pm.rep!H572</f>
        <v>50.1511</v>
      </c>
      <c r="Z170" s="27">
        <f>pm.rep!I572</f>
        <v>55.387999999999998</v>
      </c>
      <c r="AA170" s="27">
        <f>pm.rep!J572</f>
        <v>46.078299999999999</v>
      </c>
      <c r="AB170" s="27">
        <f>pm.rep!K572</f>
        <v>34.464399999999998</v>
      </c>
      <c r="AC170" s="27">
        <f>pm.rep!L572</f>
        <v>17.262799999999999</v>
      </c>
      <c r="AD170" s="27">
        <f>pm.rep!M572</f>
        <v>6.9795400000000001</v>
      </c>
      <c r="AE170" s="27">
        <f>pm.rep!N572</f>
        <v>3.53803</v>
      </c>
      <c r="AF170" s="27">
        <f>pm.rep!O572</f>
        <v>3.5264700000000002</v>
      </c>
      <c r="AG170" s="27">
        <f>pm.rep!P572</f>
        <v>4.6575699999999998</v>
      </c>
    </row>
    <row r="171" spans="1:34" x14ac:dyDescent="0.15">
      <c r="A171" s="141">
        <v>2011</v>
      </c>
      <c r="B171" s="27" t="e">
        <v>#REF!</v>
      </c>
      <c r="C171" s="27" t="e">
        <v>#REF!</v>
      </c>
      <c r="D171" s="27" t="e">
        <v>#REF!</v>
      </c>
      <c r="E171" s="27" t="e">
        <v>#REF!</v>
      </c>
      <c r="F171" s="27" t="e">
        <v>#REF!</v>
      </c>
      <c r="G171" s="27" t="e">
        <v>#REF!</v>
      </c>
      <c r="H171" s="27" t="e">
        <v>#REF!</v>
      </c>
      <c r="I171" s="27" t="e">
        <v>#REF!</v>
      </c>
      <c r="J171" s="27" t="e">
        <v>#REF!</v>
      </c>
      <c r="K171" s="27" t="e">
        <v>#REF!</v>
      </c>
      <c r="L171" s="27" t="e">
        <v>#REF!</v>
      </c>
      <c r="M171" s="27" t="e">
        <v>#REF!</v>
      </c>
      <c r="N171" s="27" t="e">
        <v>#REF!</v>
      </c>
      <c r="O171" s="27" t="e">
        <v>#REF!</v>
      </c>
      <c r="P171" s="27" t="e">
        <v>#REF!</v>
      </c>
      <c r="S171" s="27">
        <f>pm.rep!B573</f>
        <v>0.33170500000000003</v>
      </c>
      <c r="T171" s="27">
        <f>pm.rep!C573</f>
        <v>17.039300000000001</v>
      </c>
      <c r="U171" s="27">
        <f>pm.rep!D573</f>
        <v>204.02199999999999</v>
      </c>
      <c r="V171" s="27">
        <f>pm.rep!E573</f>
        <v>143.40299999999999</v>
      </c>
      <c r="W171" s="27">
        <f>pm.rep!F573</f>
        <v>844.92600000000004</v>
      </c>
      <c r="X171" s="27">
        <f>pm.rep!G573</f>
        <v>276.02300000000002</v>
      </c>
      <c r="Y171" s="27">
        <f>pm.rep!H573</f>
        <v>60.548499999999997</v>
      </c>
      <c r="Z171" s="27">
        <f>pm.rep!I573</f>
        <v>38.8185</v>
      </c>
      <c r="AA171" s="27">
        <f>pm.rep!J573</f>
        <v>37.778799999999997</v>
      </c>
      <c r="AB171" s="27">
        <f>pm.rep!K573</f>
        <v>31.214700000000001</v>
      </c>
      <c r="AC171" s="27">
        <f>pm.rep!L573</f>
        <v>23.936699999999998</v>
      </c>
      <c r="AD171" s="27">
        <f>pm.rep!M573</f>
        <v>11.989599999999999</v>
      </c>
      <c r="AE171" s="27">
        <f>pm.rep!N573</f>
        <v>4.8475200000000003</v>
      </c>
      <c r="AF171" s="27">
        <f>pm.rep!O573</f>
        <v>2.4572799999999999</v>
      </c>
      <c r="AG171" s="27">
        <f>pm.rep!P573</f>
        <v>5.6840900000000003</v>
      </c>
    </row>
    <row r="172" spans="1:34" x14ac:dyDescent="0.15">
      <c r="A172" s="141">
        <v>2012</v>
      </c>
      <c r="B172" s="27" t="e">
        <v>#REF!</v>
      </c>
      <c r="C172" s="27" t="e">
        <v>#REF!</v>
      </c>
      <c r="D172" s="27" t="e">
        <v>#REF!</v>
      </c>
      <c r="E172" s="27" t="e">
        <v>#REF!</v>
      </c>
      <c r="F172" s="27" t="e">
        <v>#REF!</v>
      </c>
      <c r="G172" s="27" t="e">
        <v>#REF!</v>
      </c>
      <c r="H172" s="27" t="e">
        <v>#REF!</v>
      </c>
      <c r="I172" s="27" t="e">
        <v>#REF!</v>
      </c>
      <c r="J172" s="27" t="e">
        <v>#REF!</v>
      </c>
      <c r="K172" s="27" t="e">
        <v>#REF!</v>
      </c>
      <c r="L172" s="27" t="e">
        <v>#REF!</v>
      </c>
      <c r="M172" s="27" t="e">
        <v>#REF!</v>
      </c>
      <c r="N172" s="27" t="e">
        <v>#REF!</v>
      </c>
      <c r="O172" s="27" t="e">
        <v>#REF!</v>
      </c>
      <c r="P172" s="27" t="e">
        <v>#REF!</v>
      </c>
      <c r="S172" s="27">
        <f>pm.rep!B574</f>
        <v>0.26675199999999999</v>
      </c>
      <c r="T172" s="27">
        <f>pm.rep!C574</f>
        <v>13.4679</v>
      </c>
      <c r="U172" s="27">
        <f>pm.rep!D574</f>
        <v>115.408</v>
      </c>
      <c r="V172" s="27">
        <f>pm.rep!E574</f>
        <v>943.226</v>
      </c>
      <c r="W172" s="27">
        <f>pm.rep!F574</f>
        <v>192.06100000000001</v>
      </c>
      <c r="X172" s="27">
        <f>pm.rep!G574</f>
        <v>457.58100000000002</v>
      </c>
      <c r="Y172" s="27">
        <f>pm.rep!H574</f>
        <v>129.61699999999999</v>
      </c>
      <c r="Z172" s="27">
        <f>pm.rep!I574</f>
        <v>30.482299999999999</v>
      </c>
      <c r="AA172" s="27">
        <f>pm.rep!J574</f>
        <v>19.403600000000001</v>
      </c>
      <c r="AB172" s="27">
        <f>pm.rep!K574</f>
        <v>19.186599999999999</v>
      </c>
      <c r="AC172" s="27">
        <f>pm.rep!L574</f>
        <v>16.602900000000002</v>
      </c>
      <c r="AD172" s="27">
        <f>pm.rep!M574</f>
        <v>12.7317</v>
      </c>
      <c r="AE172" s="27">
        <f>pm.rep!N574</f>
        <v>6.3771699999999996</v>
      </c>
      <c r="AF172" s="27">
        <f>pm.rep!O574</f>
        <v>2.57836</v>
      </c>
      <c r="AG172" s="27">
        <f>pm.rep!P574</f>
        <v>4.33033</v>
      </c>
    </row>
    <row r="173" spans="1:34" x14ac:dyDescent="0.15">
      <c r="A173" s="141">
        <v>2013</v>
      </c>
      <c r="B173" s="27" t="e">
        <v>#REF!</v>
      </c>
      <c r="C173" s="27" t="e">
        <v>#REF!</v>
      </c>
      <c r="D173" s="27" t="e">
        <v>#REF!</v>
      </c>
      <c r="E173" s="27" t="e">
        <v>#REF!</v>
      </c>
      <c r="F173" s="27" t="e">
        <v>#REF!</v>
      </c>
      <c r="G173" s="27" t="e">
        <v>#REF!</v>
      </c>
      <c r="H173" s="27" t="e">
        <v>#REF!</v>
      </c>
      <c r="I173" s="27" t="e">
        <v>#REF!</v>
      </c>
      <c r="J173" s="27" t="e">
        <v>#REF!</v>
      </c>
      <c r="K173" s="27" t="e">
        <v>#REF!</v>
      </c>
      <c r="L173" s="27" t="e">
        <v>#REF!</v>
      </c>
      <c r="M173" s="27" t="e">
        <v>#REF!</v>
      </c>
      <c r="N173" s="27" t="e">
        <v>#REF!</v>
      </c>
      <c r="O173" s="27" t="e">
        <v>#REF!</v>
      </c>
      <c r="P173" s="27" t="e">
        <v>#REF!</v>
      </c>
      <c r="S173" s="27">
        <f>pm.rep!B575</f>
        <v>1.3697699999999999</v>
      </c>
      <c r="T173" s="27">
        <f>pm.rep!C575</f>
        <v>7.4416700000000002</v>
      </c>
      <c r="U173" s="27">
        <f>pm.rep!D575</f>
        <v>68.270200000000003</v>
      </c>
      <c r="V173" s="27">
        <f>pm.rep!E575</f>
        <v>351.19499999999999</v>
      </c>
      <c r="W173" s="27">
        <f>pm.rep!F575</f>
        <v>971.43</v>
      </c>
      <c r="X173" s="27">
        <f>pm.rep!G575</f>
        <v>189.40700000000001</v>
      </c>
      <c r="Y173" s="27">
        <f>pm.rep!H575</f>
        <v>178.834</v>
      </c>
      <c r="Z173" s="27">
        <f>pm.rep!I575</f>
        <v>61.419499999999999</v>
      </c>
      <c r="AA173" s="27">
        <f>pm.rep!J575</f>
        <v>14.4991</v>
      </c>
      <c r="AB173" s="27">
        <f>pm.rep!K575</f>
        <v>9.8558800000000009</v>
      </c>
      <c r="AC173" s="27">
        <f>pm.rep!L575</f>
        <v>10.076599999999999</v>
      </c>
      <c r="AD173" s="27">
        <f>pm.rep!M575</f>
        <v>8.7196400000000001</v>
      </c>
      <c r="AE173" s="27">
        <f>pm.rep!N575</f>
        <v>6.6865699999999997</v>
      </c>
      <c r="AF173" s="27">
        <f>pm.rep!O575</f>
        <v>3.3492199999999999</v>
      </c>
      <c r="AG173" s="27">
        <f>pm.rep!P575</f>
        <v>3.6283699999999999</v>
      </c>
    </row>
    <row r="175" spans="1:34" x14ac:dyDescent="0.15">
      <c r="A175" s="21" t="str">
        <f>pm.rep!A501</f>
        <v>Pred.</v>
      </c>
      <c r="B175" t="str">
        <f>pm.rep!B501</f>
        <v>Survey</v>
      </c>
      <c r="C175" t="str">
        <f>pm.rep!C501</f>
        <v>numbers</v>
      </c>
      <c r="D175">
        <v>1984</v>
      </c>
      <c r="E175">
        <v>1985</v>
      </c>
      <c r="F175">
        <v>1986</v>
      </c>
      <c r="G175">
        <v>1987</v>
      </c>
      <c r="H175">
        <v>1988</v>
      </c>
      <c r="I175">
        <v>1989</v>
      </c>
      <c r="J175">
        <v>1990</v>
      </c>
      <c r="K175">
        <v>1991</v>
      </c>
      <c r="L175">
        <v>1992</v>
      </c>
      <c r="M175">
        <v>1993</v>
      </c>
      <c r="N175">
        <v>1994</v>
      </c>
      <c r="O175">
        <v>1995</v>
      </c>
      <c r="P175">
        <v>1996</v>
      </c>
      <c r="Q175">
        <v>1997</v>
      </c>
      <c r="R175">
        <v>1998</v>
      </c>
      <c r="S175">
        <v>1999</v>
      </c>
      <c r="T175">
        <v>2000</v>
      </c>
      <c r="U175">
        <v>2001</v>
      </c>
      <c r="V175">
        <v>2002</v>
      </c>
      <c r="W175">
        <v>2003</v>
      </c>
      <c r="X175">
        <v>2004</v>
      </c>
      <c r="Y175">
        <v>2005</v>
      </c>
      <c r="Z175">
        <v>2006</v>
      </c>
      <c r="AA175">
        <v>2007</v>
      </c>
      <c r="AB175">
        <v>2008</v>
      </c>
      <c r="AC175">
        <v>2009</v>
      </c>
      <c r="AD175">
        <v>2010</v>
      </c>
      <c r="AE175">
        <v>2011</v>
      </c>
      <c r="AF175">
        <v>2012</v>
      </c>
      <c r="AG175">
        <v>2013</v>
      </c>
      <c r="AH175">
        <v>2014</v>
      </c>
    </row>
    <row r="176" spans="1:34" x14ac:dyDescent="0.15">
      <c r="B176">
        <f>pm.rep!B502</f>
        <v>6310.33</v>
      </c>
      <c r="C176">
        <f>pm.rep!C502</f>
        <v>6929.87</v>
      </c>
      <c r="D176">
        <f>pm.rep!D502</f>
        <v>5254.46</v>
      </c>
      <c r="E176">
        <f>pm.rep!E502</f>
        <v>6348.25</v>
      </c>
      <c r="F176">
        <f>pm.rep!F502</f>
        <v>5121.55</v>
      </c>
      <c r="G176">
        <f>pm.rep!G502</f>
        <v>7347.19</v>
      </c>
      <c r="H176">
        <f>pm.rep!H502</f>
        <v>8657.6</v>
      </c>
      <c r="I176">
        <f>pm.rep!I502</f>
        <v>7786.73</v>
      </c>
      <c r="J176">
        <f>pm.rep!J502</f>
        <v>5958.58</v>
      </c>
      <c r="K176">
        <f>pm.rep!K502</f>
        <v>4226.82</v>
      </c>
      <c r="L176">
        <f>pm.rep!L502</f>
        <v>3952.03</v>
      </c>
      <c r="M176">
        <f>pm.rep!M502</f>
        <v>4540.47</v>
      </c>
      <c r="N176">
        <f>pm.rep!N502</f>
        <v>4557.5</v>
      </c>
      <c r="O176">
        <f>pm.rep!O502</f>
        <v>3458.3</v>
      </c>
      <c r="P176">
        <f>pm.rep!P502</f>
        <v>2700.03</v>
      </c>
      <c r="Q176">
        <f>pm.rep!Q502</f>
        <v>3356.55</v>
      </c>
      <c r="R176">
        <f>pm.rep!R502</f>
        <v>2952.98</v>
      </c>
      <c r="S176">
        <f>pm.rep!S502</f>
        <v>4515.58</v>
      </c>
      <c r="T176">
        <f>pm.rep!T502</f>
        <v>4539.2</v>
      </c>
      <c r="U176">
        <f>pm.rep!U502</f>
        <v>3840.49</v>
      </c>
      <c r="V176">
        <f>pm.rep!V502</f>
        <v>3759.51</v>
      </c>
      <c r="W176">
        <f>pm.rep!W502</f>
        <v>2772.96</v>
      </c>
      <c r="X176">
        <f>pm.rep!X502</f>
        <v>3243.85</v>
      </c>
      <c r="Y176">
        <f>pm.rep!Y502</f>
        <v>4133.6499999999996</v>
      </c>
      <c r="Z176">
        <f>pm.rep!Z502</f>
        <v>2635.86</v>
      </c>
      <c r="AA176">
        <f>pm.rep!AA502</f>
        <v>3214.05</v>
      </c>
      <c r="AB176">
        <f>pm.rep!AB502</f>
        <v>2429.92</v>
      </c>
      <c r="AC176">
        <f>pm.rep!AC502</f>
        <v>2174.61</v>
      </c>
      <c r="AD176">
        <f>pm.rep!AD502</f>
        <v>3132.32</v>
      </c>
      <c r="AE176">
        <f>pm.rep!AE502</f>
        <v>2291.08</v>
      </c>
      <c r="AF176">
        <f>pm.rep!AF502</f>
        <v>3659.74</v>
      </c>
      <c r="AG176">
        <f>pm.rep!AG502</f>
        <v>4702.3999999999996</v>
      </c>
      <c r="AH176">
        <f>pm.rep!AH502</f>
        <v>5560.98</v>
      </c>
    </row>
    <row r="177" spans="1:35" x14ac:dyDescent="0.15">
      <c r="A177" s="21" t="str">
        <f>pm.rep!A503</f>
        <v>Obs.</v>
      </c>
      <c r="B177" t="str">
        <f>pm.rep!B503</f>
        <v>Survey</v>
      </c>
      <c r="C177" t="str">
        <f>pm.rep!C503</f>
        <v>numbers</v>
      </c>
      <c r="D177">
        <f>pm.rep!D503</f>
        <v>0</v>
      </c>
      <c r="E177">
        <f>pm.rep!E503</f>
        <v>0</v>
      </c>
      <c r="F177">
        <f>pm.rep!F503</f>
        <v>0</v>
      </c>
      <c r="G177">
        <f>pm.rep!G503</f>
        <v>0</v>
      </c>
      <c r="H177">
        <f>pm.rep!H503</f>
        <v>0</v>
      </c>
      <c r="I177">
        <f>pm.rep!I503</f>
        <v>0</v>
      </c>
      <c r="J177">
        <f>pm.rep!J503</f>
        <v>0</v>
      </c>
      <c r="K177">
        <f>pm.rep!K503</f>
        <v>0</v>
      </c>
      <c r="L177">
        <f>pm.rep!L503</f>
        <v>0</v>
      </c>
      <c r="M177">
        <f>pm.rep!M503</f>
        <v>0</v>
      </c>
      <c r="N177">
        <f>pm.rep!N503</f>
        <v>0</v>
      </c>
      <c r="O177">
        <f>pm.rep!O503</f>
        <v>0</v>
      </c>
      <c r="P177">
        <f>pm.rep!P503</f>
        <v>0</v>
      </c>
      <c r="Q177">
        <f>pm.rep!Q503</f>
        <v>0</v>
      </c>
      <c r="R177">
        <f>pm.rep!R503</f>
        <v>0</v>
      </c>
      <c r="S177">
        <f>pm.rep!S503</f>
        <v>0</v>
      </c>
      <c r="T177">
        <f>pm.rep!T503</f>
        <v>0</v>
      </c>
      <c r="U177">
        <f>pm.rep!U503</f>
        <v>0</v>
      </c>
      <c r="V177">
        <f>pm.rep!V503</f>
        <v>0</v>
      </c>
      <c r="W177">
        <f>pm.rep!W503</f>
        <v>0</v>
      </c>
      <c r="X177">
        <f>pm.rep!X503</f>
        <v>0</v>
      </c>
      <c r="Y177">
        <f>pm.rep!Y503</f>
        <v>0</v>
      </c>
      <c r="Z177">
        <f>pm.rep!Z503</f>
        <v>0</v>
      </c>
      <c r="AA177">
        <f>pm.rep!AA503</f>
        <v>0</v>
      </c>
      <c r="AB177">
        <f>pm.rep!AB503</f>
        <v>0</v>
      </c>
      <c r="AC177">
        <f>pm.rep!AC503</f>
        <v>0</v>
      </c>
      <c r="AD177">
        <f>pm.rep!AD503</f>
        <v>0</v>
      </c>
      <c r="AE177">
        <f>pm.rep!AE503</f>
        <v>0</v>
      </c>
      <c r="AF177">
        <f>pm.rep!AF503</f>
        <v>0</v>
      </c>
    </row>
    <row r="178" spans="1:35" x14ac:dyDescent="0.15">
      <c r="B178">
        <f>pm.rep!B504</f>
        <v>12818.7</v>
      </c>
      <c r="C178">
        <f>pm.rep!C504</f>
        <v>15926.6</v>
      </c>
      <c r="D178">
        <f>pm.rep!D504</f>
        <v>10877.4</v>
      </c>
      <c r="E178">
        <f>pm.rep!E504</f>
        <v>15166.2</v>
      </c>
      <c r="F178">
        <f>pm.rep!F504</f>
        <v>9997.84</v>
      </c>
      <c r="G178">
        <f>pm.rep!G504</f>
        <v>12858.9</v>
      </c>
      <c r="H178">
        <f>pm.rep!H504</f>
        <v>18892.400000000001</v>
      </c>
      <c r="I178">
        <f>pm.rep!I504</f>
        <v>15757.8</v>
      </c>
      <c r="J178">
        <f>pm.rep!J504</f>
        <v>15785.4</v>
      </c>
      <c r="K178">
        <f>pm.rep!K504</f>
        <v>8479.68</v>
      </c>
      <c r="L178">
        <f>pm.rep!L504</f>
        <v>8325.0300000000007</v>
      </c>
      <c r="M178">
        <f>pm.rep!M504</f>
        <v>10213.1</v>
      </c>
      <c r="N178">
        <f>pm.rep!N504</f>
        <v>10042.799999999999</v>
      </c>
      <c r="O178">
        <f>pm.rep!O504</f>
        <v>13415.1</v>
      </c>
      <c r="P178">
        <f>pm.rep!P504</f>
        <v>6213.77</v>
      </c>
      <c r="Q178">
        <f>pm.rep!Q504</f>
        <v>8496.35</v>
      </c>
      <c r="R178">
        <f>pm.rep!R504</f>
        <v>6296.36</v>
      </c>
      <c r="S178">
        <f>pm.rep!S504</f>
        <v>9138.4500000000007</v>
      </c>
      <c r="T178">
        <f>pm.rep!T504</f>
        <v>11305.7</v>
      </c>
      <c r="U178">
        <f>pm.rep!U504</f>
        <v>8144.45</v>
      </c>
      <c r="V178">
        <f>pm.rep!V504</f>
        <v>9537.39</v>
      </c>
      <c r="W178">
        <f>pm.rep!W504</f>
        <v>15526.5</v>
      </c>
      <c r="X178">
        <f>pm.rep!X504</f>
        <v>6744.19</v>
      </c>
      <c r="Y178">
        <f>pm.rep!Y504</f>
        <v>10345.6</v>
      </c>
      <c r="Z178">
        <f>pm.rep!Z504</f>
        <v>5056.71</v>
      </c>
      <c r="AA178">
        <f>pm.rep!AA504</f>
        <v>7357.24</v>
      </c>
      <c r="AB178">
        <f>pm.rep!AB504</f>
        <v>4636.5</v>
      </c>
      <c r="AC178">
        <f>pm.rep!AC504</f>
        <v>3648.9</v>
      </c>
      <c r="AD178">
        <f>pm.rep!AD504</f>
        <v>7033.5</v>
      </c>
      <c r="AE178">
        <f>pm.rep!AE504</f>
        <v>4950.78</v>
      </c>
      <c r="AF178">
        <f>pm.rep!AF504</f>
        <v>7317.35</v>
      </c>
      <c r="AG178">
        <f>pm.rep!AG504</f>
        <v>9055.2000000000007</v>
      </c>
      <c r="AH178">
        <f>pm.rep!AH504</f>
        <v>14027.1</v>
      </c>
    </row>
    <row r="180" spans="1:35" x14ac:dyDescent="0.15">
      <c r="A180" s="21" t="str">
        <f t="shared" ref="A180:AG180" si="76">A63</f>
        <v>Predicted</v>
      </c>
      <c r="B180">
        <f t="shared" si="76"/>
        <v>1</v>
      </c>
      <c r="C180">
        <f t="shared" si="76"/>
        <v>2</v>
      </c>
      <c r="D180">
        <f t="shared" si="76"/>
        <v>3</v>
      </c>
      <c r="E180">
        <f t="shared" si="76"/>
        <v>4</v>
      </c>
      <c r="F180">
        <f t="shared" si="76"/>
        <v>5</v>
      </c>
      <c r="G180">
        <f t="shared" si="76"/>
        <v>6</v>
      </c>
      <c r="H180">
        <f t="shared" si="76"/>
        <v>7</v>
      </c>
      <c r="I180">
        <f t="shared" si="76"/>
        <v>8</v>
      </c>
      <c r="J180">
        <f t="shared" si="76"/>
        <v>9</v>
      </c>
      <c r="K180">
        <f t="shared" si="76"/>
        <v>10</v>
      </c>
      <c r="L180">
        <f t="shared" si="76"/>
        <v>11</v>
      </c>
      <c r="M180">
        <f t="shared" si="76"/>
        <v>12</v>
      </c>
      <c r="N180">
        <f t="shared" si="76"/>
        <v>13</v>
      </c>
      <c r="O180">
        <f t="shared" si="76"/>
        <v>14</v>
      </c>
      <c r="P180">
        <f t="shared" si="76"/>
        <v>15</v>
      </c>
      <c r="R180" t="str">
        <f t="shared" si="76"/>
        <v>Observed</v>
      </c>
      <c r="S180">
        <f t="shared" si="76"/>
        <v>1</v>
      </c>
      <c r="T180">
        <f t="shared" si="76"/>
        <v>2</v>
      </c>
      <c r="U180">
        <f t="shared" si="76"/>
        <v>3</v>
      </c>
      <c r="V180">
        <f t="shared" si="76"/>
        <v>4</v>
      </c>
      <c r="W180">
        <f t="shared" si="76"/>
        <v>5</v>
      </c>
      <c r="X180">
        <f t="shared" si="76"/>
        <v>6</v>
      </c>
      <c r="Y180">
        <f t="shared" si="76"/>
        <v>7</v>
      </c>
      <c r="Z180">
        <f t="shared" si="76"/>
        <v>8</v>
      </c>
      <c r="AA180">
        <f t="shared" si="76"/>
        <v>9</v>
      </c>
      <c r="AB180">
        <f t="shared" si="76"/>
        <v>10</v>
      </c>
      <c r="AC180">
        <f t="shared" si="76"/>
        <v>11</v>
      </c>
      <c r="AD180">
        <f t="shared" si="76"/>
        <v>12</v>
      </c>
      <c r="AE180">
        <f t="shared" si="76"/>
        <v>13</v>
      </c>
      <c r="AF180">
        <f t="shared" si="76"/>
        <v>14</v>
      </c>
      <c r="AG180">
        <f t="shared" si="76"/>
        <v>15</v>
      </c>
    </row>
    <row r="181" spans="1:35" x14ac:dyDescent="0.15">
      <c r="A181" s="21">
        <f t="shared" ref="A181:A213" si="77">A64</f>
        <v>1982</v>
      </c>
      <c r="B181">
        <f t="shared" ref="B181:O181" si="78">B64*$Q181</f>
        <v>577.97385226099993</v>
      </c>
      <c r="C181">
        <f t="shared" si="78"/>
        <v>913.25619891999997</v>
      </c>
      <c r="D181">
        <f t="shared" si="78"/>
        <v>1005.5510854999999</v>
      </c>
      <c r="E181">
        <f t="shared" si="78"/>
        <v>2509.0503113</v>
      </c>
      <c r="F181">
        <f t="shared" si="78"/>
        <v>795.21516593999991</v>
      </c>
      <c r="G181">
        <f t="shared" si="78"/>
        <v>241.01674401999998</v>
      </c>
      <c r="H181">
        <f t="shared" si="78"/>
        <v>119.346009224</v>
      </c>
      <c r="I181">
        <f t="shared" si="78"/>
        <v>75.564939684000009</v>
      </c>
      <c r="J181">
        <f t="shared" si="78"/>
        <v>39.519893000899998</v>
      </c>
      <c r="K181">
        <f t="shared" si="78"/>
        <v>21.947201533399998</v>
      </c>
      <c r="L181">
        <f t="shared" si="78"/>
        <v>4.55810280692</v>
      </c>
      <c r="M181">
        <f t="shared" si="78"/>
        <v>2.7683228400099997</v>
      </c>
      <c r="N181">
        <f t="shared" si="78"/>
        <v>2.1936789488900001</v>
      </c>
      <c r="O181">
        <f t="shared" si="78"/>
        <v>1.24469997184</v>
      </c>
      <c r="P181">
        <f>P64*$Q181</f>
        <v>1.1287097961100001</v>
      </c>
      <c r="Q181" s="27">
        <f t="array" ref="Q181:Q213">TRANSPOSE(B176:AH176)</f>
        <v>6310.33</v>
      </c>
      <c r="S181">
        <f t="shared" ref="S181:AF181" si="79">S64*$AH181</f>
        <v>1169.70509313</v>
      </c>
      <c r="T181">
        <f t="shared" si="79"/>
        <v>2780.2222056000001</v>
      </c>
      <c r="U181">
        <f t="shared" si="79"/>
        <v>3049.7994666</v>
      </c>
      <c r="V181">
        <f t="shared" si="79"/>
        <v>3977.8989839999999</v>
      </c>
      <c r="W181">
        <f t="shared" si="79"/>
        <v>1367.9347518000002</v>
      </c>
      <c r="X181">
        <f t="shared" si="79"/>
        <v>187.30299879</v>
      </c>
      <c r="Y181">
        <f t="shared" si="79"/>
        <v>129.89573271</v>
      </c>
      <c r="Z181">
        <f t="shared" si="79"/>
        <v>61.965852173999998</v>
      </c>
      <c r="AA181">
        <f t="shared" si="79"/>
        <v>39.128056254000001</v>
      </c>
      <c r="AB181">
        <f t="shared" si="79"/>
        <v>24.528967011000002</v>
      </c>
      <c r="AC181">
        <f t="shared" si="79"/>
        <v>15.117477470999999</v>
      </c>
      <c r="AD181">
        <f t="shared" si="79"/>
        <v>9.3729693465000015</v>
      </c>
      <c r="AE181">
        <f t="shared" si="79"/>
        <v>3.2818948487999999</v>
      </c>
      <c r="AF181">
        <f t="shared" si="79"/>
        <v>1.2890997468000001</v>
      </c>
      <c r="AG181">
        <f>AG64*$AH181</f>
        <v>1.25840024217</v>
      </c>
      <c r="AH181" s="27">
        <f t="array" ref="AH181:AH213">TRANSPOSE(B178:AK178)</f>
        <v>12818.7</v>
      </c>
      <c r="AI181" s="31">
        <v>1982</v>
      </c>
    </row>
    <row r="182" spans="1:35" x14ac:dyDescent="0.15">
      <c r="A182" s="21">
        <f t="shared" si="77"/>
        <v>1983</v>
      </c>
      <c r="B182">
        <f t="shared" ref="B182:P182" si="80">B65*$Q182</f>
        <v>1674.0001868100001</v>
      </c>
      <c r="C182">
        <f t="shared" si="80"/>
        <v>323.32555861599997</v>
      </c>
      <c r="D182">
        <f t="shared" si="80"/>
        <v>878.59663808000005</v>
      </c>
      <c r="E182">
        <f t="shared" si="80"/>
        <v>1009.682059</v>
      </c>
      <c r="F182">
        <f t="shared" si="80"/>
        <v>2175.8752319499999</v>
      </c>
      <c r="G182">
        <f t="shared" si="80"/>
        <v>571.90553941200005</v>
      </c>
      <c r="H182">
        <f t="shared" si="80"/>
        <v>151.01156911799998</v>
      </c>
      <c r="I182">
        <f t="shared" si="80"/>
        <v>67.918754986899998</v>
      </c>
      <c r="J182">
        <f t="shared" si="80"/>
        <v>40.267534206400001</v>
      </c>
      <c r="K182">
        <f t="shared" si="80"/>
        <v>20.284145282200001</v>
      </c>
      <c r="L182">
        <f t="shared" si="80"/>
        <v>11.0777436885</v>
      </c>
      <c r="M182">
        <f t="shared" si="80"/>
        <v>2.2812023260799998</v>
      </c>
      <c r="N182">
        <f t="shared" si="80"/>
        <v>1.3796400988200002</v>
      </c>
      <c r="O182">
        <f t="shared" si="80"/>
        <v>1.09099715358</v>
      </c>
      <c r="P182">
        <f t="shared" si="80"/>
        <v>1.1788817649199999</v>
      </c>
      <c r="Q182" s="27">
        <v>6929.87</v>
      </c>
      <c r="S182">
        <f t="shared" ref="S182:AG182" si="81">S65*$AH182</f>
        <v>3939.9541611999998</v>
      </c>
      <c r="T182">
        <f t="shared" si="81"/>
        <v>588.71084239999993</v>
      </c>
      <c r="U182">
        <f t="shared" si="81"/>
        <v>1321.3774442200001</v>
      </c>
      <c r="V182">
        <f t="shared" si="81"/>
        <v>2386.4895237999999</v>
      </c>
      <c r="W182">
        <f t="shared" si="81"/>
        <v>5369.1913186000002</v>
      </c>
      <c r="X182">
        <f t="shared" si="81"/>
        <v>1644.4692298</v>
      </c>
      <c r="Y182">
        <f t="shared" si="81"/>
        <v>300.48875486000003</v>
      </c>
      <c r="Z182">
        <f t="shared" si="81"/>
        <v>161.62632212</v>
      </c>
      <c r="AA182">
        <f t="shared" si="81"/>
        <v>72.934272039999996</v>
      </c>
      <c r="AB182">
        <f t="shared" si="81"/>
        <v>63.043216376000004</v>
      </c>
      <c r="AC182">
        <f t="shared" si="81"/>
        <v>47.036664844000001</v>
      </c>
      <c r="AD182">
        <f t="shared" si="81"/>
        <v>16.647119384</v>
      </c>
      <c r="AE182">
        <f t="shared" si="81"/>
        <v>6.5920356666000002</v>
      </c>
      <c r="AF182">
        <f t="shared" si="81"/>
        <v>5.6023885957999999</v>
      </c>
      <c r="AG182">
        <f t="shared" si="81"/>
        <v>2.4409584957999999</v>
      </c>
      <c r="AH182" s="27">
        <v>15926.6</v>
      </c>
      <c r="AI182" s="31">
        <v>1983</v>
      </c>
    </row>
    <row r="183" spans="1:35" x14ac:dyDescent="0.15">
      <c r="A183" s="21">
        <f t="shared" si="77"/>
        <v>1984</v>
      </c>
      <c r="B183">
        <f t="shared" ref="B183:P183" si="82">B66*$Q183</f>
        <v>342.066396892</v>
      </c>
      <c r="C183">
        <f t="shared" si="82"/>
        <v>504.18014948800004</v>
      </c>
      <c r="D183">
        <f t="shared" si="82"/>
        <v>261.080455804</v>
      </c>
      <c r="E183">
        <f t="shared" si="82"/>
        <v>784.73258315999999</v>
      </c>
      <c r="F183">
        <f t="shared" si="82"/>
        <v>874.10043884000004</v>
      </c>
      <c r="G183">
        <f t="shared" si="82"/>
        <v>1806.7303076200001</v>
      </c>
      <c r="H183">
        <f t="shared" si="82"/>
        <v>454.52497704199999</v>
      </c>
      <c r="I183">
        <f t="shared" si="82"/>
        <v>117.47606400399999</v>
      </c>
      <c r="J183">
        <f t="shared" si="82"/>
        <v>51.7224346438</v>
      </c>
      <c r="K183">
        <f t="shared" si="82"/>
        <v>30.141158898</v>
      </c>
      <c r="L183">
        <f t="shared" si="82"/>
        <v>15.088392068400001</v>
      </c>
      <c r="M183">
        <f t="shared" si="82"/>
        <v>8.2235977122000001</v>
      </c>
      <c r="N183">
        <f t="shared" si="82"/>
        <v>1.6918783209400001</v>
      </c>
      <c r="O183">
        <f t="shared" si="82"/>
        <v>1.02279640238</v>
      </c>
      <c r="P183">
        <f t="shared" si="82"/>
        <v>1.68232571266</v>
      </c>
      <c r="Q183" s="27">
        <v>5254.46</v>
      </c>
      <c r="S183">
        <f t="shared" ref="S183:AG183" si="83">S66*$AH183</f>
        <v>474.65710380000002</v>
      </c>
      <c r="T183">
        <f t="shared" si="83"/>
        <v>378.16586387999996</v>
      </c>
      <c r="U183">
        <f t="shared" si="83"/>
        <v>539.38416024000003</v>
      </c>
      <c r="V183">
        <f t="shared" si="83"/>
        <v>1561.9184981999999</v>
      </c>
      <c r="W183">
        <f t="shared" si="83"/>
        <v>1983.0044069999999</v>
      </c>
      <c r="X183">
        <f t="shared" si="83"/>
        <v>4676.4118079999998</v>
      </c>
      <c r="Y183">
        <f t="shared" si="83"/>
        <v>894.65636033999999</v>
      </c>
      <c r="Z183">
        <f t="shared" si="83"/>
        <v>198.95852340000002</v>
      </c>
      <c r="AA183">
        <f t="shared" si="83"/>
        <v>92.747021291999999</v>
      </c>
      <c r="AB183">
        <f t="shared" si="83"/>
        <v>32.973206489999995</v>
      </c>
      <c r="AC183">
        <f t="shared" si="83"/>
        <v>21.852261504000001</v>
      </c>
      <c r="AD183">
        <f t="shared" si="83"/>
        <v>8.5527908460000006</v>
      </c>
      <c r="AE183">
        <f t="shared" si="83"/>
        <v>5.0105002715999998</v>
      </c>
      <c r="AF183">
        <f t="shared" si="83"/>
        <v>6.1430877918000002</v>
      </c>
      <c r="AG183">
        <f t="shared" si="83"/>
        <v>2.9588485931999999</v>
      </c>
      <c r="AH183" s="27">
        <v>10877.4</v>
      </c>
      <c r="AI183" s="31">
        <v>1984</v>
      </c>
    </row>
    <row r="184" spans="1:35" x14ac:dyDescent="0.15">
      <c r="A184" s="21">
        <f t="shared" si="77"/>
        <v>1985</v>
      </c>
      <c r="B184">
        <f t="shared" ref="B184:P184" si="84">B67*$Q184</f>
        <v>1754.9800607500001</v>
      </c>
      <c r="C184">
        <f t="shared" si="84"/>
        <v>168.015958625</v>
      </c>
      <c r="D184">
        <f t="shared" si="84"/>
        <v>916.43971824999994</v>
      </c>
      <c r="E184">
        <f t="shared" si="84"/>
        <v>397.25824919999997</v>
      </c>
      <c r="F184">
        <f t="shared" si="84"/>
        <v>876.31242999999995</v>
      </c>
      <c r="G184">
        <f t="shared" si="84"/>
        <v>697.01245700000004</v>
      </c>
      <c r="H184">
        <f t="shared" si="84"/>
        <v>1159.5332555</v>
      </c>
      <c r="I184">
        <f t="shared" si="84"/>
        <v>258.351556125</v>
      </c>
      <c r="J184">
        <f t="shared" si="84"/>
        <v>63.252375937500005</v>
      </c>
      <c r="K184">
        <f t="shared" si="84"/>
        <v>27.0813170875</v>
      </c>
      <c r="L184">
        <f t="shared" si="84"/>
        <v>15.644182922499999</v>
      </c>
      <c r="M184">
        <f t="shared" si="84"/>
        <v>7.8229484749999996</v>
      </c>
      <c r="N184">
        <f t="shared" si="84"/>
        <v>4.2637513264999995</v>
      </c>
      <c r="O184">
        <f t="shared" si="84"/>
        <v>0.87736623950000003</v>
      </c>
      <c r="P184">
        <f t="shared" si="84"/>
        <v>1.4028743745000001</v>
      </c>
      <c r="Q184" s="27">
        <v>6348.25</v>
      </c>
      <c r="S184">
        <f t="shared" ref="S184:AG184" si="85">S67*$AH184</f>
        <v>4373.6590884000007</v>
      </c>
      <c r="T184">
        <f t="shared" si="85"/>
        <v>735.21794388000001</v>
      </c>
      <c r="U184">
        <f t="shared" si="85"/>
        <v>2829.3911058000003</v>
      </c>
      <c r="V184">
        <f t="shared" si="85"/>
        <v>896.55749610000009</v>
      </c>
      <c r="W184">
        <f t="shared" si="85"/>
        <v>2949.8410662000001</v>
      </c>
      <c r="X184">
        <f t="shared" si="85"/>
        <v>1785.0162414000001</v>
      </c>
      <c r="Y184">
        <f t="shared" si="85"/>
        <v>1215.9713176800001</v>
      </c>
      <c r="Z184">
        <f t="shared" si="85"/>
        <v>239.40150023999999</v>
      </c>
      <c r="AA184">
        <f t="shared" si="85"/>
        <v>60.833296482000002</v>
      </c>
      <c r="AB184">
        <f t="shared" si="85"/>
        <v>50.263365054000005</v>
      </c>
      <c r="AC184">
        <f t="shared" si="85"/>
        <v>17.251552500000003</v>
      </c>
      <c r="AD184">
        <f t="shared" si="85"/>
        <v>5.5913077878000008</v>
      </c>
      <c r="AE184">
        <f t="shared" si="85"/>
        <v>6.1896902088000001</v>
      </c>
      <c r="AF184">
        <f t="shared" si="85"/>
        <v>0.73881536652000013</v>
      </c>
      <c r="AG184">
        <f t="shared" si="85"/>
        <v>0.28650316758</v>
      </c>
      <c r="AH184" s="27">
        <v>15166.2</v>
      </c>
      <c r="AI184" s="31">
        <v>1985</v>
      </c>
    </row>
    <row r="185" spans="1:35" x14ac:dyDescent="0.15">
      <c r="A185" s="21">
        <f t="shared" si="77"/>
        <v>1986</v>
      </c>
      <c r="B185">
        <f t="shared" ref="B185:P185" si="86">B68*$Q185</f>
        <v>960.40842065000004</v>
      </c>
      <c r="C185">
        <f t="shared" si="86"/>
        <v>291.40287897000002</v>
      </c>
      <c r="D185">
        <f t="shared" si="86"/>
        <v>171.30458009</v>
      </c>
      <c r="E185">
        <f t="shared" si="86"/>
        <v>973.33521284999995</v>
      </c>
      <c r="F185">
        <f t="shared" si="86"/>
        <v>392.67948160000003</v>
      </c>
      <c r="G185">
        <f t="shared" si="86"/>
        <v>757.60528375000001</v>
      </c>
      <c r="H185">
        <f t="shared" si="86"/>
        <v>525.07667064999998</v>
      </c>
      <c r="I185">
        <f t="shared" si="86"/>
        <v>807.43284369999992</v>
      </c>
      <c r="J185">
        <f t="shared" si="86"/>
        <v>167.95303777000001</v>
      </c>
      <c r="K185">
        <f t="shared" si="86"/>
        <v>39.566585740500003</v>
      </c>
      <c r="L185">
        <f t="shared" si="86"/>
        <v>16.585883597500001</v>
      </c>
      <c r="M185">
        <f t="shared" si="86"/>
        <v>9.5075942045000001</v>
      </c>
      <c r="N185">
        <f t="shared" si="86"/>
        <v>4.7370906061499998</v>
      </c>
      <c r="O185">
        <f t="shared" si="86"/>
        <v>2.5775173469500001</v>
      </c>
      <c r="P185">
        <f t="shared" si="86"/>
        <v>1.3768570158</v>
      </c>
      <c r="Q185" s="27">
        <v>5121.55</v>
      </c>
      <c r="S185">
        <f t="shared" ref="S185:AG185" si="87">S68*$AH185</f>
        <v>2199.3748324000003</v>
      </c>
      <c r="T185">
        <f t="shared" si="87"/>
        <v>541.29305543999999</v>
      </c>
      <c r="U185">
        <f t="shared" si="87"/>
        <v>401.86717793600002</v>
      </c>
      <c r="V185">
        <f t="shared" si="87"/>
        <v>1487.5986092800001</v>
      </c>
      <c r="W185">
        <f t="shared" si="87"/>
        <v>899.75461101600001</v>
      </c>
      <c r="X185">
        <f t="shared" si="87"/>
        <v>1497.8963844800001</v>
      </c>
      <c r="Y185">
        <f t="shared" si="87"/>
        <v>1310.2269298400001</v>
      </c>
      <c r="Z185">
        <f t="shared" si="87"/>
        <v>1188.0933164</v>
      </c>
      <c r="AA185">
        <f t="shared" si="87"/>
        <v>372.09061106400003</v>
      </c>
      <c r="AB185">
        <f t="shared" si="87"/>
        <v>56.708348350399994</v>
      </c>
      <c r="AC185">
        <f t="shared" si="87"/>
        <v>26.204938510400002</v>
      </c>
      <c r="AD185">
        <f t="shared" si="87"/>
        <v>11.681676212800001</v>
      </c>
      <c r="AE185">
        <f t="shared" si="87"/>
        <v>1.04335458672</v>
      </c>
      <c r="AF185">
        <f t="shared" si="87"/>
        <v>2.9388350744800005</v>
      </c>
      <c r="AG185">
        <f t="shared" si="87"/>
        <v>1.0679192796000001</v>
      </c>
      <c r="AH185" s="27">
        <v>9997.84</v>
      </c>
      <c r="AI185" s="31">
        <v>1986</v>
      </c>
    </row>
    <row r="186" spans="1:35" x14ac:dyDescent="0.15">
      <c r="A186" s="21">
        <f t="shared" si="77"/>
        <v>1987</v>
      </c>
      <c r="B186">
        <f t="shared" ref="B186:P186" si="88">B69*$Q186</f>
        <v>407.64561220799999</v>
      </c>
      <c r="C186">
        <f t="shared" si="88"/>
        <v>246.523939665</v>
      </c>
      <c r="D186">
        <f t="shared" si="88"/>
        <v>865.14631687999997</v>
      </c>
      <c r="E186">
        <f t="shared" si="88"/>
        <v>483.85287104499997</v>
      </c>
      <c r="F186">
        <f t="shared" si="88"/>
        <v>2216.1990444099997</v>
      </c>
      <c r="G186">
        <f t="shared" si="88"/>
        <v>672.59850855000002</v>
      </c>
      <c r="H186">
        <f t="shared" si="88"/>
        <v>967.57349266999995</v>
      </c>
      <c r="I186">
        <f t="shared" si="88"/>
        <v>542.32989097399991</v>
      </c>
      <c r="J186">
        <f t="shared" si="88"/>
        <v>740.71430703999999</v>
      </c>
      <c r="K186">
        <f t="shared" si="88"/>
        <v>143.48915126199998</v>
      </c>
      <c r="L186">
        <f t="shared" si="88"/>
        <v>32.770818500799997</v>
      </c>
      <c r="M186">
        <f t="shared" si="88"/>
        <v>13.564088290399999</v>
      </c>
      <c r="N186">
        <f t="shared" si="88"/>
        <v>7.7324766435999992</v>
      </c>
      <c r="O186">
        <f t="shared" si="88"/>
        <v>3.8434252968499996</v>
      </c>
      <c r="P186">
        <f t="shared" si="88"/>
        <v>3.2043960994099998</v>
      </c>
      <c r="Q186" s="27">
        <v>7347.19</v>
      </c>
      <c r="S186">
        <f t="shared" ref="S186:AG186" si="89">S69*$AH186</f>
        <v>425.00207568000002</v>
      </c>
      <c r="T186">
        <f t="shared" si="89"/>
        <v>767.52330909</v>
      </c>
      <c r="U186">
        <f t="shared" si="89"/>
        <v>1046.5190047199999</v>
      </c>
      <c r="V186">
        <f t="shared" si="89"/>
        <v>789.57246492000002</v>
      </c>
      <c r="W186">
        <f t="shared" si="89"/>
        <v>4792.0105328999998</v>
      </c>
      <c r="X186">
        <f t="shared" si="89"/>
        <v>1326.0354858000001</v>
      </c>
      <c r="Y186">
        <f t="shared" si="89"/>
        <v>1269.60163137</v>
      </c>
      <c r="Z186">
        <f t="shared" si="89"/>
        <v>501.48424109999996</v>
      </c>
      <c r="AA186">
        <f t="shared" si="89"/>
        <v>1586.1838917</v>
      </c>
      <c r="AB186">
        <f t="shared" si="89"/>
        <v>245.10992234999998</v>
      </c>
      <c r="AC186">
        <f t="shared" si="89"/>
        <v>71.996209566000005</v>
      </c>
      <c r="AD186">
        <f t="shared" si="89"/>
        <v>28.270034471999999</v>
      </c>
      <c r="AE186">
        <f t="shared" si="89"/>
        <v>5.1551458689</v>
      </c>
      <c r="AF186">
        <f t="shared" si="89"/>
        <v>2.4203921703</v>
      </c>
      <c r="AG186">
        <f t="shared" si="89"/>
        <v>2.0151310779</v>
      </c>
      <c r="AH186" s="27">
        <v>12858.9</v>
      </c>
      <c r="AI186" s="31">
        <v>1987</v>
      </c>
    </row>
    <row r="187" spans="1:35" x14ac:dyDescent="0.15">
      <c r="A187" s="21">
        <f t="shared" si="77"/>
        <v>1988</v>
      </c>
      <c r="B187">
        <f t="shared" ref="B187:P187" si="90">B70*$Q187</f>
        <v>397.84442432000003</v>
      </c>
      <c r="C187">
        <f t="shared" si="90"/>
        <v>211.54672447999999</v>
      </c>
      <c r="D187">
        <f t="shared" si="90"/>
        <v>558.54592976000004</v>
      </c>
      <c r="E187">
        <f t="shared" si="90"/>
        <v>1804.6767199999999</v>
      </c>
      <c r="F187">
        <f t="shared" si="90"/>
        <v>770.44761584000003</v>
      </c>
      <c r="G187">
        <f t="shared" si="90"/>
        <v>2601.0373983999998</v>
      </c>
      <c r="H187">
        <f t="shared" si="90"/>
        <v>596.45842592000008</v>
      </c>
      <c r="I187">
        <f t="shared" si="90"/>
        <v>731.43993327999999</v>
      </c>
      <c r="J187">
        <f t="shared" si="90"/>
        <v>370.43532848000001</v>
      </c>
      <c r="K187">
        <f t="shared" si="90"/>
        <v>484.13212624000005</v>
      </c>
      <c r="L187">
        <f t="shared" si="90"/>
        <v>92.179198720000016</v>
      </c>
      <c r="M187">
        <f t="shared" si="90"/>
        <v>20.878841312000002</v>
      </c>
      <c r="N187">
        <f t="shared" si="90"/>
        <v>8.6109355359999995</v>
      </c>
      <c r="O187">
        <f t="shared" si="90"/>
        <v>4.9012405120000002</v>
      </c>
      <c r="P187">
        <f t="shared" si="90"/>
        <v>4.4635901744000002</v>
      </c>
      <c r="Q187" s="27">
        <v>8657.6</v>
      </c>
      <c r="S187">
        <f t="shared" ref="S187:AG187" si="91">S70*$AH187</f>
        <v>1521.9811901999999</v>
      </c>
      <c r="T187">
        <f t="shared" si="91"/>
        <v>786.26957091999998</v>
      </c>
      <c r="U187">
        <f t="shared" si="91"/>
        <v>1818.1120032400001</v>
      </c>
      <c r="V187">
        <f t="shared" si="91"/>
        <v>3449.2799300000001</v>
      </c>
      <c r="W187">
        <f t="shared" si="91"/>
        <v>1501.1202021199999</v>
      </c>
      <c r="X187">
        <f t="shared" si="91"/>
        <v>4871.4998020000003</v>
      </c>
      <c r="Y187">
        <f t="shared" si="91"/>
        <v>1444.5846951200001</v>
      </c>
      <c r="Z187">
        <f t="shared" si="91"/>
        <v>1095.00917172</v>
      </c>
      <c r="AA187">
        <f t="shared" si="91"/>
        <v>631.40856812000004</v>
      </c>
      <c r="AB187">
        <f t="shared" si="91"/>
        <v>1495.90589972</v>
      </c>
      <c r="AC187">
        <f t="shared" si="91"/>
        <v>141.289458336</v>
      </c>
      <c r="AD187">
        <f t="shared" si="91"/>
        <v>84.068723988000002</v>
      </c>
      <c r="AE187">
        <f t="shared" si="91"/>
        <v>17.2468341752</v>
      </c>
      <c r="AF187">
        <f t="shared" si="91"/>
        <v>22.739270488000003</v>
      </c>
      <c r="AG187">
        <f t="shared" si="91"/>
        <v>11.885435548800002</v>
      </c>
      <c r="AH187" s="27">
        <v>18892.400000000001</v>
      </c>
      <c r="AI187" s="31">
        <v>1988</v>
      </c>
    </row>
    <row r="188" spans="1:35" x14ac:dyDescent="0.15">
      <c r="A188" s="21">
        <f t="shared" si="77"/>
        <v>1989</v>
      </c>
      <c r="B188">
        <f t="shared" ref="B188:P188" si="92">B71*$Q188</f>
        <v>477.04544804699998</v>
      </c>
      <c r="C188">
        <f t="shared" si="92"/>
        <v>142.69182724999999</v>
      </c>
      <c r="D188">
        <f t="shared" si="92"/>
        <v>306.64454209199999</v>
      </c>
      <c r="E188">
        <f t="shared" si="92"/>
        <v>769.75953016899996</v>
      </c>
      <c r="F188">
        <f t="shared" si="92"/>
        <v>2046.7264070400001</v>
      </c>
      <c r="G188">
        <f t="shared" si="92"/>
        <v>685.04769449899993</v>
      </c>
      <c r="H188">
        <f t="shared" si="92"/>
        <v>1903.5673759900001</v>
      </c>
      <c r="I188">
        <f t="shared" si="92"/>
        <v>391.54793131999998</v>
      </c>
      <c r="J188">
        <f t="shared" si="92"/>
        <v>461.51170036999997</v>
      </c>
      <c r="K188">
        <f t="shared" si="92"/>
        <v>227.55472548199998</v>
      </c>
      <c r="L188">
        <f t="shared" si="92"/>
        <v>295.15132861199999</v>
      </c>
      <c r="M188">
        <f t="shared" si="92"/>
        <v>55.955753249200001</v>
      </c>
      <c r="N188">
        <f t="shared" si="92"/>
        <v>12.650788761799999</v>
      </c>
      <c r="O188">
        <f t="shared" si="92"/>
        <v>5.2133792563299997</v>
      </c>
      <c r="P188">
        <f t="shared" si="92"/>
        <v>5.6674468428199996</v>
      </c>
      <c r="Q188" s="27">
        <v>7786.73</v>
      </c>
      <c r="S188">
        <f t="shared" ref="S188:AG188" si="93">S71*$AH188</f>
        <v>984.86880311999994</v>
      </c>
      <c r="T188">
        <f t="shared" si="93"/>
        <v>325.24571933999999</v>
      </c>
      <c r="U188">
        <f t="shared" si="93"/>
        <v>630.22533210000006</v>
      </c>
      <c r="V188">
        <f t="shared" si="93"/>
        <v>2079.7302017999996</v>
      </c>
      <c r="W188">
        <f t="shared" si="93"/>
        <v>4669.6034207999992</v>
      </c>
      <c r="X188">
        <f t="shared" si="93"/>
        <v>927.14798171999996</v>
      </c>
      <c r="Y188">
        <f t="shared" si="93"/>
        <v>3526.1071481999998</v>
      </c>
      <c r="Z188">
        <f t="shared" si="93"/>
        <v>535.6218040199999</v>
      </c>
      <c r="AA188">
        <f t="shared" si="93"/>
        <v>644.37426072000005</v>
      </c>
      <c r="AB188">
        <f t="shared" si="93"/>
        <v>249.86513147999997</v>
      </c>
      <c r="AC188">
        <f t="shared" si="93"/>
        <v>784.96220075999997</v>
      </c>
      <c r="AD188">
        <f t="shared" si="93"/>
        <v>136.224920376</v>
      </c>
      <c r="AE188">
        <f t="shared" si="93"/>
        <v>119.71216417799999</v>
      </c>
      <c r="AF188">
        <f t="shared" si="93"/>
        <v>60.147522599999995</v>
      </c>
      <c r="AG188">
        <f t="shared" si="93"/>
        <v>83.962916051999997</v>
      </c>
      <c r="AH188" s="27">
        <v>15757.8</v>
      </c>
      <c r="AI188" s="31">
        <v>1989</v>
      </c>
    </row>
    <row r="189" spans="1:35" x14ac:dyDescent="0.15">
      <c r="A189" s="21">
        <f t="shared" si="77"/>
        <v>1990</v>
      </c>
      <c r="B189">
        <f t="shared" ref="B189:P189" si="94">B72*$Q189</f>
        <v>967.75085353999998</v>
      </c>
      <c r="C189">
        <f t="shared" si="94"/>
        <v>168.86377376799999</v>
      </c>
      <c r="D189">
        <f t="shared" si="94"/>
        <v>146.80451475000001</v>
      </c>
      <c r="E189">
        <f t="shared" si="94"/>
        <v>315.62657845799998</v>
      </c>
      <c r="F189">
        <f t="shared" si="94"/>
        <v>665.47209013999998</v>
      </c>
      <c r="G189">
        <f t="shared" si="94"/>
        <v>1459.51246094</v>
      </c>
      <c r="H189">
        <f t="shared" si="94"/>
        <v>415.37439937400001</v>
      </c>
      <c r="I189">
        <f t="shared" si="94"/>
        <v>1044.45565388</v>
      </c>
      <c r="J189">
        <f t="shared" si="94"/>
        <v>209.81768996599999</v>
      </c>
      <c r="K189">
        <f t="shared" si="94"/>
        <v>246.09114157399998</v>
      </c>
      <c r="L189">
        <f t="shared" si="94"/>
        <v>120.68448346199999</v>
      </c>
      <c r="M189">
        <f t="shared" si="94"/>
        <v>156.13267174000001</v>
      </c>
      <c r="N189">
        <f t="shared" si="94"/>
        <v>29.569572421599997</v>
      </c>
      <c r="O189">
        <f t="shared" si="94"/>
        <v>6.6824878841999995</v>
      </c>
      <c r="P189">
        <f t="shared" si="94"/>
        <v>5.7463472975599998</v>
      </c>
      <c r="Q189" s="27">
        <v>5958.58</v>
      </c>
      <c r="S189">
        <f t="shared" ref="S189:AG189" si="95">S72*$AH189</f>
        <v>2065.0618133999997</v>
      </c>
      <c r="T189">
        <f t="shared" si="95"/>
        <v>350.07439434000003</v>
      </c>
      <c r="U189">
        <f t="shared" si="95"/>
        <v>125.79227405999998</v>
      </c>
      <c r="V189">
        <f t="shared" si="95"/>
        <v>806.61815459999991</v>
      </c>
      <c r="W189">
        <f t="shared" si="95"/>
        <v>1610.8053576</v>
      </c>
      <c r="X189">
        <f t="shared" si="95"/>
        <v>5400.5484041999998</v>
      </c>
      <c r="Y189">
        <f t="shared" si="95"/>
        <v>1083.92974764</v>
      </c>
      <c r="Z189">
        <f t="shared" si="95"/>
        <v>2666.2329869999999</v>
      </c>
      <c r="AA189">
        <f t="shared" si="95"/>
        <v>270.22394844000002</v>
      </c>
      <c r="AB189">
        <f t="shared" si="95"/>
        <v>479.03953379999996</v>
      </c>
      <c r="AC189">
        <f t="shared" si="95"/>
        <v>73.743548201999999</v>
      </c>
      <c r="AD189">
        <f t="shared" si="95"/>
        <v>688.33025969999994</v>
      </c>
      <c r="AE189">
        <f t="shared" si="95"/>
        <v>60.132744905999999</v>
      </c>
      <c r="AF189">
        <f t="shared" si="95"/>
        <v>44.591702898000001</v>
      </c>
      <c r="AG189">
        <f t="shared" si="95"/>
        <v>60.290283197999997</v>
      </c>
      <c r="AH189" s="27">
        <v>15785.4</v>
      </c>
      <c r="AI189" s="31">
        <v>1990</v>
      </c>
    </row>
    <row r="190" spans="1:35" x14ac:dyDescent="0.15">
      <c r="A190" s="21">
        <f t="shared" si="77"/>
        <v>1991</v>
      </c>
      <c r="B190">
        <f t="shared" ref="B190:P190" si="96">B73*$Q190</f>
        <v>1011.7400888399999</v>
      </c>
      <c r="C190">
        <f t="shared" si="96"/>
        <v>342.16361509199999</v>
      </c>
      <c r="D190">
        <f t="shared" si="96"/>
        <v>147.70115271599997</v>
      </c>
      <c r="E190">
        <f t="shared" si="96"/>
        <v>129.662353002</v>
      </c>
      <c r="F190">
        <f t="shared" si="96"/>
        <v>239.23124908799997</v>
      </c>
      <c r="G190">
        <f t="shared" si="96"/>
        <v>423.22725977999994</v>
      </c>
      <c r="H190">
        <f t="shared" si="96"/>
        <v>804.49065059999998</v>
      </c>
      <c r="I190">
        <f t="shared" si="96"/>
        <v>217.74040547999996</v>
      </c>
      <c r="J190">
        <f t="shared" si="96"/>
        <v>523.3986669599999</v>
      </c>
      <c r="K190">
        <f t="shared" si="96"/>
        <v>104.84753814599999</v>
      </c>
      <c r="L190">
        <f t="shared" si="96"/>
        <v>123.22490614199999</v>
      </c>
      <c r="M190">
        <f t="shared" si="96"/>
        <v>60.355185461999994</v>
      </c>
      <c r="N190">
        <f t="shared" si="96"/>
        <v>78.047808617999991</v>
      </c>
      <c r="O190">
        <f t="shared" si="96"/>
        <v>14.778822520799999</v>
      </c>
      <c r="P190">
        <f t="shared" si="96"/>
        <v>6.2114387945999994</v>
      </c>
      <c r="Q190" s="27">
        <v>4226.82</v>
      </c>
      <c r="S190">
        <f t="shared" ref="S190:AG190" si="97">S73*$AH190</f>
        <v>2314.7830463999999</v>
      </c>
      <c r="T190">
        <f t="shared" si="97"/>
        <v>663.61551696000004</v>
      </c>
      <c r="U190">
        <f t="shared" si="97"/>
        <v>237.31402041600001</v>
      </c>
      <c r="V190">
        <f t="shared" si="97"/>
        <v>76.794865171200001</v>
      </c>
      <c r="W190">
        <f t="shared" si="97"/>
        <v>467.39148192000005</v>
      </c>
      <c r="X190">
        <f t="shared" si="97"/>
        <v>436.52714265600002</v>
      </c>
      <c r="Y190">
        <f t="shared" si="97"/>
        <v>1443.8011948800001</v>
      </c>
      <c r="Z190">
        <f t="shared" si="97"/>
        <v>542.82925910400002</v>
      </c>
      <c r="AA190">
        <f t="shared" si="97"/>
        <v>1167.9148060800001</v>
      </c>
      <c r="AB190">
        <f t="shared" si="97"/>
        <v>305.53389398400003</v>
      </c>
      <c r="AC190">
        <f t="shared" si="97"/>
        <v>412.91038588800001</v>
      </c>
      <c r="AD190">
        <f t="shared" si="97"/>
        <v>85.286077535999993</v>
      </c>
      <c r="AE190">
        <f t="shared" si="97"/>
        <v>256.420435392</v>
      </c>
      <c r="AF190">
        <f t="shared" si="97"/>
        <v>36.145568764800004</v>
      </c>
      <c r="AG190">
        <f t="shared" si="97"/>
        <v>32.414848751999997</v>
      </c>
      <c r="AH190" s="27">
        <v>8479.68</v>
      </c>
      <c r="AI190" s="31">
        <v>1991</v>
      </c>
    </row>
    <row r="191" spans="1:35" x14ac:dyDescent="0.15">
      <c r="A191" s="21">
        <f t="shared" si="77"/>
        <v>1992</v>
      </c>
      <c r="B191">
        <f t="shared" ref="B191:P191" si="98">B74*$Q191</f>
        <v>681.46038899000007</v>
      </c>
      <c r="C191">
        <f t="shared" si="98"/>
        <v>229.18809977500001</v>
      </c>
      <c r="D191">
        <f t="shared" si="98"/>
        <v>823.93502252000008</v>
      </c>
      <c r="E191">
        <f t="shared" si="98"/>
        <v>330.90663352399997</v>
      </c>
      <c r="F191">
        <f t="shared" si="98"/>
        <v>212.04458883800001</v>
      </c>
      <c r="G191">
        <f t="shared" si="98"/>
        <v>252.44540112200002</v>
      </c>
      <c r="H191">
        <f t="shared" si="98"/>
        <v>312.70634976500003</v>
      </c>
      <c r="I191">
        <f t="shared" si="98"/>
        <v>484.02092222000005</v>
      </c>
      <c r="J191">
        <f t="shared" si="98"/>
        <v>124.89521368400001</v>
      </c>
      <c r="K191">
        <f t="shared" si="98"/>
        <v>288.74163504800003</v>
      </c>
      <c r="L191">
        <f t="shared" si="98"/>
        <v>57.421810291</v>
      </c>
      <c r="M191">
        <f t="shared" si="98"/>
        <v>67.303466103000005</v>
      </c>
      <c r="N191">
        <f t="shared" si="98"/>
        <v>32.934834809500003</v>
      </c>
      <c r="O191">
        <f t="shared" si="98"/>
        <v>42.576009596000006</v>
      </c>
      <c r="P191">
        <f t="shared" si="98"/>
        <v>11.4491099506</v>
      </c>
      <c r="Q191" s="27">
        <v>3952.03</v>
      </c>
      <c r="S191">
        <f t="shared" ref="S191:AG191" si="99">S74*$AH191</f>
        <v>1367.9273044500001</v>
      </c>
      <c r="T191">
        <f t="shared" si="99"/>
        <v>384.98268732000003</v>
      </c>
      <c r="U191">
        <f t="shared" si="99"/>
        <v>2004.49239837</v>
      </c>
      <c r="V191">
        <f t="shared" si="99"/>
        <v>337.37433825900001</v>
      </c>
      <c r="W191">
        <f t="shared" si="99"/>
        <v>377.11137145500004</v>
      </c>
      <c r="X191">
        <f t="shared" si="99"/>
        <v>631.66997628000001</v>
      </c>
      <c r="Y191">
        <f t="shared" si="99"/>
        <v>554.92984974000001</v>
      </c>
      <c r="Z191">
        <f t="shared" si="99"/>
        <v>795.30676596000012</v>
      </c>
      <c r="AA191">
        <f t="shared" si="99"/>
        <v>354.44897478900003</v>
      </c>
      <c r="AB191">
        <f t="shared" si="99"/>
        <v>675.92167324500008</v>
      </c>
      <c r="AC191">
        <f t="shared" si="99"/>
        <v>237.54224350500002</v>
      </c>
      <c r="AD191">
        <f t="shared" si="99"/>
        <v>296.22787748400003</v>
      </c>
      <c r="AE191">
        <f t="shared" si="99"/>
        <v>126.85347712800001</v>
      </c>
      <c r="AF191">
        <f t="shared" si="99"/>
        <v>100.478117082</v>
      </c>
      <c r="AG191">
        <f t="shared" si="99"/>
        <v>79.768106451600005</v>
      </c>
      <c r="AH191" s="27">
        <v>8325.0300000000007</v>
      </c>
      <c r="AI191" s="31">
        <v>1992</v>
      </c>
    </row>
    <row r="192" spans="1:35" x14ac:dyDescent="0.15">
      <c r="A192" s="21">
        <f t="shared" si="77"/>
        <v>1993</v>
      </c>
      <c r="B192">
        <f t="shared" ref="B192:P192" si="100">B75*$Q192</f>
        <v>1082.7704213700001</v>
      </c>
      <c r="C192">
        <f t="shared" si="100"/>
        <v>196.051591989</v>
      </c>
      <c r="D192">
        <f t="shared" si="100"/>
        <v>427.50704475600003</v>
      </c>
      <c r="E192">
        <f t="shared" si="100"/>
        <v>1377.3924387300001</v>
      </c>
      <c r="F192">
        <f t="shared" si="100"/>
        <v>429.76910691</v>
      </c>
      <c r="G192">
        <f t="shared" si="100"/>
        <v>184.84752821700002</v>
      </c>
      <c r="H192">
        <f t="shared" si="100"/>
        <v>154.42637921700003</v>
      </c>
      <c r="I192">
        <f t="shared" si="100"/>
        <v>160.09061554200002</v>
      </c>
      <c r="J192">
        <f t="shared" si="100"/>
        <v>232.39078958700003</v>
      </c>
      <c r="K192">
        <f t="shared" si="100"/>
        <v>59.134173186000005</v>
      </c>
      <c r="L192">
        <f t="shared" si="100"/>
        <v>136.373924544</v>
      </c>
      <c r="M192">
        <f t="shared" si="100"/>
        <v>27.065741670000001</v>
      </c>
      <c r="N192">
        <f t="shared" si="100"/>
        <v>31.701924777600002</v>
      </c>
      <c r="O192">
        <f t="shared" si="100"/>
        <v>15.509791473</v>
      </c>
      <c r="P192">
        <f t="shared" si="100"/>
        <v>25.439663148900003</v>
      </c>
      <c r="Q192" s="27">
        <v>4540.47</v>
      </c>
      <c r="S192">
        <f t="shared" ref="S192:AG192" si="101">S75*$AH192</f>
        <v>2266.1643328</v>
      </c>
      <c r="T192">
        <f t="shared" si="101"/>
        <v>336.81169704000001</v>
      </c>
      <c r="U192">
        <f t="shared" si="101"/>
        <v>753.81359135000002</v>
      </c>
      <c r="V192">
        <f t="shared" si="101"/>
        <v>3186.5178392999997</v>
      </c>
      <c r="W192">
        <f t="shared" si="101"/>
        <v>689.70289872000001</v>
      </c>
      <c r="X192">
        <f t="shared" si="101"/>
        <v>552.09873848999996</v>
      </c>
      <c r="Y192">
        <f t="shared" si="101"/>
        <v>287.04530336000005</v>
      </c>
      <c r="Z192">
        <f t="shared" si="101"/>
        <v>395.91184281</v>
      </c>
      <c r="AA192">
        <f t="shared" si="101"/>
        <v>539.15669817000003</v>
      </c>
      <c r="AB192">
        <f t="shared" si="101"/>
        <v>332.64270962000001</v>
      </c>
      <c r="AC192">
        <f t="shared" si="101"/>
        <v>291.81890630000004</v>
      </c>
      <c r="AD192">
        <f t="shared" si="101"/>
        <v>212.64082723999999</v>
      </c>
      <c r="AE192">
        <f t="shared" si="101"/>
        <v>166.67472807000001</v>
      </c>
      <c r="AF192">
        <f t="shared" si="101"/>
        <v>91.802798363000008</v>
      </c>
      <c r="AG192">
        <f t="shared" si="101"/>
        <v>110.30352262</v>
      </c>
      <c r="AH192" s="27">
        <v>10213.1</v>
      </c>
      <c r="AI192" s="31">
        <v>1993</v>
      </c>
    </row>
    <row r="193" spans="1:35" x14ac:dyDescent="0.15">
      <c r="A193" s="21">
        <f t="shared" si="77"/>
        <v>1994</v>
      </c>
      <c r="B193">
        <f t="shared" ref="B193:P193" si="102">B76*$Q193</f>
        <v>622.06228999999996</v>
      </c>
      <c r="C193">
        <f t="shared" si="102"/>
        <v>315.53668949999997</v>
      </c>
      <c r="D193">
        <f t="shared" si="102"/>
        <v>309.63700575000001</v>
      </c>
      <c r="E193">
        <f t="shared" si="102"/>
        <v>645.46505250000007</v>
      </c>
      <c r="F193">
        <f t="shared" si="102"/>
        <v>1580.9420599999999</v>
      </c>
      <c r="G193">
        <f t="shared" si="102"/>
        <v>406.09558175000001</v>
      </c>
      <c r="H193">
        <f t="shared" si="102"/>
        <v>137.97648949999999</v>
      </c>
      <c r="I193">
        <f t="shared" si="102"/>
        <v>101.785382</v>
      </c>
      <c r="J193">
        <f t="shared" si="102"/>
        <v>102.4680955</v>
      </c>
      <c r="K193">
        <f t="shared" si="102"/>
        <v>147.68350875000002</v>
      </c>
      <c r="L193">
        <f t="shared" si="102"/>
        <v>37.666187950000001</v>
      </c>
      <c r="M193">
        <f t="shared" si="102"/>
        <v>86.767052250000006</v>
      </c>
      <c r="N193">
        <f t="shared" si="102"/>
        <v>17.21413325</v>
      </c>
      <c r="O193">
        <f t="shared" si="102"/>
        <v>20.160465849999998</v>
      </c>
      <c r="P193">
        <f t="shared" si="102"/>
        <v>26.039959874999997</v>
      </c>
      <c r="Q193" s="27">
        <v>4557.5</v>
      </c>
      <c r="S193">
        <f t="shared" ref="S193:AG193" si="103">S76*$AH193</f>
        <v>1446.2234567999999</v>
      </c>
      <c r="T193">
        <f t="shared" si="103"/>
        <v>641.78312543999994</v>
      </c>
      <c r="U193">
        <f t="shared" si="103"/>
        <v>490.06855439999998</v>
      </c>
      <c r="V193">
        <f t="shared" si="103"/>
        <v>1395.8286863999999</v>
      </c>
      <c r="W193">
        <f t="shared" si="103"/>
        <v>3777.4485779999995</v>
      </c>
      <c r="X193">
        <f t="shared" si="103"/>
        <v>662.21520204000001</v>
      </c>
      <c r="Y193">
        <f t="shared" si="103"/>
        <v>172.55237675999999</v>
      </c>
      <c r="Z193">
        <f t="shared" si="103"/>
        <v>149.55436476</v>
      </c>
      <c r="AA193">
        <f t="shared" si="103"/>
        <v>167.84732496000001</v>
      </c>
      <c r="AB193">
        <f t="shared" si="103"/>
        <v>315.68437091999999</v>
      </c>
      <c r="AC193">
        <f t="shared" si="103"/>
        <v>192.36179976</v>
      </c>
      <c r="AD193">
        <f t="shared" si="103"/>
        <v>269.1369972</v>
      </c>
      <c r="AE193">
        <f t="shared" si="103"/>
        <v>101.83298771999999</v>
      </c>
      <c r="AF193">
        <f t="shared" si="103"/>
        <v>97.874015531999987</v>
      </c>
      <c r="AG193">
        <f t="shared" si="103"/>
        <v>162.3870546</v>
      </c>
      <c r="AH193" s="27">
        <v>10042.799999999999</v>
      </c>
      <c r="AI193" s="31">
        <v>1994</v>
      </c>
    </row>
    <row r="194" spans="1:35" x14ac:dyDescent="0.15">
      <c r="A194" s="21">
        <f t="shared" si="77"/>
        <v>1995</v>
      </c>
      <c r="B194">
        <f t="shared" ref="B194:P194" si="104">B77*$Q194</f>
        <v>458.97865940000003</v>
      </c>
      <c r="C194">
        <f t="shared" si="104"/>
        <v>54.820971600000007</v>
      </c>
      <c r="D194">
        <f t="shared" si="104"/>
        <v>326.00909938000001</v>
      </c>
      <c r="E194">
        <f t="shared" si="104"/>
        <v>321.44656419</v>
      </c>
      <c r="F194">
        <f t="shared" si="104"/>
        <v>569.61659299999997</v>
      </c>
      <c r="G194">
        <f t="shared" si="104"/>
        <v>1082.2334854000001</v>
      </c>
      <c r="H194">
        <f t="shared" si="104"/>
        <v>256.47409877000001</v>
      </c>
      <c r="I194">
        <f t="shared" si="104"/>
        <v>80.18068550000001</v>
      </c>
      <c r="J194">
        <f t="shared" si="104"/>
        <v>58.202843169999994</v>
      </c>
      <c r="K194">
        <f t="shared" si="104"/>
        <v>58.534148309999999</v>
      </c>
      <c r="L194">
        <f t="shared" si="104"/>
        <v>84.458256770000006</v>
      </c>
      <c r="M194">
        <f t="shared" si="104"/>
        <v>21.527848334000002</v>
      </c>
      <c r="N194">
        <f t="shared" si="104"/>
        <v>49.582338759999999</v>
      </c>
      <c r="O194">
        <f t="shared" si="104"/>
        <v>9.8364426900000002</v>
      </c>
      <c r="P194">
        <f t="shared" si="104"/>
        <v>26.398863884000001</v>
      </c>
      <c r="Q194" s="27">
        <v>3458.3</v>
      </c>
      <c r="S194">
        <f t="shared" ref="S194:AG194" si="105">S77*$AH194</f>
        <v>1916.5885068</v>
      </c>
      <c r="T194">
        <f t="shared" si="105"/>
        <v>189.52048374</v>
      </c>
      <c r="U194">
        <f t="shared" si="105"/>
        <v>366.02161293</v>
      </c>
      <c r="V194">
        <f t="shared" si="105"/>
        <v>1710.0093819000001</v>
      </c>
      <c r="W194">
        <f t="shared" si="105"/>
        <v>2275.2009600000001</v>
      </c>
      <c r="X194">
        <f t="shared" si="105"/>
        <v>3704.9957331000001</v>
      </c>
      <c r="Y194">
        <f t="shared" si="105"/>
        <v>1572.5850975000001</v>
      </c>
      <c r="Z194">
        <f t="shared" si="105"/>
        <v>414.21938421000004</v>
      </c>
      <c r="AA194">
        <f t="shared" si="105"/>
        <v>253.65539382</v>
      </c>
      <c r="AB194">
        <f t="shared" si="105"/>
        <v>158.84685759000001</v>
      </c>
      <c r="AC194">
        <f t="shared" si="105"/>
        <v>299.45320371000003</v>
      </c>
      <c r="AD194">
        <f t="shared" si="105"/>
        <v>119.61292197900001</v>
      </c>
      <c r="AE194">
        <f t="shared" si="105"/>
        <v>221.25256127999998</v>
      </c>
      <c r="AF194">
        <f t="shared" si="105"/>
        <v>87.45558576900001</v>
      </c>
      <c r="AG194">
        <f t="shared" si="105"/>
        <v>125.68218152100002</v>
      </c>
      <c r="AH194" s="27">
        <v>13415.1</v>
      </c>
      <c r="AI194" s="31">
        <v>1995</v>
      </c>
    </row>
    <row r="195" spans="1:35" x14ac:dyDescent="0.15">
      <c r="A195" s="21">
        <f t="shared" si="77"/>
        <v>1996</v>
      </c>
      <c r="B195">
        <f t="shared" ref="B195:P195" si="106">B78*$Q195</f>
        <v>627.39247094999996</v>
      </c>
      <c r="C195">
        <f t="shared" si="106"/>
        <v>27.179041986000005</v>
      </c>
      <c r="D195">
        <f t="shared" si="106"/>
        <v>70.948148304</v>
      </c>
      <c r="E195">
        <f t="shared" si="106"/>
        <v>388.35071496</v>
      </c>
      <c r="F195">
        <f t="shared" si="106"/>
        <v>310.19024652000002</v>
      </c>
      <c r="G195">
        <f t="shared" si="106"/>
        <v>400.96525511999999</v>
      </c>
      <c r="H195">
        <f t="shared" si="106"/>
        <v>560.99873324999999</v>
      </c>
      <c r="I195">
        <f t="shared" si="106"/>
        <v>123.87521637600001</v>
      </c>
      <c r="J195">
        <f t="shared" si="106"/>
        <v>38.513767926</v>
      </c>
      <c r="K195">
        <f t="shared" si="106"/>
        <v>28.425105831</v>
      </c>
      <c r="L195">
        <f t="shared" si="106"/>
        <v>28.750999452000002</v>
      </c>
      <c r="M195">
        <f t="shared" si="106"/>
        <v>41.553191697000003</v>
      </c>
      <c r="N195">
        <f t="shared" si="106"/>
        <v>10.601883797400001</v>
      </c>
      <c r="O195">
        <f t="shared" si="106"/>
        <v>24.429736438500004</v>
      </c>
      <c r="P195">
        <f t="shared" si="106"/>
        <v>17.856216400200001</v>
      </c>
      <c r="Q195" s="27">
        <v>2700.03</v>
      </c>
      <c r="S195">
        <f t="shared" ref="S195:AG195" si="107">S78*$AH195</f>
        <v>1383.0857816800001</v>
      </c>
      <c r="T195">
        <f t="shared" si="107"/>
        <v>329.65168328600004</v>
      </c>
      <c r="U195">
        <f t="shared" si="107"/>
        <v>151.09775958200001</v>
      </c>
      <c r="V195">
        <f t="shared" si="107"/>
        <v>302.103555368</v>
      </c>
      <c r="W195">
        <f t="shared" si="107"/>
        <v>832.57061476000001</v>
      </c>
      <c r="X195">
        <f t="shared" si="107"/>
        <v>1176.3598675500002</v>
      </c>
      <c r="Y195">
        <f t="shared" si="107"/>
        <v>1077.39315276</v>
      </c>
      <c r="Z195">
        <f t="shared" si="107"/>
        <v>366.93430328600004</v>
      </c>
      <c r="AA195">
        <f t="shared" si="107"/>
        <v>91.627009666000006</v>
      </c>
      <c r="AB195">
        <f t="shared" si="107"/>
        <v>98.363357723000007</v>
      </c>
      <c r="AC195">
        <f t="shared" si="107"/>
        <v>66.555690470000002</v>
      </c>
      <c r="AD195">
        <f t="shared" si="107"/>
        <v>125.21057238499999</v>
      </c>
      <c r="AE195">
        <f t="shared" si="107"/>
        <v>40.835653686000001</v>
      </c>
      <c r="AF195">
        <f t="shared" si="107"/>
        <v>73.961882932999998</v>
      </c>
      <c r="AG195">
        <f t="shared" si="107"/>
        <v>98.018493488000018</v>
      </c>
      <c r="AH195" s="27">
        <v>6213.77</v>
      </c>
      <c r="AI195" s="31">
        <v>1996</v>
      </c>
    </row>
    <row r="196" spans="1:35" x14ac:dyDescent="0.15">
      <c r="A196" s="21">
        <f t="shared" si="77"/>
        <v>1997</v>
      </c>
      <c r="B196">
        <f t="shared" ref="B196:P196" si="108">B79*$Q196</f>
        <v>810.55983330000004</v>
      </c>
      <c r="C196">
        <f t="shared" si="108"/>
        <v>106.66847376000001</v>
      </c>
      <c r="D196">
        <f t="shared" si="108"/>
        <v>78.829248060000012</v>
      </c>
      <c r="E196">
        <f t="shared" si="108"/>
        <v>184.23834426000002</v>
      </c>
      <c r="F196">
        <f t="shared" si="108"/>
        <v>796.97251890000007</v>
      </c>
      <c r="G196">
        <f t="shared" si="108"/>
        <v>454.50036585000004</v>
      </c>
      <c r="H196">
        <f t="shared" si="108"/>
        <v>379.4445513</v>
      </c>
      <c r="I196">
        <f t="shared" si="108"/>
        <v>374.06400165000002</v>
      </c>
      <c r="J196">
        <f t="shared" si="108"/>
        <v>70.017633000000004</v>
      </c>
      <c r="K196">
        <f t="shared" si="108"/>
        <v>20.882171646</v>
      </c>
      <c r="L196">
        <f t="shared" si="108"/>
        <v>15.222894084000002</v>
      </c>
      <c r="M196">
        <f t="shared" si="108"/>
        <v>15.247497595500001</v>
      </c>
      <c r="N196">
        <f t="shared" si="108"/>
        <v>21.970029500999999</v>
      </c>
      <c r="O196">
        <f t="shared" si="108"/>
        <v>5.6007728955000005</v>
      </c>
      <c r="P196">
        <f t="shared" si="108"/>
        <v>22.330220881500001</v>
      </c>
      <c r="Q196" s="27">
        <v>3356.55</v>
      </c>
      <c r="S196">
        <f t="shared" ref="S196:AG196" si="109">S79*$AH196</f>
        <v>2078.3091662000002</v>
      </c>
      <c r="T196">
        <f t="shared" si="109"/>
        <v>320.12887384000004</v>
      </c>
      <c r="U196">
        <f t="shared" si="109"/>
        <v>166.74851546500003</v>
      </c>
      <c r="V196">
        <f t="shared" si="109"/>
        <v>215.50821848000001</v>
      </c>
      <c r="W196">
        <f t="shared" si="109"/>
        <v>2574.2071303000002</v>
      </c>
      <c r="X196">
        <f t="shared" si="109"/>
        <v>1125.63892975</v>
      </c>
      <c r="Y196">
        <f t="shared" si="109"/>
        <v>666.92184288500005</v>
      </c>
      <c r="Z196">
        <f t="shared" si="109"/>
        <v>805.37666321500001</v>
      </c>
      <c r="AA196">
        <f t="shared" si="109"/>
        <v>136.91188316999998</v>
      </c>
      <c r="AB196">
        <f t="shared" si="109"/>
        <v>69.308975125000003</v>
      </c>
      <c r="AC196">
        <f t="shared" si="109"/>
        <v>52.260793959500006</v>
      </c>
      <c r="AD196">
        <f t="shared" si="109"/>
        <v>57.093177985500006</v>
      </c>
      <c r="AE196">
        <f t="shared" si="109"/>
        <v>93.24064417000001</v>
      </c>
      <c r="AF196">
        <f t="shared" si="109"/>
        <v>30.133239873500003</v>
      </c>
      <c r="AG196">
        <f t="shared" si="109"/>
        <v>104.55268456</v>
      </c>
      <c r="AH196" s="27">
        <v>8496.35</v>
      </c>
      <c r="AI196" s="31">
        <v>1997</v>
      </c>
    </row>
    <row r="197" spans="1:35" x14ac:dyDescent="0.15">
      <c r="A197" s="21">
        <f t="shared" si="77"/>
        <v>1998</v>
      </c>
      <c r="B197">
        <f t="shared" ref="B197:P197" si="110">B80*$Q197</f>
        <v>344.75746201999999</v>
      </c>
      <c r="C197">
        <f t="shared" si="110"/>
        <v>169.15466744599999</v>
      </c>
      <c r="D197">
        <f t="shared" si="110"/>
        <v>175.43506531</v>
      </c>
      <c r="E197">
        <f t="shared" si="110"/>
        <v>122.902732302</v>
      </c>
      <c r="F197">
        <f t="shared" si="110"/>
        <v>246.27705551</v>
      </c>
      <c r="G197">
        <f t="shared" si="110"/>
        <v>862.24063020000006</v>
      </c>
      <c r="H197">
        <f t="shared" si="110"/>
        <v>406.61353408000002</v>
      </c>
      <c r="I197">
        <f t="shared" si="110"/>
        <v>274.68826668600002</v>
      </c>
      <c r="J197">
        <f t="shared" si="110"/>
        <v>243.24759332800002</v>
      </c>
      <c r="K197">
        <f t="shared" si="110"/>
        <v>44.089467890000002</v>
      </c>
      <c r="L197">
        <f t="shared" si="110"/>
        <v>13.1415583046</v>
      </c>
      <c r="M197">
        <f t="shared" si="110"/>
        <v>9.5512956908</v>
      </c>
      <c r="N197">
        <f t="shared" si="110"/>
        <v>9.5653814054000001</v>
      </c>
      <c r="O197">
        <f t="shared" si="110"/>
        <v>13.7897078848</v>
      </c>
      <c r="P197">
        <f t="shared" si="110"/>
        <v>17.524282631200002</v>
      </c>
      <c r="Q197" s="27">
        <v>2952.98</v>
      </c>
      <c r="S197">
        <f t="shared" ref="S197:AG197" si="111">S80*$AH197</f>
        <v>676.35499119999997</v>
      </c>
      <c r="T197">
        <f t="shared" si="111"/>
        <v>592.420734584</v>
      </c>
      <c r="U197">
        <f t="shared" si="111"/>
        <v>310.60447588799997</v>
      </c>
      <c r="V197">
        <f t="shared" si="111"/>
        <v>222.25458200399999</v>
      </c>
      <c r="W197">
        <f t="shared" si="111"/>
        <v>434.12583673199998</v>
      </c>
      <c r="X197">
        <f t="shared" si="111"/>
        <v>2476.6228351200002</v>
      </c>
      <c r="Y197">
        <f t="shared" si="111"/>
        <v>629.67377815999998</v>
      </c>
      <c r="Z197">
        <f t="shared" si="111"/>
        <v>397.88147002800002</v>
      </c>
      <c r="AA197">
        <f t="shared" si="111"/>
        <v>308.27608195999994</v>
      </c>
      <c r="AB197">
        <f t="shared" si="111"/>
        <v>77.063038947999999</v>
      </c>
      <c r="AC197">
        <f t="shared" si="111"/>
        <v>34.511545468400001</v>
      </c>
      <c r="AD197">
        <f t="shared" si="111"/>
        <v>11.827964114399999</v>
      </c>
      <c r="AE197">
        <f t="shared" si="111"/>
        <v>26.732140833999999</v>
      </c>
      <c r="AF197">
        <f t="shared" si="111"/>
        <v>29.225625321199995</v>
      </c>
      <c r="AG197">
        <f t="shared" si="111"/>
        <v>68.782066275999995</v>
      </c>
      <c r="AH197" s="27">
        <v>6296.36</v>
      </c>
      <c r="AI197" s="31">
        <v>1998</v>
      </c>
    </row>
    <row r="198" spans="1:35" x14ac:dyDescent="0.15">
      <c r="A198" s="21">
        <f t="shared" si="77"/>
        <v>1999</v>
      </c>
      <c r="B198">
        <f t="shared" ref="B198:P198" si="112">B81*$Q198</f>
        <v>455.80716078</v>
      </c>
      <c r="C198">
        <f t="shared" si="112"/>
        <v>194.920429396</v>
      </c>
      <c r="D198">
        <f t="shared" si="112"/>
        <v>521.60367696000003</v>
      </c>
      <c r="E198">
        <f t="shared" si="112"/>
        <v>518.83562642000004</v>
      </c>
      <c r="F198">
        <f t="shared" si="112"/>
        <v>306.15587244199997</v>
      </c>
      <c r="G198">
        <f t="shared" si="112"/>
        <v>476.70978059999999</v>
      </c>
      <c r="H198">
        <f t="shared" si="112"/>
        <v>1165.58860308</v>
      </c>
      <c r="I198">
        <f t="shared" si="112"/>
        <v>420.51925775399997</v>
      </c>
      <c r="J198">
        <f t="shared" si="112"/>
        <v>221.02770672399998</v>
      </c>
      <c r="K198">
        <f t="shared" si="112"/>
        <v>167.95925589000001</v>
      </c>
      <c r="L198">
        <f t="shared" si="112"/>
        <v>28.321266202</v>
      </c>
      <c r="M198">
        <f t="shared" si="112"/>
        <v>8.0893906352000009</v>
      </c>
      <c r="N198">
        <f t="shared" si="112"/>
        <v>5.7579515254000002</v>
      </c>
      <c r="O198">
        <f t="shared" si="112"/>
        <v>5.7094993519999999</v>
      </c>
      <c r="P198">
        <f t="shared" si="112"/>
        <v>18.572445072599997</v>
      </c>
      <c r="Q198" s="27">
        <v>4515.58</v>
      </c>
      <c r="S198">
        <f t="shared" ref="S198:AG198" si="113">S81*$AH198</f>
        <v>1010.8313698500001</v>
      </c>
      <c r="T198">
        <f t="shared" si="113"/>
        <v>928.48479690000011</v>
      </c>
      <c r="U198">
        <f t="shared" si="113"/>
        <v>860.96718676500006</v>
      </c>
      <c r="V198">
        <f t="shared" si="113"/>
        <v>933.76682100000016</v>
      </c>
      <c r="W198">
        <f t="shared" si="113"/>
        <v>532.51301686500005</v>
      </c>
      <c r="X198">
        <f t="shared" si="113"/>
        <v>950.9562454500001</v>
      </c>
      <c r="Y198">
        <f t="shared" si="113"/>
        <v>2393.0950399500002</v>
      </c>
      <c r="Z198">
        <f t="shared" si="113"/>
        <v>645.10968700500007</v>
      </c>
      <c r="AA198">
        <f t="shared" si="113"/>
        <v>311.39085606000003</v>
      </c>
      <c r="AB198">
        <f t="shared" si="113"/>
        <v>290.18051360999999</v>
      </c>
      <c r="AC198">
        <f t="shared" si="113"/>
        <v>106.08461067</v>
      </c>
      <c r="AD198">
        <f t="shared" si="113"/>
        <v>44.794214518500006</v>
      </c>
      <c r="AE198">
        <f t="shared" si="113"/>
        <v>17.730603459000001</v>
      </c>
      <c r="AF198">
        <f t="shared" si="113"/>
        <v>25.510714251000003</v>
      </c>
      <c r="AG198">
        <f t="shared" si="113"/>
        <v>87.033227032500008</v>
      </c>
      <c r="AH198" s="27">
        <v>9138.4500000000007</v>
      </c>
      <c r="AI198" s="31">
        <v>1999</v>
      </c>
    </row>
    <row r="199" spans="1:35" x14ac:dyDescent="0.15">
      <c r="A199" s="21">
        <f t="shared" si="77"/>
        <v>2000</v>
      </c>
      <c r="B199">
        <f t="shared" ref="B199:P199" si="114">B82*$Q199</f>
        <v>470.43360959999995</v>
      </c>
      <c r="C199">
        <f t="shared" si="114"/>
        <v>204.58038223999998</v>
      </c>
      <c r="D199">
        <f t="shared" si="114"/>
        <v>263.82647456000001</v>
      </c>
      <c r="E199">
        <f t="shared" si="114"/>
        <v>718.99566240000001</v>
      </c>
      <c r="F199">
        <f t="shared" si="114"/>
        <v>656.00064480000003</v>
      </c>
      <c r="G199">
        <f t="shared" si="114"/>
        <v>345.52481183999998</v>
      </c>
      <c r="H199">
        <f t="shared" si="114"/>
        <v>438.42453295999996</v>
      </c>
      <c r="I199">
        <f t="shared" si="114"/>
        <v>862.07578560000002</v>
      </c>
      <c r="J199">
        <f t="shared" si="114"/>
        <v>288.79116671999998</v>
      </c>
      <c r="K199">
        <f t="shared" si="114"/>
        <v>144.0605904</v>
      </c>
      <c r="L199">
        <f t="shared" si="114"/>
        <v>105.8723008</v>
      </c>
      <c r="M199">
        <f t="shared" si="114"/>
        <v>17.484907616000001</v>
      </c>
      <c r="N199">
        <f t="shared" si="114"/>
        <v>4.9414185120000003</v>
      </c>
      <c r="O199">
        <f t="shared" si="114"/>
        <v>3.4985883999999996</v>
      </c>
      <c r="P199">
        <f t="shared" si="114"/>
        <v>14.694389023999999</v>
      </c>
      <c r="Q199" s="27">
        <v>4539.2</v>
      </c>
      <c r="S199">
        <f t="shared" ref="S199:AG199" si="115">S82*$AH199</f>
        <v>1074.5525176400001</v>
      </c>
      <c r="T199">
        <f t="shared" si="115"/>
        <v>398.65594055000003</v>
      </c>
      <c r="U199">
        <f t="shared" si="115"/>
        <v>497.25181967999998</v>
      </c>
      <c r="V199">
        <f t="shared" si="115"/>
        <v>1684.3797145000001</v>
      </c>
      <c r="W199">
        <f t="shared" si="115"/>
        <v>1684.8997767000001</v>
      </c>
      <c r="X199">
        <f t="shared" si="115"/>
        <v>870.59203678999995</v>
      </c>
      <c r="Y199">
        <f t="shared" si="115"/>
        <v>739.13727118000008</v>
      </c>
      <c r="Z199">
        <f t="shared" si="115"/>
        <v>2419.9624736000001</v>
      </c>
      <c r="AA199">
        <f t="shared" si="115"/>
        <v>943.91515414000003</v>
      </c>
      <c r="AB199">
        <f t="shared" si="115"/>
        <v>494.91945377000002</v>
      </c>
      <c r="AC199">
        <f t="shared" si="115"/>
        <v>209.56132463000003</v>
      </c>
      <c r="AD199">
        <f t="shared" si="115"/>
        <v>141.83452878</v>
      </c>
      <c r="AE199">
        <f t="shared" si="115"/>
        <v>43.529884482</v>
      </c>
      <c r="AF199">
        <f t="shared" si="115"/>
        <v>19.141454556000003</v>
      </c>
      <c r="AG199">
        <f t="shared" si="115"/>
        <v>83.363370349000007</v>
      </c>
      <c r="AH199" s="27">
        <v>11305.7</v>
      </c>
      <c r="AI199" s="31">
        <v>2000</v>
      </c>
    </row>
    <row r="200" spans="1:35" x14ac:dyDescent="0.15">
      <c r="A200" s="21">
        <f t="shared" si="77"/>
        <v>2001</v>
      </c>
      <c r="B200">
        <f t="shared" ref="B200:P200" si="116">B83*$Q200</f>
        <v>681.59480323999992</v>
      </c>
      <c r="C200">
        <f t="shared" si="116"/>
        <v>224.16287246699997</v>
      </c>
      <c r="D200">
        <f t="shared" si="116"/>
        <v>208.07313961199998</v>
      </c>
      <c r="E200">
        <f t="shared" si="116"/>
        <v>271.61980739699999</v>
      </c>
      <c r="F200">
        <f t="shared" si="116"/>
        <v>641.08915520999994</v>
      </c>
      <c r="G200">
        <f t="shared" si="116"/>
        <v>502.73550295999996</v>
      </c>
      <c r="H200">
        <f t="shared" si="116"/>
        <v>240.79833895100001</v>
      </c>
      <c r="I200">
        <f t="shared" si="116"/>
        <v>267.11952121500002</v>
      </c>
      <c r="J200">
        <f t="shared" si="116"/>
        <v>481.92772813999994</v>
      </c>
      <c r="K200">
        <f t="shared" si="116"/>
        <v>161.25257387499997</v>
      </c>
      <c r="L200">
        <f t="shared" si="116"/>
        <v>79.871054578999988</v>
      </c>
      <c r="M200">
        <f t="shared" si="116"/>
        <v>58.108917993999995</v>
      </c>
      <c r="N200">
        <f t="shared" si="116"/>
        <v>9.5506073417999993</v>
      </c>
      <c r="O200">
        <f t="shared" si="116"/>
        <v>2.6930015143699997</v>
      </c>
      <c r="P200">
        <f t="shared" si="116"/>
        <v>9.8952145094999988</v>
      </c>
      <c r="Q200" s="27">
        <v>3840.49</v>
      </c>
      <c r="S200">
        <f t="shared" ref="S200:AG200" si="117">S83*$AH200</f>
        <v>1495.3373088999999</v>
      </c>
      <c r="T200">
        <f t="shared" si="117"/>
        <v>862.60313284999995</v>
      </c>
      <c r="U200">
        <f t="shared" si="117"/>
        <v>466.42043482499997</v>
      </c>
      <c r="V200">
        <f t="shared" si="117"/>
        <v>445.96727754</v>
      </c>
      <c r="W200">
        <f t="shared" si="117"/>
        <v>1127.55838025</v>
      </c>
      <c r="X200">
        <f t="shared" si="117"/>
        <v>1179.1534709999999</v>
      </c>
      <c r="Y200">
        <f t="shared" si="117"/>
        <v>506.96920804000001</v>
      </c>
      <c r="Z200">
        <f t="shared" si="117"/>
        <v>251.54459603000001</v>
      </c>
      <c r="AA200">
        <f t="shared" si="117"/>
        <v>749.42867009500003</v>
      </c>
      <c r="AB200">
        <f t="shared" si="117"/>
        <v>537.97675807999997</v>
      </c>
      <c r="AC200">
        <f t="shared" si="117"/>
        <v>205.58139245500001</v>
      </c>
      <c r="AD200">
        <f t="shared" si="117"/>
        <v>164.41934215500001</v>
      </c>
      <c r="AE200">
        <f t="shared" si="117"/>
        <v>65.142487435499987</v>
      </c>
      <c r="AF200">
        <f t="shared" si="117"/>
        <v>23.282131992499998</v>
      </c>
      <c r="AG200">
        <f t="shared" si="117"/>
        <v>63.063860906499997</v>
      </c>
      <c r="AH200" s="27">
        <v>8144.45</v>
      </c>
      <c r="AI200" s="31">
        <v>2001</v>
      </c>
    </row>
    <row r="201" spans="1:35" x14ac:dyDescent="0.15">
      <c r="A201" s="21">
        <f t="shared" si="77"/>
        <v>2002</v>
      </c>
      <c r="B201">
        <f t="shared" ref="B201:P201" si="118">B84*$Q201</f>
        <v>310.605076935</v>
      </c>
      <c r="C201">
        <f t="shared" si="118"/>
        <v>270.883222128</v>
      </c>
      <c r="D201">
        <f t="shared" si="118"/>
        <v>309.94265127300002</v>
      </c>
      <c r="E201">
        <f t="shared" si="118"/>
        <v>318.50343149400004</v>
      </c>
      <c r="F201">
        <f t="shared" si="118"/>
        <v>389.52283110000002</v>
      </c>
      <c r="G201">
        <f t="shared" si="118"/>
        <v>739.92044163000003</v>
      </c>
      <c r="H201">
        <f t="shared" si="118"/>
        <v>481.78872551999996</v>
      </c>
      <c r="I201">
        <f t="shared" si="118"/>
        <v>196.779144567</v>
      </c>
      <c r="J201">
        <f t="shared" si="118"/>
        <v>194.47719659400002</v>
      </c>
      <c r="K201">
        <f t="shared" si="118"/>
        <v>334.92158761500002</v>
      </c>
      <c r="L201">
        <f t="shared" si="118"/>
        <v>108.02463248700001</v>
      </c>
      <c r="M201">
        <f t="shared" si="118"/>
        <v>52.293280295999999</v>
      </c>
      <c r="N201">
        <f t="shared" si="118"/>
        <v>37.621416570000001</v>
      </c>
      <c r="O201">
        <f t="shared" si="118"/>
        <v>6.1502575991999997</v>
      </c>
      <c r="P201">
        <f t="shared" si="118"/>
        <v>8.0767809036000013</v>
      </c>
      <c r="Q201" s="27">
        <v>3759.51</v>
      </c>
      <c r="S201">
        <f t="shared" ref="S201:AG201" si="119">S84*$AH201</f>
        <v>768.42560482199997</v>
      </c>
      <c r="T201">
        <f t="shared" si="119"/>
        <v>391.343908914</v>
      </c>
      <c r="U201">
        <f t="shared" si="119"/>
        <v>806.30716416299992</v>
      </c>
      <c r="V201">
        <f t="shared" si="119"/>
        <v>1159.1839179899998</v>
      </c>
      <c r="W201">
        <f t="shared" si="119"/>
        <v>1203.0749867699999</v>
      </c>
      <c r="X201">
        <f t="shared" si="119"/>
        <v>1558.8196337699999</v>
      </c>
      <c r="Y201">
        <f t="shared" si="119"/>
        <v>809.50314355199998</v>
      </c>
      <c r="Z201">
        <f t="shared" si="119"/>
        <v>391.50032211000001</v>
      </c>
      <c r="AA201">
        <f t="shared" si="119"/>
        <v>529.57407087900003</v>
      </c>
      <c r="AB201">
        <f t="shared" si="119"/>
        <v>994.3682814</v>
      </c>
      <c r="AC201">
        <f t="shared" si="119"/>
        <v>495.67341812399997</v>
      </c>
      <c r="AD201">
        <f t="shared" si="119"/>
        <v>219.34471017599998</v>
      </c>
      <c r="AE201">
        <f t="shared" si="119"/>
        <v>129.04565539500001</v>
      </c>
      <c r="AF201">
        <f t="shared" si="119"/>
        <v>38.992951397699997</v>
      </c>
      <c r="AG201">
        <f t="shared" si="119"/>
        <v>42.2389067103</v>
      </c>
      <c r="AH201" s="27">
        <v>9537.39</v>
      </c>
      <c r="AI201" s="31">
        <v>2002</v>
      </c>
    </row>
    <row r="202" spans="1:35" x14ac:dyDescent="0.15">
      <c r="A202" s="21">
        <f t="shared" si="77"/>
        <v>2003</v>
      </c>
      <c r="B202">
        <f t="shared" ref="B202:P202" si="120">B85*$Q202</f>
        <v>132.276292512</v>
      </c>
      <c r="C202">
        <f t="shared" si="120"/>
        <v>84.192056928</v>
      </c>
      <c r="D202">
        <f t="shared" si="120"/>
        <v>226.32178550400002</v>
      </c>
      <c r="E202">
        <f t="shared" si="120"/>
        <v>300.46408080000003</v>
      </c>
      <c r="F202">
        <f t="shared" si="120"/>
        <v>300.51676703999999</v>
      </c>
      <c r="G202">
        <f t="shared" si="120"/>
        <v>332.08414368000001</v>
      </c>
      <c r="H202">
        <f t="shared" si="120"/>
        <v>525.04888415999994</v>
      </c>
      <c r="I202">
        <f t="shared" si="120"/>
        <v>309.43737935999997</v>
      </c>
      <c r="J202">
        <f t="shared" si="120"/>
        <v>118.97662176</v>
      </c>
      <c r="K202">
        <f t="shared" si="120"/>
        <v>116.92019462399999</v>
      </c>
      <c r="L202">
        <f t="shared" si="120"/>
        <v>201.18240744000002</v>
      </c>
      <c r="M202">
        <f t="shared" si="120"/>
        <v>64.12525459199999</v>
      </c>
      <c r="N202">
        <f t="shared" si="120"/>
        <v>30.879127967999999</v>
      </c>
      <c r="O202">
        <f t="shared" si="120"/>
        <v>22.164546575999999</v>
      </c>
      <c r="P202">
        <f t="shared" si="120"/>
        <v>8.3709839184000003</v>
      </c>
      <c r="Q202" s="27">
        <v>2772.96</v>
      </c>
      <c r="S202">
        <f t="shared" ref="S202:AG202" si="121">S85*$AH202</f>
        <v>538.98692100000005</v>
      </c>
      <c r="T202">
        <f t="shared" si="121"/>
        <v>165.08551125</v>
      </c>
      <c r="U202">
        <f t="shared" si="121"/>
        <v>1008.46325415</v>
      </c>
      <c r="V202">
        <f t="shared" si="121"/>
        <v>1691.394804</v>
      </c>
      <c r="W202">
        <f t="shared" si="121"/>
        <v>2006.1945914999999</v>
      </c>
      <c r="X202">
        <f t="shared" si="121"/>
        <v>1841.4118469999999</v>
      </c>
      <c r="Y202">
        <f t="shared" si="121"/>
        <v>2466.2292600000001</v>
      </c>
      <c r="Z202">
        <f t="shared" si="121"/>
        <v>1394.4054646500001</v>
      </c>
      <c r="AA202">
        <f t="shared" si="121"/>
        <v>637.25413950000006</v>
      </c>
      <c r="AB202">
        <f t="shared" si="121"/>
        <v>830.66619735000006</v>
      </c>
      <c r="AC202">
        <f t="shared" si="121"/>
        <v>1691.1774330000001</v>
      </c>
      <c r="AD202">
        <f t="shared" si="121"/>
        <v>731.89592025000002</v>
      </c>
      <c r="AE202">
        <f t="shared" si="121"/>
        <v>275.72269229999995</v>
      </c>
      <c r="AF202">
        <f t="shared" si="121"/>
        <v>143.061636795</v>
      </c>
      <c r="AG202">
        <f t="shared" si="121"/>
        <v>104.566785345</v>
      </c>
      <c r="AH202" s="27">
        <v>15526.5</v>
      </c>
      <c r="AI202" s="31">
        <v>2003</v>
      </c>
    </row>
    <row r="203" spans="1:35" x14ac:dyDescent="0.15">
      <c r="A203" s="21">
        <f t="shared" si="77"/>
        <v>2004</v>
      </c>
      <c r="B203">
        <f t="shared" ref="B203:P203" si="122">B86*$Q203</f>
        <v>158.31350416999999</v>
      </c>
      <c r="C203">
        <f t="shared" si="122"/>
        <v>67.628433569999999</v>
      </c>
      <c r="D203">
        <f t="shared" si="122"/>
        <v>205.00677860999997</v>
      </c>
      <c r="E203">
        <f t="shared" si="122"/>
        <v>528.5042612499999</v>
      </c>
      <c r="F203">
        <f t="shared" si="122"/>
        <v>614.4792616499999</v>
      </c>
      <c r="G203">
        <f t="shared" si="122"/>
        <v>447.48261979999995</v>
      </c>
      <c r="H203">
        <f t="shared" si="122"/>
        <v>327.1033463</v>
      </c>
      <c r="I203">
        <f t="shared" si="122"/>
        <v>377.46736139999996</v>
      </c>
      <c r="J203">
        <f t="shared" si="122"/>
        <v>190.13437513</v>
      </c>
      <c r="K203">
        <f t="shared" si="122"/>
        <v>70.229028114999991</v>
      </c>
      <c r="L203">
        <f t="shared" si="122"/>
        <v>68.668736265000007</v>
      </c>
      <c r="M203">
        <f t="shared" si="122"/>
        <v>116.55412557999999</v>
      </c>
      <c r="N203">
        <f t="shared" si="122"/>
        <v>36.960751285000001</v>
      </c>
      <c r="O203">
        <f t="shared" si="122"/>
        <v>17.764555263000002</v>
      </c>
      <c r="P203">
        <f t="shared" si="122"/>
        <v>17.552894050500001</v>
      </c>
      <c r="Q203" s="27">
        <v>3243.85</v>
      </c>
      <c r="S203">
        <f t="shared" ref="S203:AG203" si="123">S86*$AH203</f>
        <v>382.94792216100001</v>
      </c>
      <c r="T203">
        <f t="shared" si="123"/>
        <v>270.50204229100001</v>
      </c>
      <c r="U203">
        <f t="shared" si="123"/>
        <v>171.536449393</v>
      </c>
      <c r="V203">
        <f t="shared" si="123"/>
        <v>1293.7582002699999</v>
      </c>
      <c r="W203">
        <f t="shared" si="123"/>
        <v>1261.81097224</v>
      </c>
      <c r="X203">
        <f t="shared" si="123"/>
        <v>959.98823716999993</v>
      </c>
      <c r="Y203">
        <f t="shared" si="123"/>
        <v>564.48870299999999</v>
      </c>
      <c r="Z203">
        <f t="shared" si="123"/>
        <v>611.42759098099998</v>
      </c>
      <c r="AA203">
        <f t="shared" si="123"/>
        <v>302.373060974</v>
      </c>
      <c r="AB203">
        <f t="shared" si="123"/>
        <v>189.08483177299999</v>
      </c>
      <c r="AC203">
        <f t="shared" si="123"/>
        <v>188.483924444</v>
      </c>
      <c r="AD203">
        <f t="shared" si="123"/>
        <v>340.26799016499996</v>
      </c>
      <c r="AE203">
        <f t="shared" si="123"/>
        <v>144.832154669</v>
      </c>
      <c r="AF203">
        <f t="shared" si="123"/>
        <v>35.173041548899995</v>
      </c>
      <c r="AG203">
        <f t="shared" si="123"/>
        <v>27.521218458700002</v>
      </c>
      <c r="AH203" s="27">
        <v>6744.19</v>
      </c>
      <c r="AI203" s="31">
        <v>2004</v>
      </c>
    </row>
    <row r="204" spans="1:35" x14ac:dyDescent="0.15">
      <c r="A204" s="21">
        <f t="shared" si="77"/>
        <v>2005</v>
      </c>
      <c r="B204">
        <f t="shared" ref="B204:P204" si="124">B87*$Q204</f>
        <v>157.08862075999997</v>
      </c>
      <c r="C204">
        <f t="shared" si="124"/>
        <v>44.36729218</v>
      </c>
      <c r="D204">
        <f t="shared" si="124"/>
        <v>187.86364500999997</v>
      </c>
      <c r="E204">
        <f t="shared" si="124"/>
        <v>562.77577924999991</v>
      </c>
      <c r="F204">
        <f t="shared" si="124"/>
        <v>1070.9088391499999</v>
      </c>
      <c r="G204">
        <f t="shared" si="124"/>
        <v>888.05269774999988</v>
      </c>
      <c r="H204">
        <f t="shared" si="124"/>
        <v>439.00603094999997</v>
      </c>
      <c r="I204">
        <f t="shared" si="124"/>
        <v>235.05587359999998</v>
      </c>
      <c r="J204">
        <f t="shared" si="124"/>
        <v>235.906165405</v>
      </c>
      <c r="K204">
        <f t="shared" si="124"/>
        <v>115.65456662</v>
      </c>
      <c r="L204">
        <f t="shared" si="124"/>
        <v>42.61338448499999</v>
      </c>
      <c r="M204">
        <f t="shared" si="124"/>
        <v>41.281853147</v>
      </c>
      <c r="N204">
        <f t="shared" si="124"/>
        <v>69.833056369999994</v>
      </c>
      <c r="O204">
        <f t="shared" si="124"/>
        <v>22.118045064499999</v>
      </c>
      <c r="P204">
        <f t="shared" si="124"/>
        <v>21.123323528499999</v>
      </c>
      <c r="Q204" s="27">
        <v>4133.6499999999996</v>
      </c>
      <c r="S204">
        <f t="shared" ref="S204:AG204" si="125">S87*$AH204</f>
        <v>429.85761087999998</v>
      </c>
      <c r="T204">
        <f t="shared" si="125"/>
        <v>160.81511008000001</v>
      </c>
      <c r="U204">
        <f t="shared" si="125"/>
        <v>255.09870112000002</v>
      </c>
      <c r="V204">
        <f t="shared" si="125"/>
        <v>1125.0115808</v>
      </c>
      <c r="W204">
        <f t="shared" si="125"/>
        <v>3189.7347007999997</v>
      </c>
      <c r="X204">
        <f t="shared" si="125"/>
        <v>2152.1951680000002</v>
      </c>
      <c r="Y204">
        <f t="shared" si="125"/>
        <v>1126.9875904</v>
      </c>
      <c r="Z204">
        <f t="shared" si="125"/>
        <v>513.09106656000006</v>
      </c>
      <c r="AA204">
        <f t="shared" si="125"/>
        <v>390.17602752000005</v>
      </c>
      <c r="AB204">
        <f t="shared" si="125"/>
        <v>287.13798976000004</v>
      </c>
      <c r="AC204">
        <f t="shared" si="125"/>
        <v>77.333463456000004</v>
      </c>
      <c r="AD204">
        <f t="shared" si="125"/>
        <v>163.29805408000001</v>
      </c>
      <c r="AE204">
        <f t="shared" si="125"/>
        <v>265.78777503999999</v>
      </c>
      <c r="AF204">
        <f t="shared" si="125"/>
        <v>103.38161513599999</v>
      </c>
      <c r="AG204">
        <f t="shared" si="125"/>
        <v>105.69685695999999</v>
      </c>
      <c r="AH204" s="27">
        <v>10345.6</v>
      </c>
      <c r="AI204" s="31">
        <v>2005</v>
      </c>
    </row>
    <row r="205" spans="1:35" x14ac:dyDescent="0.15">
      <c r="A205" s="21">
        <f t="shared" si="77"/>
        <v>2006</v>
      </c>
      <c r="B205">
        <f t="shared" ref="B205:P205" si="126">B88*$Q205</f>
        <v>386.52778211999998</v>
      </c>
      <c r="C205">
        <f t="shared" si="126"/>
        <v>12.481060686000001</v>
      </c>
      <c r="D205">
        <f t="shared" si="126"/>
        <v>33.549753252000002</v>
      </c>
      <c r="E205">
        <f t="shared" si="126"/>
        <v>145.04768559600001</v>
      </c>
      <c r="F205">
        <f t="shared" si="126"/>
        <v>378.99449423999999</v>
      </c>
      <c r="G205">
        <f t="shared" si="126"/>
        <v>598.58008326000004</v>
      </c>
      <c r="H205">
        <f t="shared" si="126"/>
        <v>459.38558838</v>
      </c>
      <c r="I205">
        <f t="shared" si="126"/>
        <v>220.89402992400002</v>
      </c>
      <c r="J205">
        <f t="shared" si="126"/>
        <v>118.55940128400002</v>
      </c>
      <c r="K205">
        <f t="shared" si="126"/>
        <v>120.414519552</v>
      </c>
      <c r="L205">
        <f t="shared" si="126"/>
        <v>59.788685208000004</v>
      </c>
      <c r="M205">
        <f t="shared" si="126"/>
        <v>21.999546525</v>
      </c>
      <c r="N205">
        <f t="shared" si="126"/>
        <v>21.301966176000001</v>
      </c>
      <c r="O205">
        <f t="shared" si="126"/>
        <v>36.029043168000001</v>
      </c>
      <c r="P205">
        <f t="shared" si="126"/>
        <v>22.307414973</v>
      </c>
      <c r="Q205" s="27">
        <v>2635.86</v>
      </c>
      <c r="S205">
        <f t="shared" ref="S205:AG205" si="127">S88*$AH205</f>
        <v>747.84189860999993</v>
      </c>
      <c r="T205">
        <f t="shared" si="127"/>
        <v>68.594776820999996</v>
      </c>
      <c r="U205">
        <f t="shared" si="127"/>
        <v>106.18737030299999</v>
      </c>
      <c r="V205">
        <f t="shared" si="127"/>
        <v>347.748429687</v>
      </c>
      <c r="W205">
        <f t="shared" si="127"/>
        <v>871.60993256999996</v>
      </c>
      <c r="X205">
        <f t="shared" si="127"/>
        <v>1106.53456575</v>
      </c>
      <c r="Y205">
        <f t="shared" si="127"/>
        <v>708.19729221</v>
      </c>
      <c r="Z205">
        <f t="shared" si="127"/>
        <v>340.64071811099996</v>
      </c>
      <c r="AA205">
        <f t="shared" si="127"/>
        <v>194.55236621099999</v>
      </c>
      <c r="AB205">
        <f t="shared" si="127"/>
        <v>167.51363216999999</v>
      </c>
      <c r="AC205">
        <f t="shared" si="127"/>
        <v>80.620138872000012</v>
      </c>
      <c r="AD205">
        <f t="shared" si="127"/>
        <v>50.115636931200001</v>
      </c>
      <c r="AE205">
        <f t="shared" si="127"/>
        <v>72.51878378100001</v>
      </c>
      <c r="AF205">
        <f t="shared" si="127"/>
        <v>97.472130617999994</v>
      </c>
      <c r="AG205">
        <f t="shared" si="127"/>
        <v>96.55939446299999</v>
      </c>
      <c r="AH205" s="27">
        <v>5056.71</v>
      </c>
      <c r="AI205" s="31">
        <v>2006</v>
      </c>
    </row>
    <row r="206" spans="1:35" x14ac:dyDescent="0.15">
      <c r="A206" s="21">
        <f t="shared" si="77"/>
        <v>2007</v>
      </c>
      <c r="B206">
        <f t="shared" ref="B206:P206" si="128">B89*$Q206</f>
        <v>751.72451235000005</v>
      </c>
      <c r="C206">
        <f t="shared" si="128"/>
        <v>52.367480865000005</v>
      </c>
      <c r="D206">
        <f t="shared" si="128"/>
        <v>44.728005420000002</v>
      </c>
      <c r="E206">
        <f t="shared" si="128"/>
        <v>123.8502027</v>
      </c>
      <c r="F206">
        <f t="shared" si="128"/>
        <v>410.07421140000002</v>
      </c>
      <c r="G206">
        <f t="shared" si="128"/>
        <v>624.75989520000007</v>
      </c>
      <c r="H206">
        <f t="shared" si="128"/>
        <v>575.43386985000006</v>
      </c>
      <c r="I206">
        <f t="shared" si="128"/>
        <v>305.20393816500001</v>
      </c>
      <c r="J206">
        <f t="shared" si="128"/>
        <v>121.58365464000002</v>
      </c>
      <c r="K206">
        <f t="shared" si="128"/>
        <v>61.537486920000006</v>
      </c>
      <c r="L206">
        <f t="shared" si="128"/>
        <v>61.492490220000008</v>
      </c>
      <c r="M206">
        <f t="shared" si="128"/>
        <v>30.203327783999999</v>
      </c>
      <c r="N206">
        <f t="shared" si="128"/>
        <v>11.072241547500001</v>
      </c>
      <c r="O206">
        <f t="shared" si="128"/>
        <v>10.707639715500001</v>
      </c>
      <c r="P206">
        <f t="shared" si="128"/>
        <v>29.308986231000002</v>
      </c>
      <c r="Q206" s="27">
        <v>3214.05</v>
      </c>
      <c r="S206">
        <f t="shared" ref="S206:AG206" si="129">S89*$AH206</f>
        <v>1785.99208172</v>
      </c>
      <c r="T206">
        <f t="shared" si="129"/>
        <v>50.806892267999999</v>
      </c>
      <c r="U206">
        <f t="shared" si="129"/>
        <v>127.757736876</v>
      </c>
      <c r="V206">
        <f t="shared" si="129"/>
        <v>365.87922381999999</v>
      </c>
      <c r="W206">
        <f t="shared" si="129"/>
        <v>1144.3009661599999</v>
      </c>
      <c r="X206">
        <f t="shared" si="129"/>
        <v>1338.8337489999999</v>
      </c>
      <c r="Y206">
        <f t="shared" si="129"/>
        <v>965.49796243999992</v>
      </c>
      <c r="Z206">
        <f t="shared" si="129"/>
        <v>696.67103435599995</v>
      </c>
      <c r="AA206">
        <f t="shared" si="129"/>
        <v>294.09169024399995</v>
      </c>
      <c r="AB206">
        <f t="shared" si="129"/>
        <v>131.732853648</v>
      </c>
      <c r="AC206">
        <f t="shared" si="129"/>
        <v>122.10222648799999</v>
      </c>
      <c r="AD206">
        <f t="shared" si="129"/>
        <v>106.22383112</v>
      </c>
      <c r="AE206">
        <f t="shared" si="129"/>
        <v>48.799690051199995</v>
      </c>
      <c r="AF206">
        <f t="shared" si="129"/>
        <v>60.83201463679999</v>
      </c>
      <c r="AG206">
        <f t="shared" si="129"/>
        <v>117.71878289600001</v>
      </c>
      <c r="AH206" s="27">
        <v>7357.24</v>
      </c>
      <c r="AI206" s="31">
        <v>2007</v>
      </c>
    </row>
    <row r="207" spans="1:35" x14ac:dyDescent="0.15">
      <c r="A207" s="21">
        <f t="shared" si="77"/>
        <v>2008</v>
      </c>
      <c r="B207">
        <f t="shared" ref="B207:P207" si="130">B90*$Q207</f>
        <v>252.043452</v>
      </c>
      <c r="C207">
        <f t="shared" si="130"/>
        <v>83.250031168000007</v>
      </c>
      <c r="D207">
        <f t="shared" si="130"/>
        <v>97.040070159999999</v>
      </c>
      <c r="E207">
        <f t="shared" si="130"/>
        <v>89.54959876800001</v>
      </c>
      <c r="F207">
        <f t="shared" si="130"/>
        <v>206.91959460800001</v>
      </c>
      <c r="G207">
        <f t="shared" si="130"/>
        <v>444.00713200000001</v>
      </c>
      <c r="H207">
        <f t="shared" si="130"/>
        <v>471.98280096000002</v>
      </c>
      <c r="I207">
        <f t="shared" si="130"/>
        <v>382.98941088000004</v>
      </c>
      <c r="J207">
        <f t="shared" si="130"/>
        <v>193.96010227200003</v>
      </c>
      <c r="K207">
        <f t="shared" si="130"/>
        <v>77.607513936000004</v>
      </c>
      <c r="L207">
        <f t="shared" si="130"/>
        <v>39.397021936000002</v>
      </c>
      <c r="M207">
        <f t="shared" si="130"/>
        <v>39.283058688000004</v>
      </c>
      <c r="N207">
        <f t="shared" si="130"/>
        <v>19.282022680000001</v>
      </c>
      <c r="O207">
        <f t="shared" si="130"/>
        <v>7.0671793279999999</v>
      </c>
      <c r="P207">
        <f t="shared" si="130"/>
        <v>25.539917152000001</v>
      </c>
      <c r="Q207" s="27">
        <v>2429.92</v>
      </c>
      <c r="S207">
        <f t="shared" ref="S207:AG207" si="131">S90*$AH207</f>
        <v>474.30931350000003</v>
      </c>
      <c r="T207">
        <f t="shared" si="131"/>
        <v>116.62513005000001</v>
      </c>
      <c r="U207">
        <f t="shared" si="131"/>
        <v>97.180576349999996</v>
      </c>
      <c r="V207">
        <f t="shared" si="131"/>
        <v>177.96602504999998</v>
      </c>
      <c r="W207">
        <f t="shared" si="131"/>
        <v>507.14500650000002</v>
      </c>
      <c r="X207">
        <f t="shared" si="131"/>
        <v>1018.472136</v>
      </c>
      <c r="Y207">
        <f t="shared" si="131"/>
        <v>798.15029249999998</v>
      </c>
      <c r="Z207">
        <f t="shared" si="131"/>
        <v>554.94268499999998</v>
      </c>
      <c r="AA207">
        <f t="shared" si="131"/>
        <v>352.13939310000001</v>
      </c>
      <c r="AB207">
        <f t="shared" si="131"/>
        <v>137.98270365000002</v>
      </c>
      <c r="AC207">
        <f t="shared" si="131"/>
        <v>115.0612386</v>
      </c>
      <c r="AD207">
        <f t="shared" si="131"/>
        <v>87.844983599999992</v>
      </c>
      <c r="AE207">
        <f t="shared" si="131"/>
        <v>39.88994229</v>
      </c>
      <c r="AF207">
        <f t="shared" si="131"/>
        <v>21.851870865000002</v>
      </c>
      <c r="AG207">
        <f t="shared" si="131"/>
        <v>136.93856385000001</v>
      </c>
      <c r="AH207" s="27">
        <v>4636.5</v>
      </c>
      <c r="AI207" s="31">
        <v>2008</v>
      </c>
    </row>
    <row r="208" spans="1:35" x14ac:dyDescent="0.15">
      <c r="A208" s="21">
        <f t="shared" si="77"/>
        <v>2009</v>
      </c>
      <c r="B208">
        <f t="shared" ref="B208:P208" si="132">B91*$Q208</f>
        <v>417.74910483000002</v>
      </c>
      <c r="C208">
        <f t="shared" si="132"/>
        <v>45.904494873000004</v>
      </c>
      <c r="D208">
        <f t="shared" si="132"/>
        <v>217.213964304</v>
      </c>
      <c r="E208">
        <f t="shared" si="132"/>
        <v>245.36994474000002</v>
      </c>
      <c r="F208">
        <f t="shared" si="132"/>
        <v>163.312341156</v>
      </c>
      <c r="G208">
        <f t="shared" si="132"/>
        <v>207.42647961600002</v>
      </c>
      <c r="H208">
        <f t="shared" si="132"/>
        <v>264.79356125999999</v>
      </c>
      <c r="I208">
        <f t="shared" si="132"/>
        <v>236.76066375000002</v>
      </c>
      <c r="J208">
        <f t="shared" si="132"/>
        <v>183.95547896400001</v>
      </c>
      <c r="K208">
        <f t="shared" si="132"/>
        <v>92.16649563</v>
      </c>
      <c r="L208">
        <f t="shared" si="132"/>
        <v>37.298693259000004</v>
      </c>
      <c r="M208">
        <f t="shared" si="132"/>
        <v>18.911561103299999</v>
      </c>
      <c r="N208">
        <f t="shared" si="132"/>
        <v>18.850889484300001</v>
      </c>
      <c r="O208">
        <f t="shared" si="132"/>
        <v>9.2521391982000001</v>
      </c>
      <c r="P208">
        <f t="shared" si="132"/>
        <v>15.645470852100001</v>
      </c>
      <c r="Q208" s="27">
        <v>2174.61</v>
      </c>
      <c r="S208">
        <f t="shared" ref="S208:AG208" si="133">S91*$AH208</f>
        <v>655.87882830000001</v>
      </c>
      <c r="T208">
        <f t="shared" si="133"/>
        <v>181.46490546000001</v>
      </c>
      <c r="U208">
        <f t="shared" si="133"/>
        <v>379.36883520000004</v>
      </c>
      <c r="V208">
        <f t="shared" si="133"/>
        <v>408.66950220000001</v>
      </c>
      <c r="W208">
        <f t="shared" si="133"/>
        <v>238.03088304000002</v>
      </c>
      <c r="X208">
        <f t="shared" si="133"/>
        <v>345.33809912999999</v>
      </c>
      <c r="Y208">
        <f t="shared" si="133"/>
        <v>467.09204010000008</v>
      </c>
      <c r="Z208">
        <f t="shared" si="133"/>
        <v>364.94473350000004</v>
      </c>
      <c r="AA208">
        <f t="shared" si="133"/>
        <v>265.26225885000002</v>
      </c>
      <c r="AB208">
        <f t="shared" si="133"/>
        <v>128.74669292999999</v>
      </c>
      <c r="AC208">
        <f t="shared" si="133"/>
        <v>84.947851560000004</v>
      </c>
      <c r="AD208">
        <f t="shared" si="133"/>
        <v>27.872597007000003</v>
      </c>
      <c r="AE208">
        <f t="shared" si="133"/>
        <v>28.025011560000003</v>
      </c>
      <c r="AF208">
        <f t="shared" si="133"/>
        <v>14.604685761000001</v>
      </c>
      <c r="AG208">
        <f t="shared" si="133"/>
        <v>58.658621729999993</v>
      </c>
      <c r="AH208" s="27">
        <v>3648.9</v>
      </c>
      <c r="AI208" s="31">
        <v>2009</v>
      </c>
    </row>
    <row r="209" spans="1:35" x14ac:dyDescent="0.15">
      <c r="A209" s="21">
        <f t="shared" si="77"/>
        <v>2010</v>
      </c>
      <c r="B209">
        <f t="shared" ref="B209:P209" si="134">B92*$Q209</f>
        <v>250.64542731200001</v>
      </c>
      <c r="C209">
        <f t="shared" si="134"/>
        <v>225.69712497600003</v>
      </c>
      <c r="D209">
        <f t="shared" si="134"/>
        <v>180.87018022400002</v>
      </c>
      <c r="E209">
        <f t="shared" si="134"/>
        <v>863.77796016000002</v>
      </c>
      <c r="F209">
        <f t="shared" si="134"/>
        <v>657.85924336000005</v>
      </c>
      <c r="G209">
        <f t="shared" si="134"/>
        <v>226.5372132</v>
      </c>
      <c r="H209">
        <f t="shared" si="134"/>
        <v>168.886550368</v>
      </c>
      <c r="I209">
        <f t="shared" si="134"/>
        <v>174.81697182400001</v>
      </c>
      <c r="J209">
        <f t="shared" si="134"/>
        <v>149.457709104</v>
      </c>
      <c r="K209">
        <f t="shared" si="134"/>
        <v>114.38167651200001</v>
      </c>
      <c r="L209">
        <f t="shared" si="134"/>
        <v>57.304228240000008</v>
      </c>
      <c r="M209">
        <f t="shared" si="134"/>
        <v>23.169708393600001</v>
      </c>
      <c r="N209">
        <f t="shared" si="134"/>
        <v>11.7451663344</v>
      </c>
      <c r="O209">
        <f t="shared" si="134"/>
        <v>11.7068267376</v>
      </c>
      <c r="P209">
        <f t="shared" si="134"/>
        <v>15.461695337600002</v>
      </c>
      <c r="Q209" s="27">
        <v>3132.32</v>
      </c>
      <c r="S209">
        <f t="shared" ref="S209:AG209" si="135">S92*$AH209</f>
        <v>476.19749070000006</v>
      </c>
      <c r="T209">
        <f t="shared" si="135"/>
        <v>134.47559654999998</v>
      </c>
      <c r="U209">
        <f t="shared" si="135"/>
        <v>258.74277119999999</v>
      </c>
      <c r="V209">
        <f t="shared" si="135"/>
        <v>2783.1489165000003</v>
      </c>
      <c r="W209">
        <f t="shared" si="135"/>
        <v>1246.61754</v>
      </c>
      <c r="X209">
        <f t="shared" si="135"/>
        <v>388.58751135</v>
      </c>
      <c r="Y209">
        <f t="shared" si="135"/>
        <v>334.53365715000001</v>
      </c>
      <c r="Z209">
        <f t="shared" si="135"/>
        <v>353.81177730000002</v>
      </c>
      <c r="AA209">
        <f t="shared" si="135"/>
        <v>372.08481030000002</v>
      </c>
      <c r="AB209">
        <f t="shared" si="135"/>
        <v>253.32908625000002</v>
      </c>
      <c r="AC209">
        <f t="shared" si="135"/>
        <v>218.43800279999999</v>
      </c>
      <c r="AD209">
        <f t="shared" si="135"/>
        <v>79.366717350000002</v>
      </c>
      <c r="AE209">
        <f t="shared" si="135"/>
        <v>47.566083465000006</v>
      </c>
      <c r="AF209">
        <f t="shared" si="135"/>
        <v>27.471514634999998</v>
      </c>
      <c r="AG209">
        <f t="shared" si="135"/>
        <v>59.129438805000007</v>
      </c>
      <c r="AH209" s="27">
        <v>7033.5</v>
      </c>
      <c r="AI209" s="31">
        <v>2010</v>
      </c>
    </row>
    <row r="210" spans="1:35" x14ac:dyDescent="0.15">
      <c r="A210" s="21">
        <f t="shared" si="77"/>
        <v>2011</v>
      </c>
      <c r="B210">
        <f t="shared" ref="B210:P210" si="136">B93*$Q210</f>
        <v>409.71383639999993</v>
      </c>
      <c r="C210">
        <f t="shared" si="136"/>
        <v>26.990067939999996</v>
      </c>
      <c r="D210">
        <f t="shared" si="136"/>
        <v>217.99007608400001</v>
      </c>
      <c r="E210">
        <f t="shared" si="136"/>
        <v>176.67709241599999</v>
      </c>
      <c r="F210">
        <f t="shared" si="136"/>
        <v>615.81022888000007</v>
      </c>
      <c r="G210">
        <f t="shared" si="136"/>
        <v>376.85745811999999</v>
      </c>
      <c r="H210">
        <f t="shared" si="136"/>
        <v>115.68052403599999</v>
      </c>
      <c r="I210">
        <f t="shared" si="136"/>
        <v>82.056863063999998</v>
      </c>
      <c r="J210">
        <f t="shared" si="136"/>
        <v>83.788461327999997</v>
      </c>
      <c r="K210">
        <f t="shared" si="136"/>
        <v>72.235232212</v>
      </c>
      <c r="L210">
        <f t="shared" si="136"/>
        <v>55.429473087999995</v>
      </c>
      <c r="M210">
        <f t="shared" si="136"/>
        <v>27.767660491999997</v>
      </c>
      <c r="N210">
        <f t="shared" si="136"/>
        <v>11.2271167888</v>
      </c>
      <c r="O210">
        <f t="shared" si="136"/>
        <v>5.6912260064</v>
      </c>
      <c r="P210">
        <f t="shared" si="136"/>
        <v>13.164728966399998</v>
      </c>
      <c r="Q210" s="27">
        <v>2291.08</v>
      </c>
      <c r="S210">
        <f t="shared" ref="S210:AG210" si="137">S93*$AH210</f>
        <v>939.68279789999997</v>
      </c>
      <c r="T210">
        <f t="shared" si="137"/>
        <v>101.18948749800001</v>
      </c>
      <c r="U210">
        <f t="shared" si="137"/>
        <v>220.32654265199997</v>
      </c>
      <c r="V210">
        <f t="shared" si="137"/>
        <v>301.14753107399997</v>
      </c>
      <c r="W210">
        <f t="shared" si="137"/>
        <v>1506.4035352799999</v>
      </c>
      <c r="X210">
        <f t="shared" si="137"/>
        <v>737.1117326399999</v>
      </c>
      <c r="Y210">
        <f t="shared" si="137"/>
        <v>216.06986200799997</v>
      </c>
      <c r="Z210">
        <f t="shared" si="137"/>
        <v>122.67884316600001</v>
      </c>
      <c r="AA210">
        <f t="shared" si="137"/>
        <v>191.91055068599999</v>
      </c>
      <c r="AB210">
        <f t="shared" si="137"/>
        <v>190.91346359400001</v>
      </c>
      <c r="AC210">
        <f t="shared" si="137"/>
        <v>160.00376374199999</v>
      </c>
      <c r="AD210">
        <f t="shared" si="137"/>
        <v>122.283770922</v>
      </c>
      <c r="AE210">
        <f t="shared" si="137"/>
        <v>51.646041881999992</v>
      </c>
      <c r="AF210">
        <f t="shared" si="137"/>
        <v>24.370165042199996</v>
      </c>
      <c r="AG210">
        <f t="shared" si="137"/>
        <v>65.044832873999994</v>
      </c>
      <c r="AH210" s="27">
        <v>4950.78</v>
      </c>
      <c r="AI210" s="31">
        <v>2011</v>
      </c>
    </row>
    <row r="211" spans="1:35" x14ac:dyDescent="0.15">
      <c r="A211" s="21">
        <f t="shared" si="77"/>
        <v>2012</v>
      </c>
      <c r="B211">
        <f t="shared" ref="B211:P211" si="138">B94*$Q211</f>
        <v>430.29393049999999</v>
      </c>
      <c r="C211">
        <f t="shared" si="138"/>
        <v>47.745699987999998</v>
      </c>
      <c r="D211">
        <f t="shared" si="138"/>
        <v>197.350747552</v>
      </c>
      <c r="E211">
        <f t="shared" si="138"/>
        <v>1171.25221038</v>
      </c>
      <c r="F211">
        <f t="shared" si="138"/>
        <v>554.40669312</v>
      </c>
      <c r="G211">
        <f t="shared" si="138"/>
        <v>736.24453475999996</v>
      </c>
      <c r="H211">
        <f t="shared" si="138"/>
        <v>259.88069921799996</v>
      </c>
      <c r="I211">
        <f t="shared" si="138"/>
        <v>66.354745940000001</v>
      </c>
      <c r="J211">
        <f t="shared" si="138"/>
        <v>45.646473123999996</v>
      </c>
      <c r="K211">
        <f t="shared" si="138"/>
        <v>46.684375387999999</v>
      </c>
      <c r="L211">
        <f t="shared" si="138"/>
        <v>40.455497907999998</v>
      </c>
      <c r="M211">
        <f t="shared" si="138"/>
        <v>31.034668394799997</v>
      </c>
      <c r="N211">
        <f t="shared" si="138"/>
        <v>15.5464291304</v>
      </c>
      <c r="O211">
        <f t="shared" si="138"/>
        <v>6.2857498395999993</v>
      </c>
      <c r="P211">
        <f t="shared" si="138"/>
        <v>10.5569591988</v>
      </c>
      <c r="Q211" s="27">
        <v>3659.74</v>
      </c>
      <c r="S211">
        <f t="shared" ref="S211:AG211" si="139">S94*$AH211</f>
        <v>1021.1508272000001</v>
      </c>
      <c r="T211">
        <f t="shared" si="139"/>
        <v>208.47569191000002</v>
      </c>
      <c r="U211">
        <f t="shared" si="139"/>
        <v>391.42407661000004</v>
      </c>
      <c r="V211">
        <f t="shared" si="139"/>
        <v>2801.5352557000001</v>
      </c>
      <c r="W211">
        <f t="shared" si="139"/>
        <v>654.77916178500004</v>
      </c>
      <c r="X211">
        <f t="shared" si="139"/>
        <v>1056.99852485</v>
      </c>
      <c r="Y211">
        <f t="shared" si="139"/>
        <v>361.881739455</v>
      </c>
      <c r="Z211">
        <f t="shared" si="139"/>
        <v>144.74669555500003</v>
      </c>
      <c r="AA211">
        <f t="shared" si="139"/>
        <v>109.67610047500001</v>
      </c>
      <c r="AB211">
        <f t="shared" si="139"/>
        <v>151.47938929</v>
      </c>
      <c r="AC211">
        <f t="shared" si="139"/>
        <v>124.24055391500002</v>
      </c>
      <c r="AD211">
        <f t="shared" si="139"/>
        <v>109.50194754499999</v>
      </c>
      <c r="AE211">
        <f t="shared" si="139"/>
        <v>91.180034879999994</v>
      </c>
      <c r="AF211">
        <f t="shared" si="139"/>
        <v>32.397493951500003</v>
      </c>
      <c r="AG211">
        <f t="shared" si="139"/>
        <v>57.878189642000002</v>
      </c>
      <c r="AH211" s="27">
        <v>7317.35</v>
      </c>
      <c r="AI211" s="31">
        <v>2012</v>
      </c>
    </row>
    <row r="212" spans="1:35" x14ac:dyDescent="0.15">
      <c r="A212" s="21">
        <f t="shared" si="77"/>
        <v>2013</v>
      </c>
      <c r="B212">
        <f t="shared" ref="B212:P212" si="140">B95*$Q212</f>
        <v>666.06674559999988</v>
      </c>
      <c r="C212">
        <f t="shared" si="140"/>
        <v>39.926573632</v>
      </c>
      <c r="D212">
        <f t="shared" si="140"/>
        <v>119.96292639999999</v>
      </c>
      <c r="E212">
        <f t="shared" si="140"/>
        <v>469.76129567999999</v>
      </c>
      <c r="F212">
        <f t="shared" si="140"/>
        <v>2030.9336432</v>
      </c>
      <c r="G212">
        <f t="shared" si="140"/>
        <v>622.79055840000001</v>
      </c>
      <c r="H212">
        <f t="shared" si="140"/>
        <v>482.22641759999999</v>
      </c>
      <c r="I212">
        <f t="shared" si="140"/>
        <v>138.25338144</v>
      </c>
      <c r="J212">
        <f t="shared" si="140"/>
        <v>33.578756847999998</v>
      </c>
      <c r="K212">
        <f t="shared" si="140"/>
        <v>23.007432479999999</v>
      </c>
      <c r="L212">
        <f t="shared" si="140"/>
        <v>23.55244064</v>
      </c>
      <c r="M212">
        <f t="shared" si="140"/>
        <v>20.387584367999999</v>
      </c>
      <c r="N212">
        <f t="shared" si="140"/>
        <v>15.635385951999998</v>
      </c>
      <c r="O212">
        <f t="shared" si="140"/>
        <v>7.8317531519999992</v>
      </c>
      <c r="P212">
        <f t="shared" si="140"/>
        <v>8.4845403199999989</v>
      </c>
      <c r="Q212" s="27">
        <v>4702.3999999999996</v>
      </c>
      <c r="S212">
        <f t="shared" ref="S212:AG212" si="141">S95*$AH212</f>
        <v>1086.1984056000001</v>
      </c>
      <c r="T212">
        <f t="shared" si="141"/>
        <v>117.17881560000002</v>
      </c>
      <c r="U212">
        <f t="shared" si="141"/>
        <v>225.42648744000002</v>
      </c>
      <c r="V212">
        <f t="shared" si="141"/>
        <v>886.90613088000009</v>
      </c>
      <c r="W212">
        <f t="shared" si="141"/>
        <v>4410.7969752000008</v>
      </c>
      <c r="X212">
        <f t="shared" si="141"/>
        <v>1023.0112200000001</v>
      </c>
      <c r="Y212">
        <f t="shared" si="141"/>
        <v>637.62371904000008</v>
      </c>
      <c r="Z212">
        <f t="shared" si="141"/>
        <v>223.66796760000003</v>
      </c>
      <c r="AA212">
        <f t="shared" si="141"/>
        <v>75.718224120000016</v>
      </c>
      <c r="AB212">
        <f t="shared" si="141"/>
        <v>68.416201392000005</v>
      </c>
      <c r="AC212">
        <f t="shared" si="141"/>
        <v>89.900568912000011</v>
      </c>
      <c r="AD212">
        <f t="shared" si="141"/>
        <v>67.633198247999999</v>
      </c>
      <c r="AE212">
        <f t="shared" si="141"/>
        <v>62.675385696000006</v>
      </c>
      <c r="AF212">
        <f t="shared" si="141"/>
        <v>34.270853232</v>
      </c>
      <c r="AG212">
        <f t="shared" si="141"/>
        <v>45.769961160000001</v>
      </c>
      <c r="AH212" s="27">
        <v>9055.2000000000007</v>
      </c>
      <c r="AI212" s="31">
        <v>2013</v>
      </c>
    </row>
    <row r="213" spans="1:35" x14ac:dyDescent="0.15">
      <c r="A213" s="21">
        <f t="shared" si="77"/>
        <v>2014</v>
      </c>
      <c r="B213">
        <f t="shared" ref="B213:P213" si="142">B96*$Q213</f>
        <v>742.91912309999987</v>
      </c>
      <c r="C213">
        <f t="shared" si="142"/>
        <v>246.51101412599996</v>
      </c>
      <c r="D213">
        <f t="shared" si="142"/>
        <v>113.242684524</v>
      </c>
      <c r="E213">
        <f t="shared" si="142"/>
        <v>328.25853232200001</v>
      </c>
      <c r="F213">
        <f t="shared" si="142"/>
        <v>904.3932993599999</v>
      </c>
      <c r="G213">
        <f t="shared" si="142"/>
        <v>2326.1301290999995</v>
      </c>
      <c r="H213">
        <f t="shared" si="142"/>
        <v>461.40674475599997</v>
      </c>
      <c r="I213">
        <f t="shared" si="142"/>
        <v>291.333069024</v>
      </c>
      <c r="J213">
        <f t="shared" si="142"/>
        <v>76.102011299999987</v>
      </c>
      <c r="K213">
        <f t="shared" si="142"/>
        <v>17.9758122402</v>
      </c>
      <c r="L213">
        <f t="shared" si="142"/>
        <v>12.2744174952</v>
      </c>
      <c r="M213">
        <f t="shared" si="142"/>
        <v>12.551910397199999</v>
      </c>
      <c r="N213">
        <f t="shared" si="142"/>
        <v>10.862206624199999</v>
      </c>
      <c r="O213">
        <f t="shared" si="142"/>
        <v>8.3296807223999991</v>
      </c>
      <c r="P213">
        <f t="shared" si="142"/>
        <v>8.6922566183999983</v>
      </c>
      <c r="Q213" s="27">
        <v>5560.98</v>
      </c>
      <c r="S213">
        <f t="shared" ref="S213:AG213" si="143">S96*$AH213</f>
        <v>1946.9193987000001</v>
      </c>
      <c r="T213">
        <f t="shared" si="143"/>
        <v>527.27588358000003</v>
      </c>
      <c r="U213">
        <f t="shared" si="143"/>
        <v>242.19892215000002</v>
      </c>
      <c r="V213">
        <f t="shared" si="143"/>
        <v>317.50901934000001</v>
      </c>
      <c r="W213">
        <f t="shared" si="143"/>
        <v>1468.7636138999999</v>
      </c>
      <c r="X213">
        <f t="shared" si="143"/>
        <v>5388.6367088999996</v>
      </c>
      <c r="Y213">
        <f t="shared" si="143"/>
        <v>2802.9933117</v>
      </c>
      <c r="Z213">
        <f t="shared" si="143"/>
        <v>597.11400905999994</v>
      </c>
      <c r="AA213">
        <f t="shared" si="143"/>
        <v>328.43332482</v>
      </c>
      <c r="AB213">
        <f t="shared" si="143"/>
        <v>119.60234869199999</v>
      </c>
      <c r="AC213">
        <f t="shared" si="143"/>
        <v>45.756540471000001</v>
      </c>
      <c r="AD213">
        <f t="shared" si="143"/>
        <v>64.537705203000002</v>
      </c>
      <c r="AE213">
        <f t="shared" si="143"/>
        <v>65.615407296000001</v>
      </c>
      <c r="AF213">
        <f t="shared" si="143"/>
        <v>30.660014367000002</v>
      </c>
      <c r="AG213">
        <f t="shared" si="143"/>
        <v>81.077199084</v>
      </c>
      <c r="AH213" s="27">
        <v>14027.1</v>
      </c>
      <c r="AI213" s="232">
        <v>2014</v>
      </c>
    </row>
    <row r="214" spans="1:35" x14ac:dyDescent="0.15">
      <c r="Q214" s="27"/>
      <c r="AH214" s="27"/>
      <c r="AI214" s="238"/>
    </row>
    <row r="215" spans="1:35" x14ac:dyDescent="0.15">
      <c r="Q215" s="27"/>
      <c r="AH215" s="27"/>
      <c r="AI215" s="27"/>
    </row>
    <row r="216" spans="1:35" x14ac:dyDescent="0.15">
      <c r="A216" s="21" t="str">
        <f t="shared" ref="A216:P216" si="144">A101</f>
        <v>Predicted</v>
      </c>
      <c r="B216">
        <f t="shared" si="144"/>
        <v>1</v>
      </c>
      <c r="C216">
        <f t="shared" si="144"/>
        <v>2</v>
      </c>
      <c r="D216">
        <f t="shared" si="144"/>
        <v>3</v>
      </c>
      <c r="E216">
        <f t="shared" si="144"/>
        <v>4</v>
      </c>
      <c r="F216">
        <f t="shared" si="144"/>
        <v>5</v>
      </c>
      <c r="G216">
        <f t="shared" si="144"/>
        <v>6</v>
      </c>
      <c r="H216">
        <f t="shared" si="144"/>
        <v>7</v>
      </c>
      <c r="I216">
        <f t="shared" si="144"/>
        <v>8</v>
      </c>
      <c r="J216">
        <f t="shared" si="144"/>
        <v>9</v>
      </c>
      <c r="K216">
        <f t="shared" si="144"/>
        <v>10</v>
      </c>
      <c r="L216">
        <f t="shared" si="144"/>
        <v>11</v>
      </c>
      <c r="M216">
        <f t="shared" si="144"/>
        <v>12</v>
      </c>
      <c r="N216">
        <f t="shared" si="144"/>
        <v>13</v>
      </c>
      <c r="O216">
        <f t="shared" si="144"/>
        <v>14</v>
      </c>
      <c r="P216">
        <f t="shared" si="144"/>
        <v>15</v>
      </c>
      <c r="S216">
        <f t="shared" ref="S216:AG216" si="145">S101</f>
        <v>1</v>
      </c>
      <c r="T216">
        <f t="shared" si="145"/>
        <v>2</v>
      </c>
      <c r="U216">
        <f t="shared" si="145"/>
        <v>3</v>
      </c>
      <c r="V216">
        <f t="shared" si="145"/>
        <v>4</v>
      </c>
      <c r="W216">
        <f t="shared" si="145"/>
        <v>5</v>
      </c>
      <c r="X216">
        <f t="shared" si="145"/>
        <v>6</v>
      </c>
      <c r="Y216">
        <f t="shared" si="145"/>
        <v>7</v>
      </c>
      <c r="Z216">
        <f t="shared" si="145"/>
        <v>8</v>
      </c>
      <c r="AA216">
        <f t="shared" si="145"/>
        <v>9</v>
      </c>
      <c r="AB216">
        <f t="shared" si="145"/>
        <v>10</v>
      </c>
      <c r="AC216">
        <f t="shared" si="145"/>
        <v>11</v>
      </c>
      <c r="AD216">
        <f t="shared" si="145"/>
        <v>12</v>
      </c>
      <c r="AE216">
        <f t="shared" si="145"/>
        <v>13</v>
      </c>
      <c r="AF216">
        <f t="shared" si="145"/>
        <v>14</v>
      </c>
      <c r="AG216">
        <f t="shared" si="145"/>
        <v>15</v>
      </c>
    </row>
    <row r="217" spans="1:35" x14ac:dyDescent="0.15">
      <c r="A217" s="21">
        <f t="shared" ref="A217:A235" si="146">A102</f>
        <v>1979</v>
      </c>
      <c r="B217" s="27">
        <f t="shared" ref="B217:O217" si="147">B102*$Q217</f>
        <v>0</v>
      </c>
      <c r="C217" s="27">
        <f t="shared" si="147"/>
        <v>10621.645663700001</v>
      </c>
      <c r="D217" s="27">
        <f t="shared" si="147"/>
        <v>989.64473557000008</v>
      </c>
      <c r="E217" s="27">
        <f t="shared" si="147"/>
        <v>276.40656847000002</v>
      </c>
      <c r="F217" s="27">
        <f t="shared" si="147"/>
        <v>179.30295573000001</v>
      </c>
      <c r="G217" s="27">
        <f t="shared" si="147"/>
        <v>92.725735986000004</v>
      </c>
      <c r="H217" s="27">
        <f t="shared" si="147"/>
        <v>52.305111590000003</v>
      </c>
      <c r="I217" s="27">
        <f t="shared" si="147"/>
        <v>11.325396513300001</v>
      </c>
      <c r="J217" s="27">
        <f t="shared" si="147"/>
        <v>6.931776933100001</v>
      </c>
      <c r="K217" s="27">
        <f t="shared" si="147"/>
        <v>5.4826901790000004</v>
      </c>
      <c r="L217" s="27">
        <f t="shared" si="147"/>
        <v>3.1072862276</v>
      </c>
      <c r="M217" s="27">
        <f t="shared" si="147"/>
        <v>1.3939623790000002</v>
      </c>
      <c r="N217" s="27">
        <f t="shared" si="147"/>
        <v>0.85574134846000005</v>
      </c>
      <c r="O217" s="27">
        <f t="shared" si="147"/>
        <v>0.27420551081000005</v>
      </c>
      <c r="P217" s="27">
        <f>P102*$Q217</f>
        <v>0.29225100078000005</v>
      </c>
      <c r="Q217" s="27">
        <f t="array" ref="Q217:Q235">TRANSPOSE(B240:V240)</f>
        <v>12241.7</v>
      </c>
      <c r="S217" s="27">
        <f t="shared" ref="S217:AF217" si="148">S102*$AH217</f>
        <v>0</v>
      </c>
      <c r="T217" s="27">
        <f t="shared" si="148"/>
        <v>41132.019167999999</v>
      </c>
      <c r="U217" s="27">
        <f t="shared" si="148"/>
        <v>3883.9985621999999</v>
      </c>
      <c r="V217" s="27">
        <f t="shared" si="148"/>
        <v>413.00000046000002</v>
      </c>
      <c r="W217" s="27">
        <f t="shared" si="148"/>
        <v>534.00041999999996</v>
      </c>
      <c r="X217" s="27">
        <f t="shared" si="148"/>
        <v>127.99985436000001</v>
      </c>
      <c r="Y217" s="27">
        <f t="shared" si="148"/>
        <v>29.999986128</v>
      </c>
      <c r="Z217" s="27">
        <f t="shared" si="148"/>
        <v>4.0000012379999994</v>
      </c>
      <c r="AA217" s="27">
        <f t="shared" si="148"/>
        <v>28.000008665999999</v>
      </c>
      <c r="AB217" s="27">
        <f t="shared" si="148"/>
        <v>58.999867740000006</v>
      </c>
      <c r="AC217" s="27">
        <f t="shared" si="148"/>
        <v>68.999986620000001</v>
      </c>
      <c r="AD217" s="27">
        <f t="shared" si="148"/>
        <v>29.000020553999999</v>
      </c>
      <c r="AE217" s="27">
        <f t="shared" si="148"/>
        <v>2.9999986128000002</v>
      </c>
      <c r="AF217" s="27">
        <f t="shared" si="148"/>
        <v>0.99999799379999998</v>
      </c>
      <c r="AG217" s="27">
        <f>AG102*$AH217</f>
        <v>0</v>
      </c>
      <c r="AH217" s="27">
        <f t="array" ref="AH217:AH235">TRANSPOSE(B242:U242)</f>
        <v>46314</v>
      </c>
      <c r="AI217" s="27"/>
    </row>
    <row r="218" spans="1:35" x14ac:dyDescent="0.15">
      <c r="A218" s="21">
        <f t="shared" si="146"/>
        <v>1982</v>
      </c>
      <c r="B218" s="27">
        <f t="shared" ref="B218:P218" si="149">B103*$Q218</f>
        <v>0</v>
      </c>
      <c r="C218" s="27">
        <f t="shared" si="149"/>
        <v>3469.71065</v>
      </c>
      <c r="D218" s="27">
        <f t="shared" si="149"/>
        <v>2448.6496999999999</v>
      </c>
      <c r="E218" s="27">
        <f t="shared" si="149"/>
        <v>3817.38805</v>
      </c>
      <c r="F218" s="27">
        <f t="shared" si="149"/>
        <v>822.32692499999996</v>
      </c>
      <c r="G218" s="27">
        <f t="shared" si="149"/>
        <v>160.079815</v>
      </c>
      <c r="H218" s="27">
        <f t="shared" si="149"/>
        <v>68.211020500000004</v>
      </c>
      <c r="I218" s="27">
        <f t="shared" si="149"/>
        <v>33.193621999999998</v>
      </c>
      <c r="J218" s="27">
        <f t="shared" si="149"/>
        <v>16.602236000000001</v>
      </c>
      <c r="K218" s="27">
        <f t="shared" si="149"/>
        <v>9.0196918000000004</v>
      </c>
      <c r="L218" s="27">
        <f t="shared" si="149"/>
        <v>1.8534621</v>
      </c>
      <c r="M218" s="27">
        <f t="shared" si="149"/>
        <v>1.11996955</v>
      </c>
      <c r="N218" s="27">
        <f t="shared" si="149"/>
        <v>0.88532853500000008</v>
      </c>
      <c r="O218" s="27">
        <f t="shared" si="149"/>
        <v>0.50175499499999998</v>
      </c>
      <c r="P218" s="27">
        <f t="shared" si="149"/>
        <v>0.45474520000000002</v>
      </c>
      <c r="Q218" s="27">
        <v>10850</v>
      </c>
      <c r="S218" s="27">
        <f t="shared" ref="S218:AG218" si="150">S103*$AH218</f>
        <v>0</v>
      </c>
      <c r="T218" s="27">
        <f t="shared" si="150"/>
        <v>3401.0042699999999</v>
      </c>
      <c r="U218" s="27">
        <f t="shared" si="150"/>
        <v>4108.0052100000003</v>
      </c>
      <c r="V218" s="27">
        <f t="shared" si="150"/>
        <v>7636.9918200000002</v>
      </c>
      <c r="W218" s="27">
        <f t="shared" si="150"/>
        <v>1790.0078699999999</v>
      </c>
      <c r="X218" s="27">
        <f t="shared" si="150"/>
        <v>282.99979200000001</v>
      </c>
      <c r="Y218" s="27">
        <f t="shared" si="150"/>
        <v>140.9999316</v>
      </c>
      <c r="Z218" s="27">
        <f t="shared" si="150"/>
        <v>177.99996794999998</v>
      </c>
      <c r="AA218" s="27">
        <f t="shared" si="150"/>
        <v>90.000001800000007</v>
      </c>
      <c r="AB218" s="27">
        <f t="shared" si="150"/>
        <v>55.000001099999999</v>
      </c>
      <c r="AC218" s="27">
        <f t="shared" si="150"/>
        <v>122.00003805</v>
      </c>
      <c r="AD218" s="27">
        <f t="shared" si="150"/>
        <v>0</v>
      </c>
      <c r="AE218" s="27">
        <f t="shared" si="150"/>
        <v>0</v>
      </c>
      <c r="AF218" s="27">
        <f t="shared" si="150"/>
        <v>0</v>
      </c>
      <c r="AG218" s="27">
        <f t="shared" si="150"/>
        <v>0</v>
      </c>
      <c r="AH218" s="27">
        <v>17805</v>
      </c>
      <c r="AI218" s="27"/>
    </row>
    <row r="219" spans="1:35" x14ac:dyDescent="0.15">
      <c r="A219" s="21">
        <f t="shared" si="146"/>
        <v>1985</v>
      </c>
      <c r="B219" s="27">
        <f t="shared" ref="B219:P219" si="151">B104*$Q219</f>
        <v>0</v>
      </c>
      <c r="C219" s="27">
        <f t="shared" si="151"/>
        <v>1534.5902624</v>
      </c>
      <c r="D219" s="27">
        <f t="shared" si="151"/>
        <v>4763.5940095999995</v>
      </c>
      <c r="E219" s="27">
        <f t="shared" si="151"/>
        <v>1115.9731744000001</v>
      </c>
      <c r="F219" s="27">
        <f t="shared" si="151"/>
        <v>1427.72336</v>
      </c>
      <c r="G219" s="27">
        <f t="shared" si="151"/>
        <v>633.21706943999993</v>
      </c>
      <c r="H219" s="27">
        <f t="shared" si="151"/>
        <v>821.51611103999994</v>
      </c>
      <c r="I219" s="27">
        <f t="shared" si="151"/>
        <v>133.15735584000001</v>
      </c>
      <c r="J219" s="27">
        <f t="shared" si="151"/>
        <v>30.370606815999999</v>
      </c>
      <c r="K219" s="27">
        <f t="shared" si="151"/>
        <v>12.577283296000001</v>
      </c>
      <c r="L219" s="27">
        <f t="shared" si="151"/>
        <v>7.155866928</v>
      </c>
      <c r="M219" s="27">
        <f t="shared" si="151"/>
        <v>3.5538514463999999</v>
      </c>
      <c r="N219" s="27">
        <f t="shared" si="151"/>
        <v>1.9310181280000001</v>
      </c>
      <c r="O219" s="27">
        <f t="shared" si="151"/>
        <v>0.39680642463999993</v>
      </c>
      <c r="P219" s="27">
        <f t="shared" si="151"/>
        <v>0.63408744064</v>
      </c>
      <c r="Q219" s="27">
        <v>10486.4</v>
      </c>
      <c r="S219" s="27">
        <f t="shared" ref="S219:AG219" si="152">S104*$AH219</f>
        <v>0</v>
      </c>
      <c r="T219" s="27">
        <f t="shared" si="152"/>
        <v>929.00026300000002</v>
      </c>
      <c r="U219" s="27">
        <f t="shared" si="152"/>
        <v>8148.9962050000004</v>
      </c>
      <c r="V219" s="27">
        <f t="shared" si="152"/>
        <v>898.00026550000007</v>
      </c>
      <c r="W219" s="27">
        <f t="shared" si="152"/>
        <v>2185.9974099999999</v>
      </c>
      <c r="X219" s="27">
        <f t="shared" si="152"/>
        <v>1509.9984300000001</v>
      </c>
      <c r="Y219" s="27">
        <f t="shared" si="152"/>
        <v>1127.0006815000002</v>
      </c>
      <c r="Z219" s="27">
        <f t="shared" si="152"/>
        <v>130.00005710000002</v>
      </c>
      <c r="AA219" s="27">
        <f t="shared" si="152"/>
        <v>20.99993555</v>
      </c>
      <c r="AB219" s="27">
        <f t="shared" si="152"/>
        <v>6.9999984699999995</v>
      </c>
      <c r="AC219" s="27">
        <f t="shared" si="152"/>
        <v>8.0000046650000005</v>
      </c>
      <c r="AD219" s="27">
        <f t="shared" si="152"/>
        <v>0</v>
      </c>
      <c r="AE219" s="27">
        <f t="shared" si="152"/>
        <v>0</v>
      </c>
      <c r="AF219" s="27">
        <f t="shared" si="152"/>
        <v>0</v>
      </c>
      <c r="AG219" s="27">
        <f t="shared" si="152"/>
        <v>0</v>
      </c>
      <c r="AH219" s="27">
        <v>14965</v>
      </c>
      <c r="AI219" s="27"/>
    </row>
    <row r="220" spans="1:35" x14ac:dyDescent="0.15">
      <c r="A220" s="21">
        <f t="shared" si="146"/>
        <v>1988</v>
      </c>
      <c r="B220" s="27">
        <f t="shared" ref="B220:P220" si="153">B105*$Q220</f>
        <v>0</v>
      </c>
      <c r="C220" s="27">
        <f t="shared" si="153"/>
        <v>886.63613499999985</v>
      </c>
      <c r="D220" s="27">
        <f t="shared" si="153"/>
        <v>1314.6508253199997</v>
      </c>
      <c r="E220" s="27">
        <f t="shared" si="153"/>
        <v>2381.3734439599998</v>
      </c>
      <c r="F220" s="27">
        <f t="shared" si="153"/>
        <v>648.49729100799993</v>
      </c>
      <c r="G220" s="27">
        <f t="shared" si="153"/>
        <v>1383.7747029399998</v>
      </c>
      <c r="H220" s="27">
        <f t="shared" si="153"/>
        <v>276.04863087199999</v>
      </c>
      <c r="I220" s="27">
        <f t="shared" si="153"/>
        <v>264.58871823999999</v>
      </c>
      <c r="J220" s="27">
        <f t="shared" si="153"/>
        <v>129.879259762</v>
      </c>
      <c r="K220" s="27">
        <f t="shared" si="153"/>
        <v>167.49137683599997</v>
      </c>
      <c r="L220" s="27">
        <f t="shared" si="153"/>
        <v>31.7111318342</v>
      </c>
      <c r="M220" s="27">
        <f t="shared" si="153"/>
        <v>7.1656995183200003</v>
      </c>
      <c r="N220" s="27">
        <f t="shared" si="153"/>
        <v>2.9523821108599999</v>
      </c>
      <c r="O220" s="27">
        <f t="shared" si="153"/>
        <v>1.6797649614199999</v>
      </c>
      <c r="P220" s="27">
        <f t="shared" si="153"/>
        <v>1.5295054422199998</v>
      </c>
      <c r="Q220" s="27">
        <v>7497.98</v>
      </c>
      <c r="S220" s="27">
        <f t="shared" ref="S220:AG220" si="154">S105*$AH220</f>
        <v>0</v>
      </c>
      <c r="T220" s="27">
        <f t="shared" si="154"/>
        <v>1111.995752</v>
      </c>
      <c r="U220" s="27">
        <f t="shared" si="154"/>
        <v>3585.9810400000001</v>
      </c>
      <c r="V220" s="27">
        <f t="shared" si="154"/>
        <v>3863.9879600000004</v>
      </c>
      <c r="W220" s="27">
        <f t="shared" si="154"/>
        <v>738.996892</v>
      </c>
      <c r="X220" s="27">
        <f t="shared" si="154"/>
        <v>1881.99596</v>
      </c>
      <c r="Y220" s="27">
        <f t="shared" si="154"/>
        <v>402.99889999999999</v>
      </c>
      <c r="Z220" s="27">
        <f t="shared" si="154"/>
        <v>150.99979200000001</v>
      </c>
      <c r="AA220" s="27">
        <f t="shared" si="154"/>
        <v>129.528212</v>
      </c>
      <c r="AB220" s="27">
        <f t="shared" si="154"/>
        <v>254.51773600000001</v>
      </c>
      <c r="AC220" s="27">
        <f t="shared" si="154"/>
        <v>158.99898400000001</v>
      </c>
      <c r="AD220" s="27">
        <f t="shared" si="154"/>
        <v>0</v>
      </c>
      <c r="AE220" s="27">
        <f t="shared" si="154"/>
        <v>0</v>
      </c>
      <c r="AF220" s="27">
        <f t="shared" si="154"/>
        <v>0</v>
      </c>
      <c r="AG220" s="27">
        <f t="shared" si="154"/>
        <v>0</v>
      </c>
      <c r="AH220" s="27">
        <v>12280</v>
      </c>
      <c r="AI220" s="27"/>
    </row>
    <row r="221" spans="1:35" x14ac:dyDescent="0.15">
      <c r="A221" s="21">
        <f t="shared" si="146"/>
        <v>1991</v>
      </c>
      <c r="B221" s="27">
        <f t="shared" ref="B221:P221" si="155">B106*$Q221</f>
        <v>0</v>
      </c>
      <c r="C221" s="27">
        <f t="shared" si="155"/>
        <v>5521.3773964800002</v>
      </c>
      <c r="D221" s="27">
        <f t="shared" si="155"/>
        <v>1011.0026295599999</v>
      </c>
      <c r="E221" s="27">
        <f t="shared" si="155"/>
        <v>367.33514815799998</v>
      </c>
      <c r="F221" s="27">
        <f t="shared" si="155"/>
        <v>327.49352987999998</v>
      </c>
      <c r="G221" s="27">
        <f t="shared" si="155"/>
        <v>306.43005439199999</v>
      </c>
      <c r="H221" s="27">
        <f t="shared" si="155"/>
        <v>471.613119912</v>
      </c>
      <c r="I221" s="27">
        <f t="shared" si="155"/>
        <v>98.109528197999992</v>
      </c>
      <c r="J221" s="27">
        <f t="shared" si="155"/>
        <v>228.58171307399999</v>
      </c>
      <c r="K221" s="27">
        <f t="shared" si="155"/>
        <v>45.302705045400003</v>
      </c>
      <c r="L221" s="27">
        <f t="shared" si="155"/>
        <v>53.051334204</v>
      </c>
      <c r="M221" s="27">
        <f t="shared" si="155"/>
        <v>25.952931622199998</v>
      </c>
      <c r="N221" s="27">
        <f t="shared" si="155"/>
        <v>33.547052233199999</v>
      </c>
      <c r="O221" s="27">
        <f t="shared" si="155"/>
        <v>6.3514656447000002</v>
      </c>
      <c r="P221" s="27">
        <f t="shared" si="155"/>
        <v>2.6693518797000002</v>
      </c>
      <c r="Q221" s="27">
        <v>8498.82</v>
      </c>
      <c r="S221" s="27">
        <f t="shared" ref="S221:AG221" si="156">S106*$AH221</f>
        <v>0</v>
      </c>
      <c r="T221" s="27">
        <f t="shared" si="156"/>
        <v>5942.3313036800009</v>
      </c>
      <c r="U221" s="27">
        <f t="shared" si="156"/>
        <v>967.02478816000007</v>
      </c>
      <c r="V221" s="27">
        <f t="shared" si="156"/>
        <v>214.54828664000001</v>
      </c>
      <c r="W221" s="27">
        <f t="shared" si="156"/>
        <v>224.12902668000001</v>
      </c>
      <c r="X221" s="27">
        <f t="shared" si="156"/>
        <v>133.04513595200001</v>
      </c>
      <c r="Y221" s="27">
        <f t="shared" si="156"/>
        <v>119.73181070400001</v>
      </c>
      <c r="Z221" s="27">
        <f t="shared" si="156"/>
        <v>38.685320057600002</v>
      </c>
      <c r="AA221" s="27">
        <f t="shared" si="156"/>
        <v>37.036999917599999</v>
      </c>
      <c r="AB221" s="27">
        <f t="shared" si="156"/>
        <v>14.667227971200001</v>
      </c>
      <c r="AC221" s="27">
        <f t="shared" si="156"/>
        <v>16.038754000000001</v>
      </c>
      <c r="AD221" s="27">
        <f t="shared" si="156"/>
        <v>5.2750109240000009</v>
      </c>
      <c r="AE221" s="27">
        <f t="shared" si="156"/>
        <v>7.8623904488000012</v>
      </c>
      <c r="AF221" s="27">
        <f t="shared" si="156"/>
        <v>4.5899976730400001</v>
      </c>
      <c r="AG221" s="27">
        <f t="shared" si="156"/>
        <v>4.55522256256</v>
      </c>
      <c r="AH221" s="27">
        <v>7729.52</v>
      </c>
      <c r="AI221" s="27"/>
    </row>
    <row r="222" spans="1:35" x14ac:dyDescent="0.15">
      <c r="A222" s="21">
        <f t="shared" si="146"/>
        <v>1994</v>
      </c>
      <c r="B222" s="27">
        <f t="shared" ref="B222:P222" si="157">B107*$Q222</f>
        <v>0</v>
      </c>
      <c r="C222" s="27">
        <f t="shared" si="157"/>
        <v>5307.6430010000004</v>
      </c>
      <c r="D222" s="27">
        <f t="shared" si="157"/>
        <v>2099.0103555000001</v>
      </c>
      <c r="E222" s="27">
        <f t="shared" si="157"/>
        <v>1718.092643</v>
      </c>
      <c r="F222" s="27">
        <f t="shared" si="157"/>
        <v>1944.0554670000001</v>
      </c>
      <c r="G222" s="27">
        <f t="shared" si="157"/>
        <v>258.09800539999998</v>
      </c>
      <c r="H222" s="27">
        <f t="shared" si="157"/>
        <v>70.744165214999995</v>
      </c>
      <c r="I222" s="27">
        <f t="shared" si="157"/>
        <v>40.214350345</v>
      </c>
      <c r="J222" s="27">
        <f t="shared" si="157"/>
        <v>39.331479985000001</v>
      </c>
      <c r="K222" s="27">
        <f t="shared" si="157"/>
        <v>56.155103859999997</v>
      </c>
      <c r="L222" s="27">
        <f t="shared" si="157"/>
        <v>14.278757024999999</v>
      </c>
      <c r="M222" s="27">
        <f t="shared" si="157"/>
        <v>32.860114514999999</v>
      </c>
      <c r="N222" s="27">
        <f t="shared" si="157"/>
        <v>6.5172496630000003</v>
      </c>
      <c r="O222" s="27">
        <f t="shared" si="157"/>
        <v>7.6319663284999999</v>
      </c>
      <c r="P222" s="27">
        <f t="shared" si="157"/>
        <v>9.8574077115000005</v>
      </c>
      <c r="Q222" s="27">
        <v>11604.5</v>
      </c>
      <c r="S222" s="27">
        <f t="shared" ref="S222:AG222" si="158">S107*$AH222</f>
        <v>0</v>
      </c>
      <c r="T222" s="27">
        <f t="shared" si="158"/>
        <v>3905.6057879</v>
      </c>
      <c r="U222" s="27">
        <f t="shared" si="158"/>
        <v>1127.2341814000001</v>
      </c>
      <c r="V222" s="27">
        <f t="shared" si="158"/>
        <v>1670.3004974800001</v>
      </c>
      <c r="W222" s="27">
        <f t="shared" si="158"/>
        <v>1908.4831536600002</v>
      </c>
      <c r="X222" s="27">
        <f t="shared" si="158"/>
        <v>293.25343698200004</v>
      </c>
      <c r="Y222" s="27">
        <f t="shared" si="158"/>
        <v>69.328873540800004</v>
      </c>
      <c r="Z222" s="27">
        <f t="shared" si="158"/>
        <v>66.771666978799999</v>
      </c>
      <c r="AA222" s="27">
        <f t="shared" si="158"/>
        <v>30.094605479400002</v>
      </c>
      <c r="AB222" s="27">
        <f t="shared" si="158"/>
        <v>21.061394266600001</v>
      </c>
      <c r="AC222" s="27">
        <f t="shared" si="158"/>
        <v>6.3904144633000008</v>
      </c>
      <c r="AD222" s="27">
        <f t="shared" si="158"/>
        <v>13.0098910924</v>
      </c>
      <c r="AE222" s="27">
        <f t="shared" si="158"/>
        <v>2.9810856889800004</v>
      </c>
      <c r="AF222" s="27">
        <f t="shared" si="158"/>
        <v>5.6638336556000004</v>
      </c>
      <c r="AG222" s="27">
        <f t="shared" si="158"/>
        <v>9.4310800524000005</v>
      </c>
      <c r="AH222" s="27">
        <v>9129.6200000000008</v>
      </c>
      <c r="AI222" s="27"/>
    </row>
    <row r="223" spans="1:35" x14ac:dyDescent="0.15">
      <c r="A223" s="21">
        <f t="shared" si="146"/>
        <v>1996</v>
      </c>
      <c r="B223" s="27">
        <f t="shared" ref="B223:P223" si="159">B108*$Q223</f>
        <v>0</v>
      </c>
      <c r="C223" s="27">
        <f t="shared" si="159"/>
        <v>1233.9470353800002</v>
      </c>
      <c r="D223" s="27">
        <f t="shared" si="159"/>
        <v>1471.7280866700003</v>
      </c>
      <c r="E223" s="27">
        <f t="shared" si="159"/>
        <v>3359.7314324100003</v>
      </c>
      <c r="F223" s="27">
        <f t="shared" si="159"/>
        <v>1144.3788683500002</v>
      </c>
      <c r="G223" s="27">
        <f t="shared" si="159"/>
        <v>594.57767386900002</v>
      </c>
      <c r="H223" s="27">
        <f t="shared" si="159"/>
        <v>493.94381224800009</v>
      </c>
      <c r="I223" s="27">
        <f t="shared" si="159"/>
        <v>67.298382736600004</v>
      </c>
      <c r="J223" s="27">
        <f t="shared" si="159"/>
        <v>18.0977377697</v>
      </c>
      <c r="K223" s="27">
        <f t="shared" si="159"/>
        <v>12.574268897500001</v>
      </c>
      <c r="L223" s="27">
        <f t="shared" si="159"/>
        <v>12.421256964200001</v>
      </c>
      <c r="M223" s="27">
        <f t="shared" si="159"/>
        <v>17.791037980700001</v>
      </c>
      <c r="N223" s="27">
        <f t="shared" si="159"/>
        <v>4.5237796426000001</v>
      </c>
      <c r="O223" s="27">
        <f t="shared" si="159"/>
        <v>10.4107257854</v>
      </c>
      <c r="P223" s="27">
        <f t="shared" si="159"/>
        <v>7.6057661118200004</v>
      </c>
      <c r="Q223" s="27">
        <v>8449.0300000000007</v>
      </c>
      <c r="S223" s="27">
        <f t="shared" ref="S223:AG223" si="160">S108*$AH223</f>
        <v>0</v>
      </c>
      <c r="T223" s="27">
        <f t="shared" si="160"/>
        <v>446.39652041999994</v>
      </c>
      <c r="U223" s="27">
        <f t="shared" si="160"/>
        <v>520.37114364000001</v>
      </c>
      <c r="V223" s="27">
        <f t="shared" si="160"/>
        <v>2686.4819141999997</v>
      </c>
      <c r="W223" s="27">
        <f t="shared" si="160"/>
        <v>820.73527869999987</v>
      </c>
      <c r="X223" s="27">
        <f t="shared" si="160"/>
        <v>509.29477400999997</v>
      </c>
      <c r="Y223" s="27">
        <f t="shared" si="160"/>
        <v>434.35394618999999</v>
      </c>
      <c r="Z223" s="27">
        <f t="shared" si="160"/>
        <v>84.868857730000002</v>
      </c>
      <c r="AA223" s="27">
        <f t="shared" si="160"/>
        <v>16.722780466</v>
      </c>
      <c r="AB223" s="27">
        <f t="shared" si="160"/>
        <v>6.2749435869999992</v>
      </c>
      <c r="AC223" s="27">
        <f t="shared" si="160"/>
        <v>5.6988857409999998</v>
      </c>
      <c r="AD223" s="27">
        <f t="shared" si="160"/>
        <v>12.145080763999999</v>
      </c>
      <c r="AE223" s="27">
        <f t="shared" si="160"/>
        <v>1.3079356189</v>
      </c>
      <c r="AF223" s="27">
        <f t="shared" si="160"/>
        <v>4.7831736606999993</v>
      </c>
      <c r="AG223" s="27">
        <f t="shared" si="160"/>
        <v>3.4673307121999994</v>
      </c>
      <c r="AH223" s="27">
        <v>5552.9</v>
      </c>
      <c r="AI223" s="27"/>
    </row>
    <row r="224" spans="1:35" x14ac:dyDescent="0.15">
      <c r="A224" s="21">
        <f t="shared" si="146"/>
        <v>1997</v>
      </c>
      <c r="B224" s="27">
        <f t="shared" ref="B224:P224" si="161">B109*$Q224</f>
        <v>0</v>
      </c>
      <c r="C224" s="27">
        <f t="shared" si="161"/>
        <v>2586.3350403600002</v>
      </c>
      <c r="D224" s="27">
        <f t="shared" si="161"/>
        <v>1003.3778184</v>
      </c>
      <c r="E224" s="27">
        <f t="shared" si="161"/>
        <v>1129.3744346399999</v>
      </c>
      <c r="F224" s="27">
        <f t="shared" si="161"/>
        <v>2408.7691981200001</v>
      </c>
      <c r="G224" s="27">
        <f t="shared" si="161"/>
        <v>628.145036592</v>
      </c>
      <c r="H224" s="27">
        <f t="shared" si="161"/>
        <v>338.55154942799999</v>
      </c>
      <c r="I224" s="27">
        <f t="shared" si="161"/>
        <v>212.00821554000001</v>
      </c>
      <c r="J224" s="27">
        <f t="shared" si="161"/>
        <v>34.239282787199997</v>
      </c>
      <c r="K224" s="27">
        <f t="shared" si="161"/>
        <v>9.5174151047999995</v>
      </c>
      <c r="L224" s="27">
        <f t="shared" si="161"/>
        <v>6.7217425478399999</v>
      </c>
      <c r="M224" s="27">
        <f t="shared" si="161"/>
        <v>6.6399613021199997</v>
      </c>
      <c r="N224" s="27">
        <f t="shared" si="161"/>
        <v>9.5104553555999995</v>
      </c>
      <c r="O224" s="27">
        <f t="shared" si="161"/>
        <v>2.41824451932</v>
      </c>
      <c r="P224" s="27">
        <f t="shared" si="161"/>
        <v>9.6309512544000011</v>
      </c>
      <c r="Q224" s="27">
        <v>8385.24</v>
      </c>
      <c r="S224" s="27">
        <f t="shared" ref="S224:AG224" si="162">S109*$AH224</f>
        <v>0</v>
      </c>
      <c r="T224" s="27">
        <f t="shared" si="162"/>
        <v>2742.7534523499999</v>
      </c>
      <c r="U224" s="27">
        <f t="shared" si="162"/>
        <v>385.32900690299999</v>
      </c>
      <c r="V224" s="27">
        <f t="shared" si="162"/>
        <v>490.90999023099999</v>
      </c>
      <c r="W224" s="27">
        <f t="shared" si="162"/>
        <v>1918.11688276</v>
      </c>
      <c r="X224" s="27">
        <f t="shared" si="162"/>
        <v>384.00633764599996</v>
      </c>
      <c r="Y224" s="27">
        <f t="shared" si="162"/>
        <v>205.28547290499998</v>
      </c>
      <c r="Z224" s="27">
        <f t="shared" si="162"/>
        <v>142.67259793399998</v>
      </c>
      <c r="AA224" s="27">
        <f t="shared" si="162"/>
        <v>32.7358429286</v>
      </c>
      <c r="AB224" s="27">
        <f t="shared" si="162"/>
        <v>3.8884769893499995</v>
      </c>
      <c r="AC224" s="27">
        <f t="shared" si="162"/>
        <v>4.9455380816499996</v>
      </c>
      <c r="AD224" s="27">
        <f t="shared" si="162"/>
        <v>2.0102297689999999</v>
      </c>
      <c r="AE224" s="27">
        <f t="shared" si="162"/>
        <v>2.2329601940499999</v>
      </c>
      <c r="AF224" s="27">
        <f t="shared" si="162"/>
        <v>2.2997888008</v>
      </c>
      <c r="AG224" s="27">
        <f t="shared" si="162"/>
        <v>2.3064305847900002</v>
      </c>
      <c r="AH224" s="27">
        <v>6319.49</v>
      </c>
      <c r="AI224" s="27"/>
    </row>
    <row r="225" spans="1:35" x14ac:dyDescent="0.15">
      <c r="A225" s="21">
        <f t="shared" si="146"/>
        <v>1999</v>
      </c>
      <c r="B225" s="27">
        <f t="shared" ref="B225:P225" si="163">B110*$Q225</f>
        <v>0</v>
      </c>
      <c r="C225" s="27">
        <f t="shared" si="163"/>
        <v>1754.2857374699997</v>
      </c>
      <c r="D225" s="27">
        <f t="shared" si="163"/>
        <v>2839.8631811099995</v>
      </c>
      <c r="E225" s="27">
        <f t="shared" si="163"/>
        <v>1585.1660789800001</v>
      </c>
      <c r="F225" s="27">
        <f t="shared" si="163"/>
        <v>541.84559782999997</v>
      </c>
      <c r="G225" s="27">
        <f t="shared" si="163"/>
        <v>449.67984918600001</v>
      </c>
      <c r="H225" s="27">
        <f t="shared" si="163"/>
        <v>798.69581834199994</v>
      </c>
      <c r="I225" s="27">
        <f t="shared" si="163"/>
        <v>195.81173665299997</v>
      </c>
      <c r="J225" s="27">
        <f t="shared" si="163"/>
        <v>91.253505704999995</v>
      </c>
      <c r="K225" s="27">
        <f t="shared" si="163"/>
        <v>65.062535191199999</v>
      </c>
      <c r="L225" s="27">
        <f t="shared" si="163"/>
        <v>10.6223303833</v>
      </c>
      <c r="M225" s="27">
        <f t="shared" si="163"/>
        <v>2.9859722834899998</v>
      </c>
      <c r="N225" s="27">
        <f t="shared" si="163"/>
        <v>2.1088753190199996</v>
      </c>
      <c r="O225" s="27">
        <f t="shared" si="163"/>
        <v>2.0832106617699999</v>
      </c>
      <c r="P225" s="27">
        <f t="shared" si="163"/>
        <v>6.7640852562799996</v>
      </c>
      <c r="Q225" s="27">
        <v>8346.23</v>
      </c>
      <c r="S225" s="27">
        <f t="shared" ref="S225:AG225" si="164">S110*$AH225</f>
        <v>0</v>
      </c>
      <c r="T225" s="27">
        <f t="shared" si="164"/>
        <v>1587.6168988500001</v>
      </c>
      <c r="U225" s="27">
        <f t="shared" si="164"/>
        <v>3596.9535804600005</v>
      </c>
      <c r="V225" s="27">
        <f t="shared" si="164"/>
        <v>1683.5960097000002</v>
      </c>
      <c r="W225" s="27">
        <f t="shared" si="164"/>
        <v>582.56615980800007</v>
      </c>
      <c r="X225" s="27">
        <f t="shared" si="164"/>
        <v>273.94611169500001</v>
      </c>
      <c r="Y225" s="27">
        <f t="shared" si="164"/>
        <v>1169.0568831600001</v>
      </c>
      <c r="Z225" s="27">
        <f t="shared" si="164"/>
        <v>400.23526444200007</v>
      </c>
      <c r="AA225" s="27">
        <f t="shared" si="164"/>
        <v>104.64332499900001</v>
      </c>
      <c r="AB225" s="27">
        <f t="shared" si="164"/>
        <v>66.873670843500008</v>
      </c>
      <c r="AC225" s="27">
        <f t="shared" si="164"/>
        <v>14.464521700200002</v>
      </c>
      <c r="AD225" s="27">
        <f t="shared" si="164"/>
        <v>6.4715445558000004</v>
      </c>
      <c r="AE225" s="27">
        <f t="shared" si="164"/>
        <v>1.6702832373300001</v>
      </c>
      <c r="AF225" s="27">
        <f t="shared" si="164"/>
        <v>0</v>
      </c>
      <c r="AG225" s="27">
        <f t="shared" si="164"/>
        <v>0.69325384403700008</v>
      </c>
      <c r="AH225" s="27">
        <v>9488.7900000000009</v>
      </c>
      <c r="AI225" s="27"/>
    </row>
    <row r="226" spans="1:35" x14ac:dyDescent="0.15">
      <c r="A226" s="21">
        <f t="shared" si="146"/>
        <v>2000</v>
      </c>
      <c r="B226" s="27">
        <f t="shared" ref="B226:P226" si="165">B111*$Q226</f>
        <v>0</v>
      </c>
      <c r="C226" s="27">
        <f t="shared" si="165"/>
        <v>1906.68287558</v>
      </c>
      <c r="D226" s="27">
        <f t="shared" si="165"/>
        <v>1424.71354606</v>
      </c>
      <c r="E226" s="27">
        <f t="shared" si="165"/>
        <v>2099.6602013099996</v>
      </c>
      <c r="F226" s="27">
        <f t="shared" si="165"/>
        <v>1082.8895774199998</v>
      </c>
      <c r="G226" s="27">
        <f t="shared" si="165"/>
        <v>302.20423389099994</v>
      </c>
      <c r="H226" s="27">
        <f t="shared" si="165"/>
        <v>281.74504586899997</v>
      </c>
      <c r="I226" s="27">
        <f t="shared" si="165"/>
        <v>383.79204761799997</v>
      </c>
      <c r="J226" s="27">
        <f t="shared" si="165"/>
        <v>116.04227016199999</v>
      </c>
      <c r="K226" s="27">
        <f t="shared" si="165"/>
        <v>55.003431822499998</v>
      </c>
      <c r="L226" s="27">
        <f t="shared" si="165"/>
        <v>39.445477896299998</v>
      </c>
      <c r="M226" s="27">
        <f t="shared" si="165"/>
        <v>6.4399891566499994</v>
      </c>
      <c r="N226" s="27">
        <f t="shared" si="165"/>
        <v>1.81030596523</v>
      </c>
      <c r="O226" s="27">
        <f t="shared" si="165"/>
        <v>1.2785412564400001</v>
      </c>
      <c r="P226" s="27">
        <f t="shared" si="165"/>
        <v>5.3638509725499999</v>
      </c>
      <c r="Q226" s="27">
        <v>7707.07</v>
      </c>
      <c r="S226" s="27">
        <f t="shared" ref="S226:AG226" si="166">S111*$AH226</f>
        <v>0</v>
      </c>
      <c r="T226" s="27">
        <f t="shared" si="166"/>
        <v>1272.32625519</v>
      </c>
      <c r="U226" s="27">
        <f t="shared" si="166"/>
        <v>1184.9405823699999</v>
      </c>
      <c r="V226" s="27">
        <f t="shared" si="166"/>
        <v>2480.0236767700003</v>
      </c>
      <c r="W226" s="27">
        <f t="shared" si="166"/>
        <v>899.70973601000003</v>
      </c>
      <c r="X226" s="27">
        <f t="shared" si="166"/>
        <v>243.88814935399998</v>
      </c>
      <c r="Y226" s="27">
        <f t="shared" si="166"/>
        <v>233.99294194499998</v>
      </c>
      <c r="Z226" s="27">
        <f t="shared" si="166"/>
        <v>725.12416048599994</v>
      </c>
      <c r="AA226" s="27">
        <f t="shared" si="166"/>
        <v>190.427638194</v>
      </c>
      <c r="AB226" s="27">
        <f t="shared" si="166"/>
        <v>84.694217686999991</v>
      </c>
      <c r="AC226" s="27">
        <f t="shared" si="166"/>
        <v>35.625842841000001</v>
      </c>
      <c r="AD226" s="27">
        <f t="shared" si="166"/>
        <v>18.077570117499999</v>
      </c>
      <c r="AE226" s="27">
        <f t="shared" si="166"/>
        <v>1.1664594045600001</v>
      </c>
      <c r="AF226" s="27">
        <f t="shared" si="166"/>
        <v>1.3551045342599999</v>
      </c>
      <c r="AG226" s="27">
        <f t="shared" si="166"/>
        <v>0.46836700750100002</v>
      </c>
      <c r="AH226" s="27">
        <v>7371.83</v>
      </c>
      <c r="AI226" s="27"/>
    </row>
    <row r="227" spans="1:35" x14ac:dyDescent="0.15">
      <c r="A227" s="21">
        <f t="shared" si="146"/>
        <v>2002</v>
      </c>
      <c r="B227" s="27">
        <f t="shared" ref="B227:P227" si="167">B112*$Q227</f>
        <v>0</v>
      </c>
      <c r="C227" s="27">
        <f t="shared" si="167"/>
        <v>4072.6715309300002</v>
      </c>
      <c r="D227" s="27">
        <f t="shared" si="167"/>
        <v>2382.5395118900001</v>
      </c>
      <c r="E227" s="27">
        <f t="shared" si="167"/>
        <v>1165.12907053</v>
      </c>
      <c r="F227" s="27">
        <f t="shared" si="167"/>
        <v>713.86590460000002</v>
      </c>
      <c r="G227" s="27">
        <f t="shared" si="167"/>
        <v>654.54424586999994</v>
      </c>
      <c r="H227" s="27">
        <f t="shared" si="167"/>
        <v>298.09736276199999</v>
      </c>
      <c r="I227" s="27">
        <f t="shared" si="167"/>
        <v>83.320360661999999</v>
      </c>
      <c r="J227" s="27">
        <f t="shared" si="167"/>
        <v>74.672765390199999</v>
      </c>
      <c r="K227" s="27">
        <f t="shared" si="167"/>
        <v>123.153923831</v>
      </c>
      <c r="L227" s="27">
        <f t="shared" si="167"/>
        <v>38.9978906395</v>
      </c>
      <c r="M227" s="27">
        <f t="shared" si="167"/>
        <v>18.734013217299999</v>
      </c>
      <c r="N227" s="27">
        <f t="shared" si="167"/>
        <v>13.4349910438</v>
      </c>
      <c r="O227" s="27">
        <f t="shared" si="167"/>
        <v>2.1934450942799999</v>
      </c>
      <c r="P227" s="27">
        <f t="shared" si="167"/>
        <v>2.8789666069099997</v>
      </c>
      <c r="Q227" s="27">
        <v>9644.23</v>
      </c>
      <c r="S227" s="27">
        <f t="shared" ref="S227:AG227" si="168">S112*$AH227</f>
        <v>0</v>
      </c>
      <c r="T227" s="27">
        <f t="shared" si="168"/>
        <v>4187.5352524</v>
      </c>
      <c r="U227" s="27">
        <f t="shared" si="168"/>
        <v>3841.0238228000003</v>
      </c>
      <c r="V227" s="27">
        <f t="shared" si="168"/>
        <v>1295.2618972</v>
      </c>
      <c r="W227" s="27">
        <f t="shared" si="168"/>
        <v>685.34328547999996</v>
      </c>
      <c r="X227" s="27">
        <f t="shared" si="168"/>
        <v>593.33290583999997</v>
      </c>
      <c r="Y227" s="27">
        <f t="shared" si="168"/>
        <v>287.57188624000003</v>
      </c>
      <c r="Z227" s="27">
        <f t="shared" si="168"/>
        <v>99.991101779999994</v>
      </c>
      <c r="AA227" s="27">
        <f t="shared" si="168"/>
        <v>131.7134174</v>
      </c>
      <c r="AB227" s="27">
        <f t="shared" si="168"/>
        <v>237.87603872</v>
      </c>
      <c r="AC227" s="27">
        <f t="shared" si="168"/>
        <v>117.87561860000001</v>
      </c>
      <c r="AD227" s="27">
        <f t="shared" si="168"/>
        <v>48.101090339999999</v>
      </c>
      <c r="AE227" s="27">
        <f t="shared" si="168"/>
        <v>25.199937940000002</v>
      </c>
      <c r="AF227" s="27">
        <f t="shared" si="168"/>
        <v>6.4256518132</v>
      </c>
      <c r="AG227" s="27">
        <f t="shared" si="168"/>
        <v>3.1541626567999996</v>
      </c>
      <c r="AH227" s="27">
        <v>11560.4</v>
      </c>
      <c r="AI227" s="27"/>
    </row>
    <row r="228" spans="1:35" x14ac:dyDescent="0.15">
      <c r="A228" s="21">
        <f t="shared" si="146"/>
        <v>2004</v>
      </c>
      <c r="B228" s="27">
        <f t="shared" ref="B228:P228" si="169">B113*$Q228</f>
        <v>0</v>
      </c>
      <c r="C228" s="27">
        <f t="shared" si="169"/>
        <v>1657.7579491200001</v>
      </c>
      <c r="D228" s="27">
        <f t="shared" si="169"/>
        <v>2207.9635905600003</v>
      </c>
      <c r="E228" s="27">
        <f t="shared" si="169"/>
        <v>2324.3994446400002</v>
      </c>
      <c r="F228" s="27">
        <f t="shared" si="169"/>
        <v>1176.04835712</v>
      </c>
      <c r="G228" s="27">
        <f t="shared" si="169"/>
        <v>374.85344332800003</v>
      </c>
      <c r="H228" s="27">
        <f t="shared" si="169"/>
        <v>185.22249782400002</v>
      </c>
      <c r="I228" s="27">
        <f t="shared" si="169"/>
        <v>147.44771496000001</v>
      </c>
      <c r="J228" s="27">
        <f t="shared" si="169"/>
        <v>68.530309848000002</v>
      </c>
      <c r="K228" s="27">
        <f t="shared" si="169"/>
        <v>24.555136132800001</v>
      </c>
      <c r="L228" s="27">
        <f t="shared" si="169"/>
        <v>23.744856844800001</v>
      </c>
      <c r="M228" s="27">
        <f t="shared" si="169"/>
        <v>40.142631110400004</v>
      </c>
      <c r="N228" s="27">
        <f t="shared" si="169"/>
        <v>12.7116020304</v>
      </c>
      <c r="O228" s="27">
        <f t="shared" si="169"/>
        <v>6.1064678001599999</v>
      </c>
      <c r="P228" s="27">
        <f t="shared" si="169"/>
        <v>6.03260566272</v>
      </c>
      <c r="Q228" s="27">
        <v>8255.52</v>
      </c>
      <c r="S228" s="27">
        <f t="shared" ref="S228:AG228" si="170">S113*$AH228</f>
        <v>0</v>
      </c>
      <c r="T228" s="27">
        <f t="shared" si="170"/>
        <v>275.066607852</v>
      </c>
      <c r="U228" s="27">
        <f t="shared" si="170"/>
        <v>1188.7995878199999</v>
      </c>
      <c r="V228" s="27">
        <f t="shared" si="170"/>
        <v>2928.94203582</v>
      </c>
      <c r="W228" s="27">
        <f t="shared" si="170"/>
        <v>1444.3455068000001</v>
      </c>
      <c r="X228" s="27">
        <f t="shared" si="170"/>
        <v>417.02663778599998</v>
      </c>
      <c r="Y228" s="27">
        <f t="shared" si="170"/>
        <v>202.49407615799998</v>
      </c>
      <c r="Z228" s="27">
        <f t="shared" si="170"/>
        <v>192.76918917</v>
      </c>
      <c r="AA228" s="27">
        <f t="shared" si="170"/>
        <v>67.997975402799995</v>
      </c>
      <c r="AB228" s="27">
        <f t="shared" si="170"/>
        <v>34.6992722994</v>
      </c>
      <c r="AC228" s="27">
        <f t="shared" si="170"/>
        <v>24.5999001106</v>
      </c>
      <c r="AD228" s="27">
        <f t="shared" si="170"/>
        <v>19.810212572399998</v>
      </c>
      <c r="AE228" s="27">
        <f t="shared" si="170"/>
        <v>12.142744004599999</v>
      </c>
      <c r="AF228" s="27">
        <f t="shared" si="170"/>
        <v>5.7995361134600003</v>
      </c>
      <c r="AG228" s="27">
        <f t="shared" si="170"/>
        <v>4.2507411473400003</v>
      </c>
      <c r="AH228" s="27">
        <v>6818.74</v>
      </c>
      <c r="AI228" s="27"/>
    </row>
    <row r="229" spans="1:35" x14ac:dyDescent="0.15">
      <c r="A229" s="21">
        <f t="shared" si="146"/>
        <v>2006</v>
      </c>
      <c r="B229" s="27">
        <f t="shared" ref="B229:P229" si="171">B114*$Q229</f>
        <v>0</v>
      </c>
      <c r="C229" s="27">
        <f t="shared" si="171"/>
        <v>547.35387449999996</v>
      </c>
      <c r="D229" s="27">
        <f t="shared" si="171"/>
        <v>604.88687850000008</v>
      </c>
      <c r="E229" s="27">
        <f t="shared" si="171"/>
        <v>988.89435450000008</v>
      </c>
      <c r="F229" s="27">
        <f t="shared" si="171"/>
        <v>1024.4725965</v>
      </c>
      <c r="G229" s="27">
        <f t="shared" si="171"/>
        <v>639.762114</v>
      </c>
      <c r="H229" s="27">
        <f t="shared" si="171"/>
        <v>306.60296715000004</v>
      </c>
      <c r="I229" s="27">
        <f t="shared" si="171"/>
        <v>97.79213399999999</v>
      </c>
      <c r="J229" s="27">
        <f t="shared" si="171"/>
        <v>47.798328900000001</v>
      </c>
      <c r="K229" s="27">
        <f t="shared" si="171"/>
        <v>46.940748299999996</v>
      </c>
      <c r="L229" s="27">
        <f t="shared" si="171"/>
        <v>23.038570964999998</v>
      </c>
      <c r="M229" s="27">
        <f t="shared" si="171"/>
        <v>8.4438067050000001</v>
      </c>
      <c r="N229" s="27">
        <f t="shared" si="171"/>
        <v>8.1651803399999991</v>
      </c>
      <c r="O229" s="27">
        <f t="shared" si="171"/>
        <v>13.803903780000001</v>
      </c>
      <c r="P229" s="27">
        <f t="shared" si="171"/>
        <v>8.545415160000001</v>
      </c>
      <c r="Q229" s="27">
        <v>4366.5</v>
      </c>
      <c r="S229" s="27">
        <f t="shared" ref="S229:AG229" si="172">S114*$AH229</f>
        <v>0</v>
      </c>
      <c r="T229" s="27">
        <f t="shared" si="172"/>
        <v>208.61261590500001</v>
      </c>
      <c r="U229" s="27">
        <f t="shared" si="172"/>
        <v>281.97285955799998</v>
      </c>
      <c r="V229" s="27">
        <f t="shared" si="172"/>
        <v>610.07455518000006</v>
      </c>
      <c r="W229" s="27">
        <f t="shared" si="172"/>
        <v>695.29600392000009</v>
      </c>
      <c r="X229" s="27">
        <f t="shared" si="172"/>
        <v>551.77845066000009</v>
      </c>
      <c r="Y229" s="27">
        <f t="shared" si="172"/>
        <v>319.70244651000002</v>
      </c>
      <c r="Z229" s="27">
        <f t="shared" si="172"/>
        <v>110.07197144700001</v>
      </c>
      <c r="AA229" s="27">
        <f t="shared" si="172"/>
        <v>52.989242070000003</v>
      </c>
      <c r="AB229" s="27">
        <f t="shared" si="172"/>
        <v>40.325980430999998</v>
      </c>
      <c r="AC229" s="27">
        <f t="shared" si="172"/>
        <v>23.321411298900003</v>
      </c>
      <c r="AD229" s="27">
        <f t="shared" si="172"/>
        <v>16.2302082279</v>
      </c>
      <c r="AE229" s="27">
        <f t="shared" si="172"/>
        <v>8.5638941520000014</v>
      </c>
      <c r="AF229" s="27">
        <f t="shared" si="172"/>
        <v>9.8944024806000002</v>
      </c>
      <c r="AG229" s="27">
        <f t="shared" si="172"/>
        <v>11.257928019900001</v>
      </c>
      <c r="AH229" s="27">
        <v>2940.09</v>
      </c>
      <c r="AI229" s="27"/>
    </row>
    <row r="230" spans="1:35" x14ac:dyDescent="0.15">
      <c r="A230" s="21">
        <f t="shared" si="146"/>
        <v>2007</v>
      </c>
      <c r="B230" s="27">
        <f t="shared" ref="B230:P230" si="173">B115*$Q230</f>
        <v>0</v>
      </c>
      <c r="C230" s="27">
        <f t="shared" si="173"/>
        <v>1382.6523770399999</v>
      </c>
      <c r="D230" s="27">
        <f t="shared" si="173"/>
        <v>439.81741011999998</v>
      </c>
      <c r="E230" s="27">
        <f t="shared" si="173"/>
        <v>438.06480432000001</v>
      </c>
      <c r="F230" s="27">
        <f t="shared" si="173"/>
        <v>614.05005728000003</v>
      </c>
      <c r="G230" s="27">
        <f t="shared" si="173"/>
        <v>456.23282804000002</v>
      </c>
      <c r="H230" s="27">
        <f t="shared" si="173"/>
        <v>332.31060112799997</v>
      </c>
      <c r="I230" s="27">
        <f t="shared" si="173"/>
        <v>135.50242204400001</v>
      </c>
      <c r="J230" s="27">
        <f t="shared" si="173"/>
        <v>52.504525172000001</v>
      </c>
      <c r="K230" s="27">
        <f t="shared" si="173"/>
        <v>26.351235583200001</v>
      </c>
      <c r="L230" s="27">
        <f t="shared" si="173"/>
        <v>26.265180669199999</v>
      </c>
      <c r="M230" s="27">
        <f t="shared" si="173"/>
        <v>12.890947348400001</v>
      </c>
      <c r="N230" s="27">
        <f t="shared" si="173"/>
        <v>4.7246313928000001</v>
      </c>
      <c r="O230" s="27">
        <f t="shared" si="173"/>
        <v>4.5687085532000005</v>
      </c>
      <c r="P230" s="27">
        <f t="shared" si="173"/>
        <v>12.505295303600001</v>
      </c>
      <c r="Q230" s="27">
        <v>3938.44</v>
      </c>
      <c r="S230" s="27">
        <f t="shared" ref="S230:AG230" si="174">S115*$AH230</f>
        <v>0</v>
      </c>
      <c r="T230" s="27">
        <f t="shared" si="174"/>
        <v>1026.21099372</v>
      </c>
      <c r="U230" s="27">
        <f t="shared" si="174"/>
        <v>319.70649031199997</v>
      </c>
      <c r="V230" s="27">
        <f t="shared" si="174"/>
        <v>430.07145191999996</v>
      </c>
      <c r="W230" s="27">
        <f t="shared" si="174"/>
        <v>669.18938460000004</v>
      </c>
      <c r="X230" s="27">
        <f t="shared" si="174"/>
        <v>588.82732127999998</v>
      </c>
      <c r="Y230" s="27">
        <f t="shared" si="174"/>
        <v>305.66890833599996</v>
      </c>
      <c r="Z230" s="27">
        <f t="shared" si="174"/>
        <v>166.21064380799999</v>
      </c>
      <c r="AA230" s="27">
        <f t="shared" si="174"/>
        <v>60.198280560000001</v>
      </c>
      <c r="AB230" s="27">
        <f t="shared" si="174"/>
        <v>18.777355357200001</v>
      </c>
      <c r="AC230" s="27">
        <f t="shared" si="174"/>
        <v>20.177784884400001</v>
      </c>
      <c r="AD230" s="27">
        <f t="shared" si="174"/>
        <v>5.7336347640000005</v>
      </c>
      <c r="AE230" s="27">
        <f t="shared" si="174"/>
        <v>1.7040947206799999</v>
      </c>
      <c r="AF230" s="27">
        <f t="shared" si="174"/>
        <v>2.1000292103999998</v>
      </c>
      <c r="AG230" s="27">
        <f t="shared" si="174"/>
        <v>3.5426677255199999</v>
      </c>
      <c r="AH230" s="27">
        <v>3618.12</v>
      </c>
      <c r="AI230" s="27"/>
    </row>
    <row r="231" spans="1:35" x14ac:dyDescent="0.15">
      <c r="A231" s="21">
        <f t="shared" si="146"/>
        <v>2008</v>
      </c>
      <c r="B231" s="27">
        <f t="shared" ref="B231:P231" si="175">B116*$Q231</f>
        <v>0</v>
      </c>
      <c r="C231" s="27">
        <f t="shared" si="175"/>
        <v>2989.7503477200003</v>
      </c>
      <c r="D231" s="27">
        <f t="shared" si="175"/>
        <v>1121.7637314900001</v>
      </c>
      <c r="E231" s="27">
        <f t="shared" si="175"/>
        <v>320.32411281000003</v>
      </c>
      <c r="F231" s="27">
        <f t="shared" si="175"/>
        <v>275.01462184500002</v>
      </c>
      <c r="G231" s="27">
        <f t="shared" si="175"/>
        <v>270.91816237800003</v>
      </c>
      <c r="H231" s="27">
        <f t="shared" si="175"/>
        <v>227.68465791600002</v>
      </c>
      <c r="I231" s="27">
        <f t="shared" si="175"/>
        <v>143.68058135100003</v>
      </c>
      <c r="J231" s="27">
        <f t="shared" si="175"/>
        <v>71.266742379000007</v>
      </c>
      <c r="K231" s="27">
        <f t="shared" si="175"/>
        <v>28.3589539884</v>
      </c>
      <c r="L231" s="27">
        <f t="shared" si="175"/>
        <v>14.375533225500002</v>
      </c>
      <c r="M231" s="27">
        <f t="shared" si="175"/>
        <v>14.328594054900002</v>
      </c>
      <c r="N231" s="27">
        <f t="shared" si="175"/>
        <v>7.0324661133000008</v>
      </c>
      <c r="O231" s="27">
        <f t="shared" si="175"/>
        <v>2.5774551410400002</v>
      </c>
      <c r="P231" s="27">
        <f t="shared" si="175"/>
        <v>9.3145122774000004</v>
      </c>
      <c r="Q231" s="27">
        <v>5496.39</v>
      </c>
      <c r="S231" s="27">
        <f t="shared" ref="S231:AG231" si="176">S116*$AH231</f>
        <v>0</v>
      </c>
      <c r="T231" s="27">
        <f t="shared" si="176"/>
        <v>2905.2900424999998</v>
      </c>
      <c r="U231" s="27">
        <f t="shared" si="176"/>
        <v>1031.6061824999999</v>
      </c>
      <c r="V231" s="27">
        <f t="shared" si="176"/>
        <v>144.38817899999998</v>
      </c>
      <c r="W231" s="27">
        <f t="shared" si="176"/>
        <v>106.86708</v>
      </c>
      <c r="X231" s="27">
        <f t="shared" si="176"/>
        <v>170.17611650000001</v>
      </c>
      <c r="Y231" s="27">
        <f t="shared" si="176"/>
        <v>132.37730125000002</v>
      </c>
      <c r="Z231" s="27">
        <f t="shared" si="176"/>
        <v>70.690687749999995</v>
      </c>
      <c r="AA231" s="27">
        <f t="shared" si="176"/>
        <v>58.217727499999995</v>
      </c>
      <c r="AB231" s="27">
        <f t="shared" si="176"/>
        <v>14.96783235</v>
      </c>
      <c r="AC231" s="27">
        <f t="shared" si="176"/>
        <v>15.148511275000001</v>
      </c>
      <c r="AD231" s="27">
        <f t="shared" si="176"/>
        <v>6.9286237000000002</v>
      </c>
      <c r="AE231" s="27">
        <f t="shared" si="176"/>
        <v>4.4551240825000002</v>
      </c>
      <c r="AF231" s="27">
        <f t="shared" si="176"/>
        <v>1.9275794825000001</v>
      </c>
      <c r="AG231" s="27">
        <f t="shared" si="176"/>
        <v>4.4566830274999996</v>
      </c>
      <c r="AH231" s="27">
        <v>4667.5</v>
      </c>
      <c r="AI231" s="27"/>
    </row>
    <row r="232" spans="1:35" x14ac:dyDescent="0.15">
      <c r="A232" s="21">
        <f t="shared" si="146"/>
        <v>2009</v>
      </c>
      <c r="B232" s="27">
        <f t="shared" ref="B232:P232" si="177">B117*$Q232</f>
        <v>0</v>
      </c>
      <c r="C232" s="27">
        <f t="shared" si="177"/>
        <v>1657.3558976000002</v>
      </c>
      <c r="D232" s="27">
        <f t="shared" si="177"/>
        <v>2427.3738219000002</v>
      </c>
      <c r="E232" s="27">
        <f t="shared" si="177"/>
        <v>829.92507390000003</v>
      </c>
      <c r="F232" s="27">
        <f t="shared" si="177"/>
        <v>209.95435705000003</v>
      </c>
      <c r="G232" s="27">
        <f t="shared" si="177"/>
        <v>130.34996690000003</v>
      </c>
      <c r="H232" s="27">
        <f t="shared" si="177"/>
        <v>137.85867576000001</v>
      </c>
      <c r="I232" s="27">
        <f t="shared" si="177"/>
        <v>97.698425990000004</v>
      </c>
      <c r="J232" s="27">
        <f t="shared" si="177"/>
        <v>74.797597570000008</v>
      </c>
      <c r="K232" s="27">
        <f t="shared" si="177"/>
        <v>37.336781116000004</v>
      </c>
      <c r="L232" s="27">
        <f t="shared" si="177"/>
        <v>15.095687517</v>
      </c>
      <c r="M232" s="27">
        <f t="shared" si="177"/>
        <v>7.6522128930000006</v>
      </c>
      <c r="N232" s="27">
        <f t="shared" si="177"/>
        <v>7.6272139599999997</v>
      </c>
      <c r="O232" s="27">
        <f t="shared" si="177"/>
        <v>3.7434406746</v>
      </c>
      <c r="P232" s="27">
        <f t="shared" si="177"/>
        <v>6.3301474249999998</v>
      </c>
      <c r="Q232" s="27">
        <v>5643.1</v>
      </c>
      <c r="S232" s="27">
        <f t="shared" ref="S232:AG232" si="178">S117*$AH232</f>
        <v>0</v>
      </c>
      <c r="T232" s="27">
        <f t="shared" si="178"/>
        <v>797.39770856999996</v>
      </c>
      <c r="U232" s="27">
        <f t="shared" si="178"/>
        <v>1674.3437783400002</v>
      </c>
      <c r="V232" s="27">
        <f t="shared" si="178"/>
        <v>198.93231479400001</v>
      </c>
      <c r="W232" s="27">
        <f t="shared" si="178"/>
        <v>31.056575562000003</v>
      </c>
      <c r="X232" s="27">
        <f t="shared" si="178"/>
        <v>33.908780330999996</v>
      </c>
      <c r="Y232" s="27">
        <f t="shared" si="178"/>
        <v>50.513209361999998</v>
      </c>
      <c r="Z232" s="27">
        <f t="shared" si="178"/>
        <v>37.516292772</v>
      </c>
      <c r="AA232" s="27">
        <f t="shared" si="178"/>
        <v>20.7938899629</v>
      </c>
      <c r="AB232" s="27">
        <f t="shared" si="178"/>
        <v>15.822031296600001</v>
      </c>
      <c r="AC232" s="27">
        <f t="shared" si="178"/>
        <v>5.5457432721000002</v>
      </c>
      <c r="AD232" s="27">
        <f t="shared" si="178"/>
        <v>2.1594940812300001</v>
      </c>
      <c r="AE232" s="27">
        <f t="shared" si="178"/>
        <v>0.51522773340000005</v>
      </c>
      <c r="AF232" s="27">
        <f t="shared" si="178"/>
        <v>0.41768342078999998</v>
      </c>
      <c r="AG232" s="27">
        <f t="shared" si="178"/>
        <v>0.78724754429999999</v>
      </c>
      <c r="AH232" s="27">
        <v>2869.71</v>
      </c>
      <c r="AI232" s="27"/>
    </row>
    <row r="233" spans="1:35" x14ac:dyDescent="0.15">
      <c r="A233" s="21">
        <f t="shared" si="146"/>
        <v>2010</v>
      </c>
      <c r="B233" s="27">
        <f t="shared" ref="B233:P233" si="179">B118*$Q233</f>
        <v>0</v>
      </c>
      <c r="C233" s="27">
        <f t="shared" si="179"/>
        <v>6453.4251426000001</v>
      </c>
      <c r="D233" s="27">
        <f t="shared" si="179"/>
        <v>1354.3028217999999</v>
      </c>
      <c r="E233" s="27">
        <f t="shared" si="179"/>
        <v>1764.740875</v>
      </c>
      <c r="F233" s="27">
        <f t="shared" si="179"/>
        <v>543.84878953999998</v>
      </c>
      <c r="G233" s="27">
        <f t="shared" si="179"/>
        <v>107.95858066000001</v>
      </c>
      <c r="H233" s="27">
        <f t="shared" si="179"/>
        <v>73.590403007999996</v>
      </c>
      <c r="I233" s="27">
        <f t="shared" si="179"/>
        <v>62.488883950000002</v>
      </c>
      <c r="J233" s="27">
        <f t="shared" si="179"/>
        <v>53.17000247</v>
      </c>
      <c r="K233" s="27">
        <f t="shared" si="179"/>
        <v>40.651127514000002</v>
      </c>
      <c r="L233" s="27">
        <f t="shared" si="179"/>
        <v>20.361619578000003</v>
      </c>
      <c r="M233" s="27">
        <f t="shared" si="179"/>
        <v>8.2324308970000004</v>
      </c>
      <c r="N233" s="27">
        <f t="shared" si="179"/>
        <v>4.1731332619999995</v>
      </c>
      <c r="O233" s="27">
        <f t="shared" si="179"/>
        <v>4.1595086751999997</v>
      </c>
      <c r="P233" s="27">
        <f t="shared" si="179"/>
        <v>5.4936370318000005</v>
      </c>
      <c r="Q233" s="27">
        <v>10496.6</v>
      </c>
      <c r="S233" s="27">
        <f t="shared" ref="S233:AG233" si="180">S118*$AH233</f>
        <v>0</v>
      </c>
      <c r="T233" s="27">
        <f t="shared" si="180"/>
        <v>6395.17515</v>
      </c>
      <c r="U233" s="27">
        <f t="shared" si="180"/>
        <v>973.4718474</v>
      </c>
      <c r="V233" s="27">
        <f t="shared" si="180"/>
        <v>2183.4403889999999</v>
      </c>
      <c r="W233" s="27">
        <f t="shared" si="180"/>
        <v>383.6443572</v>
      </c>
      <c r="X233" s="27">
        <f t="shared" si="180"/>
        <v>46.296738150000003</v>
      </c>
      <c r="Y233" s="27">
        <f t="shared" si="180"/>
        <v>6.2202637769999995</v>
      </c>
      <c r="Z233" s="27">
        <f t="shared" si="180"/>
        <v>7.400161314</v>
      </c>
      <c r="AA233" s="27">
        <f t="shared" si="180"/>
        <v>6.7891391880000009</v>
      </c>
      <c r="AB233" s="27">
        <f t="shared" si="180"/>
        <v>6.4793182350000009</v>
      </c>
      <c r="AC233" s="27">
        <f t="shared" si="180"/>
        <v>5.9902960649999999</v>
      </c>
      <c r="AD233" s="27">
        <f t="shared" si="180"/>
        <v>2.608656141</v>
      </c>
      <c r="AE233" s="27">
        <f t="shared" si="180"/>
        <v>1.938628614</v>
      </c>
      <c r="AF233" s="27">
        <f t="shared" si="180"/>
        <v>1.2953925660000001</v>
      </c>
      <c r="AG233" s="27">
        <f t="shared" si="180"/>
        <v>2.2421350769999999</v>
      </c>
      <c r="AH233" s="27">
        <v>10023</v>
      </c>
      <c r="AI233" s="27"/>
    </row>
    <row r="234" spans="1:35" x14ac:dyDescent="0.15">
      <c r="A234" s="21">
        <f t="shared" si="146"/>
        <v>2012</v>
      </c>
      <c r="B234" s="27">
        <f t="shared" ref="B234:P234" si="181">B119*$Q234</f>
        <v>0</v>
      </c>
      <c r="C234" s="27">
        <f t="shared" si="181"/>
        <v>1526.8584021600002</v>
      </c>
      <c r="D234" s="27">
        <f t="shared" si="181"/>
        <v>2071.80952316</v>
      </c>
      <c r="E234" s="27">
        <f t="shared" si="181"/>
        <v>3904.4625926800004</v>
      </c>
      <c r="F234" s="27">
        <f t="shared" si="181"/>
        <v>710.98059926400015</v>
      </c>
      <c r="G234" s="27">
        <f t="shared" si="181"/>
        <v>447.36288266800005</v>
      </c>
      <c r="H234" s="27">
        <f t="shared" si="181"/>
        <v>126.6961371</v>
      </c>
      <c r="I234" s="27">
        <f t="shared" si="181"/>
        <v>25.259250900000001</v>
      </c>
      <c r="J234" s="27">
        <f t="shared" si="181"/>
        <v>17.032688327199999</v>
      </c>
      <c r="K234" s="27">
        <f t="shared" si="181"/>
        <v>17.326913058000002</v>
      </c>
      <c r="L234" s="27">
        <f t="shared" si="181"/>
        <v>14.993642518400002</v>
      </c>
      <c r="M234" s="27">
        <f t="shared" si="181"/>
        <v>11.497691103599999</v>
      </c>
      <c r="N234" s="27">
        <f t="shared" si="181"/>
        <v>5.7590558875200006</v>
      </c>
      <c r="O234" s="27">
        <f t="shared" si="181"/>
        <v>2.3284541758400001</v>
      </c>
      <c r="P234" s="27">
        <f t="shared" si="181"/>
        <v>3.9106118984400005</v>
      </c>
      <c r="Q234" s="27">
        <v>8886.2800000000007</v>
      </c>
      <c r="S234" s="27">
        <f t="shared" ref="S234:AG234" si="182">S119*$AH234</f>
        <v>0</v>
      </c>
      <c r="T234" s="27">
        <f t="shared" si="182"/>
        <v>1963.090968</v>
      </c>
      <c r="U234" s="27">
        <f t="shared" si="182"/>
        <v>1640.6152251999999</v>
      </c>
      <c r="V234" s="27">
        <f t="shared" si="182"/>
        <v>2444.1347203999999</v>
      </c>
      <c r="W234" s="27">
        <f t="shared" si="182"/>
        <v>202.63822035999999</v>
      </c>
      <c r="X234" s="27">
        <f t="shared" si="182"/>
        <v>246.07149252000002</v>
      </c>
      <c r="Y234" s="27">
        <f t="shared" si="182"/>
        <v>63.629242083999998</v>
      </c>
      <c r="Z234" s="27">
        <f t="shared" si="182"/>
        <v>13.080672720000001</v>
      </c>
      <c r="AA234" s="27">
        <f t="shared" si="182"/>
        <v>8.3312888960000002</v>
      </c>
      <c r="AB234" s="27">
        <f t="shared" si="182"/>
        <v>6.4602471063999998</v>
      </c>
      <c r="AC234" s="27">
        <f t="shared" si="182"/>
        <v>6.5673187952000003</v>
      </c>
      <c r="AD234" s="27">
        <f t="shared" si="182"/>
        <v>1.9654341099999999</v>
      </c>
      <c r="AE234" s="27">
        <f t="shared" si="182"/>
        <v>2.4922714375999999</v>
      </c>
      <c r="AF234" s="27">
        <f t="shared" si="182"/>
        <v>0.59259975296</v>
      </c>
      <c r="AG234" s="27">
        <f t="shared" si="182"/>
        <v>0.73133752079999992</v>
      </c>
      <c r="AH234" s="27">
        <v>6600.4</v>
      </c>
      <c r="AI234" s="27"/>
    </row>
    <row r="235" spans="1:35" x14ac:dyDescent="0.15">
      <c r="A235" s="21">
        <f t="shared" si="146"/>
        <v>2014</v>
      </c>
      <c r="B235" s="27">
        <f t="shared" ref="B235:P235" si="183">B120*$Q235</f>
        <v>0</v>
      </c>
      <c r="C235" s="27">
        <f t="shared" si="183"/>
        <v>7199.6799518000007</v>
      </c>
      <c r="D235" s="27">
        <f t="shared" si="183"/>
        <v>1033.9784077600002</v>
      </c>
      <c r="E235" s="27">
        <f t="shared" si="183"/>
        <v>926.57993926999995</v>
      </c>
      <c r="F235" s="27">
        <f t="shared" si="183"/>
        <v>1010.4264977700001</v>
      </c>
      <c r="G235" s="27">
        <f t="shared" si="183"/>
        <v>1324.5141609000002</v>
      </c>
      <c r="H235" s="27">
        <f t="shared" si="183"/>
        <v>222.14049311000002</v>
      </c>
      <c r="I235" s="27">
        <f t="shared" si="183"/>
        <v>111.86283719800001</v>
      </c>
      <c r="J235" s="27">
        <f t="shared" si="183"/>
        <v>28.839175325999999</v>
      </c>
      <c r="K235" s="27">
        <f t="shared" si="183"/>
        <v>6.7894082230999997</v>
      </c>
      <c r="L235" s="27">
        <f t="shared" si="183"/>
        <v>4.6321569026000002</v>
      </c>
      <c r="M235" s="27">
        <f t="shared" si="183"/>
        <v>4.7358746795000002</v>
      </c>
      <c r="N235" s="27">
        <f t="shared" si="183"/>
        <v>4.0981297928</v>
      </c>
      <c r="O235" s="27">
        <f t="shared" si="183"/>
        <v>3.1426117974999999</v>
      </c>
      <c r="P235" s="27">
        <f t="shared" si="183"/>
        <v>3.2793928098</v>
      </c>
      <c r="Q235" s="27">
        <v>11884.7</v>
      </c>
      <c r="S235" s="27">
        <f t="shared" ref="S235:AG235" si="184">S120*$AH235</f>
        <v>0</v>
      </c>
      <c r="T235" s="27">
        <f t="shared" si="184"/>
        <v>8614.8752576000006</v>
      </c>
      <c r="U235" s="27">
        <f t="shared" si="184"/>
        <v>941.27267692000009</v>
      </c>
      <c r="V235" s="27">
        <f t="shared" si="184"/>
        <v>1100.6475067200001</v>
      </c>
      <c r="W235" s="27">
        <f t="shared" si="184"/>
        <v>892.33464284000001</v>
      </c>
      <c r="X235" s="27">
        <f t="shared" si="184"/>
        <v>974.6298682800001</v>
      </c>
      <c r="Y235" s="27">
        <f t="shared" si="184"/>
        <v>316.92179736000003</v>
      </c>
      <c r="Z235" s="27">
        <f t="shared" si="184"/>
        <v>66.892508672000005</v>
      </c>
      <c r="AA235" s="27">
        <f t="shared" si="184"/>
        <v>21.473627212</v>
      </c>
      <c r="AB235" s="27">
        <f t="shared" si="184"/>
        <v>5.8276183552000003</v>
      </c>
      <c r="AC235" s="27">
        <f t="shared" si="184"/>
        <v>2.7471267824000001</v>
      </c>
      <c r="AD235" s="27">
        <f t="shared" si="184"/>
        <v>1.8066450571999999</v>
      </c>
      <c r="AE235" s="27">
        <f t="shared" si="184"/>
        <v>2.7895223123999999</v>
      </c>
      <c r="AF235" s="27">
        <f t="shared" si="184"/>
        <v>1.2450046100000001</v>
      </c>
      <c r="AG235" s="27">
        <f t="shared" si="184"/>
        <v>1.7403656332000002</v>
      </c>
      <c r="AH235" s="27">
        <v>12945.2</v>
      </c>
      <c r="AI235" s="27"/>
    </row>
    <row r="239" spans="1:35" x14ac:dyDescent="0.15">
      <c r="A239" s="21" t="str">
        <f>pm.rep!A505</f>
        <v>Pred.</v>
      </c>
      <c r="B239" t="str">
        <f>pm.rep!B505</f>
        <v>hydro</v>
      </c>
      <c r="C239" t="str">
        <f>pm.rep!C505</f>
        <v>Survey</v>
      </c>
      <c r="D239" t="str">
        <f>pm.rep!D505</f>
        <v>numbers</v>
      </c>
      <c r="E239">
        <f>pm.rep!E505</f>
        <v>0</v>
      </c>
      <c r="F239">
        <f>pm.rep!F505</f>
        <v>0</v>
      </c>
      <c r="G239">
        <f>pm.rep!G505</f>
        <v>0</v>
      </c>
      <c r="H239">
        <f>pm.rep!H505</f>
        <v>0</v>
      </c>
      <c r="I239">
        <f>pm.rep!I505</f>
        <v>0</v>
      </c>
      <c r="J239">
        <f>pm.rep!J505</f>
        <v>0</v>
      </c>
      <c r="K239">
        <f>pm.rep!K505</f>
        <v>0</v>
      </c>
      <c r="L239">
        <f>pm.rep!L505</f>
        <v>0</v>
      </c>
      <c r="M239">
        <f>pm.rep!M505</f>
        <v>0</v>
      </c>
      <c r="N239">
        <f>pm.rep!N505</f>
        <v>0</v>
      </c>
      <c r="O239">
        <f>pm.rep!O505</f>
        <v>0</v>
      </c>
      <c r="P239">
        <f>pm.rep!P505</f>
        <v>0</v>
      </c>
      <c r="Q239">
        <f>pm.rep!Q505</f>
        <v>0</v>
      </c>
      <c r="R239">
        <f>pm.rep!R505</f>
        <v>0</v>
      </c>
      <c r="S239">
        <f>pm.rep!S505</f>
        <v>0</v>
      </c>
      <c r="T239">
        <f>pm.rep!T505</f>
        <v>0</v>
      </c>
      <c r="U239">
        <f>pm.rep!U505</f>
        <v>0</v>
      </c>
      <c r="V239">
        <f>pm.rep!V505</f>
        <v>0</v>
      </c>
      <c r="W239">
        <f>pm.rep!W505</f>
        <v>0</v>
      </c>
      <c r="X239">
        <f>pm.rep!X505</f>
        <v>0</v>
      </c>
      <c r="Y239">
        <f>pm.rep!Y505</f>
        <v>0</v>
      </c>
      <c r="Z239">
        <f>pm.rep!Z505</f>
        <v>0</v>
      </c>
      <c r="AA239">
        <f>pm.rep!AA505</f>
        <v>0</v>
      </c>
    </row>
    <row r="240" spans="1:35" x14ac:dyDescent="0.15">
      <c r="A240" s="21">
        <f>pm.rep!A506</f>
        <v>0</v>
      </c>
      <c r="B240">
        <f>pm.rep!B506</f>
        <v>12241.7</v>
      </c>
      <c r="C240">
        <f>pm.rep!C506</f>
        <v>10850</v>
      </c>
      <c r="D240">
        <f>pm.rep!D506</f>
        <v>10486.4</v>
      </c>
      <c r="E240">
        <f>pm.rep!E506</f>
        <v>7497.98</v>
      </c>
      <c r="F240">
        <f>pm.rep!F506</f>
        <v>8498.82</v>
      </c>
      <c r="G240">
        <f>pm.rep!G506</f>
        <v>11604.5</v>
      </c>
      <c r="H240">
        <f>pm.rep!H506</f>
        <v>8449.0300000000007</v>
      </c>
      <c r="I240">
        <f>pm.rep!I506</f>
        <v>8385.24</v>
      </c>
      <c r="J240">
        <f>pm.rep!J506</f>
        <v>8346.23</v>
      </c>
      <c r="K240">
        <f>pm.rep!K506</f>
        <v>7707.07</v>
      </c>
      <c r="L240">
        <f>pm.rep!L506</f>
        <v>9644.23</v>
      </c>
      <c r="M240">
        <f>pm.rep!M506</f>
        <v>8255.52</v>
      </c>
      <c r="N240">
        <f>pm.rep!N506</f>
        <v>4366.5</v>
      </c>
      <c r="O240">
        <f>pm.rep!O506</f>
        <v>3938.44</v>
      </c>
      <c r="P240">
        <f>pm.rep!P506</f>
        <v>5496.39</v>
      </c>
      <c r="Q240">
        <f>pm.rep!Q506</f>
        <v>5643.1</v>
      </c>
      <c r="R240">
        <f>pm.rep!R506</f>
        <v>10496.6</v>
      </c>
      <c r="S240">
        <f>pm.rep!S506</f>
        <v>8886.2800000000007</v>
      </c>
      <c r="T240">
        <f>pm.rep!T506</f>
        <v>11884.7</v>
      </c>
      <c r="U240">
        <f>pm.rep!U506</f>
        <v>10920.5</v>
      </c>
      <c r="V240">
        <f>pm.rep!V506</f>
        <v>0</v>
      </c>
      <c r="W240">
        <f>pm.rep!W506</f>
        <v>0</v>
      </c>
      <c r="X240">
        <f>pm.rep!X506</f>
        <v>0</v>
      </c>
      <c r="Y240">
        <f>pm.rep!Y506</f>
        <v>0</v>
      </c>
      <c r="Z240">
        <f>pm.rep!Z506</f>
        <v>0</v>
      </c>
      <c r="AA240">
        <f>pm.rep!AA506</f>
        <v>0</v>
      </c>
    </row>
    <row r="241" spans="1:27" x14ac:dyDescent="0.15">
      <c r="A241" s="21" t="str">
        <f>pm.rep!A507</f>
        <v>Obs.</v>
      </c>
      <c r="B241" t="str">
        <f>pm.rep!B507</f>
        <v>hydro</v>
      </c>
      <c r="C241" t="str">
        <f>pm.rep!C507</f>
        <v>Survey</v>
      </c>
      <c r="D241" t="str">
        <f>pm.rep!D507</f>
        <v>numbers</v>
      </c>
      <c r="E241">
        <f>pm.rep!E507</f>
        <v>0</v>
      </c>
      <c r="F241">
        <f>pm.rep!F507</f>
        <v>0</v>
      </c>
      <c r="G241">
        <f>pm.rep!G507</f>
        <v>0</v>
      </c>
      <c r="H241">
        <f>pm.rep!H507</f>
        <v>0</v>
      </c>
      <c r="I241">
        <f>pm.rep!I507</f>
        <v>0</v>
      </c>
      <c r="J241">
        <f>pm.rep!J507</f>
        <v>0</v>
      </c>
      <c r="K241">
        <f>pm.rep!K507</f>
        <v>0</v>
      </c>
      <c r="L241">
        <f>pm.rep!L507</f>
        <v>0</v>
      </c>
      <c r="M241">
        <f>pm.rep!M507</f>
        <v>0</v>
      </c>
      <c r="N241">
        <f>pm.rep!N507</f>
        <v>0</v>
      </c>
      <c r="O241">
        <f>pm.rep!O507</f>
        <v>0</v>
      </c>
      <c r="P241">
        <f>pm.rep!P507</f>
        <v>0</v>
      </c>
      <c r="Q241">
        <f>pm.rep!Q507</f>
        <v>0</v>
      </c>
      <c r="R241">
        <f>pm.rep!R507</f>
        <v>0</v>
      </c>
      <c r="S241">
        <f>pm.rep!S507</f>
        <v>0</v>
      </c>
      <c r="T241">
        <f>pm.rep!T507</f>
        <v>0</v>
      </c>
      <c r="U241">
        <f>pm.rep!U507</f>
        <v>0</v>
      </c>
      <c r="V241">
        <f>pm.rep!V507</f>
        <v>0</v>
      </c>
      <c r="W241">
        <f>pm.rep!W507</f>
        <v>0</v>
      </c>
      <c r="X241">
        <f>pm.rep!X507</f>
        <v>0</v>
      </c>
      <c r="Y241">
        <f>pm.rep!Y507</f>
        <v>0</v>
      </c>
      <c r="Z241">
        <f>pm.rep!Z507</f>
        <v>0</v>
      </c>
      <c r="AA241">
        <f>pm.rep!AA507</f>
        <v>0</v>
      </c>
    </row>
    <row r="242" spans="1:27" x14ac:dyDescent="0.15">
      <c r="A242" s="21">
        <f>pm.rep!A508</f>
        <v>0</v>
      </c>
      <c r="B242">
        <f>pm.rep!B508</f>
        <v>46314</v>
      </c>
      <c r="C242">
        <f>pm.rep!C508</f>
        <v>17805</v>
      </c>
      <c r="D242">
        <f>pm.rep!D508</f>
        <v>14965</v>
      </c>
      <c r="E242">
        <f>pm.rep!E508</f>
        <v>12280</v>
      </c>
      <c r="F242">
        <f>pm.rep!F508</f>
        <v>7729.52</v>
      </c>
      <c r="G242">
        <f>pm.rep!G508</f>
        <v>9129.6200000000008</v>
      </c>
      <c r="H242">
        <f>pm.rep!H508</f>
        <v>5552.9</v>
      </c>
      <c r="I242">
        <f>pm.rep!I508</f>
        <v>6319.49</v>
      </c>
      <c r="J242">
        <f>pm.rep!J508</f>
        <v>9488.7900000000009</v>
      </c>
      <c r="K242">
        <f>pm.rep!K508</f>
        <v>7371.83</v>
      </c>
      <c r="L242">
        <f>pm.rep!L508</f>
        <v>11560.4</v>
      </c>
      <c r="M242">
        <f>pm.rep!M508</f>
        <v>6818.74</v>
      </c>
      <c r="N242">
        <f>pm.rep!N508</f>
        <v>2940.09</v>
      </c>
      <c r="O242">
        <f>pm.rep!O508</f>
        <v>3618.12</v>
      </c>
      <c r="P242">
        <f>pm.rep!P508</f>
        <v>4667.5</v>
      </c>
      <c r="Q242">
        <f>pm.rep!Q508</f>
        <v>2869.71</v>
      </c>
      <c r="R242">
        <f>pm.rep!R508</f>
        <v>10023</v>
      </c>
      <c r="S242">
        <f>pm.rep!S508</f>
        <v>6600.4</v>
      </c>
      <c r="T242">
        <f>pm.rep!T508</f>
        <v>12945.2</v>
      </c>
      <c r="U242">
        <f>pm.rep!U508</f>
        <v>10692.3</v>
      </c>
      <c r="V242">
        <f>pm.rep!V508</f>
        <v>0</v>
      </c>
      <c r="W242">
        <f>pm.rep!W508</f>
        <v>0</v>
      </c>
      <c r="X242">
        <f>pm.rep!X508</f>
        <v>0</v>
      </c>
      <c r="Y242">
        <f>pm.rep!Y508</f>
        <v>0</v>
      </c>
      <c r="Z242">
        <f>pm.rep!Z508</f>
        <v>0</v>
      </c>
      <c r="AA242">
        <f>pm.rep!AA508</f>
        <v>0</v>
      </c>
    </row>
  </sheetData>
  <phoneticPr fontId="7" type="noConversion"/>
  <conditionalFormatting sqref="AR31:BF52">
    <cfRule type="colorScale" priority="5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B3:P56">
    <cfRule type="colorScale" priority="4">
      <colorScale>
        <cfvo type="min"/>
        <cfvo type="max"/>
        <color theme="0"/>
        <color rgb="FFFF0000"/>
      </colorScale>
    </cfRule>
  </conditionalFormatting>
  <conditionalFormatting sqref="S3:AG54">
    <cfRule type="colorScale" priority="3">
      <colorScale>
        <cfvo type="min"/>
        <cfvo type="max"/>
        <color theme="0"/>
        <color rgb="FFFF0000"/>
      </colorScale>
    </cfRule>
  </conditionalFormatting>
  <conditionalFormatting sqref="BH31:BJ52">
    <cfRule type="colorScale" priority="2">
      <colorScale>
        <cfvo type="min"/>
        <cfvo type="percentile" val="50"/>
        <cfvo type="max"/>
        <color rgb="FF5A8AC6"/>
        <color rgb="FFFFEB84"/>
        <color rgb="FFF8696B"/>
      </colorScale>
    </cfRule>
  </conditionalFormatting>
  <conditionalFormatting sqref="AR64:BF9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pageSetup orientation="portrait"/>
  <headerFooter alignWithMargins="0">
    <oddHeader>&amp;A</oddHeader>
    <oddFooter>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/>
  <dimension ref="A1:G12"/>
  <sheetViews>
    <sheetView showGridLines="0" topLeftCell="A4" zoomScale="85" zoomScaleNormal="85" zoomScalePageLayoutView="85" workbookViewId="0">
      <selection activeCell="A4" sqref="A4:C4"/>
    </sheetView>
  </sheetViews>
  <sheetFormatPr baseColWidth="10" defaultColWidth="61.1640625" defaultRowHeight="179" customHeight="1" x14ac:dyDescent="0.15"/>
  <cols>
    <col min="5" max="5" width="68" customWidth="1"/>
  </cols>
  <sheetData>
    <row r="1" spans="1:7" ht="52.25" customHeight="1" x14ac:dyDescent="0.15">
      <c r="A1" s="258" t="str">
        <f>pm.rep!A4</f>
        <v>Model_16.1</v>
      </c>
      <c r="B1" s="258"/>
      <c r="C1" s="258"/>
    </row>
    <row r="2" spans="1:7" ht="221" customHeight="1" x14ac:dyDescent="0.15">
      <c r="A2" s="139" t="s">
        <v>803</v>
      </c>
      <c r="B2" s="139" t="s">
        <v>757</v>
      </c>
      <c r="C2" s="139" t="s">
        <v>839</v>
      </c>
      <c r="D2" s="139"/>
      <c r="E2" s="139" t="s">
        <v>756</v>
      </c>
      <c r="F2" s="139" t="s">
        <v>685</v>
      </c>
      <c r="G2" s="139" t="s">
        <v>838</v>
      </c>
    </row>
    <row r="3" spans="1:7" ht="221" customHeight="1" x14ac:dyDescent="0.15">
      <c r="A3" s="236" t="s">
        <v>835</v>
      </c>
      <c r="B3" s="139" t="s">
        <v>804</v>
      </c>
      <c r="C3" s="139"/>
    </row>
    <row r="4" spans="1:7" ht="23" customHeight="1" x14ac:dyDescent="0.15">
      <c r="A4" s="258" t="str">
        <f>$A$1</f>
        <v>Model_16.1</v>
      </c>
      <c r="B4" s="258"/>
      <c r="C4" s="258"/>
    </row>
    <row r="5" spans="1:7" ht="221" customHeight="1" x14ac:dyDescent="0.15">
      <c r="A5" s="139" t="s">
        <v>836</v>
      </c>
      <c r="B5" s="139" t="s">
        <v>837</v>
      </c>
      <c r="C5" s="139" t="s">
        <v>840</v>
      </c>
      <c r="D5" s="139" t="s">
        <v>821</v>
      </c>
    </row>
    <row r="6" spans="1:7" ht="221" customHeight="1" x14ac:dyDescent="0.15">
      <c r="A6" s="139" t="s">
        <v>975</v>
      </c>
      <c r="B6" s="139" t="s">
        <v>858</v>
      </c>
      <c r="C6" s="139"/>
      <c r="D6" s="139"/>
      <c r="E6" s="2"/>
    </row>
    <row r="7" spans="1:7" ht="221" customHeight="1" x14ac:dyDescent="0.15">
      <c r="A7" s="233"/>
      <c r="B7" s="139" t="s">
        <v>982</v>
      </c>
      <c r="C7" s="139" t="s">
        <v>981</v>
      </c>
      <c r="D7" s="139"/>
      <c r="E7" s="2"/>
    </row>
    <row r="8" spans="1:7" ht="52.75" customHeight="1" x14ac:dyDescent="0.15">
      <c r="A8" s="264" t="s">
        <v>177</v>
      </c>
      <c r="B8" s="264"/>
      <c r="C8" s="264"/>
    </row>
    <row r="9" spans="1:7" ht="48" customHeight="1" x14ac:dyDescent="0.15"/>
    <row r="10" spans="1:7" ht="48" customHeight="1" x14ac:dyDescent="0.15"/>
    <row r="11" spans="1:7" ht="364.5" customHeight="1" x14ac:dyDescent="0.15"/>
    <row r="12" spans="1:7" ht="407.25" customHeight="1" x14ac:dyDescent="0.15"/>
  </sheetData>
  <mergeCells count="3">
    <mergeCell ref="A1:C1"/>
    <mergeCell ref="A8:C8"/>
    <mergeCell ref="A4:C4"/>
  </mergeCells>
  <phoneticPr fontId="7" type="noConversion"/>
  <printOptions horizontalCentered="1"/>
  <pageMargins left="0.75" right="0.75" top="1" bottom="1" header="0.5" footer="0.5"/>
  <pageSetup scale="45" orientation="portrait"/>
  <headerFooter alignWithMargins="0">
    <oddHeader>&amp;A</oddHeader>
    <oddFooter>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IX599"/>
  <sheetViews>
    <sheetView tabSelected="1" topLeftCell="A553" workbookViewId="0">
      <selection activeCell="G595" sqref="G595"/>
    </sheetView>
  </sheetViews>
  <sheetFormatPr baseColWidth="10" defaultColWidth="9.6640625" defaultRowHeight="13" x14ac:dyDescent="0.15"/>
  <cols>
    <col min="1" max="2" width="9.6640625" customWidth="1"/>
    <col min="3" max="3" width="10.33203125" customWidth="1"/>
    <col min="4" max="4" width="13.83203125" customWidth="1"/>
  </cols>
  <sheetData>
    <row r="1" spans="3:80" x14ac:dyDescent="0.15">
      <c r="D1" s="21">
        <v>1964</v>
      </c>
      <c r="E1" s="21">
        <v>1965</v>
      </c>
      <c r="F1" s="21">
        <v>1966</v>
      </c>
      <c r="G1" s="21">
        <v>1967</v>
      </c>
      <c r="H1" s="21">
        <v>1968</v>
      </c>
      <c r="I1" s="21">
        <v>1969</v>
      </c>
      <c r="J1" s="21">
        <v>1970</v>
      </c>
      <c r="K1" s="21">
        <v>1971</v>
      </c>
      <c r="L1" s="21">
        <v>1972</v>
      </c>
      <c r="M1" s="21">
        <v>1973</v>
      </c>
      <c r="N1" s="21">
        <v>1974</v>
      </c>
      <c r="O1" s="21">
        <v>1975</v>
      </c>
      <c r="P1" s="21">
        <v>1976</v>
      </c>
      <c r="Q1" s="21">
        <v>1977</v>
      </c>
      <c r="R1" s="21">
        <v>1978</v>
      </c>
      <c r="S1" s="21">
        <v>1979</v>
      </c>
      <c r="T1" s="21">
        <v>1980</v>
      </c>
      <c r="U1" s="21">
        <v>1981</v>
      </c>
      <c r="V1" s="21">
        <v>1982</v>
      </c>
      <c r="W1" s="21">
        <v>1983</v>
      </c>
      <c r="X1" s="21">
        <v>1984</v>
      </c>
      <c r="Y1" s="21">
        <v>1985</v>
      </c>
      <c r="Z1" s="21">
        <v>1986</v>
      </c>
      <c r="AA1" s="21">
        <v>1987</v>
      </c>
      <c r="AB1" s="21">
        <v>1988</v>
      </c>
      <c r="AC1" s="21">
        <v>1989</v>
      </c>
      <c r="AD1" s="21">
        <v>1990</v>
      </c>
      <c r="AE1" s="21">
        <v>1991</v>
      </c>
      <c r="AF1" s="21">
        <v>1992</v>
      </c>
      <c r="AG1" s="21">
        <v>1993</v>
      </c>
      <c r="AH1" s="21">
        <v>1994</v>
      </c>
      <c r="AI1" s="21">
        <v>1995</v>
      </c>
      <c r="AJ1" s="21">
        <v>1996</v>
      </c>
      <c r="AK1" s="21">
        <v>1997</v>
      </c>
      <c r="AL1" s="21">
        <v>1998</v>
      </c>
      <c r="AM1" s="21">
        <v>1999</v>
      </c>
      <c r="AN1" s="21">
        <v>2000</v>
      </c>
      <c r="AO1" s="21">
        <v>2001</v>
      </c>
      <c r="AP1" s="21">
        <v>2002</v>
      </c>
      <c r="AQ1" s="21">
        <v>2003</v>
      </c>
      <c r="AR1" s="21">
        <v>2004</v>
      </c>
      <c r="AS1" s="21">
        <v>2005</v>
      </c>
      <c r="AT1" s="21">
        <v>2006</v>
      </c>
      <c r="AU1" s="21">
        <v>2007</v>
      </c>
      <c r="AV1" s="21">
        <v>2008</v>
      </c>
      <c r="AW1" s="4">
        <v>2009</v>
      </c>
      <c r="AX1" s="4">
        <v>2010</v>
      </c>
      <c r="AY1" s="4">
        <v>2011</v>
      </c>
      <c r="AZ1" s="4">
        <v>2012</v>
      </c>
      <c r="BA1" s="4">
        <v>2013</v>
      </c>
      <c r="BB1" s="4">
        <v>2014</v>
      </c>
      <c r="BC1" s="4">
        <v>2015</v>
      </c>
      <c r="BD1" s="4">
        <v>2016</v>
      </c>
      <c r="BK1">
        <f>pm.rep!B880</f>
        <v>7460</v>
      </c>
      <c r="BL1">
        <f>pm.rep!C880</f>
        <v>4900</v>
      </c>
      <c r="BM1">
        <f>pm.rep!D880</f>
        <v>4800</v>
      </c>
      <c r="BN1">
        <f>pm.rep!E880</f>
        <v>4680</v>
      </c>
      <c r="BO1">
        <f>pm.rep!F880</f>
        <v>1450</v>
      </c>
      <c r="BP1">
        <f>pm.rep!G880</f>
        <v>2886.23</v>
      </c>
      <c r="BQ1">
        <f>pm.rep!H880</f>
        <v>2310.73</v>
      </c>
      <c r="BR1">
        <f>pm.rep!I880</f>
        <v>2592.1799999999998</v>
      </c>
      <c r="BS1">
        <f>pm.rep!J880</f>
        <v>3285.08</v>
      </c>
      <c r="BT1">
        <f>pm.rep!K880</f>
        <v>3048.7</v>
      </c>
      <c r="BU1">
        <f>pm.rep!L880</f>
        <v>3621.82</v>
      </c>
      <c r="BV1">
        <f>pm.rep!M880</f>
        <v>3306.94</v>
      </c>
      <c r="BW1">
        <f>pm.rep!N880</f>
        <v>1560.13</v>
      </c>
      <c r="BX1">
        <f>pm.rep!O880</f>
        <v>1769.02</v>
      </c>
      <c r="BY1">
        <f>pm.rep!P880</f>
        <v>996.93899999999996</v>
      </c>
      <c r="BZ1">
        <f>pm.rep!Q880</f>
        <v>923.84299999999996</v>
      </c>
      <c r="CA1">
        <f>pm.rep!R880</f>
        <v>2322.64</v>
      </c>
      <c r="CB1">
        <v>2011</v>
      </c>
    </row>
    <row r="2" spans="3:80" x14ac:dyDescent="0.15">
      <c r="C2" s="21" t="s">
        <v>127</v>
      </c>
      <c r="D2">
        <f>pm.rep!B6</f>
        <v>175.37</v>
      </c>
      <c r="E2">
        <f>pm.rep!C6</f>
        <v>231.39500000000001</v>
      </c>
      <c r="F2">
        <f>pm.rep!D6</f>
        <v>262.90699999999998</v>
      </c>
      <c r="G2">
        <f>pm.rep!E6</f>
        <v>551.66800000000001</v>
      </c>
      <c r="H2">
        <f>pm.rep!F6</f>
        <v>704.19100000000003</v>
      </c>
      <c r="I2">
        <f>pm.rep!G6</f>
        <v>865.62199999999996</v>
      </c>
      <c r="J2">
        <f>pm.rep!H6</f>
        <v>1256.72</v>
      </c>
      <c r="K2">
        <f>pm.rep!I6</f>
        <v>1734.98</v>
      </c>
      <c r="L2">
        <f>pm.rep!J6</f>
        <v>1863.98</v>
      </c>
      <c r="M2">
        <f>pm.rep!K6</f>
        <v>1751.03</v>
      </c>
      <c r="N2">
        <f>pm.rep!L6</f>
        <v>1585.99</v>
      </c>
      <c r="O2">
        <f>pm.rep!M6</f>
        <v>1355.08</v>
      </c>
      <c r="P2">
        <f>pm.rep!N6</f>
        <v>1177.48</v>
      </c>
      <c r="Q2">
        <f>pm.rep!O6</f>
        <v>978.49199999999996</v>
      </c>
      <c r="R2">
        <f>pm.rep!P6</f>
        <v>980.15899999999999</v>
      </c>
      <c r="S2">
        <f>pm.rep!Q6</f>
        <v>936.82600000000002</v>
      </c>
      <c r="T2">
        <f>pm.rep!R6</f>
        <v>960.58100000000002</v>
      </c>
      <c r="U2">
        <f>pm.rep!S6</f>
        <v>976.61800000000005</v>
      </c>
      <c r="V2">
        <f>pm.rep!T6</f>
        <v>955.024</v>
      </c>
      <c r="W2">
        <f>pm.rep!U6</f>
        <v>980.64300000000003</v>
      </c>
      <c r="X2">
        <f>pm.rep!V6</f>
        <v>1097.99</v>
      </c>
      <c r="Y2">
        <f>pm.rep!W6</f>
        <v>1140.29</v>
      </c>
      <c r="Z2">
        <f>pm.rep!X6</f>
        <v>1134.43</v>
      </c>
      <c r="AA2">
        <f>pm.rep!Y6</f>
        <v>854.99099999999999</v>
      </c>
      <c r="AB2">
        <f>pm.rep!Z6</f>
        <v>1215.9100000000001</v>
      </c>
      <c r="AC2">
        <f>pm.rep!AA6</f>
        <v>1215.03</v>
      </c>
      <c r="AD2">
        <f>pm.rep!AB6</f>
        <v>1438.12</v>
      </c>
      <c r="AE2">
        <f>pm.rep!AC6</f>
        <v>1189.47</v>
      </c>
      <c r="AF2">
        <f>pm.rep!AD6</f>
        <v>1390.59</v>
      </c>
      <c r="AG2">
        <f>pm.rep!AE6</f>
        <v>1335.79</v>
      </c>
      <c r="AH2">
        <f>pm.rep!AF6</f>
        <v>1342.26</v>
      </c>
      <c r="AI2">
        <f>pm.rep!AG6</f>
        <v>1282.94</v>
      </c>
      <c r="AJ2">
        <f>pm.rep!AH6</f>
        <v>1218.3800000000001</v>
      </c>
      <c r="AK2">
        <f>pm.rep!AI6</f>
        <v>1138.28</v>
      </c>
      <c r="AL2">
        <f>pm.rep!AJ6</f>
        <v>1098.4100000000001</v>
      </c>
      <c r="AM2">
        <f>pm.rep!AK6</f>
        <v>980.78399999999999</v>
      </c>
      <c r="AN2">
        <f>pm.rep!AL6</f>
        <v>1126.73</v>
      </c>
      <c r="AO2">
        <f>pm.rep!AM6</f>
        <v>1388.43</v>
      </c>
      <c r="AP2">
        <f>pm.rep!AN6</f>
        <v>1481.92</v>
      </c>
      <c r="AQ2">
        <f>pm.rep!AO6</f>
        <v>1493.3</v>
      </c>
      <c r="AR2">
        <f>pm.rep!AP6</f>
        <v>1487.44</v>
      </c>
      <c r="AS2">
        <f>pm.rep!AQ6</f>
        <v>1499.94</v>
      </c>
      <c r="AT2">
        <f>pm.rep!AR6</f>
        <v>1487.41</v>
      </c>
      <c r="AU2">
        <f>pm.rep!AS6</f>
        <v>1336.76</v>
      </c>
      <c r="AV2">
        <f>pm.rep!AT6</f>
        <v>982.93899999999996</v>
      </c>
      <c r="AW2">
        <f>pm.rep!AU6</f>
        <v>800.48599999999999</v>
      </c>
      <c r="AX2">
        <f>pm.rep!AV6</f>
        <v>804.71299999999997</v>
      </c>
      <c r="AY2">
        <f>pm.rep!AW6</f>
        <v>1209</v>
      </c>
      <c r="AZ2">
        <f>pm.rep!AX6</f>
        <v>1209.75</v>
      </c>
      <c r="BA2">
        <f>pm.rep!AY6</f>
        <v>1252.1199999999999</v>
      </c>
      <c r="BB2">
        <f>pm.rep!AZ6</f>
        <v>1289.8900000000001</v>
      </c>
      <c r="BC2">
        <f>pm.rep!BA6</f>
        <v>1335.76</v>
      </c>
      <c r="BD2">
        <f>pm.rep!BB6</f>
        <v>1350.19</v>
      </c>
      <c r="BI2" t="s">
        <v>772</v>
      </c>
      <c r="BJ2">
        <f>AVERAGE(BW2:BZ2)</f>
        <v>0</v>
      </c>
      <c r="BK2">
        <f>pm.rep!B882</f>
        <v>0</v>
      </c>
      <c r="BL2">
        <f>pm.rep!C882</f>
        <v>0</v>
      </c>
      <c r="BM2">
        <f>pm.rep!D882</f>
        <v>0</v>
      </c>
      <c r="BN2">
        <f>pm.rep!E882</f>
        <v>0</v>
      </c>
      <c r="BO2">
        <f>pm.rep!F882</f>
        <v>0</v>
      </c>
      <c r="BP2">
        <f>pm.rep!G882</f>
        <v>0</v>
      </c>
      <c r="BQ2">
        <f>pm.rep!H882</f>
        <v>0</v>
      </c>
      <c r="BR2">
        <f>pm.rep!I882</f>
        <v>0</v>
      </c>
      <c r="BS2">
        <f>pm.rep!J882</f>
        <v>0</v>
      </c>
      <c r="BT2">
        <f>pm.rep!K882</f>
        <v>0</v>
      </c>
      <c r="BU2">
        <f>pm.rep!L882</f>
        <v>0</v>
      </c>
      <c r="BV2">
        <f>pm.rep!M882</f>
        <v>0</v>
      </c>
      <c r="BW2">
        <f>pm.rep!N882</f>
        <v>0</v>
      </c>
      <c r="BX2">
        <f>pm.rep!O882</f>
        <v>0</v>
      </c>
      <c r="BY2">
        <f>pm.rep!P882</f>
        <v>0</v>
      </c>
      <c r="BZ2">
        <f>pm.rep!Q882</f>
        <v>0</v>
      </c>
      <c r="CA2">
        <f>pm.rep!R882</f>
        <v>0</v>
      </c>
    </row>
    <row r="3" spans="3:80" x14ac:dyDescent="0.15">
      <c r="C3" s="21" t="s">
        <v>128</v>
      </c>
      <c r="D3">
        <f>pm.rep!B7</f>
        <v>174.792</v>
      </c>
      <c r="E3">
        <f>pm.rep!C7</f>
        <v>230.55099999999999</v>
      </c>
      <c r="F3">
        <f>pm.rep!D7</f>
        <v>261.678</v>
      </c>
      <c r="G3">
        <f>pm.rep!E7</f>
        <v>550.36199999999997</v>
      </c>
      <c r="H3">
        <f>pm.rep!F7</f>
        <v>702.18100000000004</v>
      </c>
      <c r="I3">
        <f>pm.rep!G7</f>
        <v>862.78899999999999</v>
      </c>
      <c r="J3">
        <f>pm.rep!H7</f>
        <v>1256.57</v>
      </c>
      <c r="K3">
        <f>pm.rep!I7</f>
        <v>1743.76</v>
      </c>
      <c r="L3">
        <f>pm.rep!J7</f>
        <v>1874.53</v>
      </c>
      <c r="M3">
        <f>pm.rep!K7</f>
        <v>1758.92</v>
      </c>
      <c r="N3">
        <f>pm.rep!L7</f>
        <v>1588.39</v>
      </c>
      <c r="O3">
        <f>pm.rep!M7</f>
        <v>1356.74</v>
      </c>
      <c r="P3">
        <f>pm.rep!N7</f>
        <v>1177.82</v>
      </c>
      <c r="Q3">
        <f>pm.rep!O7</f>
        <v>978.37</v>
      </c>
      <c r="R3">
        <f>pm.rep!P7</f>
        <v>979.43100000000004</v>
      </c>
      <c r="S3">
        <f>pm.rep!Q7</f>
        <v>935.71400000000006</v>
      </c>
      <c r="T3">
        <f>pm.rep!R7</f>
        <v>958.28</v>
      </c>
      <c r="U3">
        <f>pm.rep!S7</f>
        <v>973.50199999999995</v>
      </c>
      <c r="V3">
        <f>pm.rep!T7</f>
        <v>955.96400000000006</v>
      </c>
      <c r="W3">
        <f>pm.rep!U7</f>
        <v>981.45</v>
      </c>
      <c r="X3">
        <f>pm.rep!V7</f>
        <v>1092.06</v>
      </c>
      <c r="Y3">
        <f>pm.rep!W7</f>
        <v>1139.68</v>
      </c>
      <c r="Z3">
        <f>pm.rep!X7</f>
        <v>1141.99</v>
      </c>
      <c r="AA3">
        <f>pm.rep!Y7</f>
        <v>859.41600000000005</v>
      </c>
      <c r="AB3">
        <f>pm.rep!Z7</f>
        <v>1228.72</v>
      </c>
      <c r="AC3">
        <f>pm.rep!AA7</f>
        <v>1229.5999999999999</v>
      </c>
      <c r="AD3">
        <f>pm.rep!AB7</f>
        <v>1455.19</v>
      </c>
      <c r="AE3">
        <f>pm.rep!AC7</f>
        <v>1195.6099999999999</v>
      </c>
      <c r="AF3">
        <f>pm.rep!AD7</f>
        <v>1390.33</v>
      </c>
      <c r="AG3">
        <f>pm.rep!AE7</f>
        <v>1326.6</v>
      </c>
      <c r="AH3">
        <f>pm.rep!AF7</f>
        <v>1329.35</v>
      </c>
      <c r="AI3">
        <f>pm.rep!AG7</f>
        <v>1264.24</v>
      </c>
      <c r="AJ3">
        <f>pm.rep!AH7</f>
        <v>1192.78</v>
      </c>
      <c r="AK3">
        <f>pm.rep!AI7</f>
        <v>1124.43</v>
      </c>
      <c r="AL3">
        <f>pm.rep!AJ7</f>
        <v>1101.17</v>
      </c>
      <c r="AM3">
        <f>pm.rep!AK7</f>
        <v>989.81600000000003</v>
      </c>
      <c r="AN3">
        <f>pm.rep!AL7</f>
        <v>1132.71</v>
      </c>
      <c r="AO3">
        <f>pm.rep!AM7</f>
        <v>1387.19</v>
      </c>
      <c r="AP3">
        <f>pm.rep!AN7</f>
        <v>1480.19</v>
      </c>
      <c r="AQ3">
        <f>pm.rep!AO7</f>
        <v>1490.9</v>
      </c>
      <c r="AR3">
        <f>pm.rep!AP7</f>
        <v>1480.54</v>
      </c>
      <c r="AS3">
        <f>pm.rep!AQ7</f>
        <v>1483.29</v>
      </c>
      <c r="AT3">
        <f>pm.rep!AR7</f>
        <v>1486.44</v>
      </c>
      <c r="AU3">
        <f>pm.rep!AS7</f>
        <v>1354.1</v>
      </c>
      <c r="AV3">
        <f>pm.rep!AT7</f>
        <v>990.56600000000003</v>
      </c>
      <c r="AW3">
        <f>pm.rep!AU7</f>
        <v>807.947</v>
      </c>
      <c r="AX3">
        <f>pm.rep!AV7</f>
        <v>810.21500000000003</v>
      </c>
      <c r="AY3">
        <f>pm.rep!AW7</f>
        <v>1199.07</v>
      </c>
      <c r="AZ3">
        <f>pm.rep!AX7</f>
        <v>1205.53</v>
      </c>
      <c r="BA3">
        <f>pm.rep!AY7</f>
        <v>1270.75</v>
      </c>
      <c r="BB3">
        <f>pm.rep!AZ7</f>
        <v>1297.8499999999999</v>
      </c>
      <c r="BC3">
        <f>pm.rep!BA7</f>
        <v>1322.31</v>
      </c>
      <c r="BD3">
        <f>pm.rep!BB7</f>
        <v>1343.47</v>
      </c>
      <c r="BE3">
        <f>STDEV(Q3:BC3)/AVERAGE(Q3:BC3)</f>
        <v>0.17114536180962403</v>
      </c>
      <c r="BF3" s="27">
        <f>AVERAGE(Q3:BC3)</f>
        <v>1180.0843846153844</v>
      </c>
      <c r="BI3" t="s">
        <v>795</v>
      </c>
      <c r="BJ3">
        <f>AVERAGE(AT21:AW21)</f>
        <v>0.42175525000000003</v>
      </c>
      <c r="BK3" t="e">
        <f t="shared" ref="BK3:CB3" si="0">BK2*($BJ$3/$BJ$2)</f>
        <v>#DIV/0!</v>
      </c>
      <c r="BL3" t="e">
        <f t="shared" si="0"/>
        <v>#DIV/0!</v>
      </c>
      <c r="BM3" t="e">
        <f t="shared" si="0"/>
        <v>#DIV/0!</v>
      </c>
      <c r="BN3" t="e">
        <f t="shared" si="0"/>
        <v>#DIV/0!</v>
      </c>
      <c r="BO3" t="e">
        <f t="shared" si="0"/>
        <v>#DIV/0!</v>
      </c>
      <c r="BP3" t="e">
        <f t="shared" si="0"/>
        <v>#DIV/0!</v>
      </c>
      <c r="BQ3" t="e">
        <f t="shared" si="0"/>
        <v>#DIV/0!</v>
      </c>
      <c r="BR3" t="e">
        <f t="shared" si="0"/>
        <v>#DIV/0!</v>
      </c>
      <c r="BS3" t="e">
        <f t="shared" si="0"/>
        <v>#DIV/0!</v>
      </c>
      <c r="BT3" t="e">
        <f t="shared" si="0"/>
        <v>#DIV/0!</v>
      </c>
      <c r="BU3" t="e">
        <f t="shared" si="0"/>
        <v>#DIV/0!</v>
      </c>
      <c r="BV3" t="e">
        <f t="shared" si="0"/>
        <v>#DIV/0!</v>
      </c>
      <c r="BW3" t="e">
        <f t="shared" si="0"/>
        <v>#DIV/0!</v>
      </c>
      <c r="BX3" t="e">
        <f t="shared" si="0"/>
        <v>#DIV/0!</v>
      </c>
      <c r="BY3" t="e">
        <f t="shared" si="0"/>
        <v>#DIV/0!</v>
      </c>
      <c r="BZ3" t="e">
        <f t="shared" si="0"/>
        <v>#DIV/0!</v>
      </c>
      <c r="CA3" t="e">
        <f t="shared" si="0"/>
        <v>#DIV/0!</v>
      </c>
      <c r="CB3" t="e">
        <f t="shared" si="0"/>
        <v>#DIV/0!</v>
      </c>
    </row>
    <row r="4" spans="3:80" x14ac:dyDescent="0.15">
      <c r="C4" s="21" t="s">
        <v>352</v>
      </c>
      <c r="D4">
        <v>174.792</v>
      </c>
      <c r="E4">
        <v>230.55099999999999</v>
      </c>
      <c r="F4">
        <v>261.678</v>
      </c>
      <c r="G4">
        <v>550.36199999999997</v>
      </c>
      <c r="H4">
        <v>702.18100000000004</v>
      </c>
      <c r="I4">
        <v>862.78899999999999</v>
      </c>
      <c r="J4">
        <v>1256.57</v>
      </c>
      <c r="K4">
        <v>1743.76</v>
      </c>
      <c r="L4">
        <v>1874.53</v>
      </c>
      <c r="M4">
        <v>1758.92</v>
      </c>
      <c r="N4">
        <v>1588.39</v>
      </c>
      <c r="O4">
        <v>1356.74</v>
      </c>
      <c r="P4">
        <v>1177.82</v>
      </c>
      <c r="Q4">
        <v>978.37</v>
      </c>
      <c r="R4">
        <v>979.43100000000004</v>
      </c>
      <c r="S4">
        <v>935.71400000000006</v>
      </c>
      <c r="T4">
        <v>958.28</v>
      </c>
      <c r="U4">
        <v>973.50199999999995</v>
      </c>
      <c r="V4">
        <v>955.96400000000006</v>
      </c>
      <c r="W4">
        <v>981.45</v>
      </c>
      <c r="X4">
        <v>1092.06</v>
      </c>
      <c r="Y4">
        <v>1139.68</v>
      </c>
      <c r="Z4">
        <v>1141.99</v>
      </c>
      <c r="AA4">
        <v>859.41600000000005</v>
      </c>
      <c r="AB4">
        <v>1228.72</v>
      </c>
      <c r="AC4">
        <v>1229.5999999999999</v>
      </c>
      <c r="AD4">
        <v>1455.19</v>
      </c>
      <c r="AE4">
        <v>1195.3399999999999</v>
      </c>
      <c r="AF4">
        <v>1390.12</v>
      </c>
      <c r="AG4">
        <v>1326.4</v>
      </c>
      <c r="AH4">
        <v>1329.15</v>
      </c>
      <c r="AI4">
        <v>1264.04</v>
      </c>
      <c r="AJ4">
        <v>1192.55</v>
      </c>
      <c r="AK4">
        <v>1124.23</v>
      </c>
      <c r="AL4">
        <v>1100.92</v>
      </c>
      <c r="AM4">
        <v>989.56299999999999</v>
      </c>
      <c r="AN4">
        <v>1132.46</v>
      </c>
      <c r="AO4">
        <v>1386.92</v>
      </c>
      <c r="AP4">
        <v>1479.94</v>
      </c>
      <c r="AQ4">
        <v>1500</v>
      </c>
    </row>
    <row r="5" spans="3:80" x14ac:dyDescent="0.15">
      <c r="C5" s="21"/>
      <c r="V5" s="21">
        <v>1982</v>
      </c>
      <c r="W5" s="21">
        <v>1983</v>
      </c>
      <c r="X5" s="21">
        <v>1984</v>
      </c>
      <c r="Y5" s="21">
        <v>1985</v>
      </c>
      <c r="Z5" s="21">
        <v>1986</v>
      </c>
      <c r="AA5" s="21">
        <v>1987</v>
      </c>
      <c r="AB5" s="21">
        <v>1988</v>
      </c>
      <c r="AC5" s="21">
        <v>1989</v>
      </c>
      <c r="AD5" s="21">
        <v>1990</v>
      </c>
      <c r="AE5" s="21">
        <v>1991</v>
      </c>
      <c r="AF5" s="21">
        <v>1992</v>
      </c>
      <c r="AG5" s="21">
        <v>1993</v>
      </c>
      <c r="AH5" s="21">
        <v>1994</v>
      </c>
      <c r="AI5" s="21">
        <v>1995</v>
      </c>
      <c r="AJ5" s="21">
        <v>1996</v>
      </c>
      <c r="AK5" s="21">
        <v>1997</v>
      </c>
      <c r="AL5" s="21">
        <v>1998</v>
      </c>
      <c r="AM5" s="21">
        <v>1999</v>
      </c>
      <c r="AN5" s="21">
        <v>2000</v>
      </c>
      <c r="AO5" s="21">
        <v>2001</v>
      </c>
      <c r="AP5" s="21">
        <v>2002</v>
      </c>
      <c r="AQ5" s="21">
        <v>2003</v>
      </c>
      <c r="AR5" s="21">
        <v>2004</v>
      </c>
      <c r="AS5" s="21">
        <v>2005</v>
      </c>
      <c r="AT5" s="21">
        <v>2006</v>
      </c>
      <c r="AU5" s="21">
        <v>2007</v>
      </c>
      <c r="AV5" s="21">
        <v>2008</v>
      </c>
      <c r="AW5" s="21">
        <v>2009</v>
      </c>
      <c r="AX5" s="4">
        <v>2010</v>
      </c>
      <c r="AY5" s="4">
        <v>2011</v>
      </c>
      <c r="AZ5" s="4">
        <v>2012</v>
      </c>
      <c r="BA5" s="4">
        <v>2013</v>
      </c>
      <c r="BB5" s="4">
        <v>2014</v>
      </c>
      <c r="BC5" s="4">
        <v>2015</v>
      </c>
      <c r="BD5" s="4">
        <v>2016</v>
      </c>
    </row>
    <row r="6" spans="3:80" x14ac:dyDescent="0.15">
      <c r="C6" s="21" t="s">
        <v>127</v>
      </c>
      <c r="E6">
        <f>pm.rep!B519</f>
        <v>2474.5500000000002</v>
      </c>
      <c r="F6">
        <f>pm.rep!C519</f>
        <v>3011.46</v>
      </c>
      <c r="G6">
        <f>pm.rep!D519</f>
        <v>3810.76</v>
      </c>
      <c r="H6">
        <f>pm.rep!E519</f>
        <v>4936.08</v>
      </c>
      <c r="I6">
        <f>pm.rep!F519</f>
        <v>5806.02</v>
      </c>
      <c r="J6">
        <f>pm.rep!G519</f>
        <v>6008.62</v>
      </c>
      <c r="K6">
        <f>pm.rep!H519</f>
        <v>6102.19</v>
      </c>
      <c r="L6">
        <f>pm.rep!I519</f>
        <v>6025.43</v>
      </c>
      <c r="M6">
        <f>pm.rep!J519</f>
        <v>5165.8</v>
      </c>
      <c r="N6">
        <f>pm.rep!K519</f>
        <v>4478.78</v>
      </c>
      <c r="O6">
        <f>pm.rep!L519</f>
        <v>4513.84</v>
      </c>
      <c r="P6">
        <f>pm.rep!M519</f>
        <v>4311.6899999999996</v>
      </c>
      <c r="T6" s="21" t="s">
        <v>418</v>
      </c>
      <c r="U6" s="21" t="s">
        <v>127</v>
      </c>
      <c r="V6" s="27">
        <f t="array" ref="V6:AH6">pm.rep!$B$502:$N$502</f>
        <v>6310.33</v>
      </c>
      <c r="W6" s="27">
        <v>6929.87</v>
      </c>
      <c r="X6" s="27">
        <v>5254.46</v>
      </c>
      <c r="Y6" s="27">
        <v>6348.25</v>
      </c>
      <c r="Z6" s="27">
        <v>5121.55</v>
      </c>
      <c r="AA6" s="27">
        <v>7347.19</v>
      </c>
      <c r="AB6" s="27">
        <v>8657.6</v>
      </c>
      <c r="AC6" s="27">
        <v>7786.73</v>
      </c>
      <c r="AD6" s="27">
        <v>5958.58</v>
      </c>
      <c r="AE6" s="27">
        <v>4226.82</v>
      </c>
      <c r="AF6" s="27">
        <v>3952.03</v>
      </c>
      <c r="AG6" s="27">
        <v>4540.47</v>
      </c>
      <c r="AH6" s="27">
        <v>4557.5</v>
      </c>
      <c r="AI6" s="27">
        <f>pm.rep!$O$502</f>
        <v>3458.3</v>
      </c>
      <c r="AJ6" s="27">
        <f>pm.rep!P502</f>
        <v>2700.03</v>
      </c>
      <c r="AK6" s="27">
        <f>pm.rep!Q502</f>
        <v>3356.55</v>
      </c>
      <c r="AL6" s="27">
        <f>pm.rep!R502</f>
        <v>2952.98</v>
      </c>
      <c r="AM6" s="27">
        <f>pm.rep!S502</f>
        <v>4515.58</v>
      </c>
      <c r="AN6" s="27">
        <f>pm.rep!T502</f>
        <v>4539.2</v>
      </c>
      <c r="AO6" s="27">
        <f>pm.rep!U502</f>
        <v>3840.49</v>
      </c>
      <c r="AP6" s="27">
        <f>pm.rep!V502</f>
        <v>3759.51</v>
      </c>
      <c r="AQ6" s="27">
        <f>pm.rep!W502</f>
        <v>2772.96</v>
      </c>
      <c r="AR6" s="27">
        <f>pm.rep!X502</f>
        <v>3243.85</v>
      </c>
      <c r="AS6" s="27">
        <f>pm.rep!Y502</f>
        <v>4133.6499999999996</v>
      </c>
      <c r="AT6" s="27">
        <f>pm.rep!Z502</f>
        <v>2635.86</v>
      </c>
      <c r="AU6" s="27">
        <f>pm.rep!AA502</f>
        <v>3214.05</v>
      </c>
      <c r="AV6" s="27">
        <f>pm.rep!AB502</f>
        <v>2429.92</v>
      </c>
      <c r="AW6" s="27">
        <f>pm.rep!AC502</f>
        <v>2174.61</v>
      </c>
      <c r="AX6" s="27">
        <f>pm.rep!AD502</f>
        <v>3132.32</v>
      </c>
      <c r="AY6" s="27">
        <f>pm.rep!AE502</f>
        <v>2291.08</v>
      </c>
      <c r="AZ6" s="27">
        <f>pm.rep!AF502</f>
        <v>3659.74</v>
      </c>
      <c r="BA6" s="27">
        <f>pm.rep!AG502</f>
        <v>4702.3999999999996</v>
      </c>
      <c r="BB6" s="27">
        <f>pm.rep!AH502</f>
        <v>5560.98</v>
      </c>
      <c r="BC6" s="27">
        <f>pm.rep!AI502</f>
        <v>5572.81</v>
      </c>
      <c r="BD6" s="27">
        <f>pm.rep!AJ502</f>
        <v>5483.53</v>
      </c>
    </row>
    <row r="7" spans="3:80" x14ac:dyDescent="0.15">
      <c r="C7" s="21" t="s">
        <v>128</v>
      </c>
      <c r="E7">
        <f>pm.rep!B517</f>
        <v>2816.44</v>
      </c>
      <c r="F7">
        <f>pm.rep!C517</f>
        <v>3473.58</v>
      </c>
      <c r="G7">
        <f>pm.rep!D517</f>
        <v>3802.17</v>
      </c>
      <c r="H7">
        <f>pm.rep!E517</f>
        <v>5257.3</v>
      </c>
      <c r="I7">
        <f>pm.rep!F517</f>
        <v>6712.47</v>
      </c>
      <c r="J7">
        <f>pm.rep!G517</f>
        <v>5679.81</v>
      </c>
      <c r="K7">
        <f>pm.rep!H517</f>
        <v>5257.33</v>
      </c>
      <c r="L7">
        <f>pm.rep!I517</f>
        <v>5726.74</v>
      </c>
      <c r="M7">
        <f>pm.rep!J517</f>
        <v>4787.92</v>
      </c>
      <c r="N7">
        <f>pm.rep!K517</f>
        <v>4740.99</v>
      </c>
      <c r="O7">
        <f>pm.rep!L517</f>
        <v>4271.57</v>
      </c>
      <c r="P7">
        <f>pm.rep!M517</f>
        <v>4318.5200000000004</v>
      </c>
      <c r="R7">
        <v>1000</v>
      </c>
      <c r="U7" s="21" t="s">
        <v>128</v>
      </c>
      <c r="V7" s="27">
        <f t="array" ref="V7:AH7">pm.rep!$B$504:$N$504</f>
        <v>12818.7</v>
      </c>
      <c r="W7" s="27">
        <v>15926.6</v>
      </c>
      <c r="X7" s="27">
        <v>10877.4</v>
      </c>
      <c r="Y7" s="27">
        <v>15166.2</v>
      </c>
      <c r="Z7" s="27">
        <v>9997.84</v>
      </c>
      <c r="AA7" s="27">
        <v>12858.9</v>
      </c>
      <c r="AB7" s="27">
        <v>18892.400000000001</v>
      </c>
      <c r="AC7" s="27">
        <v>15757.8</v>
      </c>
      <c r="AD7" s="27">
        <v>15785.4</v>
      </c>
      <c r="AE7" s="27">
        <v>8479.68</v>
      </c>
      <c r="AF7" s="27">
        <v>8325.0300000000007</v>
      </c>
      <c r="AG7" s="27">
        <v>10213.1</v>
      </c>
      <c r="AH7" s="27">
        <v>10042.799999999999</v>
      </c>
      <c r="AI7" s="27">
        <f>pm.rep!O504</f>
        <v>13415.1</v>
      </c>
      <c r="AJ7" s="27">
        <f>pm.rep!P504</f>
        <v>6213.77</v>
      </c>
      <c r="AK7" s="27">
        <f>pm.rep!Q504</f>
        <v>8496.35</v>
      </c>
      <c r="AL7" s="27">
        <f>pm.rep!R504</f>
        <v>6296.36</v>
      </c>
      <c r="AM7" s="27">
        <f>pm.rep!S504</f>
        <v>9138.4500000000007</v>
      </c>
      <c r="AN7" s="27">
        <f>pm.rep!T504</f>
        <v>11305.7</v>
      </c>
      <c r="AO7" s="27">
        <f>pm.rep!U504</f>
        <v>8144.45</v>
      </c>
      <c r="AP7" s="27">
        <f>pm.rep!V504</f>
        <v>9537.39</v>
      </c>
      <c r="AQ7" s="27">
        <f>pm.rep!W504</f>
        <v>15526.5</v>
      </c>
      <c r="AR7" s="27">
        <f>pm.rep!X504</f>
        <v>6744.19</v>
      </c>
      <c r="AS7" s="27">
        <f>pm.rep!Y504</f>
        <v>10345.6</v>
      </c>
      <c r="AT7" s="27">
        <f>pm.rep!Z504</f>
        <v>5056.71</v>
      </c>
      <c r="AU7" s="27">
        <f>pm.rep!AA504</f>
        <v>7357.24</v>
      </c>
      <c r="AV7" s="27">
        <f>pm.rep!AB504</f>
        <v>4636.5</v>
      </c>
      <c r="AW7" s="27">
        <f>pm.rep!AC504</f>
        <v>3648.9</v>
      </c>
      <c r="AX7" s="27">
        <f>pm.rep!AD504</f>
        <v>7033.5</v>
      </c>
      <c r="AY7" s="27">
        <f>pm.rep!AE504</f>
        <v>4950.78</v>
      </c>
      <c r="AZ7" s="27">
        <f>pm.rep!AF504</f>
        <v>7317.35</v>
      </c>
      <c r="BA7" s="27">
        <f>pm.rep!AG504</f>
        <v>9055.2000000000007</v>
      </c>
      <c r="BB7" s="27">
        <f>pm.rep!AH504</f>
        <v>14027.1</v>
      </c>
      <c r="BC7" s="27">
        <f>pm.rep!AI504</f>
        <v>13548.4</v>
      </c>
      <c r="BD7" s="27">
        <f>pm.rep!AJ504</f>
        <v>10626</v>
      </c>
    </row>
    <row r="8" spans="3:80" x14ac:dyDescent="0.15">
      <c r="C8" s="21"/>
      <c r="T8" s="23">
        <f t="array" ref="T8">AVERAGE(V8:AW8/V7:AW7)</f>
        <v>9.1090134650435695E-2</v>
      </c>
      <c r="U8" s="21" t="s">
        <v>416</v>
      </c>
      <c r="V8">
        <v>1273.2812289999999</v>
      </c>
      <c r="W8">
        <v>1128.2297269999999</v>
      </c>
      <c r="X8">
        <v>739.22674370000004</v>
      </c>
      <c r="Y8">
        <v>1930.851273</v>
      </c>
      <c r="Z8">
        <v>826.37305709999998</v>
      </c>
      <c r="AA8">
        <v>1125.6309409999999</v>
      </c>
      <c r="AB8">
        <v>1456.237948</v>
      </c>
      <c r="AC8">
        <v>1136.2500769999999</v>
      </c>
      <c r="AD8">
        <v>1369.8423049999999</v>
      </c>
      <c r="AE8">
        <v>827.37876029999995</v>
      </c>
      <c r="AF8">
        <v>802.10384590000001</v>
      </c>
      <c r="AG8">
        <v>863.1712933</v>
      </c>
      <c r="AH8">
        <v>972.72426849999999</v>
      </c>
      <c r="AI8">
        <v>1809.1080569999999</v>
      </c>
      <c r="AJ8">
        <v>458.01831700000002</v>
      </c>
      <c r="AK8">
        <v>981.64882130000001</v>
      </c>
      <c r="AL8">
        <v>578.14863890000004</v>
      </c>
      <c r="AM8">
        <v>833.79533160000005</v>
      </c>
      <c r="AN8">
        <v>1006.046504</v>
      </c>
      <c r="AO8">
        <v>695.62402029999998</v>
      </c>
      <c r="AP8">
        <v>750.12433099999998</v>
      </c>
      <c r="AQ8">
        <v>1863.12202</v>
      </c>
      <c r="AR8">
        <v>498.72073189999998</v>
      </c>
      <c r="AS8">
        <v>697.37650199999996</v>
      </c>
      <c r="AT8">
        <v>427.32597920000001</v>
      </c>
      <c r="AU8">
        <v>668.51356580000004</v>
      </c>
      <c r="AV8">
        <v>430.89842470000002</v>
      </c>
      <c r="AW8">
        <v>415.07588490000001</v>
      </c>
      <c r="AX8">
        <v>707.02709560000005</v>
      </c>
      <c r="AY8">
        <v>452.59352639999997</v>
      </c>
      <c r="AZ8">
        <v>610.80090210000003</v>
      </c>
      <c r="BA8">
        <v>625.30178760000001</v>
      </c>
      <c r="BB8">
        <v>792.41687979999995</v>
      </c>
      <c r="BC8">
        <v>705.3779581</v>
      </c>
      <c r="BD8">
        <v>700</v>
      </c>
    </row>
    <row r="9" spans="3:80" x14ac:dyDescent="0.15">
      <c r="C9" s="21"/>
      <c r="U9" s="21" t="s">
        <v>417</v>
      </c>
      <c r="V9" s="31">
        <f>(V7-V6)/V8</f>
        <v>5.1114945007957866</v>
      </c>
      <c r="W9" s="31">
        <f t="shared" ref="W9:AY9" si="1">(W7-W6)/W8</f>
        <v>7.9742004528834762</v>
      </c>
      <c r="X9" s="31">
        <f t="shared" si="1"/>
        <v>7.6065159275162184</v>
      </c>
      <c r="Y9" s="31">
        <f t="shared" si="1"/>
        <v>4.5668716815766892</v>
      </c>
      <c r="Z9" s="31">
        <f t="shared" si="1"/>
        <v>5.9008337192313816</v>
      </c>
      <c r="AA9" s="31">
        <f t="shared" si="1"/>
        <v>4.8965516131810034</v>
      </c>
      <c r="AB9" s="31">
        <f t="shared" si="1"/>
        <v>7.0282470073359198</v>
      </c>
      <c r="AC9" s="31">
        <f t="shared" si="1"/>
        <v>7.0152426489120492</v>
      </c>
      <c r="AD9" s="31">
        <f t="shared" si="1"/>
        <v>7.1736870471378822</v>
      </c>
      <c r="AE9" s="31">
        <f t="shared" si="1"/>
        <v>5.1401609565828741</v>
      </c>
      <c r="AF9" s="31">
        <f t="shared" si="1"/>
        <v>5.4519125202464007</v>
      </c>
      <c r="AG9" s="31">
        <f t="shared" si="1"/>
        <v>6.5718473772603163</v>
      </c>
      <c r="AH9" s="31">
        <f t="shared" si="1"/>
        <v>5.6391108741006999</v>
      </c>
      <c r="AI9" s="31">
        <f t="shared" si="1"/>
        <v>5.5037066257452416</v>
      </c>
      <c r="AJ9" s="31">
        <f t="shared" si="1"/>
        <v>7.671614583047341</v>
      </c>
      <c r="AK9" s="31">
        <f t="shared" si="1"/>
        <v>5.2358846549556795</v>
      </c>
      <c r="AL9" s="31">
        <f t="shared" si="1"/>
        <v>5.7829073270174911</v>
      </c>
      <c r="AM9" s="31">
        <f t="shared" si="1"/>
        <v>5.5443702126863776</v>
      </c>
      <c r="AN9" s="31">
        <f t="shared" si="1"/>
        <v>6.7258322285268841</v>
      </c>
      <c r="AO9" s="31">
        <f t="shared" si="1"/>
        <v>6.187192900762458</v>
      </c>
      <c r="AP9" s="31">
        <f t="shared" si="1"/>
        <v>7.7025631101679322</v>
      </c>
      <c r="AQ9" s="31">
        <f t="shared" si="1"/>
        <v>6.8452521429594828</v>
      </c>
      <c r="AR9" s="31">
        <f t="shared" si="1"/>
        <v>7.0186374379596952</v>
      </c>
      <c r="AS9" s="31">
        <f t="shared" si="1"/>
        <v>8.9075986675559093</v>
      </c>
      <c r="AT9" s="31">
        <f t="shared" si="1"/>
        <v>5.6651130935968146</v>
      </c>
      <c r="AU9" s="31">
        <f t="shared" si="1"/>
        <v>6.1976154441113049</v>
      </c>
      <c r="AV9" s="31">
        <f t="shared" si="1"/>
        <v>5.1208820304605762</v>
      </c>
      <c r="AW9" s="31">
        <f t="shared" si="1"/>
        <v>3.5518565487252665</v>
      </c>
      <c r="AX9" s="31">
        <f t="shared" si="1"/>
        <v>5.5177234709645253</v>
      </c>
      <c r="AY9" s="31">
        <f t="shared" si="1"/>
        <v>5.8765754365858287</v>
      </c>
      <c r="AZ9" s="31">
        <f>(AZ7-AZ6)/AZ8</f>
        <v>5.9882197086231193</v>
      </c>
      <c r="BA9" s="31">
        <f>(BA7-BA6)/BA8</f>
        <v>6.961118753085108</v>
      </c>
      <c r="BB9" s="31">
        <f>(BB7-BB6)/BB8</f>
        <v>10.683921829298722</v>
      </c>
      <c r="BC9" s="31">
        <f>(BC7-BC6)/BC8</f>
        <v>11.306831902549067</v>
      </c>
      <c r="BD9" s="21" t="s">
        <v>414</v>
      </c>
      <c r="BE9" s="21">
        <f>STDEV(V9:BC9)</f>
        <v>1.5921298420180898</v>
      </c>
    </row>
    <row r="10" spans="3:80" x14ac:dyDescent="0.15">
      <c r="C10" s="87" t="s">
        <v>509</v>
      </c>
      <c r="D10" s="23">
        <f>AVERAGE(Stdev!D583:D706)</f>
        <v>288.96908807258058</v>
      </c>
      <c r="V10">
        <f t="shared" ref="V10:AS10" si="2">LN(V7/V6)^2</f>
        <v>0.50227988413179836</v>
      </c>
      <c r="W10">
        <f t="shared" si="2"/>
        <v>0.69247297901831317</v>
      </c>
      <c r="X10">
        <f t="shared" si="2"/>
        <v>0.52941631575202197</v>
      </c>
      <c r="Y10">
        <f t="shared" si="2"/>
        <v>0.75844953703923124</v>
      </c>
      <c r="Z10">
        <f t="shared" si="2"/>
        <v>0.44744318621853946</v>
      </c>
      <c r="AA10">
        <f t="shared" si="2"/>
        <v>0.31328452095500153</v>
      </c>
      <c r="AB10">
        <f t="shared" si="2"/>
        <v>0.60890269974114519</v>
      </c>
      <c r="AC10">
        <f t="shared" si="2"/>
        <v>0.49690442123266221</v>
      </c>
      <c r="AD10">
        <f t="shared" si="2"/>
        <v>0.9491694234777065</v>
      </c>
      <c r="AE10">
        <f t="shared" si="2"/>
        <v>0.4847261537616368</v>
      </c>
      <c r="AF10">
        <f t="shared" si="2"/>
        <v>0.55508053147434266</v>
      </c>
      <c r="AG10">
        <f t="shared" si="2"/>
        <v>0.65713831055696992</v>
      </c>
      <c r="AH10">
        <f t="shared" si="2"/>
        <v>0.62422914367310134</v>
      </c>
      <c r="AI10">
        <f t="shared" si="2"/>
        <v>1.8376616607958174</v>
      </c>
      <c r="AJ10">
        <f t="shared" si="2"/>
        <v>0.69473044004543949</v>
      </c>
      <c r="AK10">
        <f t="shared" si="2"/>
        <v>0.86252640841216355</v>
      </c>
      <c r="AL10">
        <f t="shared" si="2"/>
        <v>0.5732865086407275</v>
      </c>
      <c r="AM10">
        <f t="shared" si="2"/>
        <v>0.4969645798603548</v>
      </c>
      <c r="AN10">
        <f t="shared" si="2"/>
        <v>0.83275888796021913</v>
      </c>
      <c r="AO10">
        <f t="shared" si="2"/>
        <v>0.56510814289245659</v>
      </c>
      <c r="AP10">
        <f t="shared" si="2"/>
        <v>0.86663296125032474</v>
      </c>
      <c r="AQ10">
        <f t="shared" si="2"/>
        <v>2.9674641074418302</v>
      </c>
      <c r="AR10">
        <f t="shared" si="2"/>
        <v>0.53570761469055617</v>
      </c>
      <c r="AS10">
        <f t="shared" si="2"/>
        <v>0.8416237042571284</v>
      </c>
      <c r="AT10">
        <f t="shared" ref="AT10:AY10" si="3">LN(AT7/AT6)^2</f>
        <v>0.42446081042068012</v>
      </c>
      <c r="AU10">
        <f t="shared" si="3"/>
        <v>0.68583745480907299</v>
      </c>
      <c r="AV10">
        <f t="shared" si="3"/>
        <v>0.41744706593506486</v>
      </c>
      <c r="AW10">
        <f t="shared" si="3"/>
        <v>0.26788534452843388</v>
      </c>
      <c r="AX10">
        <f t="shared" si="3"/>
        <v>0.65433620375578405</v>
      </c>
      <c r="AY10">
        <f t="shared" si="3"/>
        <v>0.59370387172660066</v>
      </c>
      <c r="AZ10">
        <f>LN(AZ7/AZ6)^2</f>
        <v>0.48004962232579995</v>
      </c>
      <c r="BA10">
        <f>LN(BA7/BA6)^2</f>
        <v>0.42937374260818639</v>
      </c>
      <c r="BB10">
        <f>LN(BB7/BB6)^2</f>
        <v>0.85602616604040416</v>
      </c>
      <c r="BC10">
        <f>LN(BC7/BC6)^2</f>
        <v>0.78919955854124402</v>
      </c>
      <c r="BD10" s="21" t="s">
        <v>261</v>
      </c>
      <c r="BE10">
        <f>SQRT(AVERAGE(V10:BC10))</f>
        <v>0.8452685261461339</v>
      </c>
    </row>
    <row r="11" spans="3:80" x14ac:dyDescent="0.15">
      <c r="C11" s="87" t="s">
        <v>510</v>
      </c>
      <c r="D11" s="23">
        <f>AVERAGE(Stdev!D697:D706)</f>
        <v>0.26266600000000001</v>
      </c>
    </row>
    <row r="12" spans="3:80" x14ac:dyDescent="0.15">
      <c r="C12" s="87" t="s">
        <v>511</v>
      </c>
      <c r="D12" s="23">
        <f>Stdev!D706</f>
        <v>0.24668999999999999</v>
      </c>
    </row>
    <row r="13" spans="3:80" x14ac:dyDescent="0.15">
      <c r="C13" s="87" t="s">
        <v>512</v>
      </c>
      <c r="D13" s="23">
        <f>MAX(Stdev!D628:D706)</f>
        <v>27751</v>
      </c>
      <c r="R13" t="s">
        <v>121</v>
      </c>
    </row>
    <row r="14" spans="3:80" x14ac:dyDescent="0.15">
      <c r="R14" s="21" t="s">
        <v>127</v>
      </c>
      <c r="S14" s="27">
        <f>pm.rep!B506</f>
        <v>12241.7</v>
      </c>
      <c r="V14">
        <f>pm.rep!C506</f>
        <v>10850</v>
      </c>
      <c r="Y14">
        <f>(pm.rep!D506)</f>
        <v>10486.4</v>
      </c>
      <c r="AB14">
        <f>(pm.rep!E506)</f>
        <v>7497.98</v>
      </c>
      <c r="AE14">
        <f>(pm.rep!F506)</f>
        <v>8498.82</v>
      </c>
      <c r="AH14">
        <f>(pm.rep!G506)</f>
        <v>11604.5</v>
      </c>
      <c r="AJ14">
        <f>(pm.rep!H506)</f>
        <v>8449.0300000000007</v>
      </c>
      <c r="AK14">
        <f>(pm.rep!I506)</f>
        <v>8385.24</v>
      </c>
      <c r="AM14">
        <f>(pm.rep!J506)</f>
        <v>8346.23</v>
      </c>
      <c r="AN14">
        <f>(pm.rep!K506)</f>
        <v>7707.07</v>
      </c>
      <c r="AP14">
        <f>(pm.rep!L506)</f>
        <v>9644.23</v>
      </c>
      <c r="AR14">
        <f>(pm.rep!M506)</f>
        <v>8255.52</v>
      </c>
      <c r="AT14">
        <f>(pm.rep!N506)</f>
        <v>4366.5</v>
      </c>
      <c r="AU14">
        <f>(pm.rep!O506)</f>
        <v>3938.44</v>
      </c>
      <c r="AV14">
        <f>(pm.rep!P506)</f>
        <v>5496.39</v>
      </c>
      <c r="AW14">
        <f>(pm.rep!Q506)</f>
        <v>5643.1</v>
      </c>
      <c r="AX14">
        <f>(pm.rep!R506)</f>
        <v>10496.6</v>
      </c>
      <c r="AZ14">
        <f>(pm.rep!S506)</f>
        <v>8886.2800000000007</v>
      </c>
      <c r="BB14">
        <f>(pm.rep!T506)</f>
        <v>11884.7</v>
      </c>
      <c r="BD14">
        <f>(pm.rep!U506)</f>
        <v>10920.5</v>
      </c>
    </row>
    <row r="15" spans="3:80" x14ac:dyDescent="0.15">
      <c r="R15" s="21" t="s">
        <v>128</v>
      </c>
      <c r="S15">
        <f>pm.rep!B508</f>
        <v>46314</v>
      </c>
      <c r="V15">
        <f>pm.rep!C508</f>
        <v>17805</v>
      </c>
      <c r="Y15">
        <f>(pm.rep!D508)</f>
        <v>14965</v>
      </c>
      <c r="AB15">
        <f>(pm.rep!E508)</f>
        <v>12280</v>
      </c>
      <c r="AE15">
        <f>(pm.rep!F508)</f>
        <v>7729.52</v>
      </c>
      <c r="AH15">
        <f>(pm.rep!G508)</f>
        <v>9129.6200000000008</v>
      </c>
      <c r="AJ15">
        <f>(pm.rep!H508)</f>
        <v>5552.9</v>
      </c>
      <c r="AK15">
        <f>(pm.rep!I508)</f>
        <v>6319.49</v>
      </c>
      <c r="AM15">
        <f>(pm.rep!J508)</f>
        <v>9488.7900000000009</v>
      </c>
      <c r="AN15">
        <f>(pm.rep!K508)</f>
        <v>7371.83</v>
      </c>
      <c r="AP15">
        <f>(pm.rep!L508)</f>
        <v>11560.4</v>
      </c>
      <c r="AR15">
        <f>(pm.rep!M508)</f>
        <v>6818.74</v>
      </c>
      <c r="AT15">
        <f>(pm.rep!N508)</f>
        <v>2940.09</v>
      </c>
      <c r="AU15">
        <f>(pm.rep!O508)</f>
        <v>3618.12</v>
      </c>
      <c r="AV15">
        <f>(pm.rep!P508)</f>
        <v>4667.5</v>
      </c>
      <c r="AW15">
        <f>(pm.rep!Q508)</f>
        <v>2869.71</v>
      </c>
      <c r="AX15">
        <f>(pm.rep!R508)</f>
        <v>10023</v>
      </c>
      <c r="AZ15">
        <f>(pm.rep!S508)</f>
        <v>6600.4</v>
      </c>
      <c r="BB15">
        <f>(pm.rep!T508)</f>
        <v>12945.2</v>
      </c>
      <c r="BD15">
        <f>(pm.rep!U508)</f>
        <v>10692.3</v>
      </c>
    </row>
    <row r="16" spans="3:80" x14ac:dyDescent="0.15">
      <c r="Q16" s="21" t="s">
        <v>199</v>
      </c>
      <c r="R16" s="21" t="s">
        <v>419</v>
      </c>
      <c r="S16">
        <f>S15*0.35</f>
        <v>16209.9</v>
      </c>
      <c r="V16">
        <f>V15*$Q$17</f>
        <v>4451.25</v>
      </c>
      <c r="Y16">
        <f>Y15*$Q$17</f>
        <v>3741.25</v>
      </c>
      <c r="AB16">
        <f>AB15*$Q$17</f>
        <v>3070</v>
      </c>
      <c r="AE16">
        <f>AE15*$Q$17</f>
        <v>1932.38</v>
      </c>
      <c r="AH16">
        <f>AH15*$Q$17</f>
        <v>2282.4050000000002</v>
      </c>
      <c r="AJ16">
        <f>AJ15*$Q$17</f>
        <v>1388.2249999999999</v>
      </c>
      <c r="AK16">
        <f>AK15*$Q$17</f>
        <v>1579.8724999999999</v>
      </c>
      <c r="AM16">
        <f>AM15*$Q$17</f>
        <v>2372.1975000000002</v>
      </c>
      <c r="AN16">
        <f>AN15*$Q$17</f>
        <v>1842.9575</v>
      </c>
      <c r="AP16">
        <f>AP15*$Q$17</f>
        <v>2890.1</v>
      </c>
      <c r="AR16">
        <f>AR15*$Q$17</f>
        <v>1704.6849999999999</v>
      </c>
      <c r="AT16">
        <f>AT15*$Q$17</f>
        <v>735.02250000000004</v>
      </c>
      <c r="AU16">
        <f>AU15*$Q$17</f>
        <v>904.53</v>
      </c>
      <c r="AV16">
        <f>AV15*$Q$17</f>
        <v>1166.875</v>
      </c>
      <c r="AW16">
        <f>AW15*$Q$17</f>
        <v>717.42750000000001</v>
      </c>
      <c r="AX16">
        <f>AX15*$Q$17</f>
        <v>2505.75</v>
      </c>
      <c r="AZ16">
        <f>AZ15*$Q$17</f>
        <v>1650.1</v>
      </c>
      <c r="BB16">
        <f>BB15*$Q$17</f>
        <v>3236.3</v>
      </c>
      <c r="BD16">
        <f>BD15*$Q$17</f>
        <v>2673.0749999999998</v>
      </c>
    </row>
    <row r="17" spans="3:59" x14ac:dyDescent="0.15">
      <c r="Q17">
        <v>0.25</v>
      </c>
      <c r="R17" s="21" t="s">
        <v>417</v>
      </c>
      <c r="S17" s="31">
        <f>(S15-S14)/S16</f>
        <v>2.1019438738055141</v>
      </c>
      <c r="V17" s="31">
        <f>(V15-V14)/V16</f>
        <v>1.562482448750351</v>
      </c>
      <c r="Y17" s="31">
        <f>(Y15-Y14)/Y16</f>
        <v>1.1970865352489142</v>
      </c>
      <c r="AB17" s="31">
        <f>(AB15-AB14)/AB16</f>
        <v>1.5576612377850165</v>
      </c>
      <c r="AE17" s="31">
        <f>(AE15-AE14)/AE16</f>
        <v>-0.39811010256781754</v>
      </c>
      <c r="AH17" s="31">
        <f>(AH15-AH14)/AH16</f>
        <v>-1.0843299063925986</v>
      </c>
      <c r="AJ17" s="31">
        <f>(AJ15-AJ14)/AJ16</f>
        <v>-2.0862108087665914</v>
      </c>
      <c r="AK17" s="31">
        <f>(AK15-AK14)/AK16</f>
        <v>-1.3075422225527693</v>
      </c>
      <c r="AM17" s="31">
        <f>(AM15-AM14)/AM16</f>
        <v>0.48164623729685291</v>
      </c>
      <c r="AN17" s="31">
        <f>(AN15-AN14)/AN16</f>
        <v>-0.18190327232179787</v>
      </c>
      <c r="AP17" s="31">
        <f>(AP15-AP14)/AP16</f>
        <v>0.66301166049617666</v>
      </c>
      <c r="AR17" s="31">
        <f>(AR15-AR14)/AR16</f>
        <v>-0.84284193267377883</v>
      </c>
      <c r="AS17" s="31"/>
      <c r="AT17" s="31">
        <f>(AT15-AT14)/AT16</f>
        <v>-1.9406344703733556</v>
      </c>
      <c r="AU17" s="31">
        <f>(AU15-AU14)/AU16</f>
        <v>-0.35412866350480376</v>
      </c>
      <c r="AV17" s="31">
        <f>(AV15-AV14)/AV16</f>
        <v>-0.71035029459025201</v>
      </c>
      <c r="AW17" s="31">
        <f>(AW15-AW14)/AW16</f>
        <v>-3.8657425314753064</v>
      </c>
      <c r="AX17" s="31">
        <f>(AX15-AX14)/AX16</f>
        <v>-0.1890052878379728</v>
      </c>
      <c r="AZ17" s="31">
        <f>(AZ15-AZ14)/AZ16</f>
        <v>-1.3852978607357136</v>
      </c>
      <c r="BB17" s="31">
        <f>(BB15-BB14)/BB16</f>
        <v>0.3276890275932392</v>
      </c>
      <c r="BC17" s="31"/>
      <c r="BD17" s="31">
        <f>(BD15-BD14)/BD16</f>
        <v>-8.536984558981725E-2</v>
      </c>
      <c r="BF17" s="21" t="s">
        <v>414</v>
      </c>
      <c r="BG17" s="21">
        <f>STDEV(R17:BC17)</f>
        <v>1.4670370775886969</v>
      </c>
    </row>
    <row r="18" spans="3:59" x14ac:dyDescent="0.15">
      <c r="S18">
        <f>LN(S15/S14)^2</f>
        <v>1.7704860741226578</v>
      </c>
      <c r="V18">
        <f>LN(V15/V14)^2</f>
        <v>0.24533619312057051</v>
      </c>
      <c r="Y18">
        <f>LN(Y15/Y14)^2</f>
        <v>0.12647622604190076</v>
      </c>
      <c r="AB18">
        <f>LN(AB15/AB14)^2</f>
        <v>0.24338265040958765</v>
      </c>
      <c r="AE18">
        <f>LN(AE15/AE14)^2</f>
        <v>9.0023216886479848E-3</v>
      </c>
      <c r="AH18">
        <f>LN(AH15/AH14)^2</f>
        <v>5.7537080172882872E-2</v>
      </c>
      <c r="AJ18">
        <f>LN(AJ15/AJ14)^2</f>
        <v>0.1761743877608512</v>
      </c>
      <c r="AK18">
        <f>LN(AK15/AK14)^2</f>
        <v>7.9995359314786074E-2</v>
      </c>
      <c r="AM18">
        <f>LN(AM15/AM14)^2</f>
        <v>1.6461188159521332E-2</v>
      </c>
      <c r="AN18">
        <f>LN(AN15/AN14)^2</f>
        <v>1.9777685761192196E-3</v>
      </c>
      <c r="AP18">
        <f>LN(AP15/AP14)^2</f>
        <v>3.2842738270076922E-2</v>
      </c>
      <c r="AR18">
        <f>LN(AR15/AR14)^2</f>
        <v>3.6560255841493222E-2</v>
      </c>
      <c r="AT18">
        <f>LN(AT15/AT14)^2</f>
        <v>0.15643732004374905</v>
      </c>
      <c r="AU18">
        <f>LN(AU15/AU14)^2</f>
        <v>7.1961546713844521E-3</v>
      </c>
      <c r="AV18">
        <f>LN(AV15/AV14)^2</f>
        <v>2.6721759779582088E-2</v>
      </c>
      <c r="AW18">
        <f>LN(AW15/AW14)^2</f>
        <v>0.45727697841918891</v>
      </c>
      <c r="AX18">
        <f>LN(AX15/AX14)^2</f>
        <v>2.1315713124480601E-3</v>
      </c>
      <c r="AZ18">
        <f>LN(AZ15/AZ14)^2</f>
        <v>8.8433830116332782E-2</v>
      </c>
      <c r="BB18">
        <f>LN(BB15/BB14)^2</f>
        <v>7.3056686828525492E-3</v>
      </c>
      <c r="BD18">
        <f>LN(BD15/BD14)^2</f>
        <v>4.4596572447989246E-4</v>
      </c>
      <c r="BF18" s="21" t="s">
        <v>261</v>
      </c>
      <c r="BG18">
        <f>SQRT(AVERAGE(S18:BC18))</f>
        <v>0.43174892353534372</v>
      </c>
    </row>
    <row r="19" spans="3:59" x14ac:dyDescent="0.15">
      <c r="R19" s="21" t="s">
        <v>508</v>
      </c>
      <c r="S19">
        <f>2*S16</f>
        <v>32419.8</v>
      </c>
      <c r="V19">
        <f>2*V16</f>
        <v>8902.5</v>
      </c>
      <c r="Y19">
        <f>2*Y16</f>
        <v>7482.5</v>
      </c>
      <c r="AB19">
        <f>2*AB16</f>
        <v>6140</v>
      </c>
      <c r="AE19">
        <f>2*AE16</f>
        <v>3864.76</v>
      </c>
      <c r="AH19">
        <f>2*AH16</f>
        <v>4564.8100000000004</v>
      </c>
      <c r="AJ19">
        <f>2*AJ16</f>
        <v>2776.45</v>
      </c>
      <c r="AK19">
        <f>2*AK16</f>
        <v>3159.7449999999999</v>
      </c>
      <c r="AM19">
        <f>2*AM16</f>
        <v>4744.3950000000004</v>
      </c>
      <c r="AN19">
        <f>2*AN16</f>
        <v>3685.915</v>
      </c>
      <c r="AP19">
        <f>2*AP16</f>
        <v>5780.2</v>
      </c>
      <c r="AR19">
        <f>2*AR16</f>
        <v>3409.37</v>
      </c>
      <c r="AT19">
        <f>2*AT16</f>
        <v>1470.0450000000001</v>
      </c>
      <c r="AU19">
        <f>2*AU16</f>
        <v>1809.06</v>
      </c>
      <c r="AV19">
        <f>2*AV16</f>
        <v>2333.75</v>
      </c>
      <c r="AW19">
        <f>2*AW16</f>
        <v>1434.855</v>
      </c>
      <c r="AX19">
        <f>2*AX16</f>
        <v>5011.5</v>
      </c>
      <c r="AZ19">
        <f>2*AZ16</f>
        <v>3300.2</v>
      </c>
      <c r="BB19">
        <f>2*BB16</f>
        <v>6472.6</v>
      </c>
      <c r="BD19">
        <f>2*BD16</f>
        <v>5346.15</v>
      </c>
    </row>
    <row r="20" spans="3:59" x14ac:dyDescent="0.15">
      <c r="R20" s="21"/>
    </row>
    <row r="21" spans="3:59" x14ac:dyDescent="0.15">
      <c r="R21" s="21"/>
      <c r="AR21" s="21" t="s">
        <v>127</v>
      </c>
      <c r="AT21">
        <f>('AVO wo new'!C4)</f>
        <v>0.48730600000000002</v>
      </c>
      <c r="AU21">
        <f>('AVO wo new'!D4)</f>
        <v>0.40936899999999998</v>
      </c>
      <c r="AV21">
        <f>('AVO wo new'!E4)</f>
        <v>0.35565999999999998</v>
      </c>
      <c r="AW21">
        <f>('AVO wo new'!F4)</f>
        <v>0.43468600000000002</v>
      </c>
      <c r="AX21">
        <f>('AVO wo new'!G4)</f>
        <v>0.60988200000000004</v>
      </c>
      <c r="AY21">
        <f>('AVO wo new'!H4)</f>
        <v>0.64952799999999999</v>
      </c>
      <c r="AZ21">
        <f>('AVO wo new'!I4)</f>
        <v>0.67379599999999995</v>
      </c>
      <c r="BA21">
        <f>('AVO wo new'!J4)</f>
        <v>0.74701200000000001</v>
      </c>
      <c r="BB21">
        <f>('AVO wo new'!K4)</f>
        <v>0.80031099999999999</v>
      </c>
      <c r="BC21">
        <f>('AVO wo new'!L4)</f>
        <v>0.75272700000000003</v>
      </c>
    </row>
    <row r="22" spans="3:59" x14ac:dyDescent="0.15">
      <c r="R22" s="4" t="s">
        <v>140</v>
      </c>
      <c r="S22">
        <f>pm.rep!A879</f>
        <v>0</v>
      </c>
      <c r="AR22" s="21" t="s">
        <v>128</v>
      </c>
      <c r="AT22">
        <f>('AVO wo new'!C3)</f>
        <v>0.55495000000000005</v>
      </c>
      <c r="AU22">
        <f>('AVO wo new'!D3)</f>
        <v>0.63787799999999995</v>
      </c>
      <c r="AV22">
        <f>('AVO wo new'!E3)</f>
        <v>0.31631999999999999</v>
      </c>
      <c r="AW22">
        <f>('AVO wo new'!F3)</f>
        <v>0.284835</v>
      </c>
      <c r="AX22">
        <f>('AVO wo new'!G3)</f>
        <v>0.67869199999999996</v>
      </c>
      <c r="AY22">
        <f>('AVO wo new'!H3)</f>
        <v>0.54338600000000004</v>
      </c>
      <c r="AZ22">
        <f>('AVO wo new'!I3)</f>
        <v>0.66061400000000003</v>
      </c>
      <c r="BA22">
        <f>('AVO wo new'!J3)</f>
        <v>0.69571799999999995</v>
      </c>
      <c r="BB22">
        <f>('AVO wo new'!K3)</f>
        <v>0.89975799999999995</v>
      </c>
      <c r="BC22">
        <f>('AVO wo new'!L3)</f>
        <v>0.95322899999999999</v>
      </c>
    </row>
    <row r="23" spans="3:59" x14ac:dyDescent="0.15">
      <c r="R23" s="21"/>
      <c r="T23">
        <f>pm.rep!B880</f>
        <v>7460</v>
      </c>
      <c r="U23">
        <f>pm.rep!C880</f>
        <v>4900</v>
      </c>
      <c r="V23">
        <f>pm.rep!D880</f>
        <v>4800</v>
      </c>
      <c r="W23">
        <f>pm.rep!E880</f>
        <v>4680</v>
      </c>
      <c r="X23">
        <f>pm.rep!F880</f>
        <v>1450</v>
      </c>
      <c r="Y23">
        <f>pm.rep!G880</f>
        <v>2886.23</v>
      </c>
      <c r="Z23">
        <f>pm.rep!H880</f>
        <v>2310.73</v>
      </c>
      <c r="AA23">
        <f>pm.rep!I880</f>
        <v>2592.1799999999998</v>
      </c>
      <c r="AB23">
        <f>pm.rep!J880</f>
        <v>3285.08</v>
      </c>
      <c r="AC23">
        <f>pm.rep!K880</f>
        <v>3048.7</v>
      </c>
      <c r="AD23">
        <f>pm.rep!L880</f>
        <v>3621.82</v>
      </c>
      <c r="AE23">
        <f>pm.rep!M880</f>
        <v>3306.94</v>
      </c>
      <c r="AF23">
        <f>pm.rep!N880</f>
        <v>1560.13</v>
      </c>
      <c r="AG23">
        <f>pm.rep!O880</f>
        <v>1769.02</v>
      </c>
      <c r="AH23">
        <f>pm.rep!P880</f>
        <v>996.93899999999996</v>
      </c>
      <c r="AI23">
        <f>pm.rep!Q880</f>
        <v>923.84299999999996</v>
      </c>
      <c r="AJ23">
        <f>pm.rep!R880</f>
        <v>2322.64</v>
      </c>
      <c r="AK23">
        <f>pm.rep!S880</f>
        <v>1842.79</v>
      </c>
      <c r="AL23">
        <f>pm.rep!T880</f>
        <v>3501.94</v>
      </c>
      <c r="AQ23" s="21" t="s">
        <v>199</v>
      </c>
      <c r="AR23" s="21" t="s">
        <v>419</v>
      </c>
      <c r="AT23" t="e">
        <f>[4]PM2015.dat!$C$144</f>
        <v>#REF!</v>
      </c>
      <c r="AU23" t="e">
        <f>[4]PM2015.dat!$C$144</f>
        <v>#REF!</v>
      </c>
      <c r="AV23" t="e">
        <f>[4]PM2015.dat!$C$144</f>
        <v>#REF!</v>
      </c>
      <c r="AW23" t="e">
        <f>[4]PM2015.dat!$C$144</f>
        <v>#REF!</v>
      </c>
      <c r="AX23" t="e">
        <f>[4]PM2015.dat!$C$144</f>
        <v>#REF!</v>
      </c>
      <c r="AY23" t="e">
        <f>[4]PM2015.dat!$C$144</f>
        <v>#REF!</v>
      </c>
      <c r="AZ23" t="e">
        <f>[4]PM2015.dat!$C$144</f>
        <v>#REF!</v>
      </c>
      <c r="BA23" t="e">
        <f>[4]PM2015.dat!$C$144</f>
        <v>#REF!</v>
      </c>
      <c r="BB23" t="e">
        <f>[4]PM2015.dat!$C$144</f>
        <v>#REF!</v>
      </c>
      <c r="BC23" t="e">
        <f>[4]PM2015.dat!$C$144</f>
        <v>#REF!</v>
      </c>
    </row>
    <row r="24" spans="3:59" x14ac:dyDescent="0.15">
      <c r="R24" s="21"/>
      <c r="S24" t="s">
        <v>128</v>
      </c>
      <c r="T24">
        <f>pm.rep!B881</f>
        <v>2134.42</v>
      </c>
      <c r="U24">
        <f>pm.rep!C881</f>
        <v>3191.75</v>
      </c>
      <c r="V24">
        <f>pm.rep!D881</f>
        <v>3881.93</v>
      </c>
      <c r="W24">
        <f>pm.rep!E881</f>
        <v>3458.01</v>
      </c>
      <c r="X24">
        <f>pm.rep!F881</f>
        <v>2288.73</v>
      </c>
      <c r="Y24">
        <f>pm.rep!G881</f>
        <v>3216.35</v>
      </c>
      <c r="Z24">
        <f>pm.rep!H881</f>
        <v>3149.88</v>
      </c>
      <c r="AA24">
        <f>pm.rep!I881</f>
        <v>3258.38</v>
      </c>
      <c r="AB24">
        <f>pm.rep!J881</f>
        <v>2827.42</v>
      </c>
      <c r="AC24">
        <f>pm.rep!K881</f>
        <v>2931.41</v>
      </c>
      <c r="AD24">
        <f>pm.rep!L881</f>
        <v>3151.46</v>
      </c>
      <c r="AE24">
        <f>pm.rep!M881</f>
        <v>3267.47</v>
      </c>
      <c r="AF24">
        <f>pm.rep!N881</f>
        <v>2034.65</v>
      </c>
      <c r="AG24">
        <f>pm.rep!O881</f>
        <v>1687.15</v>
      </c>
      <c r="AH24">
        <f>pm.rep!P881</f>
        <v>1487.55</v>
      </c>
      <c r="AI24">
        <f>pm.rep!Q881</f>
        <v>1884.05</v>
      </c>
      <c r="AJ24">
        <f>pm.rep!R881</f>
        <v>2668.75</v>
      </c>
      <c r="AK24">
        <f>pm.rep!S881</f>
        <v>2965.73</v>
      </c>
      <c r="AL24">
        <f>pm.rep!T881</f>
        <v>3472.57</v>
      </c>
      <c r="AQ24">
        <v>0.32</v>
      </c>
      <c r="AR24" s="21" t="s">
        <v>417</v>
      </c>
      <c r="AT24" s="31" t="e">
        <f t="shared" ref="AT24:AY24" si="4">(AT22-AT21)/AT23</f>
        <v>#REF!</v>
      </c>
      <c r="AU24" s="31" t="e">
        <f t="shared" si="4"/>
        <v>#REF!</v>
      </c>
      <c r="AV24" s="31" t="e">
        <f t="shared" si="4"/>
        <v>#REF!</v>
      </c>
      <c r="AW24" s="31" t="e">
        <f t="shared" si="4"/>
        <v>#REF!</v>
      </c>
      <c r="AX24" s="31" t="e">
        <f t="shared" si="4"/>
        <v>#REF!</v>
      </c>
      <c r="AY24" s="31" t="e">
        <f t="shared" si="4"/>
        <v>#REF!</v>
      </c>
      <c r="AZ24" s="31" t="e">
        <f>(AZ22-AZ21)/AZ23</f>
        <v>#REF!</v>
      </c>
      <c r="BA24" s="31" t="e">
        <f>(BA22-BA21)/BA23</f>
        <v>#REF!</v>
      </c>
      <c r="BB24" s="31" t="e">
        <f>(BB22-BB21)/BB23</f>
        <v>#REF!</v>
      </c>
      <c r="BC24" s="31" t="e">
        <f>(BC22-BC21)/BC23</f>
        <v>#REF!</v>
      </c>
      <c r="BD24" s="21" t="s">
        <v>414</v>
      </c>
      <c r="BE24" s="21" t="e">
        <f>STDEV(AT24:BC24)</f>
        <v>#REF!</v>
      </c>
    </row>
    <row r="25" spans="3:59" x14ac:dyDescent="0.15">
      <c r="R25" s="21"/>
      <c r="T25">
        <f>pm.rep!B882</f>
        <v>0</v>
      </c>
      <c r="U25">
        <f>pm.rep!C882</f>
        <v>0</v>
      </c>
      <c r="V25">
        <f>pm.rep!D882</f>
        <v>0</v>
      </c>
      <c r="W25">
        <f>pm.rep!E882</f>
        <v>0</v>
      </c>
      <c r="X25">
        <f>pm.rep!F882</f>
        <v>0</v>
      </c>
      <c r="Y25">
        <f>pm.rep!G882</f>
        <v>0</v>
      </c>
      <c r="Z25">
        <f>pm.rep!H882</f>
        <v>0</v>
      </c>
      <c r="AA25">
        <f>pm.rep!I882</f>
        <v>0</v>
      </c>
      <c r="AB25">
        <f>pm.rep!J882</f>
        <v>0</v>
      </c>
      <c r="AC25">
        <f>pm.rep!K882</f>
        <v>0</v>
      </c>
      <c r="AD25">
        <f>pm.rep!L882</f>
        <v>0</v>
      </c>
      <c r="AE25">
        <f>pm.rep!M882</f>
        <v>0</v>
      </c>
      <c r="AF25">
        <f>pm.rep!N882</f>
        <v>0</v>
      </c>
      <c r="AG25">
        <f>pm.rep!O882</f>
        <v>0</v>
      </c>
      <c r="AH25">
        <f>pm.rep!P882</f>
        <v>0</v>
      </c>
      <c r="AI25">
        <f>pm.rep!Q882</f>
        <v>0</v>
      </c>
      <c r="AJ25">
        <f>pm.rep!R882</f>
        <v>0</v>
      </c>
      <c r="AK25">
        <f>pm.rep!S882</f>
        <v>0</v>
      </c>
      <c r="AL25">
        <f>pm.rep!T882</f>
        <v>0</v>
      </c>
      <c r="AT25">
        <f t="shared" ref="AT25:AY25" si="5">LN(AT22/AT21)^2</f>
        <v>1.6896297043827037E-2</v>
      </c>
      <c r="AU25">
        <f t="shared" si="5"/>
        <v>0.19671894312632862</v>
      </c>
      <c r="AV25">
        <f t="shared" si="5"/>
        <v>1.374072975966132E-2</v>
      </c>
      <c r="AW25">
        <f t="shared" si="5"/>
        <v>0.17868701260290218</v>
      </c>
      <c r="AX25">
        <f t="shared" si="5"/>
        <v>1.142802062111874E-2</v>
      </c>
      <c r="AY25">
        <f t="shared" si="5"/>
        <v>3.1835841870896109E-2</v>
      </c>
      <c r="AZ25">
        <f>LN(AZ22/AZ21)^2</f>
        <v>3.9036627019735658E-4</v>
      </c>
      <c r="BA25">
        <f>LN(BA22/BA21)^2</f>
        <v>5.060450495277322E-3</v>
      </c>
      <c r="BB25">
        <f>LN(BB22/BB21)^2</f>
        <v>1.3718367794287954E-2</v>
      </c>
      <c r="BC25">
        <f>LN(BC22/BC21)^2</f>
        <v>5.5768029863680235E-2</v>
      </c>
      <c r="BD25" s="21" t="s">
        <v>261</v>
      </c>
      <c r="BE25">
        <f>SQRT(AVERAGE(AT25:BC25))</f>
        <v>0.22896376557179893</v>
      </c>
    </row>
    <row r="26" spans="3:59" x14ac:dyDescent="0.15">
      <c r="R26" s="21"/>
      <c r="T26">
        <f>AVERAGE(U24:AL24)</f>
        <v>2823.5133333333342</v>
      </c>
      <c r="U26">
        <f>T26</f>
        <v>2823.5133333333342</v>
      </c>
      <c r="V26">
        <f t="shared" ref="V26:AL26" si="6">U26</f>
        <v>2823.5133333333342</v>
      </c>
      <c r="W26">
        <f t="shared" si="6"/>
        <v>2823.5133333333342</v>
      </c>
      <c r="X26">
        <f t="shared" si="6"/>
        <v>2823.5133333333342</v>
      </c>
      <c r="Y26">
        <f t="shared" si="6"/>
        <v>2823.5133333333342</v>
      </c>
      <c r="Z26">
        <f t="shared" si="6"/>
        <v>2823.5133333333342</v>
      </c>
      <c r="AA26">
        <f t="shared" si="6"/>
        <v>2823.5133333333342</v>
      </c>
      <c r="AB26">
        <f t="shared" si="6"/>
        <v>2823.5133333333342</v>
      </c>
      <c r="AC26">
        <f t="shared" si="6"/>
        <v>2823.5133333333342</v>
      </c>
      <c r="AD26">
        <f t="shared" si="6"/>
        <v>2823.5133333333342</v>
      </c>
      <c r="AE26">
        <f t="shared" si="6"/>
        <v>2823.5133333333342</v>
      </c>
      <c r="AF26">
        <f t="shared" si="6"/>
        <v>2823.5133333333342</v>
      </c>
      <c r="AG26">
        <f t="shared" si="6"/>
        <v>2823.5133333333342</v>
      </c>
      <c r="AH26">
        <f t="shared" si="6"/>
        <v>2823.5133333333342</v>
      </c>
      <c r="AI26">
        <f t="shared" si="6"/>
        <v>2823.5133333333342</v>
      </c>
      <c r="AJ26">
        <f t="shared" si="6"/>
        <v>2823.5133333333342</v>
      </c>
      <c r="AK26">
        <f t="shared" si="6"/>
        <v>2823.5133333333342</v>
      </c>
      <c r="AL26">
        <f t="shared" si="6"/>
        <v>2823.5133333333342</v>
      </c>
      <c r="AR26" s="21" t="s">
        <v>508</v>
      </c>
      <c r="AT26" t="e">
        <f>2*AT23</f>
        <v>#REF!</v>
      </c>
      <c r="AU26" t="e">
        <f>2*AU23</f>
        <v>#REF!</v>
      </c>
      <c r="AV26" t="e">
        <f>2*AV23</f>
        <v>#REF!</v>
      </c>
      <c r="AW26" t="e">
        <f>2*AW23</f>
        <v>#REF!</v>
      </c>
      <c r="AX26" t="e">
        <f t="shared" ref="AX26:BC26" si="7">2*AX23</f>
        <v>#REF!</v>
      </c>
      <c r="AY26" t="e">
        <f t="shared" si="7"/>
        <v>#REF!</v>
      </c>
      <c r="AZ26" t="e">
        <f>2*AZ23</f>
        <v>#REF!</v>
      </c>
      <c r="BA26" t="e">
        <f t="shared" si="7"/>
        <v>#REF!</v>
      </c>
      <c r="BB26" t="e">
        <f t="shared" si="7"/>
        <v>#REF!</v>
      </c>
      <c r="BC26" t="e">
        <f t="shared" si="7"/>
        <v>#REF!</v>
      </c>
    </row>
    <row r="27" spans="3:59" x14ac:dyDescent="0.15">
      <c r="R27" s="21"/>
      <c r="AT27" s="31"/>
    </row>
    <row r="28" spans="3:59" x14ac:dyDescent="0.15">
      <c r="R28" s="21"/>
    </row>
    <row r="29" spans="3:59" x14ac:dyDescent="0.15">
      <c r="C29" s="21" t="s">
        <v>129</v>
      </c>
      <c r="D29">
        <f t="array" ref="D29:AO29">pm.rep!$B$522:$AN$522</f>
        <v>0.121397</v>
      </c>
      <c r="E29">
        <v>0.119528</v>
      </c>
      <c r="F29">
        <v>0.111264</v>
      </c>
      <c r="G29">
        <v>0.189501</v>
      </c>
      <c r="H29">
        <v>0.18782399999999999</v>
      </c>
      <c r="I29">
        <v>0.19560900000000001</v>
      </c>
      <c r="J29">
        <v>0.28169300000000003</v>
      </c>
      <c r="K29">
        <v>0.39910400000000001</v>
      </c>
      <c r="L29">
        <v>0.44592100000000001</v>
      </c>
      <c r="M29">
        <v>0.506131</v>
      </c>
      <c r="N29">
        <v>0.53568700000000002</v>
      </c>
      <c r="O29">
        <v>0.44261400000000001</v>
      </c>
      <c r="P29">
        <v>0.393787</v>
      </c>
      <c r="Q29">
        <v>0.346804</v>
      </c>
      <c r="R29">
        <v>0.37563000000000002</v>
      </c>
      <c r="S29">
        <v>0.388853</v>
      </c>
      <c r="T29">
        <v>0.35990699999999998</v>
      </c>
      <c r="U29">
        <v>0.265708</v>
      </c>
      <c r="V29">
        <v>0.178954</v>
      </c>
      <c r="W29">
        <v>0.15434400000000001</v>
      </c>
      <c r="X29">
        <v>0.15345800000000001</v>
      </c>
      <c r="Y29">
        <v>0.15532099999999999</v>
      </c>
      <c r="Z29">
        <v>0.144151</v>
      </c>
      <c r="AA29">
        <v>0.105296</v>
      </c>
      <c r="AB29">
        <v>0.14027000000000001</v>
      </c>
      <c r="AC29">
        <v>0.142732</v>
      </c>
      <c r="AD29">
        <v>0.206068</v>
      </c>
      <c r="AE29">
        <v>0.237236</v>
      </c>
      <c r="AF29">
        <v>0.31678600000000001</v>
      </c>
      <c r="AG29">
        <v>0.21287400000000001</v>
      </c>
      <c r="AH29">
        <v>0.198577</v>
      </c>
      <c r="AI29">
        <v>0.19339100000000001</v>
      </c>
      <c r="AJ29">
        <v>0.223806</v>
      </c>
      <c r="AK29">
        <v>0.226824</v>
      </c>
      <c r="AL29">
        <v>0.19325800000000001</v>
      </c>
      <c r="AM29">
        <v>0.142175</v>
      </c>
      <c r="AN29">
        <v>0.15964700000000001</v>
      </c>
      <c r="AO29">
        <v>0.18833</v>
      </c>
      <c r="AP29">
        <f>pm.rep!AN522</f>
        <v>0.21872900000000001</v>
      </c>
      <c r="AQ29">
        <f>pm.rep!AO522</f>
        <v>0.22555</v>
      </c>
      <c r="AR29">
        <f>pm.rep!AP522</f>
        <v>0.19995299999999999</v>
      </c>
      <c r="AS29">
        <f>pm.rep!AQ522</f>
        <v>0.18650900000000001</v>
      </c>
      <c r="AT29">
        <f>pm.rep!AR522</f>
        <v>0.22839100000000001</v>
      </c>
      <c r="AU29">
        <f>pm.rep!AS522</f>
        <v>0.24020900000000001</v>
      </c>
      <c r="AV29">
        <f>pm.rep!AT522</f>
        <v>0.25801099999999999</v>
      </c>
      <c r="AW29">
        <f>pm.rep!AU522</f>
        <v>0.244973</v>
      </c>
      <c r="AX29">
        <f>pm.rep!AV522</f>
        <v>0.201686</v>
      </c>
    </row>
    <row r="30" spans="3:59" x14ac:dyDescent="0.15">
      <c r="C30" s="21"/>
    </row>
    <row r="31" spans="3:59" x14ac:dyDescent="0.15">
      <c r="C31" s="21"/>
      <c r="D31" s="4">
        <v>1</v>
      </c>
      <c r="E31" s="4">
        <v>2</v>
      </c>
      <c r="F31" s="4">
        <v>3</v>
      </c>
      <c r="G31" s="4">
        <v>4</v>
      </c>
      <c r="H31" s="4">
        <v>5</v>
      </c>
      <c r="I31" s="4">
        <v>6</v>
      </c>
      <c r="J31" s="4">
        <v>7</v>
      </c>
      <c r="K31" s="4">
        <v>8</v>
      </c>
      <c r="L31" s="4">
        <v>9</v>
      </c>
      <c r="M31" s="4">
        <v>10</v>
      </c>
      <c r="N31" s="4">
        <v>11</v>
      </c>
      <c r="O31" s="4">
        <v>12</v>
      </c>
      <c r="P31" s="4">
        <v>13</v>
      </c>
      <c r="Q31" s="4">
        <v>14</v>
      </c>
      <c r="R31" s="4">
        <v>15</v>
      </c>
    </row>
    <row r="32" spans="3:59" x14ac:dyDescent="0.15">
      <c r="C32" s="21" t="s">
        <v>762</v>
      </c>
      <c r="D32" t="e">
        <f t="shared" ref="D32:R33" si="8">U32/$T32</f>
        <v>#VALUE!</v>
      </c>
      <c r="E32" t="e">
        <f t="shared" si="8"/>
        <v>#DIV/0!</v>
      </c>
      <c r="F32" t="e">
        <f t="shared" si="8"/>
        <v>#DIV/0!</v>
      </c>
      <c r="G32" t="e">
        <f t="shared" si="8"/>
        <v>#DIV/0!</v>
      </c>
      <c r="H32" t="e">
        <f t="shared" si="8"/>
        <v>#DIV/0!</v>
      </c>
      <c r="I32" t="e">
        <f t="shared" si="8"/>
        <v>#DIV/0!</v>
      </c>
      <c r="J32" t="e">
        <f t="shared" si="8"/>
        <v>#DIV/0!</v>
      </c>
      <c r="K32" t="e">
        <f t="shared" si="8"/>
        <v>#DIV/0!</v>
      </c>
      <c r="L32" t="e">
        <f t="shared" si="8"/>
        <v>#DIV/0!</v>
      </c>
      <c r="M32" t="e">
        <f t="shared" si="8"/>
        <v>#DIV/0!</v>
      </c>
      <c r="N32" t="e">
        <f t="shared" si="8"/>
        <v>#DIV/0!</v>
      </c>
      <c r="O32" t="e">
        <f t="shared" si="8"/>
        <v>#DIV/0!</v>
      </c>
      <c r="P32" t="e">
        <f t="shared" si="8"/>
        <v>#DIV/0!</v>
      </c>
      <c r="Q32" t="e">
        <f t="shared" si="8"/>
        <v>#DIV/0!</v>
      </c>
      <c r="R32" t="e">
        <f t="shared" si="8"/>
        <v>#DIV/0!</v>
      </c>
      <c r="T32" s="21">
        <f>MAX(U32:AI32)</f>
        <v>0</v>
      </c>
      <c r="U32" t="str">
        <f>pm.rep!B854</f>
        <v>Fmsy</v>
      </c>
      <c r="V32">
        <f>pm.rep!C854</f>
        <v>0</v>
      </c>
      <c r="W32">
        <f>pm.rep!D854</f>
        <v>0</v>
      </c>
      <c r="X32">
        <f>pm.rep!E854</f>
        <v>0</v>
      </c>
      <c r="Y32">
        <f>pm.rep!F854</f>
        <v>0</v>
      </c>
      <c r="Z32">
        <f>pm.rep!G854</f>
        <v>0</v>
      </c>
      <c r="AA32">
        <f>pm.rep!H854</f>
        <v>0</v>
      </c>
      <c r="AB32">
        <f>pm.rep!I854</f>
        <v>0</v>
      </c>
      <c r="AC32">
        <f>pm.rep!J854</f>
        <v>0</v>
      </c>
      <c r="AD32">
        <f>pm.rep!K854</f>
        <v>0</v>
      </c>
      <c r="AE32">
        <f>pm.rep!L854</f>
        <v>0</v>
      </c>
      <c r="AF32">
        <f>pm.rep!M854</f>
        <v>0</v>
      </c>
      <c r="AG32">
        <f>pm.rep!N854</f>
        <v>0</v>
      </c>
      <c r="AH32">
        <f>pm.rep!O854</f>
        <v>0</v>
      </c>
      <c r="AI32">
        <f>pm.rep!P854</f>
        <v>0</v>
      </c>
    </row>
    <row r="33" spans="1:258" x14ac:dyDescent="0.15">
      <c r="C33" s="21" t="s">
        <v>763</v>
      </c>
      <c r="D33">
        <f t="shared" si="8"/>
        <v>2.3953605314348478E-4</v>
      </c>
      <c r="E33">
        <f t="shared" si="8"/>
        <v>7.441212666569625E-3</v>
      </c>
      <c r="F33">
        <f t="shared" si="8"/>
        <v>8.7068109939260799E-2</v>
      </c>
      <c r="G33">
        <f t="shared" si="8"/>
        <v>0.37224655612751267</v>
      </c>
      <c r="H33">
        <f t="shared" si="8"/>
        <v>0.71371858831002133</v>
      </c>
      <c r="I33">
        <f t="shared" si="8"/>
        <v>1</v>
      </c>
      <c r="J33">
        <f t="shared" si="8"/>
        <v>0.98767351691831307</v>
      </c>
      <c r="K33">
        <f t="shared" si="8"/>
        <v>0.93065278090222192</v>
      </c>
      <c r="L33">
        <f t="shared" si="8"/>
        <v>0.88183646733448895</v>
      </c>
      <c r="M33">
        <f t="shared" si="8"/>
        <v>0.82396882319469633</v>
      </c>
      <c r="N33">
        <f t="shared" si="8"/>
        <v>0.82396882319469633</v>
      </c>
      <c r="O33">
        <f t="shared" si="8"/>
        <v>0.82396882319469633</v>
      </c>
      <c r="P33">
        <f t="shared" si="8"/>
        <v>0.82396882319469633</v>
      </c>
      <c r="Q33">
        <f t="shared" si="8"/>
        <v>0.82396882319469633</v>
      </c>
      <c r="R33">
        <f t="shared" si="8"/>
        <v>0.82396882319469633</v>
      </c>
      <c r="T33" s="21">
        <f>MAX(U33:AI33)</f>
        <v>1.5113799999999999</v>
      </c>
      <c r="U33" s="11">
        <v>3.6203E-4</v>
      </c>
      <c r="V33" s="11">
        <v>1.12465E-2</v>
      </c>
      <c r="W33" s="11">
        <v>0.13159299999999999</v>
      </c>
      <c r="X33" s="11">
        <v>0.56260600000000005</v>
      </c>
      <c r="Y33" s="11">
        <v>1.0787</v>
      </c>
      <c r="Z33" s="11">
        <v>1.5113799999999999</v>
      </c>
      <c r="AA33" s="11">
        <v>1.49275</v>
      </c>
      <c r="AB33" s="11">
        <v>1.4065700000000001</v>
      </c>
      <c r="AC33" s="11">
        <v>1.3327899999999999</v>
      </c>
      <c r="AD33" s="11">
        <v>1.24533</v>
      </c>
      <c r="AE33" s="11">
        <v>1.24533</v>
      </c>
      <c r="AF33" s="11">
        <v>1.24533</v>
      </c>
      <c r="AG33" s="11">
        <v>1.24533</v>
      </c>
      <c r="AH33" s="11">
        <v>1.24533</v>
      </c>
      <c r="AI33">
        <v>1.24533</v>
      </c>
    </row>
    <row r="34" spans="1:258" ht="16" x14ac:dyDescent="0.2">
      <c r="C34" s="16" t="s">
        <v>130</v>
      </c>
      <c r="D34" s="16"/>
      <c r="E34" s="16"/>
      <c r="F34" s="16"/>
    </row>
    <row r="35" spans="1:258" x14ac:dyDescent="0.15">
      <c r="C35" s="21" t="s">
        <v>131</v>
      </c>
      <c r="D35">
        <v>6.6E-3</v>
      </c>
      <c r="E35">
        <v>0.17</v>
      </c>
      <c r="F35">
        <v>0.30299999999999999</v>
      </c>
      <c r="G35">
        <v>0.44700000000000001</v>
      </c>
      <c r="H35">
        <v>0.58899999999999997</v>
      </c>
      <c r="I35">
        <v>0.72199999999999998</v>
      </c>
      <c r="J35">
        <v>0.84</v>
      </c>
      <c r="K35">
        <v>0.94199999999999995</v>
      </c>
      <c r="L35">
        <v>1.0289999999999999</v>
      </c>
      <c r="M35">
        <v>1.1020000000000001</v>
      </c>
      <c r="N35">
        <v>1.163</v>
      </c>
      <c r="O35">
        <v>1.212</v>
      </c>
      <c r="P35">
        <v>1.2529999999999999</v>
      </c>
      <c r="Q35">
        <v>1.286</v>
      </c>
      <c r="R35">
        <v>1.3120000000000001</v>
      </c>
    </row>
    <row r="36" spans="1:258" x14ac:dyDescent="0.15">
      <c r="C36" s="21" t="s">
        <v>132</v>
      </c>
      <c r="D36">
        <v>0.10614485998394092</v>
      </c>
      <c r="E36">
        <v>0.27781021603339318</v>
      </c>
      <c r="F36">
        <v>0.47262700689478887</v>
      </c>
      <c r="G36">
        <v>0.59906100043100052</v>
      </c>
      <c r="H36">
        <v>0.72718199346470813</v>
      </c>
      <c r="I36">
        <v>0.8889314698347518</v>
      </c>
      <c r="J36">
        <v>1.0544351819591089</v>
      </c>
      <c r="K36">
        <v>1.2591646275768156</v>
      </c>
      <c r="L36">
        <v>1.3445420918024966</v>
      </c>
      <c r="M36">
        <v>1.4884753226351382</v>
      </c>
      <c r="N36">
        <v>1.6056629098694442</v>
      </c>
      <c r="O36">
        <v>1.8193292240419516</v>
      </c>
      <c r="P36">
        <v>1.7874481976290049</v>
      </c>
      <c r="Q36">
        <v>2.0591215722637086</v>
      </c>
      <c r="R36">
        <v>2.2867351373096354</v>
      </c>
    </row>
    <row r="37" spans="1:258" x14ac:dyDescent="0.15">
      <c r="B37" s="4" t="s">
        <v>133</v>
      </c>
      <c r="C37" s="21" t="s">
        <v>134</v>
      </c>
      <c r="D37">
        <v>7.2271123664892745E-2</v>
      </c>
      <c r="E37">
        <v>0.18224008533727781</v>
      </c>
      <c r="F37" s="31">
        <v>0.34852772399999998</v>
      </c>
      <c r="G37" s="31">
        <v>0.51516444100000003</v>
      </c>
      <c r="H37" s="31">
        <v>0.63468943600000005</v>
      </c>
      <c r="I37" s="31">
        <v>0.73617715500000003</v>
      </c>
      <c r="J37" s="31">
        <v>0.876702176</v>
      </c>
      <c r="K37" s="31">
        <v>1.027197943</v>
      </c>
      <c r="L37" s="31">
        <v>1.111569137</v>
      </c>
      <c r="M37" s="31">
        <v>1.2128246009999999</v>
      </c>
      <c r="N37" s="31">
        <v>1.340548791</v>
      </c>
      <c r="O37" s="31">
        <v>1.408014103</v>
      </c>
      <c r="P37" s="31">
        <v>1.517838719</v>
      </c>
      <c r="Q37" s="31">
        <v>1.548932752</v>
      </c>
      <c r="R37" s="31">
        <v>1.502613913</v>
      </c>
    </row>
    <row r="38" spans="1:258" x14ac:dyDescent="0.15">
      <c r="B38" s="4" t="s">
        <v>135</v>
      </c>
      <c r="C38" s="21" t="s">
        <v>284</v>
      </c>
      <c r="D38" s="29" t="e">
        <f t="shared" ref="D38:R38" si="9">E260</f>
        <v>#REF!</v>
      </c>
      <c r="E38" s="29" t="e">
        <f t="shared" si="9"/>
        <v>#REF!</v>
      </c>
      <c r="F38" s="29" t="e">
        <f t="shared" si="9"/>
        <v>#REF!</v>
      </c>
      <c r="G38" s="29" t="e">
        <f t="shared" si="9"/>
        <v>#REF!</v>
      </c>
      <c r="H38" s="29" t="e">
        <f t="shared" si="9"/>
        <v>#REF!</v>
      </c>
      <c r="I38" s="29" t="e">
        <f t="shared" si="9"/>
        <v>#REF!</v>
      </c>
      <c r="J38" s="29" t="e">
        <f t="shared" si="9"/>
        <v>#REF!</v>
      </c>
      <c r="K38" s="29" t="e">
        <f t="shared" si="9"/>
        <v>#REF!</v>
      </c>
      <c r="L38" s="29" t="e">
        <f t="shared" si="9"/>
        <v>#REF!</v>
      </c>
      <c r="M38" s="29" t="e">
        <f t="shared" si="9"/>
        <v>#REF!</v>
      </c>
      <c r="N38" s="29" t="e">
        <f t="shared" si="9"/>
        <v>#REF!</v>
      </c>
      <c r="O38" s="29" t="e">
        <f t="shared" si="9"/>
        <v>#REF!</v>
      </c>
      <c r="P38" s="29" t="e">
        <f t="shared" si="9"/>
        <v>#REF!</v>
      </c>
      <c r="Q38" s="29" t="e">
        <f t="shared" si="9"/>
        <v>#REF!</v>
      </c>
      <c r="R38" s="29" t="e">
        <f t="shared" si="9"/>
        <v>#REF!</v>
      </c>
    </row>
    <row r="39" spans="1:258" ht="16" x14ac:dyDescent="0.2">
      <c r="B39" s="16">
        <v>3</v>
      </c>
      <c r="C39" s="21" t="s">
        <v>136</v>
      </c>
      <c r="D39">
        <v>3.7773966001213258E-2</v>
      </c>
      <c r="E39">
        <v>7.9180710783148242E-2</v>
      </c>
      <c r="F39">
        <v>0.22803139398930491</v>
      </c>
      <c r="G39">
        <v>0.33085802634940809</v>
      </c>
      <c r="H39">
        <v>0.48248502172181701</v>
      </c>
      <c r="I39">
        <v>0.67108446464086624</v>
      </c>
      <c r="J39">
        <v>0.82861438326137427</v>
      </c>
      <c r="K39">
        <v>0.85391744392466218</v>
      </c>
      <c r="L39">
        <v>0.97196752143079546</v>
      </c>
      <c r="M39">
        <v>1.0465432042102687</v>
      </c>
      <c r="N39">
        <v>1.2118153576627582</v>
      </c>
      <c r="O39">
        <v>1.4064919955438855</v>
      </c>
      <c r="P39">
        <v>1.1713102389488177</v>
      </c>
      <c r="Q39">
        <v>1.4707794692148191</v>
      </c>
      <c r="R39">
        <v>1.595896529564329</v>
      </c>
    </row>
    <row r="40" spans="1:258" ht="16" x14ac:dyDescent="0.2">
      <c r="B40" s="17" t="str">
        <f>CHOOSE($B$39,C35,C36,C37,C38,C39,C40)</f>
        <v>Fishery Avg</v>
      </c>
      <c r="C40" s="18"/>
      <c r="T40">
        <v>1</v>
      </c>
      <c r="U40">
        <v>2</v>
      </c>
      <c r="V40">
        <v>3</v>
      </c>
      <c r="W40">
        <f t="array" ref="W40:X40">LINEST(T40:V40,T41:V41)</f>
        <v>1</v>
      </c>
      <c r="X40">
        <v>0</v>
      </c>
    </row>
    <row r="41" spans="1:258" x14ac:dyDescent="0.15">
      <c r="D41" s="13">
        <v>1</v>
      </c>
      <c r="E41" s="13">
        <v>2</v>
      </c>
      <c r="F41" s="13">
        <v>3</v>
      </c>
      <c r="G41" s="13">
        <v>4</v>
      </c>
      <c r="H41" s="13">
        <v>5</v>
      </c>
      <c r="I41" s="13">
        <v>6</v>
      </c>
      <c r="J41" s="13">
        <v>7</v>
      </c>
      <c r="K41" s="13">
        <v>8</v>
      </c>
      <c r="L41" s="13">
        <v>9</v>
      </c>
      <c r="M41" s="13">
        <v>10</v>
      </c>
      <c r="N41" s="13">
        <v>11</v>
      </c>
      <c r="O41" s="13">
        <v>12</v>
      </c>
      <c r="P41" s="13">
        <v>13</v>
      </c>
      <c r="Q41" s="13">
        <v>14</v>
      </c>
      <c r="R41" s="13">
        <v>15</v>
      </c>
      <c r="T41">
        <v>1</v>
      </c>
      <c r="U41">
        <v>2</v>
      </c>
      <c r="V41">
        <v>3</v>
      </c>
    </row>
    <row r="42" spans="1:258" x14ac:dyDescent="0.15">
      <c r="B42">
        <v>0.5</v>
      </c>
      <c r="C42" s="4" t="s">
        <v>137</v>
      </c>
      <c r="D42" s="25">
        <v>8.4881666387382551E-2</v>
      </c>
      <c r="E42" s="25">
        <v>0.1958681258191102</v>
      </c>
      <c r="F42" s="25">
        <v>0.31376278764705845</v>
      </c>
      <c r="G42" s="25">
        <v>0.45929554423529667</v>
      </c>
      <c r="H42" s="25">
        <v>0.58862360227072297</v>
      </c>
      <c r="I42" s="25">
        <v>0.69781833100000201</v>
      </c>
      <c r="J42" s="25">
        <v>0.7967987389999982</v>
      </c>
      <c r="K42" s="25">
        <v>0.91486126335293738</v>
      </c>
      <c r="L42" s="25">
        <v>1.0569570111196012</v>
      </c>
      <c r="M42" s="25">
        <v>1.1472314761092159</v>
      </c>
      <c r="N42" s="25">
        <v>1.2901064511300442</v>
      </c>
      <c r="O42" s="25">
        <v>1.3879178892895165</v>
      </c>
      <c r="P42" s="25">
        <v>1.4316667597346202</v>
      </c>
      <c r="Q42" s="25">
        <v>1.4070027193292114</v>
      </c>
      <c r="R42" s="25">
        <v>1.5228669309494496</v>
      </c>
    </row>
    <row r="43" spans="1:258" x14ac:dyDescent="0.15">
      <c r="A43" t="e">
        <f t="array" ref="A43:B43">LINEST(A61:A83,H61:H83)</f>
        <v>#VALUE!</v>
      </c>
      <c r="B43" t="e">
        <v>#VALUE!</v>
      </c>
      <c r="C43" s="4" t="s">
        <v>138</v>
      </c>
      <c r="D43">
        <v>0</v>
      </c>
      <c r="E43">
        <v>4.0000000000000001E-3</v>
      </c>
      <c r="F43">
        <v>0.14449999999999999</v>
      </c>
      <c r="G43">
        <v>0.32050000000000001</v>
      </c>
      <c r="H43">
        <v>0.42099999999999999</v>
      </c>
      <c r="I43">
        <v>0.45050000000000001</v>
      </c>
      <c r="J43">
        <v>0.47349999999999998</v>
      </c>
      <c r="K43">
        <v>0.48149999999999998</v>
      </c>
      <c r="L43">
        <v>0.48499999999999999</v>
      </c>
      <c r="M43">
        <v>0.5</v>
      </c>
      <c r="N43">
        <v>0.5</v>
      </c>
      <c r="O43">
        <v>0.5</v>
      </c>
      <c r="P43">
        <v>0.5</v>
      </c>
      <c r="Q43">
        <v>0.5</v>
      </c>
      <c r="R43">
        <v>0.5</v>
      </c>
    </row>
    <row r="44" spans="1:258" x14ac:dyDescent="0.15">
      <c r="A44" s="21" t="s">
        <v>265</v>
      </c>
      <c r="B44" s="21" t="s">
        <v>266</v>
      </c>
      <c r="C44" s="4"/>
      <c r="I44" s="3" t="str">
        <f>Stdev!C569</f>
        <v>log_F_devs</v>
      </c>
      <c r="J44" s="3">
        <f>Stdev!D569</f>
        <v>-0.17519000000000001</v>
      </c>
      <c r="BD44" s="4" t="s">
        <v>686</v>
      </c>
    </row>
    <row r="45" spans="1:258" x14ac:dyDescent="0.15">
      <c r="A45" t="e">
        <f>B43</f>
        <v>#VALUE!</v>
      </c>
      <c r="B45" t="e">
        <f>-A43</f>
        <v>#VALUE!</v>
      </c>
      <c r="C45" s="4"/>
      <c r="I45">
        <v>1964</v>
      </c>
      <c r="J45" s="3">
        <f>Stdev!$D$569</f>
        <v>-0.17519000000000001</v>
      </c>
    </row>
    <row r="46" spans="1:258" x14ac:dyDescent="0.15">
      <c r="A46" s="21" t="s">
        <v>146</v>
      </c>
      <c r="B46" s="21" t="s">
        <v>202</v>
      </c>
      <c r="I46">
        <v>2006</v>
      </c>
      <c r="J46" s="12">
        <f>J45</f>
        <v>-0.17519000000000001</v>
      </c>
      <c r="L46" s="4" t="s">
        <v>139</v>
      </c>
      <c r="BD46">
        <v>140.46899999999999</v>
      </c>
      <c r="BE46">
        <v>4032.9</v>
      </c>
      <c r="BG46">
        <v>1978</v>
      </c>
      <c r="BH46">
        <v>1045.27</v>
      </c>
      <c r="BI46">
        <v>3475.7</v>
      </c>
    </row>
    <row r="47" spans="1:258" x14ac:dyDescent="0.15">
      <c r="A47" t="e">
        <f>B43</f>
        <v>#VALUE!</v>
      </c>
      <c r="B47" t="e">
        <f>-Alpha/A43</f>
        <v>#VALUE!</v>
      </c>
      <c r="C47" s="4" t="s">
        <v>140</v>
      </c>
      <c r="D47" s="4" t="s">
        <v>141</v>
      </c>
      <c r="E47" s="4" t="s">
        <v>142</v>
      </c>
      <c r="F47" s="4" t="s">
        <v>476</v>
      </c>
      <c r="G47" s="21" t="s">
        <v>245</v>
      </c>
      <c r="H47" s="4" t="s">
        <v>143</v>
      </c>
      <c r="I47" s="21" t="s">
        <v>201</v>
      </c>
      <c r="L47">
        <f t="shared" ref="L47:Q47" si="10">M47-1</f>
        <v>1</v>
      </c>
      <c r="M47">
        <f t="shared" si="10"/>
        <v>2</v>
      </c>
      <c r="N47">
        <f t="shared" si="10"/>
        <v>3</v>
      </c>
      <c r="O47">
        <f t="shared" si="10"/>
        <v>4</v>
      </c>
      <c r="P47">
        <f t="shared" si="10"/>
        <v>5</v>
      </c>
      <c r="Q47">
        <f t="shared" si="10"/>
        <v>6</v>
      </c>
      <c r="R47">
        <v>7</v>
      </c>
      <c r="S47">
        <v>8</v>
      </c>
      <c r="T47">
        <v>9</v>
      </c>
      <c r="U47">
        <v>10</v>
      </c>
      <c r="V47">
        <v>11</v>
      </c>
      <c r="W47">
        <v>12</v>
      </c>
      <c r="X47">
        <v>13</v>
      </c>
      <c r="Y47">
        <v>14</v>
      </c>
      <c r="Z47">
        <v>15</v>
      </c>
      <c r="AA47" s="21" t="s">
        <v>253</v>
      </c>
      <c r="AD47" s="21" t="s">
        <v>211</v>
      </c>
      <c r="AE47" s="21" t="s">
        <v>212</v>
      </c>
      <c r="AH47" s="21" t="s">
        <v>217</v>
      </c>
      <c r="AJ47" s="21" t="s">
        <v>213</v>
      </c>
      <c r="AK47" s="21" t="s">
        <v>214</v>
      </c>
      <c r="AL47" s="21" t="s">
        <v>215</v>
      </c>
      <c r="AM47" s="21" t="s">
        <v>216</v>
      </c>
      <c r="AO47" s="21" t="s">
        <v>268</v>
      </c>
      <c r="AQ47" s="21" t="s">
        <v>246</v>
      </c>
      <c r="AR47" s="21" t="s">
        <v>116</v>
      </c>
      <c r="AV47" s="21" t="s">
        <v>115</v>
      </c>
      <c r="BD47">
        <v>421.40699999999998</v>
      </c>
      <c r="BE47">
        <v>10763</v>
      </c>
      <c r="BG47">
        <v>1979</v>
      </c>
      <c r="BH47">
        <v>1417.17</v>
      </c>
      <c r="BI47">
        <v>4448.68</v>
      </c>
      <c r="IX47" s="21"/>
    </row>
    <row r="48" spans="1:258" x14ac:dyDescent="0.15">
      <c r="A48" t="e">
        <f t="shared" ref="A48:A98" si="11">LN(E48/H48)</f>
        <v>#REF!</v>
      </c>
      <c r="B48" t="e">
        <f>LN(Alpha)</f>
        <v>#VALUE!</v>
      </c>
      <c r="C48" s="21">
        <v>1964</v>
      </c>
      <c r="D48" s="3">
        <f>SUMPRODUCT($D$42:$R$42,pm.rep!B63:P63)</f>
        <v>3136.5089578037027</v>
      </c>
      <c r="E48" s="3">
        <f>pm.rep!B64</f>
        <v>21534.799999999999</v>
      </c>
      <c r="F48" s="27">
        <f t="array" ref="F48:F99">TRANSPOSE(pm.rep!B674:BA674)</f>
        <v>546.53200000000004</v>
      </c>
      <c r="G48" s="3" t="e">
        <f>SUMPRODUCT(G226:S226,pm.rep!D63:P63)</f>
        <v>#REF!</v>
      </c>
      <c r="H48" s="3" t="e">
        <f>SUMPRODUCT($D$43:$R$43,E226:S226,pm.rep!B63:P63)</f>
        <v>#REF!</v>
      </c>
      <c r="I48" s="3" t="e">
        <f t="shared" ref="I48:I92" si="12">H48*EXP(Alpha*(1-H48/Beta))</f>
        <v>#REF!</v>
      </c>
      <c r="J48" s="3">
        <f>Stdev!D629</f>
        <v>1948.1</v>
      </c>
      <c r="L48" s="7">
        <f>-LN(pm.rep!B9)-0.9</f>
        <v>2.0821535068717978E-3</v>
      </c>
      <c r="M48" s="7">
        <f>-LN(pm.rep!C9)-0.45</f>
        <v>1.3425313885612911E-2</v>
      </c>
      <c r="N48" s="7">
        <f>-LN(pm.rep!D9)-0.3</f>
        <v>4.5192548258271403E-2</v>
      </c>
      <c r="O48" s="7">
        <f>-LN(pm.rep!E9)-0.3</f>
        <v>0.16119137149473056</v>
      </c>
      <c r="P48" s="7">
        <f>-LN(pm.rep!F9)-0.3</f>
        <v>0.1628818494294309</v>
      </c>
      <c r="Q48" s="7">
        <f>-LN(pm.rep!G9)-0.3</f>
        <v>0.16155620937592852</v>
      </c>
      <c r="R48" s="7">
        <f>-LN(pm.rep!H9)-0.3</f>
        <v>0.15564165786612982</v>
      </c>
      <c r="S48" s="7">
        <f>-LN(pm.rep!I9)-0.3</f>
        <v>0.14863516968148205</v>
      </c>
      <c r="T48" s="7">
        <f>-LN(pm.rep!J9)-0.3</f>
        <v>0.14259081731552531</v>
      </c>
      <c r="U48" s="7">
        <f>-LN(pm.rep!K9)-0.3</f>
        <v>0.1379609241553833</v>
      </c>
      <c r="V48" s="7">
        <f>-LN(pm.rep!L9)-0.3</f>
        <v>0.1379609241553833</v>
      </c>
      <c r="W48" s="7">
        <f>-LN(pm.rep!M9)-0.3</f>
        <v>0.1379609241553833</v>
      </c>
      <c r="X48" s="7">
        <f>-LN(pm.rep!N9)-0.3</f>
        <v>0.1379609241553833</v>
      </c>
      <c r="Y48" s="7">
        <f>-LN(pm.rep!O9)-0.3</f>
        <v>0.1379609241553833</v>
      </c>
      <c r="Z48" s="7">
        <f>-LN(pm.rep!P9)-0.3</f>
        <v>0.1379609241553833</v>
      </c>
      <c r="AA48" s="27">
        <f>AO48</f>
        <v>545.08000000000004</v>
      </c>
      <c r="AB48" s="20">
        <f t="shared" ref="AB48:AB86" si="13">AC48*AC48</f>
        <v>25233.322499999998</v>
      </c>
      <c r="AC48" s="27">
        <f>Stdev!E4</f>
        <v>158.85</v>
      </c>
      <c r="AD48" s="27">
        <f t="shared" ref="AD48:AD86" si="14">E48*EXP(-AE48)</f>
        <v>21534.799999999999</v>
      </c>
      <c r="AE48" s="20">
        <f t="array" ref="AE48:AE97">TRANSPOSE(pm.rep!B811:AY811)</f>
        <v>0</v>
      </c>
      <c r="AF48" s="20">
        <f t="shared" ref="AF48:AF90" si="15">AE48^2</f>
        <v>0</v>
      </c>
      <c r="AG48" s="6">
        <f>Stdev!D362</f>
        <v>22290</v>
      </c>
      <c r="AH48" s="20">
        <f t="shared" ref="AH48:AH90" si="16">LN(AG48)</f>
        <v>10.011893426379915</v>
      </c>
      <c r="AI48" s="20">
        <f t="shared" ref="AI48:AI90" si="17">AH48-$AH$88</f>
        <v>1.6175008375818596</v>
      </c>
      <c r="AJ48" s="20">
        <f>AVERAGE(AF48:AF83)</f>
        <v>0</v>
      </c>
      <c r="AK48" s="20">
        <f>AVERAGE(AB48:AB83)</f>
        <v>37375.07760833334</v>
      </c>
      <c r="AL48" s="20">
        <f>STDEV(AH48:AH83)</f>
        <v>0.52476454178103915</v>
      </c>
      <c r="AM48" s="20">
        <f>AL48-AK48-AJ48</f>
        <v>-37374.552843791556</v>
      </c>
      <c r="AN48">
        <v>1964</v>
      </c>
      <c r="AO48" s="27">
        <f>Stdev!D4</f>
        <v>545.08000000000004</v>
      </c>
      <c r="AQ48">
        <v>0</v>
      </c>
      <c r="AR48">
        <v>0</v>
      </c>
      <c r="AU48">
        <v>1964</v>
      </c>
      <c r="AV48" s="3">
        <v>1037.1023729999999</v>
      </c>
      <c r="BD48">
        <v>702.346</v>
      </c>
      <c r="BE48">
        <v>15959</v>
      </c>
      <c r="BG48">
        <v>1980</v>
      </c>
      <c r="BH48">
        <v>1953.32</v>
      </c>
      <c r="BI48">
        <v>6550.8</v>
      </c>
    </row>
    <row r="49" spans="1:61" x14ac:dyDescent="0.15">
      <c r="A49" t="e">
        <f t="shared" si="11"/>
        <v>#REF!</v>
      </c>
      <c r="B49" t="e">
        <f>LN(Beta)</f>
        <v>#VALUE!</v>
      </c>
      <c r="C49" s="21">
        <v>1965</v>
      </c>
      <c r="D49" s="3">
        <f>SUMPRODUCT($D$42:$R$42,pm.rep!B64:P64)</f>
        <v>4640.5703973736126</v>
      </c>
      <c r="E49" s="3">
        <f>pm.rep!B65</f>
        <v>15436.5</v>
      </c>
      <c r="F49" s="27">
        <v>647.23599999999999</v>
      </c>
      <c r="G49" s="3" t="e">
        <f>SUMPRODUCT(G227:S227,pm.rep!D64:P64)</f>
        <v>#REF!</v>
      </c>
      <c r="H49" s="3" t="e">
        <f>SUMPRODUCT($D$43:$R$43,E227:S227,pm.rep!B64:P64)</f>
        <v>#REF!</v>
      </c>
      <c r="I49" s="3" t="e">
        <f t="shared" si="12"/>
        <v>#REF!</v>
      </c>
      <c r="J49" s="12">
        <f t="shared" ref="J49:J83" si="18">J48</f>
        <v>1948.1</v>
      </c>
      <c r="L49" s="7">
        <f>-LN(pm.rep!B10)-0.9</f>
        <v>2.055041847500827E-3</v>
      </c>
      <c r="M49" s="7">
        <f>-LN(pm.rep!C10)-0.45</f>
        <v>1.3833901220479561E-2</v>
      </c>
      <c r="N49" s="7">
        <f>-LN(pm.rep!D10)-0.3</f>
        <v>5.2621740704765274E-2</v>
      </c>
      <c r="O49" s="7">
        <f>-LN(pm.rep!E10)-0.3</f>
        <v>0.16849756393166621</v>
      </c>
      <c r="P49" s="7">
        <f>-LN(pm.rep!F10)-0.3</f>
        <v>0.16277382736105278</v>
      </c>
      <c r="Q49" s="7">
        <f>-LN(pm.rep!G10)-0.3</f>
        <v>0.15523325034228563</v>
      </c>
      <c r="R49" s="7">
        <f>-LN(pm.rep!H10)-0.3</f>
        <v>0.14864300057797103</v>
      </c>
      <c r="S49" s="7">
        <f>-LN(pm.rep!I10)-0.3</f>
        <v>0.14314828387807638</v>
      </c>
      <c r="T49" s="7">
        <f>-LN(pm.rep!J10)-0.3</f>
        <v>0.1384320966240698</v>
      </c>
      <c r="U49" s="7">
        <f>-LN(pm.rep!K10)-0.3</f>
        <v>0.13461486402056644</v>
      </c>
      <c r="V49" s="7">
        <f>-LN(pm.rep!L10)-0.3</f>
        <v>0.13461486402056644</v>
      </c>
      <c r="W49" s="7">
        <f>-LN(pm.rep!M10)-0.3</f>
        <v>0.13461486402056644</v>
      </c>
      <c r="X49" s="7">
        <f>-LN(pm.rep!N10)-0.3</f>
        <v>0.13461486402056644</v>
      </c>
      <c r="Y49" s="7">
        <f>-LN(pm.rep!O10)-0.3</f>
        <v>0.13461486402056644</v>
      </c>
      <c r="Z49" s="7">
        <f>-LN(pm.rep!P10)-0.3</f>
        <v>0.13461486402056644</v>
      </c>
      <c r="AA49" s="27">
        <f t="shared" ref="AA49:AA93" si="19">AO49</f>
        <v>664.08</v>
      </c>
      <c r="AB49" s="20">
        <f t="shared" si="13"/>
        <v>27047.091600000003</v>
      </c>
      <c r="AC49" s="27">
        <f>Stdev!E5</f>
        <v>164.46</v>
      </c>
      <c r="AD49" s="27">
        <f t="shared" si="14"/>
        <v>15436.5</v>
      </c>
      <c r="AE49" s="20">
        <v>0</v>
      </c>
      <c r="AF49" s="20">
        <f t="shared" si="15"/>
        <v>0</v>
      </c>
      <c r="AG49" s="6">
        <f>Stdev!D363</f>
        <v>16499</v>
      </c>
      <c r="AH49" s="20">
        <f t="shared" si="16"/>
        <v>9.711055051991444</v>
      </c>
      <c r="AI49" s="20">
        <f t="shared" si="17"/>
        <v>1.3166624631933885</v>
      </c>
      <c r="AJ49" s="20">
        <f>STDEV(AE48:AE83)</f>
        <v>0</v>
      </c>
      <c r="AK49" s="20">
        <f>STDEV(AC48:AC83)</f>
        <v>66.319078149408043</v>
      </c>
      <c r="AL49" s="20">
        <f>STDEV(AI48:AI83)</f>
        <v>0.52476454178104248</v>
      </c>
      <c r="AM49" s="20">
        <f>AL49-AK49-AJ49</f>
        <v>-65.794313607627004</v>
      </c>
      <c r="AN49">
        <v>1965</v>
      </c>
      <c r="AO49" s="27">
        <f>Stdev!D5</f>
        <v>664.08</v>
      </c>
      <c r="AQ49" s="12" t="e">
        <f>MAX(H48:H82)*1.1</f>
        <v>#REF!</v>
      </c>
      <c r="AR49" s="12" t="e">
        <f>AQ49/pm.rep!H864</f>
        <v>#REF!</v>
      </c>
      <c r="AS49">
        <f>EXP(0.56/2)</f>
        <v>1.3231298123374369</v>
      </c>
      <c r="AU49">
        <v>1965</v>
      </c>
      <c r="AV49" s="3">
        <v>1227.0649981999998</v>
      </c>
      <c r="BD49">
        <v>983.28399999999999</v>
      </c>
      <c r="BE49">
        <v>19876</v>
      </c>
      <c r="BG49">
        <v>1981</v>
      </c>
      <c r="BH49">
        <v>3187.68</v>
      </c>
      <c r="BI49">
        <v>12527.6</v>
      </c>
    </row>
    <row r="50" spans="1:61" x14ac:dyDescent="0.15">
      <c r="A50" t="e">
        <f t="shared" si="11"/>
        <v>#REF!</v>
      </c>
      <c r="C50" s="21">
        <v>1966</v>
      </c>
      <c r="D50" s="3">
        <f>SUMPRODUCT($D$42:$R$42,pm.rep!B65:P65)</f>
        <v>5472.6515497510218</v>
      </c>
      <c r="E50" s="3">
        <f>pm.rep!B66</f>
        <v>25796</v>
      </c>
      <c r="F50" s="27">
        <v>753.51700000000005</v>
      </c>
      <c r="G50" s="3" t="e">
        <f>SUMPRODUCT(G228:S228,pm.rep!D65:P65)</f>
        <v>#REF!</v>
      </c>
      <c r="H50" s="3" t="e">
        <f>SUMPRODUCT($D$43:$R$43,E228:S228,pm.rep!B65:P65)</f>
        <v>#REF!</v>
      </c>
      <c r="I50" s="3" t="e">
        <f t="shared" si="12"/>
        <v>#REF!</v>
      </c>
      <c r="J50" s="12">
        <f t="shared" si="18"/>
        <v>1948.1</v>
      </c>
      <c r="L50" s="7">
        <f>-LN(pm.rep!B11)-0.9</f>
        <v>2.0624358635238371E-3</v>
      </c>
      <c r="M50" s="7">
        <f>-LN(pm.rep!C11)-0.45</f>
        <v>1.4552911435312066E-2</v>
      </c>
      <c r="N50" s="7">
        <f>-LN(pm.rep!D11)-0.3</f>
        <v>5.6547809163557616E-2</v>
      </c>
      <c r="O50" s="7">
        <f>-LN(pm.rep!E11)-0.3</f>
        <v>0.15264948724076416</v>
      </c>
      <c r="P50" s="7">
        <f>-LN(pm.rep!F11)-0.3</f>
        <v>0.14868998724472982</v>
      </c>
      <c r="Q50" s="7">
        <f>-LN(pm.rep!G11)-0.3</f>
        <v>0.14150169597311463</v>
      </c>
      <c r="R50" s="7">
        <f>-LN(pm.rep!H11)-0.3</f>
        <v>0.13646827794656147</v>
      </c>
      <c r="S50" s="7">
        <f>-LN(pm.rep!I11)-0.3</f>
        <v>0.13198671729353906</v>
      </c>
      <c r="T50" s="7">
        <f>-LN(pm.rep!J11)-0.3</f>
        <v>0.1285837974657924</v>
      </c>
      <c r="U50" s="7">
        <f>-LN(pm.rep!K11)-0.3</f>
        <v>0.12598521272965491</v>
      </c>
      <c r="V50" s="7">
        <f>-LN(pm.rep!L11)-0.3</f>
        <v>0.12598521272965491</v>
      </c>
      <c r="W50" s="7">
        <f>-LN(pm.rep!M11)-0.3</f>
        <v>0.12598521272965491</v>
      </c>
      <c r="X50" s="7">
        <f>-LN(pm.rep!N11)-0.3</f>
        <v>0.12598521272965491</v>
      </c>
      <c r="Y50" s="7">
        <f>-LN(pm.rep!O11)-0.3</f>
        <v>0.12598521272965491</v>
      </c>
      <c r="Z50" s="7">
        <f>-LN(pm.rep!P11)-0.3</f>
        <v>0.12598521272965491</v>
      </c>
      <c r="AA50" s="27">
        <f t="shared" si="19"/>
        <v>794.27</v>
      </c>
      <c r="AB50" s="20">
        <f t="shared" si="13"/>
        <v>35355.280899999998</v>
      </c>
      <c r="AC50" s="27">
        <f>Stdev!E6</f>
        <v>188.03</v>
      </c>
      <c r="AD50" s="27">
        <f t="shared" si="14"/>
        <v>25796</v>
      </c>
      <c r="AE50" s="20">
        <v>0</v>
      </c>
      <c r="AF50" s="20">
        <f t="shared" si="15"/>
        <v>0</v>
      </c>
      <c r="AG50" s="6">
        <f>Stdev!D364</f>
        <v>27209</v>
      </c>
      <c r="AH50" s="20">
        <f t="shared" si="16"/>
        <v>10.211303079907536</v>
      </c>
      <c r="AI50" s="20">
        <f t="shared" si="17"/>
        <v>1.8169104911094802</v>
      </c>
      <c r="AJ50" s="20"/>
      <c r="AK50" s="20"/>
      <c r="AL50" s="20"/>
      <c r="AN50">
        <v>1966</v>
      </c>
      <c r="AO50" s="27">
        <f>Stdev!D6</f>
        <v>794.27</v>
      </c>
      <c r="AR50" t="s">
        <v>117</v>
      </c>
      <c r="AU50">
        <v>1966</v>
      </c>
      <c r="AV50" s="3">
        <v>1096.0716752999999</v>
      </c>
      <c r="BD50">
        <v>1264.22</v>
      </c>
      <c r="BE50">
        <v>22735</v>
      </c>
      <c r="BG50">
        <v>1982</v>
      </c>
      <c r="BH50">
        <v>4747.3</v>
      </c>
      <c r="BI50">
        <v>15040.1</v>
      </c>
    </row>
    <row r="51" spans="1:61" x14ac:dyDescent="0.15">
      <c r="A51" t="e">
        <f t="shared" si="11"/>
        <v>#REF!</v>
      </c>
      <c r="B51">
        <v>1.3445</v>
      </c>
      <c r="C51" s="21">
        <v>1967</v>
      </c>
      <c r="D51" s="3">
        <f>SUMPRODUCT($D$42:$R$42,pm.rep!B66:P66)</f>
        <v>7155.4503324130046</v>
      </c>
      <c r="E51" s="3">
        <f>pm.rep!B67</f>
        <v>22271.4</v>
      </c>
      <c r="F51" s="27">
        <v>948.58299999999997</v>
      </c>
      <c r="G51" s="3" t="e">
        <f>SUMPRODUCT(G229:S229,pm.rep!D66:P66)</f>
        <v>#REF!</v>
      </c>
      <c r="H51" s="3" t="e">
        <f>SUMPRODUCT($D$43:$R$43,E229:S229,pm.rep!B66:P66)</f>
        <v>#REF!</v>
      </c>
      <c r="I51" s="3" t="e">
        <f t="shared" si="12"/>
        <v>#REF!</v>
      </c>
      <c r="J51" s="12">
        <f t="shared" si="18"/>
        <v>1948.1</v>
      </c>
      <c r="L51" s="7">
        <f>-LN(pm.rep!B12)-0.9</f>
        <v>3.8212993957584818E-3</v>
      </c>
      <c r="M51" s="7">
        <f>-LN(pm.rep!C12)-0.45</f>
        <v>2.8177746500664735E-2</v>
      </c>
      <c r="N51" s="7">
        <f>-LN(pm.rep!D12)-0.3</f>
        <v>0.12407316918276329</v>
      </c>
      <c r="O51" s="7">
        <f>-LN(pm.rep!E12)-0.3</f>
        <v>0.23411983956907295</v>
      </c>
      <c r="P51" s="7">
        <f>-LN(pm.rep!F12)-0.3</f>
        <v>0.23571788128408461</v>
      </c>
      <c r="Q51" s="7">
        <f>-LN(pm.rep!G12)-0.3</f>
        <v>0.23001693795211048</v>
      </c>
      <c r="R51" s="7">
        <f>-LN(pm.rep!H12)-0.3</f>
        <v>0.22696686213472544</v>
      </c>
      <c r="S51" s="7">
        <f>-LN(pm.rep!I12)-0.3</f>
        <v>0.2238686487379466</v>
      </c>
      <c r="T51" s="7">
        <f>-LN(pm.rep!J12)-0.3</f>
        <v>0.22092814953355061</v>
      </c>
      <c r="U51" s="7">
        <f>-LN(pm.rep!K12)-0.3</f>
        <v>0.21913673221195534</v>
      </c>
      <c r="V51" s="7">
        <f>-LN(pm.rep!L12)-0.3</f>
        <v>0.21913673221195534</v>
      </c>
      <c r="W51" s="7">
        <f>-LN(pm.rep!M12)-0.3</f>
        <v>0.21913673221195534</v>
      </c>
      <c r="X51" s="7">
        <f>-LN(pm.rep!N12)-0.3</f>
        <v>0.21913673221195534</v>
      </c>
      <c r="Y51" s="7">
        <f>-LN(pm.rep!O12)-0.3</f>
        <v>0.21913673221195534</v>
      </c>
      <c r="Z51" s="7">
        <f>-LN(pm.rep!P12)-0.3</f>
        <v>0.21913673221195534</v>
      </c>
      <c r="AA51" s="27">
        <f t="shared" si="19"/>
        <v>1014.8</v>
      </c>
      <c r="AB51" s="20">
        <f t="shared" si="13"/>
        <v>46677.602500000008</v>
      </c>
      <c r="AC51" s="27">
        <f>Stdev!E7</f>
        <v>216.05</v>
      </c>
      <c r="AD51" s="27">
        <f t="shared" si="14"/>
        <v>22271.4</v>
      </c>
      <c r="AE51" s="20">
        <v>0</v>
      </c>
      <c r="AF51" s="20">
        <f t="shared" si="15"/>
        <v>0</v>
      </c>
      <c r="AG51" s="6">
        <f>Stdev!D365</f>
        <v>23734</v>
      </c>
      <c r="AH51" s="20">
        <f t="shared" si="16"/>
        <v>10.074663898225085</v>
      </c>
      <c r="AI51" s="20">
        <f t="shared" si="17"/>
        <v>1.6802713094270292</v>
      </c>
      <c r="AJ51" s="20"/>
      <c r="AK51" s="20"/>
      <c r="AL51" s="20"/>
      <c r="AN51">
        <v>1967</v>
      </c>
      <c r="AO51" s="27">
        <f>Stdev!D7</f>
        <v>1014.8</v>
      </c>
      <c r="AQ51">
        <v>0</v>
      </c>
      <c r="AR51">
        <v>0</v>
      </c>
      <c r="AU51">
        <v>1967</v>
      </c>
      <c r="AV51" s="3">
        <v>2095.3536968999992</v>
      </c>
      <c r="BD51">
        <v>1545.16</v>
      </c>
      <c r="BE51">
        <v>24720</v>
      </c>
      <c r="BG51">
        <v>1983</v>
      </c>
      <c r="BH51">
        <v>5861.62</v>
      </c>
      <c r="BI51">
        <v>16613.3</v>
      </c>
    </row>
    <row r="52" spans="1:61" x14ac:dyDescent="0.15">
      <c r="A52" t="e">
        <f t="shared" si="11"/>
        <v>#REF!</v>
      </c>
      <c r="B52">
        <f>EXP(B51)</f>
        <v>3.8362679270230102</v>
      </c>
      <c r="C52" s="21">
        <v>1968</v>
      </c>
      <c r="D52" s="3">
        <f>SUMPRODUCT($D$42:$R$42,pm.rep!B67:P67)</f>
        <v>8206.4281588679678</v>
      </c>
      <c r="E52" s="3">
        <f>pm.rep!B68</f>
        <v>26141.1</v>
      </c>
      <c r="F52" s="27">
        <v>1175.1500000000001</v>
      </c>
      <c r="G52" s="3" t="e">
        <f>SUMPRODUCT(G230:S230,pm.rep!D67:P67)</f>
        <v>#REF!</v>
      </c>
      <c r="H52" s="3" t="e">
        <f>SUMPRODUCT($D$43:$R$43,E230:S230,pm.rep!B67:P67)</f>
        <v>#REF!</v>
      </c>
      <c r="I52" s="3" t="e">
        <f t="shared" si="12"/>
        <v>#REF!</v>
      </c>
      <c r="J52" s="12">
        <f t="shared" si="18"/>
        <v>1948.1</v>
      </c>
      <c r="L52" s="7">
        <f>-LN(pm.rep!B13)-0.9</f>
        <v>4.3794536485166624E-3</v>
      </c>
      <c r="M52" s="7">
        <f>-LN(pm.rep!C13)-0.45</f>
        <v>3.1605066425068884E-2</v>
      </c>
      <c r="N52" s="7">
        <f>-LN(pm.rep!D13)-0.3</f>
        <v>0.12572189852080107</v>
      </c>
      <c r="O52" s="7">
        <f>-LN(pm.rep!E13)-0.3</f>
        <v>0.23547015417899536</v>
      </c>
      <c r="P52" s="7">
        <f>-LN(pm.rep!F13)-0.3</f>
        <v>0.22907106410734085</v>
      </c>
      <c r="Q52" s="7">
        <f>-LN(pm.rep!G13)-0.3</f>
        <v>0.222361911584321</v>
      </c>
      <c r="R52" s="7">
        <f>-LN(pm.rep!H13)-0.3</f>
        <v>0.21976378370367672</v>
      </c>
      <c r="S52" s="7">
        <f>-LN(pm.rep!I13)-0.3</f>
        <v>0.21890988015297225</v>
      </c>
      <c r="T52" s="7">
        <f>-LN(pm.rep!J13)-0.3</f>
        <v>0.21858733472922881</v>
      </c>
      <c r="U52" s="7">
        <f>-LN(pm.rep!K13)-0.3</f>
        <v>0.21858061613905772</v>
      </c>
      <c r="V52" s="7">
        <f>-LN(pm.rep!L13)-0.3</f>
        <v>0.21858061613905772</v>
      </c>
      <c r="W52" s="7">
        <f>-LN(pm.rep!M13)-0.3</f>
        <v>0.21858061613905772</v>
      </c>
      <c r="X52" s="7">
        <f>-LN(pm.rep!N13)-0.3</f>
        <v>0.21858061613905772</v>
      </c>
      <c r="Y52" s="7">
        <f>-LN(pm.rep!O13)-0.3</f>
        <v>0.21858061613905772</v>
      </c>
      <c r="Z52" s="7">
        <f>-LN(pm.rep!P13)-0.3</f>
        <v>0.21858061613905772</v>
      </c>
      <c r="AA52" s="27">
        <f t="shared" si="19"/>
        <v>1267.5</v>
      </c>
      <c r="AB52" s="20">
        <f t="shared" si="13"/>
        <v>68664.96160000001</v>
      </c>
      <c r="AC52" s="27">
        <f>Stdev!E8</f>
        <v>262.04000000000002</v>
      </c>
      <c r="AD52" s="27">
        <f t="shared" si="14"/>
        <v>26141.1</v>
      </c>
      <c r="AE52" s="20">
        <v>0</v>
      </c>
      <c r="AF52" s="20">
        <f t="shared" si="15"/>
        <v>0</v>
      </c>
      <c r="AG52" s="6">
        <f>Stdev!D366</f>
        <v>26781</v>
      </c>
      <c r="AH52" s="20">
        <f t="shared" si="16"/>
        <v>10.195447959847472</v>
      </c>
      <c r="AI52" s="20">
        <f t="shared" si="17"/>
        <v>1.8010553710494168</v>
      </c>
      <c r="AJ52" s="20"/>
      <c r="AK52" s="20"/>
      <c r="AL52" s="20"/>
      <c r="AN52">
        <v>1968</v>
      </c>
      <c r="AO52" s="27">
        <f>Stdev!D8</f>
        <v>1267.5</v>
      </c>
      <c r="AQ52" s="12" t="e">
        <f>AQ49*1.1</f>
        <v>#REF!</v>
      </c>
      <c r="AR52" s="12" t="e">
        <f>AQ52/pm.rep!I864</f>
        <v>#REF!</v>
      </c>
      <c r="AU52">
        <v>1968</v>
      </c>
      <c r="AV52" s="3">
        <v>2510.0809254799997</v>
      </c>
      <c r="BD52">
        <v>1826.1</v>
      </c>
      <c r="BE52">
        <v>25990</v>
      </c>
      <c r="BG52">
        <v>1984</v>
      </c>
      <c r="BH52">
        <v>6278.45</v>
      </c>
      <c r="BI52">
        <v>16236.4</v>
      </c>
    </row>
    <row r="53" spans="1:61" x14ac:dyDescent="0.15">
      <c r="A53" t="e">
        <f t="shared" si="11"/>
        <v>#REF!</v>
      </c>
      <c r="B53">
        <v>8.8320000000000007</v>
      </c>
      <c r="C53" s="21">
        <v>1969</v>
      </c>
      <c r="D53" s="3">
        <f>SUMPRODUCT($D$42:$R$42,pm.rep!B68:P68)</f>
        <v>9364.2599869508358</v>
      </c>
      <c r="E53" s="3">
        <f>pm.rep!B69</f>
        <v>23500.1</v>
      </c>
      <c r="F53" s="27">
        <v>1434.76</v>
      </c>
      <c r="G53" s="3" t="e">
        <f>SUMPRODUCT(G231:S231,pm.rep!D68:P68)</f>
        <v>#REF!</v>
      </c>
      <c r="H53" s="3" t="e">
        <f>SUMPRODUCT($D$43:$R$43,E231:S231,pm.rep!B68:P68)</f>
        <v>#REF!</v>
      </c>
      <c r="I53" s="3" t="e">
        <f t="shared" si="12"/>
        <v>#REF!</v>
      </c>
      <c r="J53" s="12">
        <f t="shared" si="18"/>
        <v>1948.1</v>
      </c>
      <c r="L53" s="7">
        <f>-LN(pm.rep!B14)-0.9</f>
        <v>5.2840284859078102E-3</v>
      </c>
      <c r="M53" s="7">
        <f>-LN(pm.rep!C14)-0.45</f>
        <v>3.5785104222587294E-2</v>
      </c>
      <c r="N53" s="7">
        <f>-LN(pm.rep!D14)-0.3</f>
        <v>0.15535149791342112</v>
      </c>
      <c r="O53" s="7">
        <f>-LN(pm.rep!E14)-0.3</f>
        <v>0.22518489305324713</v>
      </c>
      <c r="P53" s="7">
        <f>-LN(pm.rep!F14)-0.3</f>
        <v>0.22003624493850166</v>
      </c>
      <c r="Q53" s="7">
        <f>-LN(pm.rep!G14)-0.3</f>
        <v>0.21593699794397786</v>
      </c>
      <c r="R53" s="7">
        <f>-LN(pm.rep!H14)-0.3</f>
        <v>0.21567067542919044</v>
      </c>
      <c r="S53" s="7">
        <f>-LN(pm.rep!I14)-0.3</f>
        <v>0.2252761988787913</v>
      </c>
      <c r="T53" s="7">
        <f>-LN(pm.rep!J14)-0.3</f>
        <v>0.22919837382404512</v>
      </c>
      <c r="U53" s="7">
        <f>-LN(pm.rep!K14)-0.3</f>
        <v>0.23440136029469644</v>
      </c>
      <c r="V53" s="7">
        <f>-LN(pm.rep!L14)-0.3</f>
        <v>0.23440136029469644</v>
      </c>
      <c r="W53" s="7">
        <f>-LN(pm.rep!M14)-0.3</f>
        <v>0.23440136029469644</v>
      </c>
      <c r="X53" s="7">
        <f>-LN(pm.rep!N14)-0.3</f>
        <v>0.23440136029469644</v>
      </c>
      <c r="Y53" s="7">
        <f>-LN(pm.rep!O14)-0.3</f>
        <v>0.23440136029469644</v>
      </c>
      <c r="Z53" s="7">
        <f>-LN(pm.rep!P14)-0.3</f>
        <v>0.23440136029469644</v>
      </c>
      <c r="AA53" s="27">
        <f t="shared" si="19"/>
        <v>1559.4</v>
      </c>
      <c r="AB53" s="20">
        <f t="shared" si="13"/>
        <v>91839.302500000005</v>
      </c>
      <c r="AC53" s="27">
        <f>Stdev!E9</f>
        <v>303.05</v>
      </c>
      <c r="AD53" s="27">
        <f t="shared" si="14"/>
        <v>23500.1</v>
      </c>
      <c r="AE53" s="20">
        <v>0</v>
      </c>
      <c r="AF53" s="20">
        <f t="shared" si="15"/>
        <v>0</v>
      </c>
      <c r="AG53" s="6">
        <f>Stdev!D367</f>
        <v>23061</v>
      </c>
      <c r="AH53" s="20">
        <f t="shared" si="16"/>
        <v>10.045898158017241</v>
      </c>
      <c r="AI53" s="20">
        <f t="shared" si="17"/>
        <v>1.6515055692191858</v>
      </c>
      <c r="AJ53" s="20"/>
      <c r="AK53" s="20"/>
      <c r="AL53" s="20"/>
      <c r="AN53">
        <v>1969</v>
      </c>
      <c r="AO53" s="27">
        <f>Stdev!D9</f>
        <v>1559.4</v>
      </c>
      <c r="AU53">
        <v>1969</v>
      </c>
      <c r="AV53" s="3">
        <v>3809.8202700299998</v>
      </c>
      <c r="BD53">
        <v>2107.04</v>
      </c>
      <c r="BE53">
        <v>26678</v>
      </c>
      <c r="BG53">
        <v>1985</v>
      </c>
      <c r="BH53">
        <v>6397.98</v>
      </c>
      <c r="BI53">
        <v>16914.7</v>
      </c>
    </row>
    <row r="54" spans="1:61" x14ac:dyDescent="0.15">
      <c r="A54" t="e">
        <f t="shared" si="11"/>
        <v>#REF!</v>
      </c>
      <c r="B54">
        <f>EXP(B53)</f>
        <v>6849.9730709474816</v>
      </c>
      <c r="C54" s="21">
        <v>1970</v>
      </c>
      <c r="D54" s="3">
        <f>SUMPRODUCT($D$42:$R$42,pm.rep!B69:P69)</f>
        <v>10080.351771874237</v>
      </c>
      <c r="E54" s="3">
        <f>pm.rep!B70</f>
        <v>14578.3</v>
      </c>
      <c r="F54" s="27">
        <v>1668.2</v>
      </c>
      <c r="G54" s="3" t="e">
        <f>SUMPRODUCT(G232:S232,pm.rep!D69:P69)</f>
        <v>#REF!</v>
      </c>
      <c r="H54" s="3" t="e">
        <f>SUMPRODUCT($D$43:$R$43,E232:S232,pm.rep!B69:P69)</f>
        <v>#REF!</v>
      </c>
      <c r="I54" s="3" t="e">
        <f t="shared" si="12"/>
        <v>#REF!</v>
      </c>
      <c r="J54" s="12">
        <f t="shared" si="18"/>
        <v>1948.1</v>
      </c>
      <c r="L54" s="7">
        <f>-LN(pm.rep!B15)-0.9</f>
        <v>9.1314210090943648E-3</v>
      </c>
      <c r="M54" s="7">
        <f>-LN(pm.rep!C15)-0.45</f>
        <v>5.8752773605060205E-2</v>
      </c>
      <c r="N54" s="7">
        <f>-LN(pm.rep!D15)-0.3</f>
        <v>0.21546637541558528</v>
      </c>
      <c r="O54" s="7">
        <f>-LN(pm.rep!E15)-0.3</f>
        <v>0.25449541942538451</v>
      </c>
      <c r="P54" s="7">
        <f>-LN(pm.rep!F15)-0.3</f>
        <v>0.27947212667403615</v>
      </c>
      <c r="Q54" s="7">
        <f>-LN(pm.rep!G15)-0.3</f>
        <v>0.27894744615495121</v>
      </c>
      <c r="R54" s="7">
        <f>-LN(pm.rep!H15)-0.3</f>
        <v>0.29401341090998928</v>
      </c>
      <c r="S54" s="7">
        <f>-LN(pm.rep!I15)-0.3</f>
        <v>0.32472994138415429</v>
      </c>
      <c r="T54" s="7">
        <f>-LN(pm.rep!J15)-0.3</f>
        <v>0.33916291009841376</v>
      </c>
      <c r="U54" s="7">
        <f>-LN(pm.rep!K15)-0.3</f>
        <v>0.36187140655644018</v>
      </c>
      <c r="V54" s="7">
        <f>-LN(pm.rep!L15)-0.3</f>
        <v>0.36187140655644018</v>
      </c>
      <c r="W54" s="7">
        <f>-LN(pm.rep!M15)-0.3</f>
        <v>0.36187140655644018</v>
      </c>
      <c r="X54" s="7">
        <f>-LN(pm.rep!N15)-0.3</f>
        <v>0.36187140655644018</v>
      </c>
      <c r="Y54" s="7">
        <f>-LN(pm.rep!O15)-0.3</f>
        <v>0.36187140655644018</v>
      </c>
      <c r="Z54" s="7">
        <f>-LN(pm.rep!P15)-0.3</f>
        <v>0.36187140655644018</v>
      </c>
      <c r="AA54" s="27">
        <f t="shared" si="19"/>
        <v>1831.6</v>
      </c>
      <c r="AB54" s="20">
        <f t="shared" si="13"/>
        <v>110290.41000000002</v>
      </c>
      <c r="AC54" s="27">
        <f>Stdev!E10</f>
        <v>332.1</v>
      </c>
      <c r="AD54" s="27">
        <f t="shared" si="14"/>
        <v>14578.3</v>
      </c>
      <c r="AE54" s="20">
        <v>0</v>
      </c>
      <c r="AF54" s="20">
        <f t="shared" si="15"/>
        <v>0</v>
      </c>
      <c r="AG54" s="6">
        <f>Stdev!D368</f>
        <v>14389</v>
      </c>
      <c r="AH54" s="20">
        <f t="shared" si="16"/>
        <v>9.5742193047634174</v>
      </c>
      <c r="AI54" s="20">
        <f t="shared" si="17"/>
        <v>1.1798267159653619</v>
      </c>
      <c r="AJ54" s="20"/>
      <c r="AK54" s="20"/>
      <c r="AL54" s="20"/>
      <c r="AN54">
        <v>1970</v>
      </c>
      <c r="AO54" s="27">
        <f>Stdev!D10</f>
        <v>1831.6</v>
      </c>
      <c r="AU54">
        <v>1970</v>
      </c>
      <c r="AV54" s="3">
        <v>5083.0647549299993</v>
      </c>
      <c r="BD54">
        <v>2387.9699999999998</v>
      </c>
      <c r="BE54">
        <v>26898</v>
      </c>
      <c r="BG54">
        <v>1986</v>
      </c>
      <c r="BH54">
        <v>6263.3</v>
      </c>
      <c r="BI54">
        <v>15558.8</v>
      </c>
    </row>
    <row r="55" spans="1:61" x14ac:dyDescent="0.15">
      <c r="A55" t="e">
        <f t="shared" si="11"/>
        <v>#REF!</v>
      </c>
      <c r="C55" s="21">
        <v>1971</v>
      </c>
      <c r="D55" s="3">
        <f>SUMPRODUCT($D$42:$R$42,pm.rep!B70:P70)</f>
        <v>9519.4140759302372</v>
      </c>
      <c r="E55" s="3">
        <f>pm.rep!B71</f>
        <v>11964.4</v>
      </c>
      <c r="F55" s="27">
        <v>1756.13</v>
      </c>
      <c r="G55" s="3" t="e">
        <f>SUMPRODUCT(G233:S233,pm.rep!D70:P70)</f>
        <v>#REF!</v>
      </c>
      <c r="H55" s="3" t="e">
        <f>SUMPRODUCT($D$43:$R$43,E233:S233,pm.rep!B70:P70)</f>
        <v>#REF!</v>
      </c>
      <c r="I55" s="3" t="e">
        <f t="shared" si="12"/>
        <v>#REF!</v>
      </c>
      <c r="J55" s="12">
        <f t="shared" si="18"/>
        <v>1948.1</v>
      </c>
      <c r="L55" s="7">
        <f>-LN(pm.rep!B16)-0.9</f>
        <v>1.2866600907461279E-2</v>
      </c>
      <c r="M55" s="7">
        <f>-LN(pm.rep!C16)-0.45</f>
        <v>8.4056721556279912E-2</v>
      </c>
      <c r="N55" s="7">
        <f>-LN(pm.rep!D16)-0.3</f>
        <v>0.27692625324863479</v>
      </c>
      <c r="O55" s="7">
        <f>-LN(pm.rep!E16)-0.3</f>
        <v>0.33991356980428261</v>
      </c>
      <c r="P55" s="7">
        <f>-LN(pm.rep!F16)-0.3</f>
        <v>0.39082986760478505</v>
      </c>
      <c r="Q55" s="7">
        <f>-LN(pm.rep!G16)-0.3</f>
        <v>0.38486358447244212</v>
      </c>
      <c r="R55" s="7">
        <f>-LN(pm.rep!H16)-0.3</f>
        <v>0.39094361020540286</v>
      </c>
      <c r="S55" s="7">
        <f>-LN(pm.rep!I16)-0.3</f>
        <v>0.45499492508608369</v>
      </c>
      <c r="T55" s="7">
        <f>-LN(pm.rep!J16)-0.3</f>
        <v>0.48482835318354617</v>
      </c>
      <c r="U55" s="7">
        <f>-LN(pm.rep!K16)-0.3</f>
        <v>0.52772140245623644</v>
      </c>
      <c r="V55" s="7">
        <f>-LN(pm.rep!L16)-0.3</f>
        <v>0.52772140245623644</v>
      </c>
      <c r="W55" s="7">
        <f>-LN(pm.rep!M16)-0.3</f>
        <v>0.52772140245623644</v>
      </c>
      <c r="X55" s="7">
        <f>-LN(pm.rep!N16)-0.3</f>
        <v>0.52772140245623644</v>
      </c>
      <c r="Y55" s="7">
        <f>-LN(pm.rep!O16)-0.3</f>
        <v>0.52772140245623644</v>
      </c>
      <c r="Z55" s="7">
        <f>-LN(pm.rep!P16)-0.3</f>
        <v>0.52772140245623644</v>
      </c>
      <c r="AA55" s="27">
        <f t="shared" si="19"/>
        <v>1942.5</v>
      </c>
      <c r="AB55" s="20">
        <f t="shared" si="13"/>
        <v>115742.84409999999</v>
      </c>
      <c r="AC55" s="27">
        <f>Stdev!E11</f>
        <v>340.21</v>
      </c>
      <c r="AD55" s="27">
        <f t="shared" si="14"/>
        <v>11964.4</v>
      </c>
      <c r="AE55" s="20">
        <v>0</v>
      </c>
      <c r="AF55" s="20">
        <f t="shared" si="15"/>
        <v>0</v>
      </c>
      <c r="AG55" s="6">
        <f>Stdev!D369</f>
        <v>11932</v>
      </c>
      <c r="AH55" s="20">
        <f t="shared" si="16"/>
        <v>9.3869791456346388</v>
      </c>
      <c r="AI55" s="20">
        <f t="shared" si="17"/>
        <v>0.99258655683658326</v>
      </c>
      <c r="AJ55" s="20"/>
      <c r="AK55" s="20"/>
      <c r="AL55" s="20"/>
      <c r="AN55">
        <v>1971</v>
      </c>
      <c r="AO55" s="27">
        <f>Stdev!D11</f>
        <v>1942.5</v>
      </c>
      <c r="AU55">
        <v>1971</v>
      </c>
      <c r="AV55" s="3">
        <v>5812.7153322279992</v>
      </c>
      <c r="BD55">
        <v>2668.91</v>
      </c>
      <c r="BE55">
        <v>26744</v>
      </c>
      <c r="BG55">
        <v>1987</v>
      </c>
      <c r="BH55">
        <v>5954.26</v>
      </c>
      <c r="BI55">
        <v>14910.2</v>
      </c>
    </row>
    <row r="56" spans="1:61" x14ac:dyDescent="0.15">
      <c r="A56" t="e">
        <f t="shared" si="11"/>
        <v>#REF!</v>
      </c>
      <c r="C56" s="21">
        <v>1972</v>
      </c>
      <c r="D56" s="3">
        <f>SUMPRODUCT($D$42:$R$42,pm.rep!B71:P71)</f>
        <v>8244.4809652580952</v>
      </c>
      <c r="E56" s="3">
        <f>pm.rep!B72</f>
        <v>26909</v>
      </c>
      <c r="F56" s="27">
        <v>1660.15</v>
      </c>
      <c r="G56" s="3" t="e">
        <f>SUMPRODUCT(G234:S234,pm.rep!D71:P71)</f>
        <v>#REF!</v>
      </c>
      <c r="H56" s="3" t="e">
        <f>SUMPRODUCT($D$43:$R$43,E234:S234,pm.rep!B71:P71)</f>
        <v>#REF!</v>
      </c>
      <c r="I56" s="3" t="e">
        <f t="shared" si="12"/>
        <v>#REF!</v>
      </c>
      <c r="J56" s="12">
        <f t="shared" si="18"/>
        <v>1948.1</v>
      </c>
      <c r="L56" s="7">
        <f>-LN(pm.rep!B17)-0.9</f>
        <v>1.1554465711216655E-2</v>
      </c>
      <c r="M56" s="7">
        <f>-LN(pm.rep!C17)-0.45</f>
        <v>0.11536629042718377</v>
      </c>
      <c r="N56" s="7">
        <f>-LN(pm.rep!D17)-0.3</f>
        <v>0.34997275517614906</v>
      </c>
      <c r="O56" s="7">
        <f>-LN(pm.rep!E17)-0.3</f>
        <v>0.41648336351708232</v>
      </c>
      <c r="P56" s="7">
        <f>-LN(pm.rep!F17)-0.3</f>
        <v>0.43291972594462907</v>
      </c>
      <c r="Q56" s="7">
        <f>-LN(pm.rep!G17)-0.3</f>
        <v>0.4321167252586639</v>
      </c>
      <c r="R56" s="7">
        <f>-LN(pm.rep!H17)-0.3</f>
        <v>0.43647021674577996</v>
      </c>
      <c r="S56" s="7">
        <f>-LN(pm.rep!I17)-0.3</f>
        <v>0.50004888323660079</v>
      </c>
      <c r="T56" s="7">
        <f>-LN(pm.rep!J17)-0.3</f>
        <v>0.54086095511773813</v>
      </c>
      <c r="U56" s="7">
        <f>-LN(pm.rep!K17)-0.3</f>
        <v>0.57550393797343435</v>
      </c>
      <c r="V56" s="7">
        <f>-LN(pm.rep!L17)-0.3</f>
        <v>0.57550393797343435</v>
      </c>
      <c r="W56" s="7">
        <f>-LN(pm.rep!M17)-0.3</f>
        <v>0.57550393797343435</v>
      </c>
      <c r="X56" s="7">
        <f>-LN(pm.rep!N17)-0.3</f>
        <v>0.57550393797343435</v>
      </c>
      <c r="Y56" s="7">
        <f>-LN(pm.rep!O17)-0.3</f>
        <v>0.57550393797343435</v>
      </c>
      <c r="Z56" s="7">
        <f>-LN(pm.rep!P17)-0.3</f>
        <v>0.57550393797343435</v>
      </c>
      <c r="AA56" s="27">
        <f t="shared" si="19"/>
        <v>1836.1</v>
      </c>
      <c r="AB56" s="20">
        <f t="shared" si="13"/>
        <v>101939.71839999998</v>
      </c>
      <c r="AC56" s="27">
        <f>Stdev!E12</f>
        <v>319.27999999999997</v>
      </c>
      <c r="AD56" s="27">
        <f t="shared" si="14"/>
        <v>26909</v>
      </c>
      <c r="AE56" s="20">
        <v>0</v>
      </c>
      <c r="AF56" s="20">
        <f t="shared" si="15"/>
        <v>0</v>
      </c>
      <c r="AG56" s="6">
        <f>Stdev!D370</f>
        <v>26782</v>
      </c>
      <c r="AH56" s="20">
        <f t="shared" si="16"/>
        <v>10.195485299055511</v>
      </c>
      <c r="AI56" s="20">
        <f t="shared" si="17"/>
        <v>1.8010927102574552</v>
      </c>
      <c r="AJ56" s="20"/>
      <c r="AK56" s="20"/>
      <c r="AL56" s="20"/>
      <c r="AN56">
        <v>1972</v>
      </c>
      <c r="AO56" s="27">
        <f>Stdev!D12</f>
        <v>1836.1</v>
      </c>
      <c r="AU56">
        <v>1972</v>
      </c>
      <c r="AV56" s="3">
        <v>5647.7510656380009</v>
      </c>
      <c r="BD56">
        <v>2949.85</v>
      </c>
      <c r="BE56">
        <v>26297</v>
      </c>
      <c r="BG56">
        <v>1988</v>
      </c>
      <c r="BH56">
        <v>5532.9</v>
      </c>
      <c r="BI56">
        <v>13429</v>
      </c>
    </row>
    <row r="57" spans="1:61" x14ac:dyDescent="0.15">
      <c r="A57" t="e">
        <f t="shared" si="11"/>
        <v>#REF!</v>
      </c>
      <c r="C57" s="21">
        <v>1973</v>
      </c>
      <c r="D57" s="3">
        <f>SUMPRODUCT($D$42:$R$42,pm.rep!B72:P72)</f>
        <v>8104.0178077080973</v>
      </c>
      <c r="E57" s="3">
        <f>pm.rep!B73</f>
        <v>19909.099999999999</v>
      </c>
      <c r="F57" s="27">
        <v>1392.45</v>
      </c>
      <c r="G57" s="3" t="e">
        <f>SUMPRODUCT(G235:S235,pm.rep!D72:P72)</f>
        <v>#REF!</v>
      </c>
      <c r="H57" s="3" t="e">
        <f>SUMPRODUCT($D$43:$R$43,E235:S235,pm.rep!B72:P72)</f>
        <v>#REF!</v>
      </c>
      <c r="I57" s="3" t="e">
        <f t="shared" si="12"/>
        <v>#REF!</v>
      </c>
      <c r="J57" s="12">
        <f t="shared" si="18"/>
        <v>1948.1</v>
      </c>
      <c r="L57" s="7">
        <f>-LN(pm.rep!B18)-0.9</f>
        <v>1.0253989722874279E-2</v>
      </c>
      <c r="M57" s="7">
        <f>-LN(pm.rep!C18)-0.45</f>
        <v>0.14603135918070737</v>
      </c>
      <c r="N57" s="7">
        <f>-LN(pm.rep!D18)-0.3</f>
        <v>0.42395490237696659</v>
      </c>
      <c r="O57" s="7">
        <f>-LN(pm.rep!E18)-0.3</f>
        <v>0.49675146152335142</v>
      </c>
      <c r="P57" s="7">
        <f>-LN(pm.rep!F18)-0.3</f>
        <v>0.51298081726227251</v>
      </c>
      <c r="Q57" s="7">
        <f>-LN(pm.rep!G18)-0.3</f>
        <v>0.51491263553196509</v>
      </c>
      <c r="R57" s="7">
        <f>-LN(pm.rep!H18)-0.3</f>
        <v>0.51388758492347675</v>
      </c>
      <c r="S57" s="7">
        <f>-LN(pm.rep!I18)-0.3</f>
        <v>0.57169745757744739</v>
      </c>
      <c r="T57" s="7">
        <f>-LN(pm.rep!J18)-0.3</f>
        <v>0.61118876904878761</v>
      </c>
      <c r="U57" s="7">
        <f>-LN(pm.rep!K18)-0.3</f>
        <v>0.63171660116449591</v>
      </c>
      <c r="V57" s="7">
        <f>-LN(pm.rep!L18)-0.3</f>
        <v>0.63171660116449591</v>
      </c>
      <c r="W57" s="7">
        <f>-LN(pm.rep!M18)-0.3</f>
        <v>0.63171660116449591</v>
      </c>
      <c r="X57" s="7">
        <f>-LN(pm.rep!N18)-0.3</f>
        <v>0.63171660116449591</v>
      </c>
      <c r="Y57" s="7">
        <f>-LN(pm.rep!O18)-0.3</f>
        <v>0.63171660116449591</v>
      </c>
      <c r="Z57" s="7">
        <f>-LN(pm.rep!P18)-0.3</f>
        <v>0.63171660116449591</v>
      </c>
      <c r="AA57" s="27">
        <f t="shared" si="19"/>
        <v>1538.5</v>
      </c>
      <c r="AB57" s="20">
        <f t="shared" si="13"/>
        <v>83648.208400000018</v>
      </c>
      <c r="AC57" s="27">
        <f>Stdev!E13</f>
        <v>289.22000000000003</v>
      </c>
      <c r="AD57" s="27">
        <f t="shared" si="14"/>
        <v>19909.099999999999</v>
      </c>
      <c r="AE57" s="20">
        <v>0</v>
      </c>
      <c r="AF57" s="20">
        <f t="shared" si="15"/>
        <v>0</v>
      </c>
      <c r="AG57" s="6">
        <f>Stdev!D371</f>
        <v>21349</v>
      </c>
      <c r="AH57" s="20">
        <f t="shared" si="16"/>
        <v>9.9687601791523246</v>
      </c>
      <c r="AI57" s="20">
        <f t="shared" si="17"/>
        <v>1.5743675903542691</v>
      </c>
      <c r="AJ57" s="20"/>
      <c r="AK57" s="20"/>
      <c r="AL57" s="20"/>
      <c r="AN57">
        <v>1973</v>
      </c>
      <c r="AO57" s="27">
        <f>Stdev!D13</f>
        <v>1538.5</v>
      </c>
      <c r="AU57">
        <v>1973</v>
      </c>
      <c r="AV57" s="3">
        <v>3921.5521103999999</v>
      </c>
      <c r="BD57">
        <v>3230.79</v>
      </c>
      <c r="BE57">
        <v>25623</v>
      </c>
      <c r="BG57">
        <v>1989</v>
      </c>
      <c r="BH57">
        <v>4990.0200000000004</v>
      </c>
      <c r="BI57">
        <v>11784.5</v>
      </c>
    </row>
    <row r="58" spans="1:61" x14ac:dyDescent="0.15">
      <c r="A58" t="e">
        <f t="shared" si="11"/>
        <v>#REF!</v>
      </c>
      <c r="C58" s="21">
        <v>1974</v>
      </c>
      <c r="D58" s="3">
        <f>SUMPRODUCT($D$42:$R$42,pm.rep!B73:P73)</f>
        <v>7416.6457364586104</v>
      </c>
      <c r="E58" s="3">
        <f>pm.rep!B74</f>
        <v>17094.099999999999</v>
      </c>
      <c r="F58" s="27">
        <v>1037.1500000000001</v>
      </c>
      <c r="G58" s="3" t="e">
        <f>SUMPRODUCT(G236:S236,pm.rep!D73:P73)</f>
        <v>#REF!</v>
      </c>
      <c r="H58" s="3" t="e">
        <f>SUMPRODUCT($D$43:$R$43,E236:S236,pm.rep!B73:P73)</f>
        <v>#REF!</v>
      </c>
      <c r="I58" s="3" t="e">
        <f t="shared" si="12"/>
        <v>#REF!</v>
      </c>
      <c r="J58" s="12">
        <f t="shared" si="18"/>
        <v>1948.1</v>
      </c>
      <c r="L58" s="7">
        <f>-LN(pm.rep!B19)-0.9</f>
        <v>8.9254224801385007E-3</v>
      </c>
      <c r="M58" s="7">
        <f>-LN(pm.rep!C19)-0.45</f>
        <v>0.18069082562669864</v>
      </c>
      <c r="N58" s="7">
        <f>-LN(pm.rep!D19)-0.3</f>
        <v>0.53957972199323612</v>
      </c>
      <c r="O58" s="7">
        <f>-LN(pm.rep!E19)-0.3</f>
        <v>0.54702123198570152</v>
      </c>
      <c r="P58" s="7">
        <f>-LN(pm.rep!F19)-0.3</f>
        <v>0.55049128728479446</v>
      </c>
      <c r="Q58" s="7">
        <f>-LN(pm.rep!G19)-0.3</f>
        <v>0.54872788238143966</v>
      </c>
      <c r="R58" s="7">
        <f>-LN(pm.rep!H19)-0.3</f>
        <v>0.54836342790267523</v>
      </c>
      <c r="S58" s="7">
        <f>-LN(pm.rep!I19)-0.3</f>
        <v>0.59639497166007827</v>
      </c>
      <c r="T58" s="7">
        <f>-LN(pm.rep!J19)-0.3</f>
        <v>0.64236010426351431</v>
      </c>
      <c r="U58" s="7">
        <f>-LN(pm.rep!K19)-0.3</f>
        <v>0.64545953517517374</v>
      </c>
      <c r="V58" s="7">
        <f>-LN(pm.rep!L19)-0.3</f>
        <v>0.64545953517517374</v>
      </c>
      <c r="W58" s="7">
        <f>-LN(pm.rep!M19)-0.3</f>
        <v>0.64545953517517374</v>
      </c>
      <c r="X58" s="7">
        <f>-LN(pm.rep!N19)-0.3</f>
        <v>0.64545953517517374</v>
      </c>
      <c r="Y58" s="7">
        <f>-LN(pm.rep!O19)-0.3</f>
        <v>0.64545953517517374</v>
      </c>
      <c r="Z58" s="7">
        <f>-LN(pm.rep!P19)-0.3</f>
        <v>0.64545953517517374</v>
      </c>
      <c r="AA58" s="27">
        <f t="shared" si="19"/>
        <v>1158.5999999999999</v>
      </c>
      <c r="AB58" s="20">
        <f t="shared" si="13"/>
        <v>61767.160900000003</v>
      </c>
      <c r="AC58" s="27">
        <f>Stdev!E14</f>
        <v>248.53</v>
      </c>
      <c r="AD58" s="27">
        <f t="shared" si="14"/>
        <v>17094.099999999999</v>
      </c>
      <c r="AE58" s="20">
        <v>0</v>
      </c>
      <c r="AF58" s="20">
        <f t="shared" si="15"/>
        <v>0</v>
      </c>
      <c r="AG58" s="6">
        <f>Stdev!D372</f>
        <v>19146</v>
      </c>
      <c r="AH58" s="20">
        <f t="shared" si="16"/>
        <v>9.8598490955062985</v>
      </c>
      <c r="AI58" s="20">
        <f t="shared" si="17"/>
        <v>1.465456506708243</v>
      </c>
      <c r="AJ58" s="20"/>
      <c r="AK58" s="20"/>
      <c r="AL58" s="20"/>
      <c r="AN58">
        <v>1974</v>
      </c>
      <c r="AO58" s="27">
        <f>Stdev!D14</f>
        <v>1158.5999999999999</v>
      </c>
      <c r="AU58">
        <v>1974</v>
      </c>
      <c r="AV58" s="3">
        <v>2341.5866930259999</v>
      </c>
      <c r="BD58">
        <v>3511.73</v>
      </c>
      <c r="BE58">
        <v>24777</v>
      </c>
      <c r="BG58">
        <v>1990</v>
      </c>
      <c r="BH58">
        <v>4347.58</v>
      </c>
      <c r="BI58">
        <v>10086.9</v>
      </c>
    </row>
    <row r="59" spans="1:61" x14ac:dyDescent="0.15">
      <c r="A59" t="e">
        <f t="shared" si="11"/>
        <v>#REF!</v>
      </c>
      <c r="C59" s="21">
        <v>1975</v>
      </c>
      <c r="D59" s="3">
        <f>SUMPRODUCT($D$42:$R$42,pm.rep!B74:P74)</f>
        <v>6754.6439193992555</v>
      </c>
      <c r="E59" s="3">
        <f>pm.rep!B75</f>
        <v>13137.6</v>
      </c>
      <c r="F59" s="27">
        <v>880.41300000000001</v>
      </c>
      <c r="G59" s="3" t="e">
        <f>SUMPRODUCT(G237:S237,pm.rep!D74:P74)</f>
        <v>#REF!</v>
      </c>
      <c r="H59" s="3" t="e">
        <f>SUMPRODUCT($D$43:$R$43,E237:S237,pm.rep!B74:P74)</f>
        <v>#REF!</v>
      </c>
      <c r="I59" s="3" t="e">
        <f t="shared" si="12"/>
        <v>#REF!</v>
      </c>
      <c r="J59" s="12">
        <f t="shared" si="18"/>
        <v>1948.1</v>
      </c>
      <c r="L59" s="7">
        <f>-LN(pm.rep!B20)-0.9</f>
        <v>5.9419655554550088E-3</v>
      </c>
      <c r="M59" s="7">
        <f>-LN(pm.rep!C20)-0.45</f>
        <v>0.12191233149434472</v>
      </c>
      <c r="N59" s="7">
        <f>-LN(pm.rep!D20)-0.3</f>
        <v>0.49203093799356018</v>
      </c>
      <c r="O59" s="7">
        <f>-LN(pm.rep!E20)-0.3</f>
        <v>0.47475427791985098</v>
      </c>
      <c r="P59" s="7">
        <f>-LN(pm.rep!F20)-0.3</f>
        <v>0.46307834925292984</v>
      </c>
      <c r="Q59" s="7">
        <f>-LN(pm.rep!G20)-0.3</f>
        <v>0.45760037200486497</v>
      </c>
      <c r="R59" s="7">
        <f>-LN(pm.rep!H20)-0.3</f>
        <v>0.45613596981919474</v>
      </c>
      <c r="S59" s="7">
        <f>-LN(pm.rep!I20)-0.3</f>
        <v>0.47909294369955896</v>
      </c>
      <c r="T59" s="7">
        <f>-LN(pm.rep!J20)-0.3</f>
        <v>0.52086464969586066</v>
      </c>
      <c r="U59" s="7">
        <f>-LN(pm.rep!K20)-0.3</f>
        <v>0.52796625903901018</v>
      </c>
      <c r="V59" s="7">
        <f>-LN(pm.rep!L20)-0.3</f>
        <v>0.52796625903901018</v>
      </c>
      <c r="W59" s="7">
        <f>-LN(pm.rep!M20)-0.3</f>
        <v>0.52796625903901018</v>
      </c>
      <c r="X59" s="7">
        <f>-LN(pm.rep!N20)-0.3</f>
        <v>0.52796625903901018</v>
      </c>
      <c r="Y59" s="7">
        <f>-LN(pm.rep!O20)-0.3</f>
        <v>0.52796625903901018</v>
      </c>
      <c r="Z59" s="7">
        <f>-LN(pm.rep!P20)-0.3</f>
        <v>0.52796625903901018</v>
      </c>
      <c r="AA59" s="27">
        <f t="shared" si="19"/>
        <v>980.86</v>
      </c>
      <c r="AB59" s="20">
        <f t="shared" si="13"/>
        <v>37783.5844</v>
      </c>
      <c r="AC59" s="27">
        <f>Stdev!E15</f>
        <v>194.38</v>
      </c>
      <c r="AD59" s="27">
        <f t="shared" si="14"/>
        <v>13137.6</v>
      </c>
      <c r="AE59" s="20">
        <v>0</v>
      </c>
      <c r="AF59" s="20">
        <f t="shared" si="15"/>
        <v>0</v>
      </c>
      <c r="AG59" s="6">
        <f>Stdev!D373</f>
        <v>14795</v>
      </c>
      <c r="AH59" s="20">
        <f t="shared" si="16"/>
        <v>9.6020445648343102</v>
      </c>
      <c r="AI59" s="20">
        <f t="shared" si="17"/>
        <v>1.2076519760362547</v>
      </c>
      <c r="AJ59" s="20"/>
      <c r="AK59" s="20"/>
      <c r="AL59" s="20"/>
      <c r="AN59">
        <v>1975</v>
      </c>
      <c r="AO59" s="27">
        <f>Stdev!D15</f>
        <v>980.86</v>
      </c>
      <c r="AU59">
        <v>1975</v>
      </c>
      <c r="AV59" s="3">
        <v>3013.4939790729995</v>
      </c>
      <c r="BD59">
        <v>3792.67</v>
      </c>
      <c r="BE59">
        <v>23805</v>
      </c>
      <c r="BG59">
        <v>1991</v>
      </c>
      <c r="BH59">
        <v>3720.92</v>
      </c>
      <c r="BI59">
        <v>8789.27</v>
      </c>
    </row>
    <row r="60" spans="1:61" x14ac:dyDescent="0.15">
      <c r="A60" t="e">
        <f t="shared" si="11"/>
        <v>#REF!</v>
      </c>
      <c r="C60" s="21">
        <v>1976</v>
      </c>
      <c r="D60" s="3">
        <f>SUMPRODUCT($D$42:$R$42,pm.rep!B75:P75)</f>
        <v>6143.0203879247101</v>
      </c>
      <c r="E60" s="3">
        <f>pm.rep!B76</f>
        <v>13755.3</v>
      </c>
      <c r="F60" s="27">
        <v>888.27300000000002</v>
      </c>
      <c r="G60" s="3" t="e">
        <f>SUMPRODUCT(G238:S238,pm.rep!D75:P75)</f>
        <v>#REF!</v>
      </c>
      <c r="H60" s="3" t="e">
        <f>SUMPRODUCT($D$43:$R$43,E238:S238,pm.rep!B75:P75)</f>
        <v>#REF!</v>
      </c>
      <c r="I60" s="3" t="e">
        <f t="shared" si="12"/>
        <v>#REF!</v>
      </c>
      <c r="J60" s="12">
        <f t="shared" si="18"/>
        <v>1948.1</v>
      </c>
      <c r="L60" s="7">
        <f>-LN(pm.rep!B21)-0.9</f>
        <v>4.290523258720591E-3</v>
      </c>
      <c r="M60" s="7">
        <f>-LN(pm.rep!C21)-0.45</f>
        <v>9.9007010539429119E-2</v>
      </c>
      <c r="N60" s="7">
        <f>-LN(pm.rep!D21)-0.3</f>
        <v>0.39673761847487304</v>
      </c>
      <c r="O60" s="7">
        <f>-LN(pm.rep!E21)-0.3</f>
        <v>0.44902570792178359</v>
      </c>
      <c r="P60" s="7">
        <f>-LN(pm.rep!F21)-0.3</f>
        <v>0.43232261473833483</v>
      </c>
      <c r="Q60" s="7">
        <f>-LN(pm.rep!G21)-0.3</f>
        <v>0.4222403112433219</v>
      </c>
      <c r="R60" s="7">
        <f>-LN(pm.rep!H21)-0.3</f>
        <v>0.41817579959416001</v>
      </c>
      <c r="S60" s="7">
        <f>-LN(pm.rep!I21)-0.3</f>
        <v>0.42437369265683805</v>
      </c>
      <c r="T60" s="7">
        <f>-LN(pm.rep!J21)-0.3</f>
        <v>0.46038373812666172</v>
      </c>
      <c r="U60" s="7">
        <f>-LN(pm.rep!K21)-0.3</f>
        <v>0.46670761033466618</v>
      </c>
      <c r="V60" s="7">
        <f>-LN(pm.rep!L21)-0.3</f>
        <v>0.46670761033466618</v>
      </c>
      <c r="W60" s="7">
        <f>-LN(pm.rep!M21)-0.3</f>
        <v>0.46670761033466618</v>
      </c>
      <c r="X60" s="7">
        <f>-LN(pm.rep!N21)-0.3</f>
        <v>0.46670761033466618</v>
      </c>
      <c r="Y60" s="7">
        <f>-LN(pm.rep!O21)-0.3</f>
        <v>0.46670761033466618</v>
      </c>
      <c r="Z60" s="7">
        <f>-LN(pm.rep!P21)-0.3</f>
        <v>0.46670761033466618</v>
      </c>
      <c r="AA60" s="27">
        <f t="shared" si="19"/>
        <v>976.89</v>
      </c>
      <c r="AB60" s="20">
        <f t="shared" si="13"/>
        <v>24532.956899999997</v>
      </c>
      <c r="AC60" s="27">
        <f>Stdev!E16</f>
        <v>156.63</v>
      </c>
      <c r="AD60" s="27">
        <f t="shared" si="14"/>
        <v>13755.3</v>
      </c>
      <c r="AE60" s="20">
        <v>0</v>
      </c>
      <c r="AF60" s="20">
        <f t="shared" si="15"/>
        <v>0</v>
      </c>
      <c r="AG60" s="6">
        <f>Stdev!D374</f>
        <v>15612</v>
      </c>
      <c r="AH60" s="20">
        <f t="shared" si="16"/>
        <v>9.6557951283005057</v>
      </c>
      <c r="AI60" s="20">
        <f t="shared" si="17"/>
        <v>1.2614025395024502</v>
      </c>
      <c r="AJ60" s="20"/>
      <c r="AK60" s="20"/>
      <c r="AL60" s="20"/>
      <c r="AN60">
        <v>1976</v>
      </c>
      <c r="AO60" s="27">
        <f>Stdev!D16</f>
        <v>976.89</v>
      </c>
      <c r="AU60">
        <v>1976</v>
      </c>
      <c r="AV60" s="3">
        <v>3008.3340178640005</v>
      </c>
      <c r="BD60">
        <v>4073.6</v>
      </c>
      <c r="BE60">
        <v>22746</v>
      </c>
      <c r="BG60">
        <v>1992</v>
      </c>
      <c r="BH60">
        <v>3918.04</v>
      </c>
      <c r="BI60">
        <v>11869.5</v>
      </c>
    </row>
    <row r="61" spans="1:61" x14ac:dyDescent="0.15">
      <c r="A61" t="e">
        <f t="shared" si="11"/>
        <v>#REF!</v>
      </c>
      <c r="C61" s="21">
        <v>1977</v>
      </c>
      <c r="D61" s="3">
        <f>SUMPRODUCT($D$42:$R$42,pm.rep!B76:P76)</f>
        <v>5807.5732188306019</v>
      </c>
      <c r="E61" s="3">
        <f>pm.rep!B77</f>
        <v>25352.3</v>
      </c>
      <c r="F61" s="27">
        <v>919.80399999999997</v>
      </c>
      <c r="G61" s="3" t="e">
        <f>SUMPRODUCT(G239:S239,pm.rep!D76:P76)</f>
        <v>#REF!</v>
      </c>
      <c r="H61" s="3" t="e">
        <f>SUMPRODUCT($D$43:$R$43,E239:S239,pm.rep!B76:P76)</f>
        <v>#REF!</v>
      </c>
      <c r="I61" s="3" t="e">
        <f t="shared" si="12"/>
        <v>#REF!</v>
      </c>
      <c r="J61" s="12">
        <f t="shared" si="18"/>
        <v>1948.1</v>
      </c>
      <c r="K61">
        <v>0</v>
      </c>
      <c r="L61" s="7">
        <f>-LN(pm.rep!B22)-0.9</f>
        <v>3.0858019886738086E-3</v>
      </c>
      <c r="M61" s="7">
        <f>-LN(pm.rep!C22)-0.45</f>
        <v>8.7294521350214149E-2</v>
      </c>
      <c r="N61" s="7">
        <f>-LN(pm.rep!D22)-0.3</f>
        <v>0.30181216398543725</v>
      </c>
      <c r="O61" s="7">
        <f>-LN(pm.rep!E22)-0.3</f>
        <v>0.37069316932988999</v>
      </c>
      <c r="P61" s="7">
        <f>-LN(pm.rep!F22)-0.3</f>
        <v>0.38974896105379236</v>
      </c>
      <c r="Q61" s="7">
        <f>-LN(pm.rep!G22)-0.3</f>
        <v>0.38272171507636249</v>
      </c>
      <c r="R61" s="7">
        <f>-LN(pm.rep!H22)-0.3</f>
        <v>0.37846154432950735</v>
      </c>
      <c r="S61" s="7">
        <f>-LN(pm.rep!I22)-0.3</f>
        <v>0.37767745615625409</v>
      </c>
      <c r="T61" s="7">
        <f>-LN(pm.rep!J22)-0.3</f>
        <v>0.40736375891922855</v>
      </c>
      <c r="U61" s="7">
        <f>-LN(pm.rep!K22)-0.3</f>
        <v>0.41720014776705</v>
      </c>
      <c r="V61" s="7">
        <f>-LN(pm.rep!L22)-0.3</f>
        <v>0.41720014776705</v>
      </c>
      <c r="W61" s="7">
        <f>-LN(pm.rep!M22)-0.3</f>
        <v>0.41720014776705</v>
      </c>
      <c r="X61" s="7">
        <f>-LN(pm.rep!N22)-0.3</f>
        <v>0.41720014776705</v>
      </c>
      <c r="Y61" s="7">
        <f>-LN(pm.rep!O22)-0.3</f>
        <v>0.41720014776705</v>
      </c>
      <c r="Z61" s="7">
        <f>-LN(pm.rep!P22)-0.3</f>
        <v>0.41720014776705</v>
      </c>
      <c r="AA61" s="27">
        <f t="shared" si="19"/>
        <v>1039.2</v>
      </c>
      <c r="AB61" s="20">
        <f t="shared" si="13"/>
        <v>19440.724900000001</v>
      </c>
      <c r="AC61" s="27">
        <f>Stdev!E17</f>
        <v>139.43</v>
      </c>
      <c r="AD61" s="27">
        <f t="shared" si="14"/>
        <v>25352.3</v>
      </c>
      <c r="AE61" s="20">
        <v>0</v>
      </c>
      <c r="AF61" s="20">
        <f t="shared" si="15"/>
        <v>0</v>
      </c>
      <c r="AG61" s="6">
        <f>Stdev!D375</f>
        <v>28474</v>
      </c>
      <c r="AH61" s="20">
        <f t="shared" si="16"/>
        <v>10.25674666917369</v>
      </c>
      <c r="AI61" s="20">
        <f t="shared" si="17"/>
        <v>1.8623540803756349</v>
      </c>
      <c r="AJ61" s="20"/>
      <c r="AK61" s="20"/>
      <c r="AL61" s="20"/>
      <c r="AN61">
        <v>1977</v>
      </c>
      <c r="AO61" s="27">
        <f>Stdev!D17</f>
        <v>1039.2</v>
      </c>
      <c r="AU61">
        <v>1977</v>
      </c>
      <c r="AV61" s="3">
        <v>2893.6876154906008</v>
      </c>
      <c r="BD61">
        <v>4354.54</v>
      </c>
      <c r="BE61">
        <v>21631</v>
      </c>
      <c r="BG61">
        <v>1993</v>
      </c>
      <c r="BH61">
        <v>5003.8599999999997</v>
      </c>
      <c r="BI61">
        <v>14838.1</v>
      </c>
    </row>
    <row r="62" spans="1:61" x14ac:dyDescent="0.15">
      <c r="A62" t="e">
        <f t="shared" si="11"/>
        <v>#REF!</v>
      </c>
      <c r="C62" s="21">
        <v>1978</v>
      </c>
      <c r="D62" s="3">
        <f>SUMPRODUCT($D$42:$R$42,pm.rep!B77:P77)</f>
        <v>6665.26927649959</v>
      </c>
      <c r="E62" s="3">
        <f>pm.rep!B78</f>
        <v>61942.6</v>
      </c>
      <c r="F62" s="27">
        <v>924.94100000000003</v>
      </c>
      <c r="G62" s="3" t="e">
        <f>SUMPRODUCT(G240:S240,pm.rep!D77:P77)</f>
        <v>#REF!</v>
      </c>
      <c r="H62" s="3" t="e">
        <f>SUMPRODUCT($D$43:$R$43,E240:S240,pm.rep!B77:P77)</f>
        <v>#REF!</v>
      </c>
      <c r="I62" s="3" t="e">
        <f t="shared" si="12"/>
        <v>#REF!</v>
      </c>
      <c r="J62" s="12">
        <f t="shared" si="18"/>
        <v>1948.1</v>
      </c>
      <c r="K62" s="12">
        <f>E62</f>
        <v>61942.6</v>
      </c>
      <c r="L62" s="7">
        <f>-LN(pm.rep!B23)-0.9</f>
        <v>2.5702891097846292E-3</v>
      </c>
      <c r="M62" s="7">
        <f>-LN(pm.rep!C23)-0.45</f>
        <v>7.960927039934923E-2</v>
      </c>
      <c r="N62" s="7">
        <f>-LN(pm.rep!D23)-0.3</f>
        <v>0.30320044927448292</v>
      </c>
      <c r="O62" s="7">
        <f>-LN(pm.rep!E23)-0.3</f>
        <v>0.3770770003824509</v>
      </c>
      <c r="P62" s="7">
        <f>-LN(pm.rep!F23)-0.3</f>
        <v>0.42307250996436435</v>
      </c>
      <c r="Q62" s="7">
        <f>-LN(pm.rep!G23)-0.3</f>
        <v>0.41753004112842801</v>
      </c>
      <c r="R62" s="7">
        <f>-LN(pm.rep!H23)-0.3</f>
        <v>0.41718990437378251</v>
      </c>
      <c r="S62" s="7">
        <f>-LN(pm.rep!I23)-0.3</f>
        <v>0.41665124974793938</v>
      </c>
      <c r="T62" s="7">
        <f>-LN(pm.rep!J23)-0.3</f>
        <v>0.44721062405957906</v>
      </c>
      <c r="U62" s="7">
        <f>-LN(pm.rep!K23)-0.3</f>
        <v>0.45838781478790319</v>
      </c>
      <c r="V62" s="7">
        <f>-LN(pm.rep!L23)-0.3</f>
        <v>0.45838781478790319</v>
      </c>
      <c r="W62" s="7">
        <f>-LN(pm.rep!M23)-0.3</f>
        <v>0.45838781478790319</v>
      </c>
      <c r="X62" s="7">
        <f>-LN(pm.rep!N23)-0.3</f>
        <v>0.45838781478790319</v>
      </c>
      <c r="Y62" s="7">
        <f>-LN(pm.rep!O23)-0.3</f>
        <v>0.45838781478790319</v>
      </c>
      <c r="Z62" s="7">
        <f>-LN(pm.rep!P23)-0.3</f>
        <v>0.45838781478790319</v>
      </c>
      <c r="AA62" s="27">
        <f t="shared" si="19"/>
        <v>1095.3</v>
      </c>
      <c r="AB62" s="20">
        <f t="shared" si="13"/>
        <v>18117.16</v>
      </c>
      <c r="AC62" s="27">
        <f>Stdev!E18</f>
        <v>134.6</v>
      </c>
      <c r="AD62" s="27">
        <f t="shared" si="14"/>
        <v>61942.6</v>
      </c>
      <c r="AE62" s="20">
        <v>0</v>
      </c>
      <c r="AF62" s="20">
        <f t="shared" si="15"/>
        <v>0</v>
      </c>
      <c r="AG62" s="6">
        <f>Stdev!D376</f>
        <v>67784</v>
      </c>
      <c r="AH62" s="20">
        <f t="shared" si="16"/>
        <v>11.124081457878299</v>
      </c>
      <c r="AI62" s="20">
        <f t="shared" si="17"/>
        <v>2.7296888690802437</v>
      </c>
      <c r="AJ62" s="20"/>
      <c r="AK62" s="20"/>
      <c r="AL62" s="20"/>
      <c r="AN62">
        <v>1978</v>
      </c>
      <c r="AO62" s="27">
        <f>Stdev!D18</f>
        <v>1095.3</v>
      </c>
      <c r="AU62">
        <v>1978</v>
      </c>
      <c r="AV62" s="3">
        <v>2867.1177576079999</v>
      </c>
      <c r="BD62">
        <v>4635.4799999999996</v>
      </c>
      <c r="BE62">
        <v>20485</v>
      </c>
      <c r="BG62">
        <v>1994</v>
      </c>
      <c r="BH62">
        <v>5175.28</v>
      </c>
      <c r="BI62">
        <v>14334.9</v>
      </c>
    </row>
    <row r="63" spans="1:61" x14ac:dyDescent="0.15">
      <c r="A63" t="e">
        <f t="shared" si="11"/>
        <v>#REF!</v>
      </c>
      <c r="C63" s="21">
        <v>1979</v>
      </c>
      <c r="D63" s="3">
        <f>SUMPRODUCT($D$42:$R$42,pm.rep!B78:P78)</f>
        <v>10545.682037653314</v>
      </c>
      <c r="E63" s="3">
        <f>pm.rep!B79</f>
        <v>27184.1</v>
      </c>
      <c r="F63" s="27">
        <v>886.53399999999999</v>
      </c>
      <c r="G63" s="3" t="e">
        <f>SUMPRODUCT(G241:S241,pm.rep!D78:P78)</f>
        <v>#REF!</v>
      </c>
      <c r="H63" s="3" t="e">
        <f>SUMPRODUCT($D$43:$R$43,E241:S241,pm.rep!B78:P78)</f>
        <v>#REF!</v>
      </c>
      <c r="I63" s="3" t="e">
        <f t="shared" si="12"/>
        <v>#REF!</v>
      </c>
      <c r="J63" s="12">
        <f t="shared" si="18"/>
        <v>1948.1</v>
      </c>
      <c r="L63" s="7">
        <f>-LN(pm.rep!B24)-0.9</f>
        <v>2.0944772313972182E-3</v>
      </c>
      <c r="M63" s="7">
        <f>-LN(pm.rep!C24)-0.45</f>
        <v>5.3260974673723205E-2</v>
      </c>
      <c r="N63" s="7">
        <f>-LN(pm.rep!D24)-0.3</f>
        <v>0.25145145697157906</v>
      </c>
      <c r="O63" s="7">
        <f>-LN(pm.rep!E24)-0.3</f>
        <v>0.35302687216382783</v>
      </c>
      <c r="P63" s="7">
        <f>-LN(pm.rep!F24)-0.3</f>
        <v>0.44788640535179564</v>
      </c>
      <c r="Q63" s="7">
        <f>-LN(pm.rep!G24)-0.3</f>
        <v>0.4598106244141989</v>
      </c>
      <c r="R63" s="7">
        <f>-LN(pm.rep!H24)-0.3</f>
        <v>0.45319871662139549</v>
      </c>
      <c r="S63" s="7">
        <f>-LN(pm.rep!I24)-0.3</f>
        <v>0.45283561573587788</v>
      </c>
      <c r="T63" s="7">
        <f>-LN(pm.rep!J24)-0.3</f>
        <v>0.47890988292287012</v>
      </c>
      <c r="U63" s="7">
        <f>-LN(pm.rep!K24)-0.3</f>
        <v>0.48005456295720023</v>
      </c>
      <c r="V63" s="7">
        <f>-LN(pm.rep!L24)-0.3</f>
        <v>0.48005456295720023</v>
      </c>
      <c r="W63" s="7">
        <f>-LN(pm.rep!M24)-0.3</f>
        <v>0.48005456295720023</v>
      </c>
      <c r="X63" s="7">
        <f>-LN(pm.rep!N24)-0.3</f>
        <v>0.48005456295720023</v>
      </c>
      <c r="Y63" s="7">
        <f>-LN(pm.rep!O24)-0.3</f>
        <v>0.48005456295720023</v>
      </c>
      <c r="Z63" s="7">
        <f>-LN(pm.rep!P24)-0.3</f>
        <v>0.48005456295720023</v>
      </c>
      <c r="AA63" s="27">
        <f t="shared" si="19"/>
        <v>1100.7</v>
      </c>
      <c r="AB63" s="20">
        <f t="shared" si="13"/>
        <v>17387.059600000004</v>
      </c>
      <c r="AC63" s="27">
        <f>Stdev!E19</f>
        <v>131.86000000000001</v>
      </c>
      <c r="AD63" s="27">
        <f t="shared" si="14"/>
        <v>27184.1</v>
      </c>
      <c r="AE63" s="20">
        <v>0</v>
      </c>
      <c r="AF63" s="20">
        <f t="shared" si="15"/>
        <v>0</v>
      </c>
      <c r="AG63" s="6">
        <f>Stdev!D377</f>
        <v>27425</v>
      </c>
      <c r="AH63" s="20">
        <f t="shared" si="16"/>
        <v>10.219210285143431</v>
      </c>
      <c r="AI63" s="20">
        <f t="shared" si="17"/>
        <v>1.8248176963453755</v>
      </c>
      <c r="AJ63" s="20"/>
      <c r="AK63" s="20"/>
      <c r="AL63" s="20"/>
      <c r="AN63">
        <v>1979</v>
      </c>
      <c r="AO63" s="27">
        <f>Stdev!D19</f>
        <v>1100.7</v>
      </c>
      <c r="AU63">
        <v>1979</v>
      </c>
      <c r="AV63" s="3">
        <v>2932.8038876800001</v>
      </c>
      <c r="BD63">
        <v>4916.42</v>
      </c>
      <c r="BE63">
        <v>19329</v>
      </c>
      <c r="BG63">
        <v>1995</v>
      </c>
      <c r="BH63">
        <v>5359.16</v>
      </c>
      <c r="BI63">
        <v>15586.4</v>
      </c>
    </row>
    <row r="64" spans="1:61" x14ac:dyDescent="0.15">
      <c r="A64" t="e">
        <f t="shared" si="11"/>
        <v>#REF!</v>
      </c>
      <c r="C64" s="21">
        <v>1980</v>
      </c>
      <c r="D64" s="3">
        <f>SUMPRODUCT($D$42:$R$42,pm.rep!B79:P79)</f>
        <v>11366.374076679154</v>
      </c>
      <c r="E64" s="3">
        <f>pm.rep!B80</f>
        <v>30738.1</v>
      </c>
      <c r="F64" s="27">
        <v>989.17200000000003</v>
      </c>
      <c r="G64" s="3" t="e">
        <f>SUMPRODUCT(G242:S242,pm.rep!D79:P79)</f>
        <v>#REF!</v>
      </c>
      <c r="H64" s="3" t="e">
        <f>SUMPRODUCT($D$43:$R$43,E242:S242,pm.rep!B79:P79)</f>
        <v>#REF!</v>
      </c>
      <c r="I64" s="3" t="e">
        <f t="shared" si="12"/>
        <v>#REF!</v>
      </c>
      <c r="J64" s="12">
        <f t="shared" si="18"/>
        <v>1948.1</v>
      </c>
      <c r="L64" s="7">
        <f>-LN(pm.rep!B25)-0.9</f>
        <v>1.4834034720438982E-3</v>
      </c>
      <c r="M64" s="7">
        <f>-LN(pm.rep!C25)-0.45</f>
        <v>2.7779382208190484E-2</v>
      </c>
      <c r="N64" s="7">
        <f>-LN(pm.rep!D25)-0.3</f>
        <v>0.16401201487018108</v>
      </c>
      <c r="O64" s="7">
        <f>-LN(pm.rep!E25)-0.3</f>
        <v>0.32468698425256343</v>
      </c>
      <c r="P64" s="7">
        <f>-LN(pm.rep!F25)-0.3</f>
        <v>0.42530267128075766</v>
      </c>
      <c r="Q64" s="7">
        <f>-LN(pm.rep!G25)-0.3</f>
        <v>0.44966885598436118</v>
      </c>
      <c r="R64" s="7">
        <f>-LN(pm.rep!H25)-0.3</f>
        <v>0.44262528130348994</v>
      </c>
      <c r="S64" s="7">
        <f>-LN(pm.rep!I25)-0.3</f>
        <v>0.43859443847188267</v>
      </c>
      <c r="T64" s="7">
        <f>-LN(pm.rep!J25)-0.3</f>
        <v>0.44653107979235557</v>
      </c>
      <c r="U64" s="7">
        <f>-LN(pm.rep!K25)-0.3</f>
        <v>0.44632224436551421</v>
      </c>
      <c r="V64" s="7">
        <f>-LN(pm.rep!L25)-0.3</f>
        <v>0.44632224436551421</v>
      </c>
      <c r="W64" s="7">
        <f>-LN(pm.rep!M25)-0.3</f>
        <v>0.44632224436551421</v>
      </c>
      <c r="X64" s="7">
        <f>-LN(pm.rep!N25)-0.3</f>
        <v>0.44632224436551421</v>
      </c>
      <c r="Y64" s="7">
        <f>-LN(pm.rep!O25)-0.3</f>
        <v>0.44632224436551421</v>
      </c>
      <c r="Z64" s="7">
        <f>-LN(pm.rep!P25)-0.3</f>
        <v>0.44632224436551421</v>
      </c>
      <c r="AA64" s="27">
        <f t="shared" si="19"/>
        <v>1251.5</v>
      </c>
      <c r="AB64" s="20">
        <f t="shared" si="13"/>
        <v>17048.524899999997</v>
      </c>
      <c r="AC64" s="27">
        <f>Stdev!E20</f>
        <v>130.57</v>
      </c>
      <c r="AD64" s="27">
        <f t="shared" si="14"/>
        <v>30738.1</v>
      </c>
      <c r="AE64" s="20">
        <v>0</v>
      </c>
      <c r="AF64" s="20">
        <f t="shared" si="15"/>
        <v>0</v>
      </c>
      <c r="AG64" s="6">
        <f>Stdev!D378</f>
        <v>30874</v>
      </c>
      <c r="AH64" s="20">
        <f t="shared" si="16"/>
        <v>10.337669684741787</v>
      </c>
      <c r="AI64" s="20">
        <f t="shared" si="17"/>
        <v>1.9432770959437313</v>
      </c>
      <c r="AJ64" s="20"/>
      <c r="AK64" s="20"/>
      <c r="AL64" s="20"/>
      <c r="AN64">
        <v>1980</v>
      </c>
      <c r="AO64" s="27">
        <f>Stdev!D20</f>
        <v>1251.5</v>
      </c>
      <c r="AU64">
        <v>1980</v>
      </c>
      <c r="AV64" s="3">
        <v>4293.5773250399998</v>
      </c>
      <c r="BD64">
        <v>5197.3599999999997</v>
      </c>
      <c r="BE64">
        <v>18178</v>
      </c>
      <c r="BG64">
        <v>1996</v>
      </c>
      <c r="BH64">
        <v>5421.8</v>
      </c>
      <c r="BI64">
        <v>14046.3</v>
      </c>
    </row>
    <row r="65" spans="1:74" x14ac:dyDescent="0.15">
      <c r="A65" t="e">
        <f t="shared" si="11"/>
        <v>#REF!</v>
      </c>
      <c r="C65" s="21">
        <v>1981</v>
      </c>
      <c r="D65" s="3">
        <f>SUMPRODUCT($D$42:$R$42,pm.rep!B80:P80)</f>
        <v>12781.108855192575</v>
      </c>
      <c r="E65" s="3">
        <f>pm.rep!B81</f>
        <v>16305.4</v>
      </c>
      <c r="F65" s="27">
        <v>1631.87</v>
      </c>
      <c r="G65" s="3" t="e">
        <f>SUMPRODUCT(G243:S243,pm.rep!D80:P80)</f>
        <v>#REF!</v>
      </c>
      <c r="H65" s="3" t="e">
        <f>SUMPRODUCT($D$43:$R$43,E243:S243,pm.rep!B80:P80)</f>
        <v>#REF!</v>
      </c>
      <c r="I65" s="3" t="e">
        <f t="shared" si="12"/>
        <v>#REF!</v>
      </c>
      <c r="J65" s="12">
        <f t="shared" si="18"/>
        <v>1948.1</v>
      </c>
      <c r="L65" s="7">
        <f>-LN(pm.rep!B26)-0.9</f>
        <v>8.7516464938031113E-4</v>
      </c>
      <c r="M65" s="7">
        <f>-LN(pm.rep!C26)-0.45</f>
        <v>1.4723195308488035E-2</v>
      </c>
      <c r="N65" s="7">
        <f>-LN(pm.rep!D26)-0.3</f>
        <v>8.3682090139555132E-2</v>
      </c>
      <c r="O65" s="7">
        <f>-LN(pm.rep!E26)-0.3</f>
        <v>0.2177126180958982</v>
      </c>
      <c r="P65" s="7">
        <f>-LN(pm.rep!F26)-0.3</f>
        <v>0.32709355776876509</v>
      </c>
      <c r="Q65" s="7">
        <f>-LN(pm.rep!G26)-0.3</f>
        <v>0.3333115758179846</v>
      </c>
      <c r="R65" s="7">
        <f>-LN(pm.rep!H26)-0.3</f>
        <v>0.3314896805811533</v>
      </c>
      <c r="S65" s="7">
        <f>-LN(pm.rep!I26)-0.3</f>
        <v>0.33133549887206321</v>
      </c>
      <c r="T65" s="7">
        <f>-LN(pm.rep!J26)-0.3</f>
        <v>0.3355860700354138</v>
      </c>
      <c r="U65" s="7">
        <f>-LN(pm.rep!K26)-0.3</f>
        <v>0.33496884257505671</v>
      </c>
      <c r="V65" s="7">
        <f>-LN(pm.rep!L26)-0.3</f>
        <v>0.33496884257505671</v>
      </c>
      <c r="W65" s="7">
        <f>-LN(pm.rep!M26)-0.3</f>
        <v>0.33496884257505671</v>
      </c>
      <c r="X65" s="7">
        <f>-LN(pm.rep!N26)-0.3</f>
        <v>0.33496884257505671</v>
      </c>
      <c r="Y65" s="7">
        <f>-LN(pm.rep!O26)-0.3</f>
        <v>0.33496884257505671</v>
      </c>
      <c r="Z65" s="7">
        <f>-LN(pm.rep!P26)-0.3</f>
        <v>0.33496884257505671</v>
      </c>
      <c r="AA65" s="27">
        <f t="shared" si="19"/>
        <v>1985.8</v>
      </c>
      <c r="AB65" s="20">
        <f t="shared" si="13"/>
        <v>20865.802499999998</v>
      </c>
      <c r="AC65" s="27">
        <f>Stdev!E21</f>
        <v>144.44999999999999</v>
      </c>
      <c r="AD65" s="27">
        <f t="shared" si="14"/>
        <v>16305.4</v>
      </c>
      <c r="AE65" s="20">
        <v>0</v>
      </c>
      <c r="AF65" s="20">
        <f t="shared" si="15"/>
        <v>0</v>
      </c>
      <c r="AG65" s="6">
        <f>Stdev!D379</f>
        <v>16332</v>
      </c>
      <c r="AH65" s="20">
        <f t="shared" si="16"/>
        <v>9.7008816524394668</v>
      </c>
      <c r="AI65" s="20">
        <f t="shared" si="17"/>
        <v>1.3064890636414113</v>
      </c>
      <c r="AJ65" s="20"/>
      <c r="AK65" s="20"/>
      <c r="AL65" s="20"/>
      <c r="AN65">
        <v>1981</v>
      </c>
      <c r="AO65" s="27">
        <f>Stdev!D21</f>
        <v>1985.8</v>
      </c>
      <c r="AU65">
        <v>1981</v>
      </c>
      <c r="AV65" s="3">
        <v>8569.3181024359983</v>
      </c>
      <c r="BD65">
        <v>5478.29</v>
      </c>
      <c r="BE65">
        <v>17046</v>
      </c>
      <c r="BG65">
        <v>1997</v>
      </c>
      <c r="BH65">
        <v>5151.72</v>
      </c>
      <c r="BI65">
        <v>12661.9</v>
      </c>
    </row>
    <row r="66" spans="1:74" x14ac:dyDescent="0.15">
      <c r="A66" t="e">
        <f t="shared" si="11"/>
        <v>#REF!</v>
      </c>
      <c r="C66" s="21">
        <v>1982</v>
      </c>
      <c r="D66" s="3">
        <f>SUMPRODUCT($D$42:$R$42,pm.rep!B81:P81)</f>
        <v>13070.584402000255</v>
      </c>
      <c r="E66" s="3">
        <f>pm.rep!B82</f>
        <v>52162.3</v>
      </c>
      <c r="F66" s="27">
        <v>2504.2199999999998</v>
      </c>
      <c r="G66" s="3" t="e">
        <f>SUMPRODUCT(G244:S244,pm.rep!D81:P81)</f>
        <v>#REF!</v>
      </c>
      <c r="H66" s="3" t="e">
        <f>SUMPRODUCT($D$43:$R$43,E244:S244,pm.rep!B81:P81)</f>
        <v>#REF!</v>
      </c>
      <c r="I66" s="3" t="e">
        <f t="shared" si="12"/>
        <v>#REF!</v>
      </c>
      <c r="J66" s="12">
        <f t="shared" si="18"/>
        <v>1948.1</v>
      </c>
      <c r="L66" s="7">
        <f>-LN(pm.rep!B27)-0.9</f>
        <v>4.9120434025162751E-4</v>
      </c>
      <c r="M66" s="7">
        <f>-LN(pm.rep!C27)-0.45</f>
        <v>8.3786617755617354E-3</v>
      </c>
      <c r="N66" s="7">
        <f>-LN(pm.rep!D27)-0.3</f>
        <v>3.947514082835607E-2</v>
      </c>
      <c r="O66" s="7">
        <f>-LN(pm.rep!E27)-0.3</f>
        <v>0.12928096765883285</v>
      </c>
      <c r="P66" s="7">
        <f>-LN(pm.rep!F27)-0.3</f>
        <v>0.20878437519878118</v>
      </c>
      <c r="Q66" s="7">
        <f>-LN(pm.rep!G27)-0.3</f>
        <v>0.22492623847822585</v>
      </c>
      <c r="R66" s="7">
        <f>-LN(pm.rep!H27)-0.3</f>
        <v>0.22293025679596451</v>
      </c>
      <c r="S66" s="7">
        <f>-LN(pm.rep!I27)-0.3</f>
        <v>0.22614402027032604</v>
      </c>
      <c r="T66" s="7">
        <f>-LN(pm.rep!J27)-0.3</f>
        <v>0.23222292187407095</v>
      </c>
      <c r="U66" s="7">
        <f>-LN(pm.rep!K27)-0.3</f>
        <v>0.23194541814599384</v>
      </c>
      <c r="V66" s="7">
        <f>-LN(pm.rep!L27)-0.3</f>
        <v>0.23194541814599384</v>
      </c>
      <c r="W66" s="7">
        <f>-LN(pm.rep!M27)-0.3</f>
        <v>0.23194541814599384</v>
      </c>
      <c r="X66" s="7">
        <f>-LN(pm.rep!N27)-0.3</f>
        <v>0.23194541814599384</v>
      </c>
      <c r="Y66" s="7">
        <f>-LN(pm.rep!O27)-0.3</f>
        <v>0.23194541814599384</v>
      </c>
      <c r="Z66" s="7">
        <f>-LN(pm.rep!P27)-0.3</f>
        <v>0.23194541814599384</v>
      </c>
      <c r="AA66" s="27">
        <f t="shared" si="19"/>
        <v>2946</v>
      </c>
      <c r="AB66" s="20">
        <f t="shared" si="13"/>
        <v>31431.744099999996</v>
      </c>
      <c r="AC66" s="27">
        <f>Stdev!E22</f>
        <v>177.29</v>
      </c>
      <c r="AD66" s="27">
        <f t="shared" si="14"/>
        <v>52162.3</v>
      </c>
      <c r="AE66" s="20">
        <v>0</v>
      </c>
      <c r="AF66" s="20">
        <f t="shared" si="15"/>
        <v>0</v>
      </c>
      <c r="AG66" s="6">
        <f>Stdev!D380</f>
        <v>50333</v>
      </c>
      <c r="AH66" s="20">
        <f t="shared" si="16"/>
        <v>10.826416204590467</v>
      </c>
      <c r="AI66" s="20">
        <f t="shared" si="17"/>
        <v>2.4320236157924118</v>
      </c>
      <c r="AJ66" s="20"/>
      <c r="AK66" s="20"/>
      <c r="AL66" s="20"/>
      <c r="AN66">
        <v>1982</v>
      </c>
      <c r="AO66" s="27">
        <f>Stdev!D22</f>
        <v>2946</v>
      </c>
      <c r="AU66">
        <v>1982</v>
      </c>
      <c r="AV66" s="3">
        <v>9778.1878867479991</v>
      </c>
      <c r="BG66">
        <v>1998</v>
      </c>
      <c r="BH66">
        <v>4848.16</v>
      </c>
      <c r="BI66">
        <v>12481.1</v>
      </c>
    </row>
    <row r="67" spans="1:74" x14ac:dyDescent="0.15">
      <c r="A67" t="e">
        <f t="shared" si="11"/>
        <v>#REF!</v>
      </c>
      <c r="C67" s="21">
        <v>1983</v>
      </c>
      <c r="D67" s="3">
        <f>SUMPRODUCT($D$42:$R$42,pm.rep!B82:P82)</f>
        <v>16065.5450681165</v>
      </c>
      <c r="E67" s="3">
        <f>pm.rep!B83</f>
        <v>13572.8</v>
      </c>
      <c r="F67" s="27">
        <v>3133.29</v>
      </c>
      <c r="G67" s="3" t="e">
        <f>SUMPRODUCT(G245:S245,pm.rep!D82:P82)</f>
        <v>#REF!</v>
      </c>
      <c r="H67" s="3" t="e">
        <f>SUMPRODUCT($D$43:$R$43,E245:S245,pm.rep!B82:P82)</f>
        <v>#REF!</v>
      </c>
      <c r="I67" s="3" t="e">
        <f t="shared" si="12"/>
        <v>#REF!</v>
      </c>
      <c r="J67" s="12">
        <f t="shared" si="18"/>
        <v>1948.1</v>
      </c>
      <c r="L67" s="7">
        <f>-LN(pm.rep!B28)-0.9</f>
        <v>3.5586886184946209E-4</v>
      </c>
      <c r="M67" s="7">
        <f>-LN(pm.rep!C28)-0.45</f>
        <v>7.5392335807664135E-3</v>
      </c>
      <c r="N67" s="7">
        <f>-LN(pm.rep!D28)-0.3</f>
        <v>2.9721474378474833E-2</v>
      </c>
      <c r="O67" s="7">
        <f>-LN(pm.rep!E28)-0.3</f>
        <v>9.1013536915859783E-2</v>
      </c>
      <c r="P67" s="7">
        <f>-LN(pm.rep!F28)-0.3</f>
        <v>0.15472888441412064</v>
      </c>
      <c r="Q67" s="7">
        <f>-LN(pm.rep!G28)-0.3</f>
        <v>0.19336560752274312</v>
      </c>
      <c r="R67" s="7">
        <f>-LN(pm.rep!H28)-0.3</f>
        <v>0.19217562127094551</v>
      </c>
      <c r="S67" s="7">
        <f>-LN(pm.rep!I28)-0.3</f>
        <v>0.1937718692001632</v>
      </c>
      <c r="T67" s="7">
        <f>-LN(pm.rep!J28)-0.3</f>
        <v>0.2040387070770166</v>
      </c>
      <c r="U67" s="7">
        <f>-LN(pm.rep!K28)-0.3</f>
        <v>0.20807607391168476</v>
      </c>
      <c r="V67" s="7">
        <f>-LN(pm.rep!L28)-0.3</f>
        <v>0.20807607391168476</v>
      </c>
      <c r="W67" s="7">
        <f>-LN(pm.rep!M28)-0.3</f>
        <v>0.20807607391168476</v>
      </c>
      <c r="X67" s="7">
        <f>-LN(pm.rep!N28)-0.3</f>
        <v>0.20807607391168476</v>
      </c>
      <c r="Y67" s="7">
        <f>-LN(pm.rep!O28)-0.3</f>
        <v>0.20807607391168476</v>
      </c>
      <c r="Z67" s="7">
        <f>-LN(pm.rep!P28)-0.3</f>
        <v>0.20807607391168476</v>
      </c>
      <c r="AA67" s="27">
        <f t="shared" si="19"/>
        <v>3594.3</v>
      </c>
      <c r="AB67" s="20">
        <f t="shared" si="13"/>
        <v>39716.504099999998</v>
      </c>
      <c r="AC67" s="27">
        <f>Stdev!E23</f>
        <v>199.29</v>
      </c>
      <c r="AD67" s="27">
        <f t="shared" si="14"/>
        <v>13572.8</v>
      </c>
      <c r="AE67" s="20">
        <v>0</v>
      </c>
      <c r="AF67" s="20">
        <f t="shared" si="15"/>
        <v>0</v>
      </c>
      <c r="AG67" s="6">
        <f>Stdev!D381</f>
        <v>12734</v>
      </c>
      <c r="AH67" s="20">
        <f t="shared" si="16"/>
        <v>9.4520308605769703</v>
      </c>
      <c r="AI67" s="20">
        <f t="shared" si="17"/>
        <v>1.0576382717789148</v>
      </c>
      <c r="AJ67" s="20"/>
      <c r="AK67" s="20"/>
      <c r="AL67" s="20"/>
      <c r="AN67">
        <v>1983</v>
      </c>
      <c r="AO67" s="27">
        <f>Stdev!D23</f>
        <v>3594.3</v>
      </c>
      <c r="AU67">
        <v>1983</v>
      </c>
      <c r="AV67" s="3">
        <v>10704.932097591998</v>
      </c>
      <c r="BG67">
        <v>1999</v>
      </c>
      <c r="BH67">
        <v>4622.49</v>
      </c>
      <c r="BI67">
        <v>12667.6</v>
      </c>
    </row>
    <row r="68" spans="1:74" x14ac:dyDescent="0.15">
      <c r="A68" t="e">
        <f t="shared" si="11"/>
        <v>#REF!</v>
      </c>
      <c r="C68" s="21">
        <v>1984</v>
      </c>
      <c r="D68" s="3">
        <f>SUMPRODUCT($D$42:$R$42,pm.rep!B83:P83)</f>
        <v>15314.095115657947</v>
      </c>
      <c r="E68" s="3">
        <f>pm.rep!B84</f>
        <v>34631.9</v>
      </c>
      <c r="F68" s="27">
        <v>3385.19</v>
      </c>
      <c r="G68" s="3" t="e">
        <f>SUMPRODUCT(G246:S246,pm.rep!D83:P83)</f>
        <v>#REF!</v>
      </c>
      <c r="H68" s="3" t="e">
        <f>SUMPRODUCT($D$43:$R$43,E246:S246,pm.rep!B83:P83)</f>
        <v>#REF!</v>
      </c>
      <c r="I68" s="3" t="e">
        <f t="shared" si="12"/>
        <v>#REF!</v>
      </c>
      <c r="J68" s="12">
        <f t="shared" si="18"/>
        <v>1948.1</v>
      </c>
      <c r="L68" s="7">
        <f>-LN(pm.rep!B29)-0.9</f>
        <v>3.0173979846581656E-4</v>
      </c>
      <c r="M68" s="7">
        <f>-LN(pm.rep!C29)-0.45</f>
        <v>6.0391875086190372E-3</v>
      </c>
      <c r="N68" s="7">
        <f>-LN(pm.rep!D29)-0.3</f>
        <v>2.9095908742497012E-2</v>
      </c>
      <c r="O68" s="7">
        <f>-LN(pm.rep!E29)-0.3</f>
        <v>8.0554958205140137E-2</v>
      </c>
      <c r="P68" s="7">
        <f>-LN(pm.rep!F29)-0.3</f>
        <v>0.15792171045506148</v>
      </c>
      <c r="Q68" s="7">
        <f>-LN(pm.rep!G29)-0.3</f>
        <v>0.1840327791832625</v>
      </c>
      <c r="R68" s="7">
        <f>-LN(pm.rep!H29)-0.3</f>
        <v>0.1927270619440955</v>
      </c>
      <c r="S68" s="7">
        <f>-LN(pm.rep!I29)-0.3</f>
        <v>0.19181579431111739</v>
      </c>
      <c r="T68" s="7">
        <f>-LN(pm.rep!J29)-0.3</f>
        <v>0.2022425638355167</v>
      </c>
      <c r="U68" s="7">
        <f>-LN(pm.rep!K29)-0.3</f>
        <v>0.20952313903428571</v>
      </c>
      <c r="V68" s="7">
        <f>-LN(pm.rep!L29)-0.3</f>
        <v>0.20952313903428571</v>
      </c>
      <c r="W68" s="7">
        <f>-LN(pm.rep!M29)-0.3</f>
        <v>0.20952313903428571</v>
      </c>
      <c r="X68" s="7">
        <f>-LN(pm.rep!N29)-0.3</f>
        <v>0.20952313903428571</v>
      </c>
      <c r="Y68" s="7">
        <f>-LN(pm.rep!O29)-0.3</f>
        <v>0.20952313903428571</v>
      </c>
      <c r="Z68" s="7">
        <f>-LN(pm.rep!P29)-0.3</f>
        <v>0.20952313903428571</v>
      </c>
      <c r="AA68" s="27">
        <f t="shared" si="19"/>
        <v>3812.4</v>
      </c>
      <c r="AB68" s="20">
        <f t="shared" si="13"/>
        <v>41209</v>
      </c>
      <c r="AC68" s="27">
        <f>Stdev!E24</f>
        <v>203</v>
      </c>
      <c r="AD68" s="27">
        <f t="shared" si="14"/>
        <v>34631.9</v>
      </c>
      <c r="AE68" s="20">
        <v>0</v>
      </c>
      <c r="AF68" s="20">
        <f t="shared" si="15"/>
        <v>0</v>
      </c>
      <c r="AG68" s="6">
        <f>Stdev!D382</f>
        <v>32660</v>
      </c>
      <c r="AH68" s="20">
        <f t="shared" si="16"/>
        <v>10.393906366524456</v>
      </c>
      <c r="AI68" s="20">
        <f t="shared" si="17"/>
        <v>1.9995137777264009</v>
      </c>
      <c r="AJ68" s="20"/>
      <c r="AK68" s="20"/>
      <c r="AL68" s="20"/>
      <c r="AN68">
        <v>1984</v>
      </c>
      <c r="AO68" s="27">
        <f>Stdev!D24</f>
        <v>3812.4</v>
      </c>
      <c r="AU68">
        <v>1984</v>
      </c>
      <c r="AV68" s="3">
        <v>10179.463100454999</v>
      </c>
      <c r="BG68">
        <v>2000</v>
      </c>
      <c r="BH68">
        <v>4604.46</v>
      </c>
      <c r="BI68">
        <v>11938.2</v>
      </c>
    </row>
    <row r="69" spans="1:74" x14ac:dyDescent="0.15">
      <c r="A69" t="e">
        <f t="shared" si="11"/>
        <v>#REF!</v>
      </c>
      <c r="C69" s="21">
        <v>1985</v>
      </c>
      <c r="D69" s="3">
        <f>SUMPRODUCT($D$42:$R$42,pm.rep!B84:P84)</f>
        <v>16269.050116098146</v>
      </c>
      <c r="E69" s="3">
        <f>pm.rep!B85</f>
        <v>14545.4</v>
      </c>
      <c r="F69" s="27">
        <v>3674.26</v>
      </c>
      <c r="G69" s="3" t="e">
        <f>SUMPRODUCT(G247:S247,pm.rep!D84:P84)</f>
        <v>#REF!</v>
      </c>
      <c r="H69" s="3" t="e">
        <f>SUMPRODUCT($D$43:$R$43,E247:S247,pm.rep!B84:P84)</f>
        <v>#REF!</v>
      </c>
      <c r="I69" s="3" t="e">
        <f t="shared" si="12"/>
        <v>#REF!</v>
      </c>
      <c r="J69" s="12">
        <f t="shared" si="18"/>
        <v>1948.1</v>
      </c>
      <c r="L69" s="7">
        <f>-LN(pm.rep!B30)-0.9</f>
        <v>2.6237504713522153E-4</v>
      </c>
      <c r="M69" s="7">
        <f>-LN(pm.rep!C30)-0.45</f>
        <v>6.264840107145675E-3</v>
      </c>
      <c r="N69" s="7">
        <f>-LN(pm.rep!D30)-0.3</f>
        <v>3.1635353224706897E-2</v>
      </c>
      <c r="O69" s="7">
        <f>-LN(pm.rep!E30)-0.3</f>
        <v>7.2393550782517468E-2</v>
      </c>
      <c r="P69" s="7">
        <f>-LN(pm.rep!F30)-0.3</f>
        <v>0.12671274893369561</v>
      </c>
      <c r="Q69" s="7">
        <f>-LN(pm.rep!G30)-0.3</f>
        <v>0.19967799016392668</v>
      </c>
      <c r="R69" s="7">
        <f>-LN(pm.rep!H30)-0.3</f>
        <v>0.19697367321534781</v>
      </c>
      <c r="S69" s="7">
        <f>-LN(pm.rep!I30)-0.3</f>
        <v>0.19697202947745507</v>
      </c>
      <c r="T69" s="7">
        <f>-LN(pm.rep!J30)-0.3</f>
        <v>0.20537550269421151</v>
      </c>
      <c r="U69" s="7">
        <f>-LN(pm.rep!K30)-0.3</f>
        <v>0.21559196474367176</v>
      </c>
      <c r="V69" s="7">
        <f>-LN(pm.rep!L30)-0.3</f>
        <v>0.21559196474367176</v>
      </c>
      <c r="W69" s="7">
        <f>-LN(pm.rep!M30)-0.3</f>
        <v>0.21559196474367176</v>
      </c>
      <c r="X69" s="7">
        <f>-LN(pm.rep!N30)-0.3</f>
        <v>0.21559196474367176</v>
      </c>
      <c r="Y69" s="7">
        <f>-LN(pm.rep!O30)-0.3</f>
        <v>0.21559196474367176</v>
      </c>
      <c r="Z69" s="7">
        <f>-LN(pm.rep!P30)-0.3</f>
        <v>0.21559196474367176</v>
      </c>
      <c r="AA69" s="27">
        <f t="shared" si="19"/>
        <v>4029.6</v>
      </c>
      <c r="AB69" s="20">
        <f t="shared" si="13"/>
        <v>38659.424400000004</v>
      </c>
      <c r="AC69" s="27">
        <f>Stdev!E25</f>
        <v>196.62</v>
      </c>
      <c r="AD69" s="27">
        <f t="shared" si="14"/>
        <v>14545.4</v>
      </c>
      <c r="AE69" s="20">
        <v>0</v>
      </c>
      <c r="AF69" s="20">
        <f t="shared" si="15"/>
        <v>0</v>
      </c>
      <c r="AG69" s="6">
        <f>Stdev!D383</f>
        <v>13941</v>
      </c>
      <c r="AH69" s="20">
        <f t="shared" si="16"/>
        <v>9.5425894177530886</v>
      </c>
      <c r="AI69" s="20">
        <f t="shared" si="17"/>
        <v>1.1481968289550331</v>
      </c>
      <c r="AJ69" s="20"/>
      <c r="AK69" s="20"/>
      <c r="AL69" s="20"/>
      <c r="AN69">
        <v>1985</v>
      </c>
      <c r="AO69" s="27">
        <f>Stdev!D25</f>
        <v>4029.6</v>
      </c>
      <c r="AU69">
        <v>1985</v>
      </c>
      <c r="AV69" s="3">
        <v>11919.058626020002</v>
      </c>
      <c r="BG69">
        <v>2001</v>
      </c>
      <c r="BH69">
        <v>4787.16</v>
      </c>
      <c r="BI69">
        <v>12096.2</v>
      </c>
    </row>
    <row r="70" spans="1:74" x14ac:dyDescent="0.15">
      <c r="A70" t="e">
        <f t="shared" si="11"/>
        <v>#REF!</v>
      </c>
      <c r="C70" s="21">
        <v>1986</v>
      </c>
      <c r="D70" s="3">
        <f>SUMPRODUCT($D$42:$R$42,pm.rep!B85:P85)</f>
        <v>15538.001249624354</v>
      </c>
      <c r="E70" s="3">
        <f>pm.rep!B86</f>
        <v>7835.33</v>
      </c>
      <c r="F70" s="27">
        <v>3925.45</v>
      </c>
      <c r="G70" s="3" t="e">
        <f>SUMPRODUCT(G248:S248,pm.rep!D85:P85)</f>
        <v>#REF!</v>
      </c>
      <c r="H70" s="3" t="e">
        <f>SUMPRODUCT($D$43:$R$43,E248:S248,pm.rep!B85:P85)</f>
        <v>#REF!</v>
      </c>
      <c r="I70" s="3" t="e">
        <f t="shared" si="12"/>
        <v>#REF!</v>
      </c>
      <c r="J70" s="12">
        <f t="shared" si="18"/>
        <v>1948.1</v>
      </c>
      <c r="L70" s="7">
        <f>-LN(pm.rep!B31)-0.9</f>
        <v>2.1071116251625277E-4</v>
      </c>
      <c r="M70" s="7">
        <f>-LN(pm.rep!C31)-0.45</f>
        <v>5.6321948004748879E-3</v>
      </c>
      <c r="N70" s="7">
        <f>-LN(pm.rep!D31)-0.3</f>
        <v>3.1587984026379967E-2</v>
      </c>
      <c r="O70" s="7">
        <f>-LN(pm.rep!E31)-0.3</f>
        <v>7.7679722100227777E-2</v>
      </c>
      <c r="P70" s="7">
        <f>-LN(pm.rep!F31)-0.3</f>
        <v>0.11360968531623972</v>
      </c>
      <c r="Q70" s="7">
        <f>-LN(pm.rep!G31)-0.3</f>
        <v>0.17698474059727271</v>
      </c>
      <c r="R70" s="7">
        <f>-LN(pm.rep!H31)-0.3</f>
        <v>0.18428431456466277</v>
      </c>
      <c r="S70" s="7">
        <f>-LN(pm.rep!I31)-0.3</f>
        <v>0.17234396569793453</v>
      </c>
      <c r="T70" s="7">
        <f>-LN(pm.rep!J31)-0.3</f>
        <v>0.19561358246439159</v>
      </c>
      <c r="U70" s="7">
        <f>-LN(pm.rep!K31)-0.3</f>
        <v>0.20072018943043851</v>
      </c>
      <c r="V70" s="7">
        <f>-LN(pm.rep!L31)-0.3</f>
        <v>0.20072018943043851</v>
      </c>
      <c r="W70" s="7">
        <f>-LN(pm.rep!M31)-0.3</f>
        <v>0.20072018943043851</v>
      </c>
      <c r="X70" s="7">
        <f>-LN(pm.rep!N31)-0.3</f>
        <v>0.20072018943043851</v>
      </c>
      <c r="Y70" s="7">
        <f>-LN(pm.rep!O31)-0.3</f>
        <v>0.20072018943043851</v>
      </c>
      <c r="Z70" s="7">
        <f>-LN(pm.rep!P31)-0.3</f>
        <v>0.20072018943043851</v>
      </c>
      <c r="AA70" s="27">
        <f t="shared" si="19"/>
        <v>4183.3</v>
      </c>
      <c r="AB70" s="20">
        <f t="shared" si="13"/>
        <v>35796.639999999992</v>
      </c>
      <c r="AC70" s="27">
        <f>Stdev!E26</f>
        <v>189.2</v>
      </c>
      <c r="AD70" s="27">
        <f t="shared" si="14"/>
        <v>7835.33</v>
      </c>
      <c r="AE70" s="20">
        <v>0</v>
      </c>
      <c r="AF70" s="20">
        <f t="shared" si="15"/>
        <v>0</v>
      </c>
      <c r="AG70" s="6">
        <f>Stdev!D384</f>
        <v>7729.4</v>
      </c>
      <c r="AH70" s="20">
        <f t="shared" si="16"/>
        <v>8.952786518905258</v>
      </c>
      <c r="AI70" s="20">
        <f t="shared" si="17"/>
        <v>0.55839393010720251</v>
      </c>
      <c r="AJ70" s="20"/>
      <c r="AK70" s="20"/>
      <c r="AL70" s="20"/>
      <c r="AN70">
        <v>1986</v>
      </c>
      <c r="AO70" s="27">
        <f>Stdev!D26</f>
        <v>4183.3</v>
      </c>
      <c r="AU70">
        <v>1986</v>
      </c>
      <c r="AV70" s="3">
        <v>10912.586807387999</v>
      </c>
      <c r="BG70">
        <v>2002</v>
      </c>
      <c r="BH70">
        <v>4727.1499999999996</v>
      </c>
      <c r="BI70">
        <v>12602.1</v>
      </c>
    </row>
    <row r="71" spans="1:74" x14ac:dyDescent="0.15">
      <c r="A71" t="e">
        <f t="shared" si="11"/>
        <v>#REF!</v>
      </c>
      <c r="C71" s="21">
        <v>1987</v>
      </c>
      <c r="D71" s="3">
        <f>SUMPRODUCT($D$42:$R$42,pm.rep!B86:P86)</f>
        <v>14017.331123538019</v>
      </c>
      <c r="E71" s="3">
        <f>pm.rep!B87</f>
        <v>5561.46</v>
      </c>
      <c r="F71" s="27">
        <v>4065.28</v>
      </c>
      <c r="G71" s="3" t="e">
        <f>SUMPRODUCT(G249:S249,pm.rep!D86:P86)</f>
        <v>#REF!</v>
      </c>
      <c r="H71" s="3" t="e">
        <f>SUMPRODUCT($D$43:$R$43,E249:S249,pm.rep!B86:P86)</f>
        <v>#REF!</v>
      </c>
      <c r="I71" s="3" t="e">
        <f t="shared" si="12"/>
        <v>#REF!</v>
      </c>
      <c r="J71" s="12">
        <f t="shared" si="18"/>
        <v>1948.1</v>
      </c>
      <c r="L71" s="7">
        <f>-LN(pm.rep!B32)-0.9</f>
        <v>1.3199037526778756E-4</v>
      </c>
      <c r="M71" s="7">
        <f>-LN(pm.rep!C32)-0.45</f>
        <v>3.8374095943690678E-3</v>
      </c>
      <c r="N71" s="7">
        <f>-LN(pm.rep!D32)-0.3</f>
        <v>2.544347757982629E-2</v>
      </c>
      <c r="O71" s="7">
        <f>-LN(pm.rep!E32)-0.3</f>
        <v>5.1565163985825335E-2</v>
      </c>
      <c r="P71" s="7">
        <f>-LN(pm.rep!F32)-0.3</f>
        <v>8.2357653656397634E-2</v>
      </c>
      <c r="Q71" s="7">
        <f>-LN(pm.rep!G32)-0.3</f>
        <v>0.11803072584471452</v>
      </c>
      <c r="R71" s="7">
        <f>-LN(pm.rep!H32)-0.3</f>
        <v>0.12307729616895563</v>
      </c>
      <c r="S71" s="7">
        <f>-LN(pm.rep!I32)-0.3</f>
        <v>0.14116430907032101</v>
      </c>
      <c r="T71" s="7">
        <f>-LN(pm.rep!J32)-0.3</f>
        <v>0.15041749597093074</v>
      </c>
      <c r="U71" s="7">
        <f>-LN(pm.rep!K32)-0.3</f>
        <v>0.14723599017985151</v>
      </c>
      <c r="V71" s="7">
        <f>-LN(pm.rep!L32)-0.3</f>
        <v>0.14723599017985151</v>
      </c>
      <c r="W71" s="7">
        <f>-LN(pm.rep!M32)-0.3</f>
        <v>0.14723599017985151</v>
      </c>
      <c r="X71" s="7">
        <f>-LN(pm.rep!N32)-0.3</f>
        <v>0.14723599017985151</v>
      </c>
      <c r="Y71" s="7">
        <f>-LN(pm.rep!O32)-0.3</f>
        <v>0.14723599017985151</v>
      </c>
      <c r="Z71" s="7">
        <f>-LN(pm.rep!P32)-0.3</f>
        <v>0.14723599017985151</v>
      </c>
      <c r="AA71" s="27">
        <f t="shared" si="19"/>
        <v>4216.2</v>
      </c>
      <c r="AB71" s="20">
        <f t="shared" si="13"/>
        <v>31969.440000000002</v>
      </c>
      <c r="AC71" s="27">
        <f>Stdev!E27</f>
        <v>178.8</v>
      </c>
      <c r="AD71" s="27">
        <f t="shared" si="14"/>
        <v>5561.46</v>
      </c>
      <c r="AE71" s="20">
        <v>0</v>
      </c>
      <c r="AF71" s="20">
        <f t="shared" si="15"/>
        <v>0</v>
      </c>
      <c r="AG71" s="6">
        <f>Stdev!D385</f>
        <v>5433.1</v>
      </c>
      <c r="AH71" s="20">
        <f t="shared" si="16"/>
        <v>8.6002651524193148</v>
      </c>
      <c r="AI71" s="20">
        <f t="shared" si="17"/>
        <v>0.20587256362125927</v>
      </c>
      <c r="AJ71" s="20"/>
      <c r="AK71" s="20"/>
      <c r="AL71" s="20"/>
      <c r="AN71">
        <v>1987</v>
      </c>
      <c r="AO71" s="27">
        <f>Stdev!D27</f>
        <v>4216.2</v>
      </c>
      <c r="AU71">
        <v>1987</v>
      </c>
      <c r="AV71" s="3">
        <v>11116.434615328</v>
      </c>
      <c r="BG71">
        <v>2003</v>
      </c>
      <c r="BH71">
        <v>4925.41</v>
      </c>
      <c r="BI71">
        <v>14692.6</v>
      </c>
    </row>
    <row r="72" spans="1:74" x14ac:dyDescent="0.15">
      <c r="A72" t="e">
        <f t="shared" si="11"/>
        <v>#REF!</v>
      </c>
      <c r="C72" s="21">
        <v>1988</v>
      </c>
      <c r="D72" s="3">
        <f>SUMPRODUCT($D$42:$R$42,pm.rep!B87:P87)</f>
        <v>12604.540265970909</v>
      </c>
      <c r="E72" s="3">
        <f>pm.rep!B88</f>
        <v>11102.8</v>
      </c>
      <c r="F72" s="27">
        <v>4064.37</v>
      </c>
      <c r="G72" s="3" t="e">
        <f>SUMPRODUCT(G250:S250,pm.rep!D87:P87)</f>
        <v>#REF!</v>
      </c>
      <c r="H72" s="3" t="e">
        <f>SUMPRODUCT($D$43:$R$43,E250:S250,pm.rep!B87:P87)</f>
        <v>#REF!</v>
      </c>
      <c r="I72" s="3" t="e">
        <f t="shared" si="12"/>
        <v>#REF!</v>
      </c>
      <c r="J72" s="12">
        <f t="shared" si="18"/>
        <v>1948.1</v>
      </c>
      <c r="L72" s="7">
        <f>-LN(pm.rep!B33)-0.9</f>
        <v>1.5412997033548148E-4</v>
      </c>
      <c r="M72" s="7">
        <f>-LN(pm.rep!C33)-0.45</f>
        <v>4.9337523931841099E-3</v>
      </c>
      <c r="N72" s="7">
        <f>-LN(pm.rep!D33)-0.3</f>
        <v>5.7017859870537535E-2</v>
      </c>
      <c r="O72" s="7">
        <f>-LN(pm.rep!E33)-0.3</f>
        <v>7.4630905942750625E-2</v>
      </c>
      <c r="P72" s="7">
        <f>-LN(pm.rep!F33)-0.3</f>
        <v>0.12981415472408475</v>
      </c>
      <c r="Q72" s="7">
        <f>-LN(pm.rep!G33)-0.3</f>
        <v>0.15271710586232928</v>
      </c>
      <c r="R72" s="7">
        <f>-LN(pm.rep!H33)-0.3</f>
        <v>0.18955838326503438</v>
      </c>
      <c r="S72" s="7">
        <f>-LN(pm.rep!I33)-0.3</f>
        <v>0.18120857079386854</v>
      </c>
      <c r="T72" s="7">
        <f>-LN(pm.rep!J33)-0.3</f>
        <v>0.19172749293519376</v>
      </c>
      <c r="U72" s="7">
        <f>-LN(pm.rep!K33)-0.3</f>
        <v>0.18704725010290923</v>
      </c>
      <c r="V72" s="7">
        <f>-LN(pm.rep!L33)-0.3</f>
        <v>0.18704725010290923</v>
      </c>
      <c r="W72" s="7">
        <f>-LN(pm.rep!M33)-0.3</f>
        <v>0.18704725010290923</v>
      </c>
      <c r="X72" s="7">
        <f>-LN(pm.rep!N33)-0.3</f>
        <v>0.18704725010290923</v>
      </c>
      <c r="Y72" s="7">
        <f>-LN(pm.rep!O33)-0.3</f>
        <v>0.18704725010290923</v>
      </c>
      <c r="Z72" s="7">
        <f>-LN(pm.rep!P33)-0.3</f>
        <v>0.18704725010290923</v>
      </c>
      <c r="AA72" s="27">
        <f t="shared" si="19"/>
        <v>4129.6000000000004</v>
      </c>
      <c r="AB72" s="20">
        <f t="shared" si="13"/>
        <v>27063.540099999998</v>
      </c>
      <c r="AC72" s="27">
        <f>Stdev!E28</f>
        <v>164.51</v>
      </c>
      <c r="AD72" s="27">
        <f t="shared" si="14"/>
        <v>11102.8</v>
      </c>
      <c r="AE72" s="20">
        <v>0</v>
      </c>
      <c r="AF72" s="20">
        <f t="shared" si="15"/>
        <v>0</v>
      </c>
      <c r="AG72" s="6">
        <f>Stdev!D386</f>
        <v>11458</v>
      </c>
      <c r="AH72" s="20">
        <f t="shared" si="16"/>
        <v>9.3464434549685222</v>
      </c>
      <c r="AI72" s="20">
        <f t="shared" si="17"/>
        <v>0.95205086617046675</v>
      </c>
      <c r="AJ72" s="20"/>
      <c r="AK72" s="20"/>
      <c r="AL72" s="20"/>
      <c r="AN72">
        <v>1988</v>
      </c>
      <c r="AO72" s="27">
        <f>Stdev!D28</f>
        <v>4129.6000000000004</v>
      </c>
      <c r="AU72">
        <v>1988</v>
      </c>
      <c r="AV72" s="3">
        <v>10274.059645785996</v>
      </c>
      <c r="BG72">
        <v>2004</v>
      </c>
      <c r="BH72">
        <v>4980.6099999999997</v>
      </c>
      <c r="BI72">
        <v>13748.5</v>
      </c>
    </row>
    <row r="73" spans="1:74" x14ac:dyDescent="0.15">
      <c r="A73" t="e">
        <f t="shared" si="11"/>
        <v>#REF!</v>
      </c>
      <c r="C73" s="21">
        <v>1989</v>
      </c>
      <c r="D73" s="3">
        <f>SUMPRODUCT($D$42:$R$42,pm.rep!B88:P88)</f>
        <v>11128.259170265808</v>
      </c>
      <c r="E73" s="3">
        <f>pm.rep!B89</f>
        <v>48848.1</v>
      </c>
      <c r="F73" s="27">
        <v>3667.76</v>
      </c>
      <c r="G73" s="3" t="e">
        <f>SUMPRODUCT(G251:S251,pm.rep!D88:P88)</f>
        <v>#REF!</v>
      </c>
      <c r="H73" s="3" t="e">
        <f>SUMPRODUCT($D$43:$R$43,E251:S251,pm.rep!B88:P88)</f>
        <v>#REF!</v>
      </c>
      <c r="I73" s="3" t="e">
        <f t="shared" si="12"/>
        <v>#REF!</v>
      </c>
      <c r="J73" s="12">
        <f t="shared" si="18"/>
        <v>1948.1</v>
      </c>
      <c r="L73" s="7">
        <f>-LN(pm.rep!B34)-0.9</f>
        <v>1.3199037526778756E-4</v>
      </c>
      <c r="M73" s="7">
        <f>-LN(pm.rep!C34)-0.45</f>
        <v>4.7745820956014429E-3</v>
      </c>
      <c r="N73" s="7">
        <f>-LN(pm.rep!D34)-0.3</f>
        <v>4.1668111832210308E-2</v>
      </c>
      <c r="O73" s="7">
        <f>-LN(pm.rep!E34)-0.3</f>
        <v>8.9342774203117981E-2</v>
      </c>
      <c r="P73" s="7">
        <f>-LN(pm.rep!F34)-0.3</f>
        <v>0.13362387086252386</v>
      </c>
      <c r="Q73" s="7">
        <f>-LN(pm.rep!G34)-0.3</f>
        <v>0.16517530438909478</v>
      </c>
      <c r="R73" s="7">
        <f>-LN(pm.rep!H34)-0.3</f>
        <v>0.20974121195307377</v>
      </c>
      <c r="S73" s="7">
        <f>-LN(pm.rep!I34)-0.3</f>
        <v>0.19707723414995454</v>
      </c>
      <c r="T73" s="7">
        <f>-LN(pm.rep!J34)-0.3</f>
        <v>0.18722466372206714</v>
      </c>
      <c r="U73" s="7">
        <f>-LN(pm.rep!K34)-0.3</f>
        <v>0.1853707001824742</v>
      </c>
      <c r="V73" s="7">
        <f>-LN(pm.rep!L34)-0.3</f>
        <v>0.1853707001824742</v>
      </c>
      <c r="W73" s="7">
        <f>-LN(pm.rep!M34)-0.3</f>
        <v>0.1853707001824742</v>
      </c>
      <c r="X73" s="7">
        <f>-LN(pm.rep!N34)-0.3</f>
        <v>0.1853707001824742</v>
      </c>
      <c r="Y73" s="7">
        <f>-LN(pm.rep!O34)-0.3</f>
        <v>0.1853707001824742</v>
      </c>
      <c r="Z73" s="7">
        <f>-LN(pm.rep!P34)-0.3</f>
        <v>0.1853707001824742</v>
      </c>
      <c r="AA73" s="27">
        <f t="shared" si="19"/>
        <v>3668.5</v>
      </c>
      <c r="AB73" s="20">
        <f t="shared" si="13"/>
        <v>22551.028899999998</v>
      </c>
      <c r="AC73" s="27">
        <f>Stdev!E29</f>
        <v>150.16999999999999</v>
      </c>
      <c r="AD73" s="27">
        <f t="shared" si="14"/>
        <v>48848.1</v>
      </c>
      <c r="AE73" s="20">
        <v>0</v>
      </c>
      <c r="AF73" s="20">
        <f t="shared" si="15"/>
        <v>0</v>
      </c>
      <c r="AG73" s="6">
        <f>Stdev!D387</f>
        <v>49809</v>
      </c>
      <c r="AH73" s="20">
        <f t="shared" si="16"/>
        <v>10.815950969575896</v>
      </c>
      <c r="AI73" s="20">
        <f t="shared" si="17"/>
        <v>2.4215583807778405</v>
      </c>
      <c r="AJ73" s="20"/>
      <c r="AK73" s="20"/>
      <c r="AL73" s="20"/>
      <c r="AN73">
        <v>1989</v>
      </c>
      <c r="AO73" s="27">
        <f>Stdev!D29</f>
        <v>3668.5</v>
      </c>
      <c r="AU73">
        <v>1989</v>
      </c>
      <c r="AV73" s="3">
        <v>8545.6921933600006</v>
      </c>
      <c r="BG73">
        <v>2005</v>
      </c>
      <c r="BH73">
        <v>4828.0600000000004</v>
      </c>
      <c r="BI73">
        <v>12274.1</v>
      </c>
    </row>
    <row r="74" spans="1:74" x14ac:dyDescent="0.15">
      <c r="A74" t="e">
        <f t="shared" si="11"/>
        <v>#REF!</v>
      </c>
      <c r="C74" s="21">
        <v>1990</v>
      </c>
      <c r="D74" s="3">
        <f>SUMPRODUCT($D$42:$R$42,pm.rep!B89:P89)</f>
        <v>12834.007164842355</v>
      </c>
      <c r="E74" s="3">
        <f>pm.rep!B90</f>
        <v>25581.3</v>
      </c>
      <c r="F74" s="27">
        <v>2965.33</v>
      </c>
      <c r="G74" s="3" t="e">
        <f>SUMPRODUCT(G252:S252,pm.rep!D89:P89)</f>
        <v>#REF!</v>
      </c>
      <c r="H74" s="3" t="e">
        <f>SUMPRODUCT($D$43:$R$43,E252:S252,pm.rep!B89:P89)</f>
        <v>#REF!</v>
      </c>
      <c r="I74" s="3" t="e">
        <f t="shared" si="12"/>
        <v>#REF!</v>
      </c>
      <c r="J74" s="12">
        <f t="shared" si="18"/>
        <v>1948.1</v>
      </c>
      <c r="L74" s="7">
        <f>-LN(pm.rep!B35)-0.9</f>
        <v>1.5904994691640084E-4</v>
      </c>
      <c r="M74" s="7">
        <f>-LN(pm.rep!C35)-0.45</f>
        <v>6.706824878494666E-3</v>
      </c>
      <c r="N74" s="7">
        <f>-LN(pm.rep!D35)-0.3</f>
        <v>4.5808484062200394E-2</v>
      </c>
      <c r="O74" s="7">
        <f>-LN(pm.rep!E35)-0.3</f>
        <v>0.13895002245130322</v>
      </c>
      <c r="P74" s="7">
        <f>-LN(pm.rep!F35)-0.3</f>
        <v>0.22803451769864075</v>
      </c>
      <c r="Q74" s="7">
        <f>-LN(pm.rep!G35)-0.3</f>
        <v>0.24969293270723097</v>
      </c>
      <c r="R74" s="7">
        <f>-LN(pm.rep!H35)-0.3</f>
        <v>0.28014712067293251</v>
      </c>
      <c r="S74" s="7">
        <f>-LN(pm.rep!I35)-0.3</f>
        <v>0.2853372671275623</v>
      </c>
      <c r="T74" s="7">
        <f>-LN(pm.rep!J35)-0.3</f>
        <v>0.27444723206331562</v>
      </c>
      <c r="U74" s="7">
        <f>-LN(pm.rep!K35)-0.3</f>
        <v>0.26362355832897705</v>
      </c>
      <c r="V74" s="7">
        <f>-LN(pm.rep!L35)-0.3</f>
        <v>0.26362355832897705</v>
      </c>
      <c r="W74" s="7">
        <f>-LN(pm.rep!M35)-0.3</f>
        <v>0.26362355832897705</v>
      </c>
      <c r="X74" s="7">
        <f>-LN(pm.rep!N35)-0.3</f>
        <v>0.26362355832897705</v>
      </c>
      <c r="Y74" s="7">
        <f>-LN(pm.rep!O35)-0.3</f>
        <v>0.26362355832897705</v>
      </c>
      <c r="Z74" s="7">
        <f>-LN(pm.rep!P35)-0.3</f>
        <v>0.26362355832897705</v>
      </c>
      <c r="AA74" s="27">
        <f t="shared" si="19"/>
        <v>2927.9</v>
      </c>
      <c r="AB74" s="20">
        <f t="shared" si="13"/>
        <v>17572.153600000001</v>
      </c>
      <c r="AC74" s="27">
        <f>Stdev!E30</f>
        <v>132.56</v>
      </c>
      <c r="AD74" s="27">
        <f t="shared" si="14"/>
        <v>25581.3</v>
      </c>
      <c r="AE74" s="20">
        <v>0</v>
      </c>
      <c r="AF74" s="20">
        <f t="shared" si="15"/>
        <v>0</v>
      </c>
      <c r="AG74" s="6">
        <f>Stdev!D388</f>
        <v>26087</v>
      </c>
      <c r="AH74" s="20">
        <f t="shared" si="16"/>
        <v>10.169192384934412</v>
      </c>
      <c r="AI74" s="20">
        <f t="shared" si="17"/>
        <v>1.7747997961363566</v>
      </c>
      <c r="AJ74" s="20"/>
      <c r="AK74" s="20"/>
      <c r="AL74" s="20"/>
      <c r="AN74">
        <v>1990</v>
      </c>
      <c r="AO74" s="27">
        <f>Stdev!D30</f>
        <v>2927.9</v>
      </c>
      <c r="AU74">
        <v>1990</v>
      </c>
      <c r="AV74" s="3">
        <v>6658.7434556200005</v>
      </c>
      <c r="BG74">
        <v>2006</v>
      </c>
      <c r="BH74">
        <v>4436.3100000000004</v>
      </c>
      <c r="BI74">
        <v>10605.4</v>
      </c>
    </row>
    <row r="75" spans="1:74" x14ac:dyDescent="0.15">
      <c r="A75" t="e">
        <f t="shared" si="11"/>
        <v>#REF!</v>
      </c>
      <c r="C75" s="21">
        <v>1991</v>
      </c>
      <c r="D75" s="3">
        <f>SUMPRODUCT($D$42:$R$42,pm.rep!B90:P90)</f>
        <v>12318.091209306542</v>
      </c>
      <c r="E75" s="3">
        <f>pm.rep!B91</f>
        <v>22780.799999999999</v>
      </c>
      <c r="F75" s="27">
        <v>2236.31</v>
      </c>
      <c r="G75" s="3" t="e">
        <f>SUMPRODUCT(G253:S253,pm.rep!D90:P90)</f>
        <v>#REF!</v>
      </c>
      <c r="H75" s="3" t="e">
        <f>SUMPRODUCT($D$43:$R$43,E253:S253,pm.rep!B90:P90)</f>
        <v>#REF!</v>
      </c>
      <c r="I75" s="3" t="e">
        <f t="shared" si="12"/>
        <v>#REF!</v>
      </c>
      <c r="J75" s="12">
        <f t="shared" si="18"/>
        <v>1948.1</v>
      </c>
      <c r="L75" s="7">
        <f>-LN(pm.rep!B36)-0.9</f>
        <v>1.492100179606437E-4</v>
      </c>
      <c r="M75" s="7">
        <f>-LN(pm.rep!C36)-0.45</f>
        <v>7.1189938167410816E-3</v>
      </c>
      <c r="N75" s="7">
        <f>-LN(pm.rep!D36)-0.3</f>
        <v>3.6525038015182032E-2</v>
      </c>
      <c r="O75" s="7">
        <f>-LN(pm.rep!E36)-0.3</f>
        <v>0.11632031323660269</v>
      </c>
      <c r="P75" s="7">
        <f>-LN(pm.rep!F36)-0.3</f>
        <v>0.20542025910743994</v>
      </c>
      <c r="Q75" s="7">
        <f>-LN(pm.rep!G36)-0.3</f>
        <v>0.252959241977535</v>
      </c>
      <c r="R75" s="7">
        <f>-LN(pm.rep!H36)-0.3</f>
        <v>0.32871241480477759</v>
      </c>
      <c r="S75" s="7">
        <f>-LN(pm.rep!I36)-0.3</f>
        <v>0.29341587924114015</v>
      </c>
      <c r="T75" s="7">
        <f>-LN(pm.rep!J36)-0.3</f>
        <v>0.33236633565285528</v>
      </c>
      <c r="U75" s="7">
        <f>-LN(pm.rep!K36)-0.3</f>
        <v>0.33092571672756704</v>
      </c>
      <c r="V75" s="7">
        <f>-LN(pm.rep!L36)-0.3</f>
        <v>0.33092571672756704</v>
      </c>
      <c r="W75" s="7">
        <f>-LN(pm.rep!M36)-0.3</f>
        <v>0.33092571672756704</v>
      </c>
      <c r="X75" s="7">
        <f>-LN(pm.rep!N36)-0.3</f>
        <v>0.33092571672756704</v>
      </c>
      <c r="Y75" s="7">
        <f>-LN(pm.rep!O36)-0.3</f>
        <v>0.33092571672756704</v>
      </c>
      <c r="Z75" s="7">
        <f>-LN(pm.rep!P36)-0.3</f>
        <v>0.33092571672756704</v>
      </c>
      <c r="AA75" s="27">
        <f t="shared" si="19"/>
        <v>2179.4</v>
      </c>
      <c r="AB75" s="20">
        <f t="shared" si="13"/>
        <v>13142.329600000001</v>
      </c>
      <c r="AC75" s="27">
        <f>Stdev!E31</f>
        <v>114.64</v>
      </c>
      <c r="AD75" s="27">
        <f t="shared" si="14"/>
        <v>22780.799999999999</v>
      </c>
      <c r="AE75" s="20">
        <v>0</v>
      </c>
      <c r="AF75" s="20">
        <f t="shared" si="15"/>
        <v>0</v>
      </c>
      <c r="AG75" s="6">
        <f>Stdev!D389</f>
        <v>23039</v>
      </c>
      <c r="AH75" s="20">
        <f t="shared" si="16"/>
        <v>10.044943711090122</v>
      </c>
      <c r="AI75" s="20">
        <f t="shared" si="17"/>
        <v>1.6505511222920664</v>
      </c>
      <c r="AJ75" s="20"/>
      <c r="AK75" s="20"/>
      <c r="AL75" s="20"/>
      <c r="AN75">
        <v>1991</v>
      </c>
      <c r="AO75" s="27">
        <f>Stdev!D31</f>
        <v>2179.4</v>
      </c>
      <c r="AU75">
        <v>1991</v>
      </c>
      <c r="AV75" s="3">
        <v>5179.8422302810923</v>
      </c>
      <c r="BG75">
        <v>2007</v>
      </c>
      <c r="BH75">
        <v>3966.27</v>
      </c>
      <c r="BI75">
        <v>9307.43</v>
      </c>
    </row>
    <row r="76" spans="1:74" x14ac:dyDescent="0.15">
      <c r="A76" t="e">
        <f t="shared" si="11"/>
        <v>#REF!</v>
      </c>
      <c r="C76" s="21">
        <v>1992</v>
      </c>
      <c r="D76" s="3">
        <f>SUMPRODUCT($D$42:$R$42,pm.rep!B91:P91)</f>
        <v>12260.917444550678</v>
      </c>
      <c r="E76" s="3">
        <f>pm.rep!B92</f>
        <v>46863.199999999997</v>
      </c>
      <c r="F76" s="27">
        <v>2344.2199999999998</v>
      </c>
      <c r="G76" s="3" t="e">
        <f>SUMPRODUCT(G254:S254,pm.rep!D91:P91)</f>
        <v>#REF!</v>
      </c>
      <c r="H76" s="3" t="e">
        <f>SUMPRODUCT($D$43:$R$43,E254:S254,pm.rep!B91:P91)</f>
        <v>#REF!</v>
      </c>
      <c r="I76" s="3" t="e">
        <f t="shared" si="12"/>
        <v>#REF!</v>
      </c>
      <c r="J76" s="12">
        <f t="shared" si="18"/>
        <v>1948.1</v>
      </c>
      <c r="L76" s="7">
        <f>-LN(pm.rep!B37)-0.9</f>
        <v>1.7134999427181885E-4</v>
      </c>
      <c r="M76" s="7">
        <f>-LN(pm.rep!C37)-0.45</f>
        <v>8.4640668407666153E-3</v>
      </c>
      <c r="N76" s="7">
        <f>-LN(pm.rep!D37)-0.3</f>
        <v>6.5516775119027038E-2</v>
      </c>
      <c r="O76" s="7">
        <f>-LN(pm.rep!E37)-0.3</f>
        <v>0.11994037104261612</v>
      </c>
      <c r="P76" s="7">
        <f>-LN(pm.rep!F37)-0.3</f>
        <v>0.19960547241352727</v>
      </c>
      <c r="Q76" s="7">
        <f>-LN(pm.rep!G37)-0.3</f>
        <v>0.32208871055791272</v>
      </c>
      <c r="R76" s="7">
        <f>-LN(pm.rep!H37)-0.3</f>
        <v>0.42473898795674286</v>
      </c>
      <c r="S76" s="7">
        <f>-LN(pm.rep!I37)-0.3</f>
        <v>0.45332615169339879</v>
      </c>
      <c r="T76" s="7">
        <f>-LN(pm.rep!J37)-0.3</f>
        <v>0.45726339088328266</v>
      </c>
      <c r="U76" s="7">
        <f>-LN(pm.rep!K37)-0.3</f>
        <v>0.45011337758061282</v>
      </c>
      <c r="V76" s="7">
        <f>-LN(pm.rep!L37)-0.3</f>
        <v>0.45011337758061282</v>
      </c>
      <c r="W76" s="7">
        <f>-LN(pm.rep!M37)-0.3</f>
        <v>0.45011337758061282</v>
      </c>
      <c r="X76" s="7">
        <f>-LN(pm.rep!N37)-0.3</f>
        <v>0.45011337758061282</v>
      </c>
      <c r="Y76" s="7">
        <f>-LN(pm.rep!O37)-0.3</f>
        <v>0.45011337758061282</v>
      </c>
      <c r="Z76" s="7">
        <f>-LN(pm.rep!P37)-0.3</f>
        <v>0.45011337758061282</v>
      </c>
      <c r="AA76" s="27">
        <f t="shared" si="19"/>
        <v>2303.1</v>
      </c>
      <c r="AB76" s="20">
        <f t="shared" si="13"/>
        <v>11295.438400000001</v>
      </c>
      <c r="AC76" s="27">
        <f>Stdev!E32</f>
        <v>106.28</v>
      </c>
      <c r="AD76" s="27">
        <f t="shared" si="14"/>
        <v>46863.199999999997</v>
      </c>
      <c r="AE76" s="20">
        <v>0</v>
      </c>
      <c r="AF76" s="20">
        <f t="shared" si="15"/>
        <v>0</v>
      </c>
      <c r="AG76" s="6">
        <f>Stdev!D390</f>
        <v>47645</v>
      </c>
      <c r="AH76" s="20">
        <f t="shared" si="16"/>
        <v>10.771532971782289</v>
      </c>
      <c r="AI76" s="20">
        <f t="shared" si="17"/>
        <v>2.3771403829842335</v>
      </c>
      <c r="AJ76" s="20"/>
      <c r="AK76" s="20"/>
      <c r="AL76" s="20"/>
      <c r="AN76">
        <v>1992</v>
      </c>
      <c r="AO76" s="27">
        <f>Stdev!D32</f>
        <v>2303.1</v>
      </c>
      <c r="AU76">
        <v>1992</v>
      </c>
      <c r="AV76" s="3">
        <v>8294.1050725319783</v>
      </c>
    </row>
    <row r="77" spans="1:74" x14ac:dyDescent="0.15">
      <c r="A77" t="e">
        <f t="shared" si="11"/>
        <v>#REF!</v>
      </c>
      <c r="C77" s="21">
        <v>1993</v>
      </c>
      <c r="D77" s="3">
        <f>SUMPRODUCT($D$42:$R$42,pm.rep!B92:P92)</f>
        <v>14564.331766049314</v>
      </c>
      <c r="E77" s="3">
        <f>pm.rep!B93</f>
        <v>15942.8</v>
      </c>
      <c r="F77" s="27">
        <v>3202.11</v>
      </c>
      <c r="G77" s="3" t="e">
        <f>SUMPRODUCT(G255:S255,pm.rep!D92:P92)</f>
        <v>#REF!</v>
      </c>
      <c r="H77" s="3" t="e">
        <f>SUMPRODUCT($D$43:$R$43,E255:S255,pm.rep!B92:P92)</f>
        <v>#REF!</v>
      </c>
      <c r="I77" s="3" t="e">
        <f t="shared" si="12"/>
        <v>#REF!</v>
      </c>
      <c r="J77" s="12">
        <f t="shared" si="18"/>
        <v>1948.1</v>
      </c>
      <c r="L77" s="7">
        <f>-LN(pm.rep!B38)-0.9</f>
        <v>1.000118254923521E-4</v>
      </c>
      <c r="M77" s="7">
        <f>-LN(pm.rep!C38)-0.45</f>
        <v>3.7177667595728048E-3</v>
      </c>
      <c r="N77" s="7">
        <f>-LN(pm.rep!D38)-0.3</f>
        <v>4.1113791992359927E-2</v>
      </c>
      <c r="O77" s="7">
        <f>-LN(pm.rep!E38)-0.3</f>
        <v>0.15206941300958332</v>
      </c>
      <c r="P77" s="7">
        <f>-LN(pm.rep!F38)-0.3</f>
        <v>0.13440330796321331</v>
      </c>
      <c r="Q77" s="7">
        <f>-LN(pm.rep!G38)-0.3</f>
        <v>0.21619333753334508</v>
      </c>
      <c r="R77" s="7">
        <f>-LN(pm.rep!H38)-0.3</f>
        <v>0.30252798624374405</v>
      </c>
      <c r="S77" s="7">
        <f>-LN(pm.rep!I38)-0.3</f>
        <v>0.30207140776184366</v>
      </c>
      <c r="T77" s="7">
        <f>-LN(pm.rep!J38)-0.3</f>
        <v>0.3014799920341214</v>
      </c>
      <c r="U77" s="7">
        <f>-LN(pm.rep!K38)-0.3</f>
        <v>0.28990310297798877</v>
      </c>
      <c r="V77" s="7">
        <f>-LN(pm.rep!L38)-0.3</f>
        <v>0.28990310297798877</v>
      </c>
      <c r="W77" s="7">
        <f>-LN(pm.rep!M38)-0.3</f>
        <v>0.28990310297798877</v>
      </c>
      <c r="X77" s="7">
        <f>-LN(pm.rep!N38)-0.3</f>
        <v>0.28990310297798877</v>
      </c>
      <c r="Y77" s="7">
        <f>-LN(pm.rep!O38)-0.3</f>
        <v>0.28990310297798877</v>
      </c>
      <c r="Z77" s="7">
        <f>-LN(pm.rep!P38)-0.3</f>
        <v>0.28990310297798877</v>
      </c>
      <c r="AA77" s="27">
        <f t="shared" si="19"/>
        <v>3202.4</v>
      </c>
      <c r="AB77" s="20">
        <f t="shared" si="13"/>
        <v>14215.7929</v>
      </c>
      <c r="AC77" s="27">
        <f>Stdev!E33</f>
        <v>119.23</v>
      </c>
      <c r="AD77" s="27">
        <f t="shared" si="14"/>
        <v>15942.8</v>
      </c>
      <c r="AE77" s="20">
        <v>0</v>
      </c>
      <c r="AF77" s="20">
        <f t="shared" si="15"/>
        <v>0</v>
      </c>
      <c r="AG77" s="6">
        <f>Stdev!D391</f>
        <v>15411</v>
      </c>
      <c r="AH77" s="20">
        <f t="shared" si="16"/>
        <v>9.6428368191353773</v>
      </c>
      <c r="AI77" s="20">
        <f t="shared" si="17"/>
        <v>1.2484442303373218</v>
      </c>
      <c r="AJ77" s="20"/>
      <c r="AK77" s="20"/>
      <c r="AL77" s="20"/>
      <c r="AN77">
        <v>1993</v>
      </c>
      <c r="AO77" s="27">
        <f>Stdev!D33</f>
        <v>3202.4</v>
      </c>
      <c r="AU77">
        <v>1993</v>
      </c>
      <c r="AV77" s="3">
        <v>10278.734617785227</v>
      </c>
      <c r="BG77" t="s">
        <v>524</v>
      </c>
      <c r="BH77">
        <v>42146.6</v>
      </c>
      <c r="BI77">
        <v>3616.41</v>
      </c>
      <c r="BJ77">
        <v>870.50599999999997</v>
      </c>
      <c r="BK77">
        <v>619.99599999999998</v>
      </c>
      <c r="BL77">
        <v>1256.07</v>
      </c>
      <c r="BM77">
        <v>1708.12</v>
      </c>
      <c r="BN77">
        <v>2496.09</v>
      </c>
      <c r="BO77">
        <v>1239.1400000000001</v>
      </c>
      <c r="BP77">
        <v>573.995</v>
      </c>
      <c r="BQ77">
        <v>359.66500000000002</v>
      </c>
      <c r="BR77">
        <v>561.60599999999999</v>
      </c>
      <c r="BS77">
        <v>300.78800000000001</v>
      </c>
      <c r="BT77">
        <v>93.472700000000003</v>
      </c>
      <c r="BU77">
        <v>101.72</v>
      </c>
      <c r="BV77">
        <v>663.71299999999997</v>
      </c>
    </row>
    <row r="78" spans="1:74" x14ac:dyDescent="0.15">
      <c r="A78" t="e">
        <f t="shared" si="11"/>
        <v>#REF!</v>
      </c>
      <c r="C78" s="21">
        <v>1994</v>
      </c>
      <c r="D78" s="3">
        <f>SUMPRODUCT($D$42:$R$42,pm.rep!B93:P93)</f>
        <v>14127.90073884268</v>
      </c>
      <c r="E78" s="3">
        <f>pm.rep!B94</f>
        <v>10904.9</v>
      </c>
      <c r="F78" s="27">
        <v>3497.49</v>
      </c>
      <c r="G78" s="3" t="e">
        <f>SUMPRODUCT(G256:S256,pm.rep!D93:P93)</f>
        <v>#REF!</v>
      </c>
      <c r="H78" s="3" t="e">
        <f>SUMPRODUCT($D$43:$R$43,E256:S256,pm.rep!B93:P93)</f>
        <v>#REF!</v>
      </c>
      <c r="I78" s="3" t="e">
        <f t="shared" si="12"/>
        <v>#REF!</v>
      </c>
      <c r="J78" s="12">
        <f t="shared" si="18"/>
        <v>1948.1</v>
      </c>
      <c r="L78" s="7">
        <f>-LN(pm.rep!B39)-0.9</f>
        <v>8.5252839729599295E-5</v>
      </c>
      <c r="M78" s="7">
        <f>-LN(pm.rep!C39)-0.45</f>
        <v>3.2314715404693772E-3</v>
      </c>
      <c r="N78" s="7">
        <f>-LN(pm.rep!D39)-0.3</f>
        <v>1.882192389317594E-2</v>
      </c>
      <c r="O78" s="7">
        <f>-LN(pm.rep!E39)-0.3</f>
        <v>8.4952438833816091E-2</v>
      </c>
      <c r="P78" s="7">
        <f>-LN(pm.rep!F39)-0.3</f>
        <v>0.22507161778323087</v>
      </c>
      <c r="Q78" s="7">
        <f>-LN(pm.rep!G39)-0.3</f>
        <v>0.21755488118395933</v>
      </c>
      <c r="R78" s="7">
        <f>-LN(pm.rep!H39)-0.3</f>
        <v>0.2779202979698619</v>
      </c>
      <c r="S78" s="7">
        <f>-LN(pm.rep!I39)-0.3</f>
        <v>0.27655774585072862</v>
      </c>
      <c r="T78" s="7">
        <f>-LN(pm.rep!J39)-0.3</f>
        <v>0.27324550192452296</v>
      </c>
      <c r="U78" s="7">
        <f>-LN(pm.rep!K39)-0.3</f>
        <v>0.2668687773869351</v>
      </c>
      <c r="V78" s="7">
        <f>-LN(pm.rep!L39)-0.3</f>
        <v>0.2668687773869351</v>
      </c>
      <c r="W78" s="7">
        <f>-LN(pm.rep!M39)-0.3</f>
        <v>0.2668687773869351</v>
      </c>
      <c r="X78" s="7">
        <f>-LN(pm.rep!N39)-0.3</f>
        <v>0.2668687773869351</v>
      </c>
      <c r="Y78" s="7">
        <f>-LN(pm.rep!O39)-0.3</f>
        <v>0.2668687773869351</v>
      </c>
      <c r="Z78" s="7">
        <f>-LN(pm.rep!P39)-0.3</f>
        <v>0.2668687773869351</v>
      </c>
      <c r="AA78" s="27">
        <f t="shared" si="19"/>
        <v>3522.5</v>
      </c>
      <c r="AB78" s="20">
        <f t="shared" si="13"/>
        <v>15482.824900000001</v>
      </c>
      <c r="AC78" s="27">
        <f>Stdev!E34</f>
        <v>124.43</v>
      </c>
      <c r="AD78" s="27">
        <f t="shared" si="14"/>
        <v>10904.9</v>
      </c>
      <c r="AE78" s="20">
        <v>0</v>
      </c>
      <c r="AF78" s="20">
        <f t="shared" si="15"/>
        <v>0</v>
      </c>
      <c r="AG78" s="6">
        <f>Stdev!D392</f>
        <v>10725</v>
      </c>
      <c r="AH78" s="20">
        <f t="shared" si="16"/>
        <v>9.2803327437962171</v>
      </c>
      <c r="AI78" s="20">
        <f t="shared" si="17"/>
        <v>0.88594015499816159</v>
      </c>
      <c r="AJ78" s="20"/>
      <c r="AK78" s="20"/>
      <c r="AL78" s="20"/>
      <c r="AN78">
        <v>1994</v>
      </c>
      <c r="AO78" s="27">
        <f>Stdev!D34</f>
        <v>3522.5</v>
      </c>
      <c r="AU78">
        <v>1994</v>
      </c>
      <c r="AV78" s="3">
        <v>8916.5906791487469</v>
      </c>
    </row>
    <row r="79" spans="1:74" x14ac:dyDescent="0.15">
      <c r="A79" t="e">
        <f t="shared" si="11"/>
        <v>#REF!</v>
      </c>
      <c r="C79" s="21">
        <v>1995</v>
      </c>
      <c r="D79" s="3">
        <f>SUMPRODUCT($D$42:$R$42,pm.rep!B94:P94)</f>
        <v>13263.63721501014</v>
      </c>
      <c r="E79" s="3">
        <f>pm.rep!B95</f>
        <v>22878.1</v>
      </c>
      <c r="F79" s="27">
        <v>3703.89</v>
      </c>
      <c r="G79" s="3" t="e">
        <f>SUMPRODUCT(G257:S257,pm.rep!D94:P94)</f>
        <v>#REF!</v>
      </c>
      <c r="H79" s="3" t="e">
        <f>SUMPRODUCT($D$43:$R$43,E257:S257,pm.rep!B94:P94)</f>
        <v>#REF!</v>
      </c>
      <c r="I79" s="3" t="e">
        <f t="shared" si="12"/>
        <v>#REF!</v>
      </c>
      <c r="J79" s="12">
        <f t="shared" si="18"/>
        <v>1948.1</v>
      </c>
      <c r="L79" s="7">
        <f>-LN(pm.rep!B40)-0.9</f>
        <v>7.2953851321111429E-5</v>
      </c>
      <c r="M79" s="7">
        <f>-LN(pm.rep!C40)-0.45</f>
        <v>3.3416147897436521E-3</v>
      </c>
      <c r="N79" s="7">
        <f>-LN(pm.rep!D40)-0.3</f>
        <v>1.2257591897822218E-2</v>
      </c>
      <c r="O79" s="7">
        <f>-LN(pm.rep!E40)-0.3</f>
        <v>4.0173277029787569E-2</v>
      </c>
      <c r="P79" s="7">
        <f>-LN(pm.rep!F40)-0.3</f>
        <v>0.14724224613278175</v>
      </c>
      <c r="Q79" s="7">
        <f>-LN(pm.rep!G40)-0.3</f>
        <v>0.30435089746339611</v>
      </c>
      <c r="R79" s="7">
        <f>-LN(pm.rep!H40)-0.3</f>
        <v>0.2793079113373827</v>
      </c>
      <c r="S79" s="7">
        <f>-LN(pm.rep!I40)-0.3</f>
        <v>0.27769396794586182</v>
      </c>
      <c r="T79" s="7">
        <f>-LN(pm.rep!J40)-0.3</f>
        <v>0.26946336656778097</v>
      </c>
      <c r="U79" s="7">
        <f>-LN(pm.rep!K40)-0.3</f>
        <v>0.2611597291995767</v>
      </c>
      <c r="V79" s="7">
        <f>-LN(pm.rep!L40)-0.3</f>
        <v>0.2611597291995767</v>
      </c>
      <c r="W79" s="7">
        <f>-LN(pm.rep!M40)-0.3</f>
        <v>0.2611597291995767</v>
      </c>
      <c r="X79" s="7">
        <f>-LN(pm.rep!N40)-0.3</f>
        <v>0.2611597291995767</v>
      </c>
      <c r="Y79" s="7">
        <f>-LN(pm.rep!O40)-0.3</f>
        <v>0.2611597291995767</v>
      </c>
      <c r="Z79" s="7">
        <f>-LN(pm.rep!P40)-0.3</f>
        <v>0.2611597291995767</v>
      </c>
      <c r="AA79" s="27">
        <f t="shared" si="19"/>
        <v>3749.1</v>
      </c>
      <c r="AB79" s="20">
        <f t="shared" si="13"/>
        <v>16666.809999999998</v>
      </c>
      <c r="AC79" s="27">
        <f>Stdev!E35</f>
        <v>129.1</v>
      </c>
      <c r="AD79" s="27">
        <f t="shared" si="14"/>
        <v>22878.1</v>
      </c>
      <c r="AE79" s="20">
        <v>0</v>
      </c>
      <c r="AF79" s="20">
        <f t="shared" si="15"/>
        <v>0</v>
      </c>
      <c r="AG79" s="6">
        <f>Stdev!D393</f>
        <v>22872</v>
      </c>
      <c r="AH79" s="20">
        <f t="shared" si="16"/>
        <v>10.037668734002148</v>
      </c>
      <c r="AI79" s="20">
        <f t="shared" si="17"/>
        <v>1.6432761452040925</v>
      </c>
      <c r="AJ79" s="20"/>
      <c r="AK79" s="20"/>
      <c r="AL79" s="20" t="s">
        <v>43</v>
      </c>
      <c r="AN79">
        <v>1995</v>
      </c>
      <c r="AO79" s="27">
        <f>Stdev!D35</f>
        <v>3749.1</v>
      </c>
      <c r="AU79">
        <v>1995</v>
      </c>
      <c r="AV79" s="3">
        <v>8679.5510908930846</v>
      </c>
      <c r="BG79" t="s">
        <v>44</v>
      </c>
      <c r="BH79">
        <v>6.6E-3</v>
      </c>
      <c r="BI79">
        <v>0.17</v>
      </c>
      <c r="BJ79">
        <v>0.35327199999999997</v>
      </c>
      <c r="BK79">
        <v>0.51214000000000004</v>
      </c>
      <c r="BL79">
        <v>0.62741800000000003</v>
      </c>
      <c r="BM79">
        <v>0.75448599999999999</v>
      </c>
      <c r="BN79">
        <v>0.87458100000000005</v>
      </c>
      <c r="BO79">
        <v>0.94472999999999996</v>
      </c>
      <c r="BP79">
        <v>1.0483100000000001</v>
      </c>
      <c r="BQ79">
        <v>1.14672</v>
      </c>
      <c r="BR79">
        <v>1.2195499999999999</v>
      </c>
      <c r="BS79">
        <v>1.2719499999999999</v>
      </c>
      <c r="BT79">
        <v>1.3344800000000001</v>
      </c>
      <c r="BU79">
        <v>1.2822800000000001</v>
      </c>
      <c r="BV79">
        <v>1.3786700000000001</v>
      </c>
    </row>
    <row r="80" spans="1:74" x14ac:dyDescent="0.15">
      <c r="A80" t="e">
        <f t="shared" si="11"/>
        <v>#REF!</v>
      </c>
      <c r="C80" s="21">
        <v>1996</v>
      </c>
      <c r="D80" s="3">
        <f>SUMPRODUCT($D$42:$R$42,pm.rep!B95:P95)</f>
        <v>13523.265860348003</v>
      </c>
      <c r="E80" s="3">
        <f>pm.rep!B96</f>
        <v>31178.400000000001</v>
      </c>
      <c r="F80" s="27">
        <v>3713.71</v>
      </c>
      <c r="G80" s="3" t="e">
        <f>SUMPRODUCT(G258:S258,pm.rep!D95:P95)</f>
        <v>#REF!</v>
      </c>
      <c r="H80" s="3" t="e">
        <f>SUMPRODUCT($D$43:$R$43,E258:S258,pm.rep!B95:P95)</f>
        <v>#REF!</v>
      </c>
      <c r="I80" s="3" t="e">
        <f t="shared" si="12"/>
        <v>#REF!</v>
      </c>
      <c r="J80" s="12">
        <f t="shared" si="18"/>
        <v>1948.1</v>
      </c>
      <c r="L80" s="7">
        <f>-LN(pm.rep!B41)-0.9</f>
        <v>7.2953851321111429E-5</v>
      </c>
      <c r="M80" s="7">
        <f>-LN(pm.rep!C41)-0.45</f>
        <v>5.1071350096468238E-3</v>
      </c>
      <c r="N80" s="7">
        <f>-LN(pm.rep!D41)-0.3</f>
        <v>1.5995130954364223E-2</v>
      </c>
      <c r="O80" s="7">
        <f>-LN(pm.rep!E41)-0.3</f>
        <v>2.2672492591689242E-2</v>
      </c>
      <c r="P80" s="7">
        <f>-LN(pm.rep!F41)-0.3</f>
        <v>8.3275625735911352E-2</v>
      </c>
      <c r="Q80" s="7">
        <f>-LN(pm.rep!G41)-0.3</f>
        <v>0.24944171973708357</v>
      </c>
      <c r="R80" s="7">
        <f>-LN(pm.rep!H41)-0.3</f>
        <v>0.39406159851263717</v>
      </c>
      <c r="S80" s="7">
        <f>-LN(pm.rep!I41)-0.3</f>
        <v>0.38612985964958219</v>
      </c>
      <c r="T80" s="7">
        <f>-LN(pm.rep!J41)-0.3</f>
        <v>0.34237612251405786</v>
      </c>
      <c r="U80" s="7">
        <f>-LN(pm.rep!K41)-0.3</f>
        <v>0.30965933726396339</v>
      </c>
      <c r="V80" s="7">
        <f>-LN(pm.rep!L41)-0.3</f>
        <v>0.30965933726396339</v>
      </c>
      <c r="W80" s="7">
        <f>-LN(pm.rep!M41)-0.3</f>
        <v>0.30965933726396339</v>
      </c>
      <c r="X80" s="7">
        <f>-LN(pm.rep!N41)-0.3</f>
        <v>0.30965933726396339</v>
      </c>
      <c r="Y80" s="7">
        <f>-LN(pm.rep!O41)-0.3</f>
        <v>0.30965933726396339</v>
      </c>
      <c r="Z80" s="7">
        <f>-LN(pm.rep!P41)-0.3</f>
        <v>0.30965933726396339</v>
      </c>
      <c r="AA80" s="27">
        <f t="shared" si="19"/>
        <v>3764.9</v>
      </c>
      <c r="AB80" s="20">
        <f t="shared" si="13"/>
        <v>17947.960899999998</v>
      </c>
      <c r="AC80" s="27">
        <f>Stdev!E36</f>
        <v>133.97</v>
      </c>
      <c r="AD80" s="27">
        <f t="shared" si="14"/>
        <v>31178.400000000001</v>
      </c>
      <c r="AE80" s="20">
        <v>0</v>
      </c>
      <c r="AF80" s="20">
        <f t="shared" si="15"/>
        <v>0</v>
      </c>
      <c r="AG80" s="6">
        <f>Stdev!D394</f>
        <v>31391</v>
      </c>
      <c r="AH80" s="20">
        <f t="shared" si="16"/>
        <v>10.354276506607956</v>
      </c>
      <c r="AI80" s="20">
        <f t="shared" si="17"/>
        <v>1.9598839178099006</v>
      </c>
      <c r="AJ80" s="20"/>
      <c r="AK80" s="31">
        <f>StdDev!AV63</f>
        <v>2013</v>
      </c>
      <c r="AL80" s="31">
        <f>StdDev!AW63</f>
        <v>3483.4</v>
      </c>
      <c r="AN80">
        <v>1996</v>
      </c>
      <c r="AO80" s="27">
        <f>Stdev!D36</f>
        <v>3764.9</v>
      </c>
      <c r="AU80">
        <v>1996</v>
      </c>
      <c r="AV80" s="3">
        <v>6810.4822804659607</v>
      </c>
    </row>
    <row r="81" spans="1:74" x14ac:dyDescent="0.15">
      <c r="A81" t="e">
        <f t="shared" si="11"/>
        <v>#REF!</v>
      </c>
      <c r="C81" s="21">
        <v>1997</v>
      </c>
      <c r="D81" s="3">
        <f>SUMPRODUCT($D$42:$R$42,pm.rep!B96:P96)</f>
        <v>14119.840723542935</v>
      </c>
      <c r="E81" s="3">
        <f>pm.rep!B97</f>
        <v>15483</v>
      </c>
      <c r="F81" s="27">
        <v>3512.62</v>
      </c>
      <c r="G81" s="3" t="e">
        <f>SUMPRODUCT(G259:S259,pm.rep!D96:P96)</f>
        <v>#REF!</v>
      </c>
      <c r="H81" s="3" t="e">
        <f>SUMPRODUCT($D$43:$R$43,E259:S259,pm.rep!B96:P96)</f>
        <v>#REF!</v>
      </c>
      <c r="I81" s="3" t="e">
        <f t="shared" si="12"/>
        <v>#REF!</v>
      </c>
      <c r="J81" s="12">
        <f t="shared" si="18"/>
        <v>1948.1</v>
      </c>
      <c r="L81" s="7">
        <f>-LN(pm.rep!B42)-0.9</f>
        <v>6.8034298311703267E-5</v>
      </c>
      <c r="M81" s="7">
        <f>-LN(pm.rep!C42)-0.45</f>
        <v>6.9942197721075683E-3</v>
      </c>
      <c r="N81" s="7">
        <f>-LN(pm.rep!D42)-0.3</f>
        <v>1.9025519558392157E-2</v>
      </c>
      <c r="O81" s="7">
        <f>-LN(pm.rep!E42)-0.3</f>
        <v>3.8958524875894907E-2</v>
      </c>
      <c r="P81" s="7">
        <f>-LN(pm.rep!F42)-0.3</f>
        <v>8.6636484411289183E-2</v>
      </c>
      <c r="Q81" s="7">
        <f>-LN(pm.rep!G42)-0.3</f>
        <v>0.17924136605435853</v>
      </c>
      <c r="R81" s="7">
        <f>-LN(pm.rep!H42)-0.3</f>
        <v>0.30168804287227663</v>
      </c>
      <c r="S81" s="7">
        <f>-LN(pm.rep!I42)-0.3</f>
        <v>0.3466453469085255</v>
      </c>
      <c r="T81" s="7">
        <f>-LN(pm.rep!J42)-0.3</f>
        <v>0.36539389077063927</v>
      </c>
      <c r="U81" s="7">
        <f>-LN(pm.rep!K42)-0.3</f>
        <v>0.34295038710988496</v>
      </c>
      <c r="V81" s="7">
        <f>-LN(pm.rep!L42)-0.3</f>
        <v>0.34295038710988496</v>
      </c>
      <c r="W81" s="7">
        <f>-LN(pm.rep!M42)-0.3</f>
        <v>0.34295038710988496</v>
      </c>
      <c r="X81" s="7">
        <f>-LN(pm.rep!N42)-0.3</f>
        <v>0.34295038710988496</v>
      </c>
      <c r="Y81" s="7">
        <f>-LN(pm.rep!O42)-0.3</f>
        <v>0.34295038710988496</v>
      </c>
      <c r="Z81" s="7">
        <f>-LN(pm.rep!P42)-0.3</f>
        <v>0.34295038710988496</v>
      </c>
      <c r="AA81" s="27">
        <f t="shared" si="19"/>
        <v>3564.7</v>
      </c>
      <c r="AB81" s="20">
        <f t="shared" si="13"/>
        <v>17617.252899999996</v>
      </c>
      <c r="AC81" s="27">
        <f>Stdev!E37</f>
        <v>132.72999999999999</v>
      </c>
      <c r="AD81" s="27">
        <f t="shared" si="14"/>
        <v>15483</v>
      </c>
      <c r="AE81" s="20">
        <v>0</v>
      </c>
      <c r="AF81" s="20">
        <f t="shared" si="15"/>
        <v>0</v>
      </c>
      <c r="AG81" s="6">
        <f>Stdev!D395</f>
        <v>15821</v>
      </c>
      <c r="AH81" s="20">
        <f t="shared" si="16"/>
        <v>9.6690934504490631</v>
      </c>
      <c r="AI81" s="20">
        <f t="shared" si="17"/>
        <v>1.2747008616510076</v>
      </c>
      <c r="AJ81" s="20"/>
      <c r="AK81" s="31">
        <f>StdDev!AV64</f>
        <v>2014</v>
      </c>
      <c r="AN81">
        <v>1997</v>
      </c>
      <c r="AO81" s="27">
        <f>Stdev!D37</f>
        <v>3564.7</v>
      </c>
      <c r="AU81">
        <v>1997</v>
      </c>
      <c r="AV81" s="3">
        <v>5307.077385250398</v>
      </c>
      <c r="BG81" t="s">
        <v>45</v>
      </c>
      <c r="BH81">
        <v>6.6E-3</v>
      </c>
      <c r="BI81">
        <v>0.17</v>
      </c>
      <c r="BJ81">
        <v>0.35327199999999997</v>
      </c>
      <c r="BK81">
        <v>0.51214000000000004</v>
      </c>
      <c r="BL81">
        <v>0.62741800000000003</v>
      </c>
      <c r="BM81">
        <v>0.75448599999999999</v>
      </c>
      <c r="BN81">
        <v>0.87458100000000005</v>
      </c>
      <c r="BO81">
        <v>0.94472999999999996</v>
      </c>
      <c r="BP81">
        <v>1.0483100000000001</v>
      </c>
      <c r="BQ81">
        <v>1.14672</v>
      </c>
      <c r="BR81">
        <v>1.2195499999999999</v>
      </c>
      <c r="BS81">
        <v>1.2719499999999999</v>
      </c>
      <c r="BT81">
        <v>1.3344800000000001</v>
      </c>
      <c r="BU81">
        <v>1.2822800000000001</v>
      </c>
      <c r="BV81">
        <v>1.3786700000000001</v>
      </c>
    </row>
    <row r="82" spans="1:74" x14ac:dyDescent="0.15">
      <c r="A82" t="e">
        <f t="shared" si="11"/>
        <v>#REF!</v>
      </c>
      <c r="C82" s="21">
        <v>1998</v>
      </c>
      <c r="D82" s="3">
        <f>SUMPRODUCT($D$42:$R$42,pm.rep!B97:P97)</f>
        <v>13218.950586058958</v>
      </c>
      <c r="E82" s="3">
        <f>pm.rep!B98</f>
        <v>16827.099999999999</v>
      </c>
      <c r="F82" s="27">
        <v>3276.86</v>
      </c>
      <c r="G82" s="3" t="e">
        <f>SUMPRODUCT(G260:S260,pm.rep!D97:P97)</f>
        <v>#REF!</v>
      </c>
      <c r="H82" s="3" t="e">
        <f>SUMPRODUCT($D$43:$R$43,E260:S260,pm.rep!B97:P97)</f>
        <v>#REF!</v>
      </c>
      <c r="I82" s="3" t="e">
        <f t="shared" si="12"/>
        <v>#REF!</v>
      </c>
      <c r="J82" s="12">
        <f t="shared" si="18"/>
        <v>1948.1</v>
      </c>
      <c r="L82" s="7">
        <f>-LN(pm.rep!B43)-0.9</f>
        <v>5.327578449376702E-5</v>
      </c>
      <c r="M82" s="7">
        <f>-LN(pm.rep!C43)-0.45</f>
        <v>4.5760487208589273E-3</v>
      </c>
      <c r="N82" s="7">
        <f>-LN(pm.rep!D43)-0.3</f>
        <v>2.2814726450630152E-2</v>
      </c>
      <c r="O82" s="7">
        <f>-LN(pm.rep!E43)-0.3</f>
        <v>4.7185822679542411E-2</v>
      </c>
      <c r="P82" s="7">
        <f>-LN(pm.rep!F43)-0.3</f>
        <v>8.9299970817511287E-2</v>
      </c>
      <c r="Q82" s="7">
        <f>-LN(pm.rep!G43)-0.3</f>
        <v>0.19290548619651704</v>
      </c>
      <c r="R82" s="7">
        <f>-LN(pm.rep!H43)-0.3</f>
        <v>0.20636558454390314</v>
      </c>
      <c r="S82" s="7">
        <f>-LN(pm.rep!I43)-0.3</f>
        <v>0.28174713960667258</v>
      </c>
      <c r="T82" s="7">
        <f>-LN(pm.rep!J43)-0.3</f>
        <v>0.31076014604611008</v>
      </c>
      <c r="U82" s="7">
        <f>-LN(pm.rep!K43)-0.3</f>
        <v>0.29052741733512227</v>
      </c>
      <c r="V82" s="7">
        <f>-LN(pm.rep!L43)-0.3</f>
        <v>0.29052741733512227</v>
      </c>
      <c r="W82" s="7">
        <f>-LN(pm.rep!M43)-0.3</f>
        <v>0.29052741733512227</v>
      </c>
      <c r="X82" s="7">
        <f>-LN(pm.rep!N43)-0.3</f>
        <v>0.29052741733512227</v>
      </c>
      <c r="Y82" s="7">
        <f>-LN(pm.rep!O43)-0.3</f>
        <v>0.29052741733512227</v>
      </c>
      <c r="Z82" s="7">
        <f>-LN(pm.rep!P43)-0.3</f>
        <v>0.29052741733512227</v>
      </c>
      <c r="AA82" s="27">
        <f t="shared" si="19"/>
        <v>3317.4</v>
      </c>
      <c r="AB82" s="20">
        <f t="shared" si="13"/>
        <v>15710.115600000001</v>
      </c>
      <c r="AC82" s="27">
        <f>Stdev!E38</f>
        <v>125.34</v>
      </c>
      <c r="AD82" s="27">
        <f t="shared" si="14"/>
        <v>16827.099999999999</v>
      </c>
      <c r="AE82" s="20">
        <v>0</v>
      </c>
      <c r="AF82" s="20">
        <f t="shared" si="15"/>
        <v>0</v>
      </c>
      <c r="AG82" s="6">
        <f>Stdev!D396</f>
        <v>17291</v>
      </c>
      <c r="AH82" s="20">
        <f t="shared" si="16"/>
        <v>9.7579414139047902</v>
      </c>
      <c r="AI82" s="20">
        <f t="shared" si="17"/>
        <v>1.3635488251067347</v>
      </c>
      <c r="AK82" s="31">
        <f>StdDev!AV65</f>
        <v>2015</v>
      </c>
      <c r="AN82">
        <v>1998</v>
      </c>
      <c r="AO82" s="27">
        <f>Stdev!D38</f>
        <v>3317.4</v>
      </c>
      <c r="AU82">
        <v>1998</v>
      </c>
      <c r="AV82" s="3">
        <v>5132.6691877109506</v>
      </c>
    </row>
    <row r="83" spans="1:74" x14ac:dyDescent="0.15">
      <c r="A83" t="e">
        <f t="shared" si="11"/>
        <v>#REF!</v>
      </c>
      <c r="C83" s="21">
        <v>1999</v>
      </c>
      <c r="D83" s="3">
        <f>SUMPRODUCT($D$42:$R$42,pm.rep!B98:P98)</f>
        <v>12642.171762174234</v>
      </c>
      <c r="E83" s="3">
        <f>pm.rep!B99</f>
        <v>25850.3</v>
      </c>
      <c r="F83" s="27">
        <v>3277.46</v>
      </c>
      <c r="G83" s="3" t="e">
        <f>SUMPRODUCT(G261:S261,pm.rep!D98:P98)</f>
        <v>#REF!</v>
      </c>
      <c r="H83" s="3" t="e">
        <f>SUMPRODUCT($D$43:$R$43,E261:S261,pm.rep!B98:P98)</f>
        <v>#REF!</v>
      </c>
      <c r="I83" s="3" t="e">
        <f t="shared" si="12"/>
        <v>#REF!</v>
      </c>
      <c r="J83" s="12">
        <f t="shared" si="18"/>
        <v>1948.1</v>
      </c>
      <c r="L83" s="7">
        <f>-LN(pm.rep!B44)-0.9</f>
        <v>3.6057793660781989E-5</v>
      </c>
      <c r="M83" s="7">
        <f>-LN(pm.rep!C44)-0.45</f>
        <v>2.5236973192012679E-3</v>
      </c>
      <c r="N83" s="7">
        <f>-LN(pm.rep!D44)-0.3</f>
        <v>4.0348941339959421E-2</v>
      </c>
      <c r="O83" s="7">
        <f>-LN(pm.rep!E44)-0.3</f>
        <v>6.2330908794889783E-2</v>
      </c>
      <c r="P83" s="7">
        <f>-LN(pm.rep!F44)-0.3</f>
        <v>8.8118435377448734E-2</v>
      </c>
      <c r="Q83" s="7">
        <f>-LN(pm.rep!G44)-0.3</f>
        <v>0.13085522639908914</v>
      </c>
      <c r="R83" s="7">
        <f>-LN(pm.rep!H44)-0.3</f>
        <v>0.22294543958408147</v>
      </c>
      <c r="S83" s="7">
        <f>-LN(pm.rep!I44)-0.3</f>
        <v>0.21314998967935622</v>
      </c>
      <c r="T83" s="7">
        <f>-LN(pm.rep!J44)-0.3</f>
        <v>0.20600725079199739</v>
      </c>
      <c r="U83" s="7">
        <f>-LN(pm.rep!K44)-0.3</f>
        <v>0.19438485032347685</v>
      </c>
      <c r="V83" s="7">
        <f>-LN(pm.rep!L44)-0.3</f>
        <v>0.19438485032347685</v>
      </c>
      <c r="W83" s="7">
        <f>-LN(pm.rep!M44)-0.3</f>
        <v>0.19438485032347685</v>
      </c>
      <c r="X83" s="7">
        <f>-LN(pm.rep!N44)-0.3</f>
        <v>0.19438485032347685</v>
      </c>
      <c r="Y83" s="7">
        <f>-LN(pm.rep!O44)-0.3</f>
        <v>0.19438485032347685</v>
      </c>
      <c r="Z83" s="7">
        <f>-LN(pm.rep!P44)-0.3</f>
        <v>0.19438485032347685</v>
      </c>
      <c r="AA83" s="27">
        <f t="shared" si="19"/>
        <v>3317.8</v>
      </c>
      <c r="AB83" s="20">
        <f t="shared" si="13"/>
        <v>14073.076899999998</v>
      </c>
      <c r="AC83" s="27">
        <f>Stdev!E39</f>
        <v>118.63</v>
      </c>
      <c r="AD83" s="27">
        <f t="shared" si="14"/>
        <v>25850.3</v>
      </c>
      <c r="AE83" s="20">
        <v>0</v>
      </c>
      <c r="AF83" s="20">
        <f t="shared" si="15"/>
        <v>0</v>
      </c>
      <c r="AG83" s="6">
        <f>Stdev!D397</f>
        <v>26883</v>
      </c>
      <c r="AH83" s="20">
        <f t="shared" si="16"/>
        <v>10.199249395552329</v>
      </c>
      <c r="AI83" s="20">
        <f t="shared" si="17"/>
        <v>1.8048568067542732</v>
      </c>
      <c r="AK83" s="31">
        <f>StdDev!AV66</f>
        <v>2016</v>
      </c>
      <c r="AN83">
        <v>1999</v>
      </c>
      <c r="AO83" s="27">
        <f>Stdev!D39</f>
        <v>3317.8</v>
      </c>
      <c r="AU83">
        <v>1999</v>
      </c>
      <c r="AV83" s="3"/>
      <c r="BH83">
        <v>278.16800000000001</v>
      </c>
      <c r="BI83">
        <v>614.78899999999999</v>
      </c>
      <c r="BJ83">
        <v>307.52499999999998</v>
      </c>
      <c r="BK83">
        <v>317.52499999999998</v>
      </c>
      <c r="BL83">
        <v>788.08199999999999</v>
      </c>
      <c r="BM83">
        <v>1288.75</v>
      </c>
      <c r="BN83">
        <v>2183.0300000000002</v>
      </c>
      <c r="BO83">
        <v>1170.6500000000001</v>
      </c>
      <c r="BP83">
        <v>601.72199999999998</v>
      </c>
      <c r="BQ83">
        <v>412.435</v>
      </c>
      <c r="BR83">
        <v>684.90700000000004</v>
      </c>
      <c r="BS83">
        <v>382.589</v>
      </c>
      <c r="BT83">
        <v>124.73699999999999</v>
      </c>
      <c r="BU83">
        <v>130.43299999999999</v>
      </c>
      <c r="BV83">
        <v>915.04100000000005</v>
      </c>
    </row>
    <row r="84" spans="1:74" x14ac:dyDescent="0.15">
      <c r="A84" t="e">
        <f t="shared" si="11"/>
        <v>#REF!</v>
      </c>
      <c r="C84" s="21">
        <v>2000</v>
      </c>
      <c r="D84" s="3">
        <f>SUMPRODUCT($D$42:$R$42,pm.rep!B99:P99)</f>
        <v>13069.160412448087</v>
      </c>
      <c r="E84" s="3">
        <f>pm.rep!B100</f>
        <v>35963.4</v>
      </c>
      <c r="F84" s="27">
        <v>3305.64</v>
      </c>
      <c r="G84" s="3" t="e">
        <f>SUMPRODUCT(G262:S262,pm.rep!D99:P99)</f>
        <v>#REF!</v>
      </c>
      <c r="H84" s="3" t="e">
        <f>SUMPRODUCT($D$43:$R$43,E262:S262,pm.rep!B99:P99)</f>
        <v>#REF!</v>
      </c>
      <c r="I84" s="3" t="e">
        <f t="shared" si="12"/>
        <v>#REF!</v>
      </c>
      <c r="J84" s="12">
        <f>J82</f>
        <v>1948.1</v>
      </c>
      <c r="L84" s="7">
        <f>-LN(pm.rep!B45)-0.9</f>
        <v>3.6057793660781989E-5</v>
      </c>
      <c r="M84" s="7">
        <f>-LN(pm.rep!C45)-0.45</f>
        <v>2.4466588054088967E-3</v>
      </c>
      <c r="N84" s="7">
        <f>-LN(pm.rep!D45)-0.3</f>
        <v>2.4098507936389346E-2</v>
      </c>
      <c r="O84" s="7">
        <f>-LN(pm.rep!E45)-0.3</f>
        <v>8.9025482308887294E-2</v>
      </c>
      <c r="P84" s="7">
        <f>-LN(pm.rep!F45)-0.3</f>
        <v>0.14359385767075333</v>
      </c>
      <c r="Q84" s="7">
        <f>-LN(pm.rep!G45)-0.3</f>
        <v>0.14246939934022318</v>
      </c>
      <c r="R84" s="7">
        <f>-LN(pm.rep!H45)-0.3</f>
        <v>0.22899129161166693</v>
      </c>
      <c r="S84" s="7">
        <f>-LN(pm.rep!I45)-0.3</f>
        <v>0.29192541773620601</v>
      </c>
      <c r="T84" s="7">
        <f>-LN(pm.rep!J45)-0.3</f>
        <v>0.23325700320548032</v>
      </c>
      <c r="U84" s="7">
        <f>-LN(pm.rep!K45)-0.3</f>
        <v>0.20647676046165458</v>
      </c>
      <c r="V84" s="7">
        <f>-LN(pm.rep!L45)-0.3</f>
        <v>0.20647676046165458</v>
      </c>
      <c r="W84" s="7">
        <f>-LN(pm.rep!M45)-0.3</f>
        <v>0.20647676046165458</v>
      </c>
      <c r="X84" s="7">
        <f>-LN(pm.rep!N45)-0.3</f>
        <v>0.20647676046165458</v>
      </c>
      <c r="Y84" s="7">
        <f>-LN(pm.rep!O45)-0.3</f>
        <v>0.20647676046165458</v>
      </c>
      <c r="Z84" s="7">
        <f>-LN(pm.rep!P45)-0.3</f>
        <v>0.20647676046165458</v>
      </c>
      <c r="AA84" s="27">
        <f t="shared" si="19"/>
        <v>3345.5</v>
      </c>
      <c r="AB84" s="20">
        <f t="shared" si="13"/>
        <v>13303.3156</v>
      </c>
      <c r="AC84" s="27">
        <f>Stdev!E40</f>
        <v>115.34</v>
      </c>
      <c r="AD84" s="27">
        <f t="shared" si="14"/>
        <v>35963.4</v>
      </c>
      <c r="AE84" s="20">
        <v>0</v>
      </c>
      <c r="AF84" s="20">
        <f t="shared" si="15"/>
        <v>0</v>
      </c>
      <c r="AG84" s="6">
        <f>Stdev!D398</f>
        <v>36321</v>
      </c>
      <c r="AH84" s="20">
        <f t="shared" si="16"/>
        <v>10.500151365375849</v>
      </c>
      <c r="AI84" s="20">
        <f t="shared" si="17"/>
        <v>2.1057587765777939</v>
      </c>
      <c r="AK84" s="31">
        <f>StdDev!AV67</f>
        <v>2017</v>
      </c>
      <c r="AN84">
        <v>2000</v>
      </c>
      <c r="AO84" s="27">
        <f>Stdev!D40</f>
        <v>3345.5</v>
      </c>
      <c r="AU84">
        <v>2000</v>
      </c>
    </row>
    <row r="85" spans="1:74" x14ac:dyDescent="0.15">
      <c r="A85" t="e">
        <f t="shared" si="11"/>
        <v>#REF!</v>
      </c>
      <c r="C85" s="21">
        <v>2001</v>
      </c>
      <c r="D85" s="3">
        <f>SUMPRODUCT($D$42:$R$42,pm.rep!B100:P100)</f>
        <v>14014.019097394452</v>
      </c>
      <c r="E85" s="3">
        <f>pm.rep!B101</f>
        <v>23951.8</v>
      </c>
      <c r="F85" s="27">
        <v>3330.25</v>
      </c>
      <c r="G85" s="3" t="e">
        <f>SUMPRODUCT(G263:S263,pm.rep!D100:P100)</f>
        <v>#REF!</v>
      </c>
      <c r="H85" s="3" t="e">
        <f>SUMPRODUCT($D$43:$R$43,E263:S263,pm.rep!B100:P100)</f>
        <v>#REF!</v>
      </c>
      <c r="I85" s="3" t="e">
        <f t="shared" si="12"/>
        <v>#REF!</v>
      </c>
      <c r="J85" s="12">
        <f t="shared" ref="J85:J97" si="20">J84</f>
        <v>1948.1</v>
      </c>
      <c r="L85" s="7">
        <f>-LN(pm.rep!B46)-0.9</f>
        <v>3.8517488486378149E-5</v>
      </c>
      <c r="M85" s="7">
        <f>-LN(pm.rep!C46)-0.45</f>
        <v>2.1244191584988137E-3</v>
      </c>
      <c r="N85" s="7">
        <f>-LN(pm.rep!D46)-0.3</f>
        <v>1.8076677212293779E-2</v>
      </c>
      <c r="O85" s="7">
        <f>-LN(pm.rep!E46)-0.3</f>
        <v>7.1500008451698793E-2</v>
      </c>
      <c r="P85" s="7">
        <f>-LN(pm.rep!F46)-0.3</f>
        <v>0.19524595289955204</v>
      </c>
      <c r="Q85" s="7">
        <f>-LN(pm.rep!G46)-0.3</f>
        <v>0.28532469803119948</v>
      </c>
      <c r="R85" s="7">
        <f>-LN(pm.rep!H46)-0.3</f>
        <v>0.28002565956712971</v>
      </c>
      <c r="S85" s="7">
        <f>-LN(pm.rep!I46)-0.3</f>
        <v>0.27892068412028564</v>
      </c>
      <c r="T85" s="7">
        <f>-LN(pm.rep!J46)-0.3</f>
        <v>0.25643335724412314</v>
      </c>
      <c r="U85" s="7">
        <f>-LN(pm.rep!K46)-0.3</f>
        <v>0.23954407919784254</v>
      </c>
      <c r="V85" s="7">
        <f>-LN(pm.rep!L46)-0.3</f>
        <v>0.23954407919784254</v>
      </c>
      <c r="W85" s="7">
        <f>-LN(pm.rep!M46)-0.3</f>
        <v>0.23954407919784254</v>
      </c>
      <c r="X85" s="7">
        <f>-LN(pm.rep!N46)-0.3</f>
        <v>0.23954407919784254</v>
      </c>
      <c r="Y85" s="7">
        <f>-LN(pm.rep!O46)-0.3</f>
        <v>0.23954407919784254</v>
      </c>
      <c r="Z85" s="7">
        <f>-LN(pm.rep!P46)-0.3</f>
        <v>0.23954407919784254</v>
      </c>
      <c r="AA85" s="27">
        <f t="shared" si="19"/>
        <v>3382.3</v>
      </c>
      <c r="AB85" s="20">
        <f t="shared" si="13"/>
        <v>14539.536399999999</v>
      </c>
      <c r="AC85" s="27">
        <f>Stdev!E41</f>
        <v>120.58</v>
      </c>
      <c r="AD85" s="27">
        <f t="shared" si="14"/>
        <v>23951.8</v>
      </c>
      <c r="AE85" s="20">
        <v>0</v>
      </c>
      <c r="AF85" s="20">
        <f t="shared" si="15"/>
        <v>0</v>
      </c>
      <c r="AG85" s="6">
        <f>Stdev!D399</f>
        <v>23454</v>
      </c>
      <c r="AH85" s="20">
        <f t="shared" si="16"/>
        <v>10.062796335021011</v>
      </c>
      <c r="AI85" s="20">
        <f t="shared" si="17"/>
        <v>1.6684037462229551</v>
      </c>
      <c r="AK85" s="31">
        <f>StdDev!AV68</f>
        <v>2018</v>
      </c>
      <c r="AN85">
        <v>2001</v>
      </c>
      <c r="AO85" s="27">
        <f>Stdev!D41</f>
        <v>3382.3</v>
      </c>
      <c r="AU85">
        <v>2001</v>
      </c>
    </row>
    <row r="86" spans="1:74" x14ac:dyDescent="0.15">
      <c r="A86" t="e">
        <f t="shared" si="11"/>
        <v>#REF!</v>
      </c>
      <c r="C86" s="21">
        <v>2002</v>
      </c>
      <c r="D86" s="3">
        <f>SUMPRODUCT($D$42:$R$42,pm.rep!B101:P101)</f>
        <v>13764.02923086024</v>
      </c>
      <c r="E86" s="3">
        <f>pm.rep!B102</f>
        <v>14625.5</v>
      </c>
      <c r="F86" s="27">
        <v>3142.97</v>
      </c>
      <c r="G86" s="3" t="e">
        <f>SUMPRODUCT(G264:S264,pm.rep!D101:P101)</f>
        <v>#REF!</v>
      </c>
      <c r="H86" s="3" t="e">
        <f>SUMPRODUCT($D$43:$R$43,E264:S264,pm.rep!B101:P101)</f>
        <v>#REF!</v>
      </c>
      <c r="I86" s="3" t="e">
        <f t="shared" si="12"/>
        <v>#REF!</v>
      </c>
      <c r="J86" s="12">
        <f t="shared" si="20"/>
        <v>1948.1</v>
      </c>
      <c r="L86" s="7">
        <f>-LN(pm.rep!B47)-0.9</f>
        <v>4.0977189362134681E-5</v>
      </c>
      <c r="M86" s="7">
        <f>-LN(pm.rep!C47)-0.45</f>
        <v>3.5949903117189486E-3</v>
      </c>
      <c r="N86" s="7">
        <f>-LN(pm.rep!D47)-0.3</f>
        <v>2.1685698302370937E-2</v>
      </c>
      <c r="O86" s="7">
        <f>-LN(pm.rep!E47)-0.3</f>
        <v>8.2315148209464839E-2</v>
      </c>
      <c r="P86" s="7">
        <f>-LN(pm.rep!F47)-0.3</f>
        <v>0.18418856138059331</v>
      </c>
      <c r="Q86" s="7">
        <f>-LN(pm.rep!G47)-0.3</f>
        <v>0.35830720267723909</v>
      </c>
      <c r="R86" s="7">
        <f>-LN(pm.rep!H47)-0.3</f>
        <v>0.35329974076391807</v>
      </c>
      <c r="S86" s="7">
        <f>-LN(pm.rep!I47)-0.3</f>
        <v>0.34818911140131753</v>
      </c>
      <c r="T86" s="7">
        <f>-LN(pm.rep!J47)-0.3</f>
        <v>0.31805640580067235</v>
      </c>
      <c r="U86" s="7">
        <f>-LN(pm.rep!K47)-0.3</f>
        <v>0.26854301733541447</v>
      </c>
      <c r="V86" s="7">
        <f>-LN(pm.rep!L47)-0.3</f>
        <v>0.26854301733541447</v>
      </c>
      <c r="W86" s="7">
        <f>-LN(pm.rep!M47)-0.3</f>
        <v>0.26854301733541447</v>
      </c>
      <c r="X86" s="7">
        <f>-LN(pm.rep!N47)-0.3</f>
        <v>0.26854301733541447</v>
      </c>
      <c r="Y86" s="7">
        <f>-LN(pm.rep!O47)-0.3</f>
        <v>0.26854301733541447</v>
      </c>
      <c r="Z86" s="7">
        <f>-LN(pm.rep!P47)-0.3</f>
        <v>0.26854301733541447</v>
      </c>
      <c r="AA86" s="27">
        <f t="shared" si="19"/>
        <v>3215.9</v>
      </c>
      <c r="AB86" s="20">
        <f t="shared" si="13"/>
        <v>13034.7889</v>
      </c>
      <c r="AC86" s="27">
        <f>Stdev!E42</f>
        <v>114.17</v>
      </c>
      <c r="AD86" s="27">
        <f t="shared" si="14"/>
        <v>14625.5</v>
      </c>
      <c r="AE86" s="20">
        <v>0</v>
      </c>
      <c r="AF86" s="20">
        <f t="shared" si="15"/>
        <v>0</v>
      </c>
      <c r="AG86" s="6">
        <f>Stdev!D400</f>
        <v>14150</v>
      </c>
      <c r="AH86" s="20">
        <f t="shared" si="16"/>
        <v>9.5574699030713841</v>
      </c>
      <c r="AI86" s="20">
        <f t="shared" si="17"/>
        <v>1.1630773142733286</v>
      </c>
      <c r="AN86">
        <v>2002</v>
      </c>
      <c r="AO86" s="27">
        <f>Stdev!D42</f>
        <v>3215.9</v>
      </c>
      <c r="AU86">
        <v>2002</v>
      </c>
    </row>
    <row r="87" spans="1:74" x14ac:dyDescent="0.15">
      <c r="A87" t="e">
        <f t="shared" si="11"/>
        <v>#REF!</v>
      </c>
      <c r="C87" s="21">
        <v>2003</v>
      </c>
      <c r="D87" s="3">
        <f>SUMPRODUCT($D$42:$R$42,pm.rep!B102:P102)</f>
        <v>12900.908673782913</v>
      </c>
      <c r="E87" s="3">
        <f>pm.rep!B103</f>
        <v>6640.46</v>
      </c>
      <c r="F87" s="27">
        <v>3322.4</v>
      </c>
      <c r="G87" s="3" t="e">
        <f>SUMPRODUCT(G265:S265,pm.rep!D102:P102)</f>
        <v>#REF!</v>
      </c>
      <c r="H87" s="3" t="e">
        <f>SUMPRODUCT($D$43:$R$43,E265:S265,pm.rep!B102:P102)</f>
        <v>#REF!</v>
      </c>
      <c r="I87" s="3" t="e">
        <f t="shared" si="12"/>
        <v>#REF!</v>
      </c>
      <c r="J87" s="12">
        <f t="shared" si="20"/>
        <v>1948.1</v>
      </c>
      <c r="L87" s="7">
        <f>-LN(pm.rep!B48)-0.9</f>
        <v>4.0977189362134681E-5</v>
      </c>
      <c r="M87" s="7">
        <f>-LN(pm.rep!C48)-0.45</f>
        <v>2.5158359744552605E-3</v>
      </c>
      <c r="N87" s="7">
        <f>-LN(pm.rep!D48)-0.3</f>
        <v>4.7896445098581986E-2</v>
      </c>
      <c r="O87" s="7">
        <f>-LN(pm.rep!E48)-0.3</f>
        <v>8.4184162298750365E-2</v>
      </c>
      <c r="P87" s="7">
        <f>-LN(pm.rep!F48)-0.3</f>
        <v>0.21803991765092329</v>
      </c>
      <c r="Q87" s="7">
        <f>-LN(pm.rep!G48)-0.3</f>
        <v>0.33343591690458446</v>
      </c>
      <c r="R87" s="7">
        <f>-LN(pm.rep!H48)-0.3</f>
        <v>0.38531989385017679</v>
      </c>
      <c r="S87" s="7">
        <f>-LN(pm.rep!I48)-0.3</f>
        <v>0.3764788718771756</v>
      </c>
      <c r="T87" s="7">
        <f>-LN(pm.rep!J48)-0.3</f>
        <v>0.32872366603538122</v>
      </c>
      <c r="U87" s="7">
        <f>-LN(pm.rep!K48)-0.3</f>
        <v>0.26776817855224005</v>
      </c>
      <c r="V87" s="7">
        <f>-LN(pm.rep!L48)-0.3</f>
        <v>0.26776817855224005</v>
      </c>
      <c r="W87" s="7">
        <f>-LN(pm.rep!M48)-0.3</f>
        <v>0.26776817855224005</v>
      </c>
      <c r="X87" s="7">
        <f>-LN(pm.rep!N48)-0.3</f>
        <v>0.26776817855224005</v>
      </c>
      <c r="Y87" s="7">
        <f>-LN(pm.rep!O48)-0.3</f>
        <v>0.26776817855224005</v>
      </c>
      <c r="Z87" s="7">
        <f>-LN(pm.rep!P48)-0.3</f>
        <v>0.26776817855224005</v>
      </c>
      <c r="AA87" s="27">
        <f t="shared" si="19"/>
        <v>3417.9</v>
      </c>
      <c r="AB87" s="20">
        <f t="shared" ref="AB87:AB93" si="21">AC87*AC87</f>
        <v>12254.49</v>
      </c>
      <c r="AC87" s="27">
        <f>Stdev!E43</f>
        <v>110.7</v>
      </c>
      <c r="AD87" s="27">
        <f t="shared" ref="AD87:AD95" si="22">E87*EXP(-AE87)</f>
        <v>6640.46</v>
      </c>
      <c r="AE87" s="20">
        <v>0</v>
      </c>
      <c r="AF87" s="20">
        <f t="shared" si="15"/>
        <v>0</v>
      </c>
      <c r="AG87" s="6">
        <f>Stdev!D401</f>
        <v>6358.9</v>
      </c>
      <c r="AH87" s="20">
        <f t="shared" si="16"/>
        <v>8.7576106854007154</v>
      </c>
      <c r="AI87" s="20">
        <f t="shared" si="17"/>
        <v>0.36321809660265991</v>
      </c>
      <c r="AN87">
        <v>2003</v>
      </c>
      <c r="AO87" s="27">
        <f>Stdev!D43</f>
        <v>3417.9</v>
      </c>
      <c r="AU87">
        <v>2003</v>
      </c>
    </row>
    <row r="88" spans="1:74" x14ac:dyDescent="0.15">
      <c r="A88" t="e">
        <f t="shared" si="11"/>
        <v>#REF!</v>
      </c>
      <c r="C88" s="21">
        <v>2004</v>
      </c>
      <c r="D88" s="3">
        <f>SUMPRODUCT($D$42:$R$42,pm.rep!B103:P103)</f>
        <v>11509.314150881299</v>
      </c>
      <c r="E88" s="3">
        <f>pm.rep!B104</f>
        <v>4831.7</v>
      </c>
      <c r="F88" s="27">
        <v>3430.44</v>
      </c>
      <c r="G88" s="3" t="e">
        <f>SUMPRODUCT(G266:S266,pm.rep!D103:P103)</f>
        <v>#REF!</v>
      </c>
      <c r="H88" s="3" t="e">
        <f>SUMPRODUCT($D$43:$R$43,E266:S266,pm.rep!B103:P103)</f>
        <v>#REF!</v>
      </c>
      <c r="I88" s="3" t="e">
        <f t="shared" si="12"/>
        <v>#REF!</v>
      </c>
      <c r="J88" s="12">
        <f t="shared" si="20"/>
        <v>1948.1</v>
      </c>
      <c r="L88" s="7">
        <f>-LN(pm.rep!B49)-0.9</f>
        <v>3.6057793660781989E-5</v>
      </c>
      <c r="M88" s="7">
        <f>-LN(pm.rep!C49)-0.45</f>
        <v>1.7755742715100387E-3</v>
      </c>
      <c r="N88" s="7">
        <f>-LN(pm.rep!D49)-0.3</f>
        <v>2.052763016126502E-2</v>
      </c>
      <c r="O88" s="7">
        <f>-LN(pm.rep!E49)-0.3</f>
        <v>0.15812723365461118</v>
      </c>
      <c r="P88" s="7">
        <f>-LN(pm.rep!F49)-0.3</f>
        <v>0.19119621408549498</v>
      </c>
      <c r="Q88" s="7">
        <f>-LN(pm.rep!G49)-0.3</f>
        <v>0.25635137194386731</v>
      </c>
      <c r="R88" s="7">
        <f>-LN(pm.rep!H49)-0.3</f>
        <v>0.33482733033731388</v>
      </c>
      <c r="S88" s="7">
        <f>-LN(pm.rep!I49)-0.3</f>
        <v>0.32587926261697059</v>
      </c>
      <c r="T88" s="7">
        <f>-LN(pm.rep!J49)-0.3</f>
        <v>0.28314366034906208</v>
      </c>
      <c r="U88" s="7">
        <f>-LN(pm.rep!K49)-0.3</f>
        <v>0.23790566733640034</v>
      </c>
      <c r="V88" s="7">
        <f>-LN(pm.rep!L49)-0.3</f>
        <v>0.23790566733640034</v>
      </c>
      <c r="W88" s="7">
        <f>-LN(pm.rep!M49)-0.3</f>
        <v>0.23790566733640034</v>
      </c>
      <c r="X88" s="7">
        <f>-LN(pm.rep!N49)-0.3</f>
        <v>0.23790566733640034</v>
      </c>
      <c r="Y88" s="7">
        <f>-LN(pm.rep!O49)-0.3</f>
        <v>0.23790566733640034</v>
      </c>
      <c r="Z88" s="7">
        <f>-LN(pm.rep!P49)-0.3</f>
        <v>0.23790566733640034</v>
      </c>
      <c r="AA88" s="27">
        <f t="shared" si="19"/>
        <v>3520.4</v>
      </c>
      <c r="AB88" s="20">
        <f t="shared" si="21"/>
        <v>12005.584899999998</v>
      </c>
      <c r="AC88" s="27">
        <f>Stdev!E44</f>
        <v>109.57</v>
      </c>
      <c r="AD88" s="27">
        <f t="shared" si="22"/>
        <v>4831.7</v>
      </c>
      <c r="AE88" s="20">
        <v>0</v>
      </c>
      <c r="AF88" s="20">
        <f t="shared" si="15"/>
        <v>0</v>
      </c>
      <c r="AG88" s="6">
        <f>Stdev!D402</f>
        <v>4422.2</v>
      </c>
      <c r="AH88" s="20">
        <f t="shared" si="16"/>
        <v>8.3943925887980555</v>
      </c>
      <c r="AI88" s="20">
        <f t="shared" si="17"/>
        <v>0</v>
      </c>
      <c r="AN88">
        <v>2004</v>
      </c>
      <c r="AO88" s="27">
        <f>Stdev!D44</f>
        <v>3520.4</v>
      </c>
      <c r="AU88">
        <v>2004</v>
      </c>
    </row>
    <row r="89" spans="1:74" x14ac:dyDescent="0.15">
      <c r="A89" t="e">
        <f t="shared" si="11"/>
        <v>#REF!</v>
      </c>
      <c r="C89" s="21">
        <v>2005</v>
      </c>
      <c r="D89" s="3">
        <f>SUMPRODUCT($D$42:$R$42,pm.rep!B104:P104)</f>
        <v>9845.9242267660375</v>
      </c>
      <c r="E89" s="3">
        <f>pm.rep!B105</f>
        <v>12207.5</v>
      </c>
      <c r="F89" s="27">
        <v>3159.29</v>
      </c>
      <c r="G89" s="3" t="e">
        <f>SUMPRODUCT(G267:S267,pm.rep!D104:P104)</f>
        <v>#REF!</v>
      </c>
      <c r="H89" s="3" t="e">
        <f>SUMPRODUCT($D$43:$R$43,E267:S267,pm.rep!B104:P104)</f>
        <v>#REF!</v>
      </c>
      <c r="I89" s="3" t="e">
        <f t="shared" si="12"/>
        <v>#REF!</v>
      </c>
      <c r="J89" s="12">
        <f t="shared" si="20"/>
        <v>1948.1</v>
      </c>
      <c r="L89" s="7">
        <f>-LN(pm.rep!B50)-0.9</f>
        <v>3.11384221596267E-5</v>
      </c>
      <c r="M89" s="7">
        <f>-LN(pm.rep!C50)-0.45</f>
        <v>1.8635597036930074E-3</v>
      </c>
      <c r="N89" s="7">
        <f>-LN(pm.rep!D50)-0.3</f>
        <v>1.9925688917071804E-2</v>
      </c>
      <c r="O89" s="7">
        <f>-LN(pm.rep!E50)-0.3</f>
        <v>0.10740298457845321</v>
      </c>
      <c r="P89" s="7">
        <f>-LN(pm.rep!F50)-0.3</f>
        <v>0.28027216957614859</v>
      </c>
      <c r="Q89" s="7">
        <f>-LN(pm.rep!G50)-0.3</f>
        <v>0.31720517698478795</v>
      </c>
      <c r="R89" s="7">
        <f>-LN(pm.rep!H50)-0.3</f>
        <v>0.28559407039522383</v>
      </c>
      <c r="S89" s="7">
        <f>-LN(pm.rep!I50)-0.3</f>
        <v>0.26132274395627891</v>
      </c>
      <c r="T89" s="7">
        <f>-LN(pm.rep!J50)-0.3</f>
        <v>0.24609535234830199</v>
      </c>
      <c r="U89" s="7">
        <f>-LN(pm.rep!K50)-0.3</f>
        <v>0.21298795993067404</v>
      </c>
      <c r="V89" s="7">
        <f>-LN(pm.rep!L50)-0.3</f>
        <v>0.21298795993067404</v>
      </c>
      <c r="W89" s="7">
        <f>-LN(pm.rep!M50)-0.3</f>
        <v>0.21298795993067404</v>
      </c>
      <c r="X89" s="7">
        <f>-LN(pm.rep!N50)-0.3</f>
        <v>0.21298795993067404</v>
      </c>
      <c r="Y89" s="7">
        <f>-LN(pm.rep!O50)-0.3</f>
        <v>0.21298795993067404</v>
      </c>
      <c r="Z89" s="7">
        <f>-LN(pm.rep!P50)-0.3</f>
        <v>0.21298795993067404</v>
      </c>
      <c r="AA89" s="27">
        <f t="shared" si="19"/>
        <v>3223</v>
      </c>
      <c r="AB89" s="20">
        <f t="shared" si="21"/>
        <v>10949.5296</v>
      </c>
      <c r="AC89" s="27">
        <f>Stdev!E45</f>
        <v>104.64</v>
      </c>
      <c r="AD89" s="27">
        <f t="shared" si="22"/>
        <v>12207.5</v>
      </c>
      <c r="AE89" s="20">
        <v>0</v>
      </c>
      <c r="AF89" s="20">
        <f t="shared" si="15"/>
        <v>0</v>
      </c>
      <c r="AG89" s="6">
        <f>Stdev!D403</f>
        <v>11401</v>
      </c>
      <c r="AH89" s="20">
        <f t="shared" si="16"/>
        <v>9.3414563498337202</v>
      </c>
      <c r="AI89" s="20">
        <f t="shared" si="17"/>
        <v>0.9470637610356647</v>
      </c>
      <c r="AN89">
        <v>2005</v>
      </c>
      <c r="AO89" s="27">
        <f>Stdev!D45</f>
        <v>3223</v>
      </c>
    </row>
    <row r="90" spans="1:74" x14ac:dyDescent="0.15">
      <c r="A90" t="e">
        <f t="shared" si="11"/>
        <v>#REF!</v>
      </c>
      <c r="C90" s="21">
        <v>2006</v>
      </c>
      <c r="D90" s="3">
        <f>SUMPRODUCT($D$42:$R$42,pm.rep!B105:P105)</f>
        <v>8623.6324343282176</v>
      </c>
      <c r="E90" s="3">
        <f>pm.rep!B106</f>
        <v>26390.5</v>
      </c>
      <c r="F90" s="27">
        <v>2612.0100000000002</v>
      </c>
      <c r="G90" s="69" t="e">
        <f>SUMPRODUCT(G268:S268,pm.rep!D105:P105)</f>
        <v>#REF!</v>
      </c>
      <c r="H90" s="69" t="e">
        <f>SUMPRODUCT($D$43:$R$43,E268:S268,pm.rep!B105:P105)</f>
        <v>#REF!</v>
      </c>
      <c r="I90" s="3" t="e">
        <f t="shared" si="12"/>
        <v>#REF!</v>
      </c>
      <c r="J90" s="12">
        <f t="shared" si="20"/>
        <v>1948.1</v>
      </c>
      <c r="L90" s="7">
        <f>-LN(pm.rep!B51)-0.9</f>
        <v>3.8517488486378149E-5</v>
      </c>
      <c r="M90" s="7">
        <f>-LN(pm.rep!C51)-0.45</f>
        <v>2.9121247042838139E-3</v>
      </c>
      <c r="N90" s="7">
        <f>-LN(pm.rep!D51)-0.3</f>
        <v>4.5701091800557536E-2</v>
      </c>
      <c r="O90" s="7">
        <f>-LN(pm.rep!E51)-0.3</f>
        <v>0.12748834914302426</v>
      </c>
      <c r="P90" s="7">
        <f>-LN(pm.rep!F51)-0.3</f>
        <v>0.26968784119646244</v>
      </c>
      <c r="Q90" s="7">
        <f>-LN(pm.rep!G51)-0.3</f>
        <v>0.36821654751820115</v>
      </c>
      <c r="R90" s="7">
        <f>-LN(pm.rep!H51)-0.3</f>
        <v>0.35072390876871634</v>
      </c>
      <c r="S90" s="7">
        <f>-LN(pm.rep!I51)-0.3</f>
        <v>0.33374118331785113</v>
      </c>
      <c r="T90" s="7">
        <f>-LN(pm.rep!J51)-0.3</f>
        <v>0.30076491929243171</v>
      </c>
      <c r="U90" s="7">
        <f>-LN(pm.rep!K51)-0.3</f>
        <v>0.27109770356599888</v>
      </c>
      <c r="V90" s="7">
        <f>-LN(pm.rep!L51)-0.3</f>
        <v>0.27109770356599888</v>
      </c>
      <c r="W90" s="7">
        <f>-LN(pm.rep!M51)-0.3</f>
        <v>0.27109770356599888</v>
      </c>
      <c r="X90" s="7">
        <f>-LN(pm.rep!N51)-0.3</f>
        <v>0.27109770356599888</v>
      </c>
      <c r="Y90" s="7">
        <f>-LN(pm.rep!O51)-0.3</f>
        <v>0.27109770356599888</v>
      </c>
      <c r="Z90" s="7">
        <f>-LN(pm.rep!P51)-0.3</f>
        <v>0.27109770356599888</v>
      </c>
      <c r="AA90" s="27">
        <f t="shared" si="19"/>
        <v>2651</v>
      </c>
      <c r="AB90" s="20">
        <f t="shared" si="21"/>
        <v>9186.8391040000006</v>
      </c>
      <c r="AC90" s="27">
        <f>Stdev!E46</f>
        <v>95.847999999999999</v>
      </c>
      <c r="AD90" s="27">
        <f t="shared" si="22"/>
        <v>26390.5</v>
      </c>
      <c r="AE90" s="20">
        <v>0</v>
      </c>
      <c r="AF90" s="20">
        <f t="shared" si="15"/>
        <v>0</v>
      </c>
      <c r="AG90" s="6">
        <f>Stdev!D404</f>
        <v>27094</v>
      </c>
      <c r="AH90" s="20">
        <f t="shared" si="16"/>
        <v>10.207067580140682</v>
      </c>
      <c r="AI90" s="20">
        <f t="shared" si="17"/>
        <v>1.812674991342627</v>
      </c>
      <c r="AN90">
        <v>2006</v>
      </c>
      <c r="AO90" s="27">
        <f>Stdev!D46</f>
        <v>2651</v>
      </c>
    </row>
    <row r="91" spans="1:74" x14ac:dyDescent="0.15">
      <c r="A91" t="e">
        <f t="shared" si="11"/>
        <v>#REF!</v>
      </c>
      <c r="C91" s="21">
        <v>2007</v>
      </c>
      <c r="D91" s="3">
        <f>SUMPRODUCT($D$42:$R$42,pm.rep!B106:P106)</f>
        <v>8566.6556351454456</v>
      </c>
      <c r="E91" s="3">
        <f>pm.rep!B107</f>
        <v>14622.4</v>
      </c>
      <c r="F91" s="27">
        <v>2196.73</v>
      </c>
      <c r="G91" s="69" t="e">
        <f>SUMPRODUCT(G269:S269,pm.rep!D106:P106)</f>
        <v>#REF!</v>
      </c>
      <c r="H91" s="69" t="e">
        <f>SUMPRODUCT($D$43:$R$43,E269:S269,pm.rep!B106:P106)</f>
        <v>#REF!</v>
      </c>
      <c r="I91" s="3" t="e">
        <f t="shared" si="12"/>
        <v>#REF!</v>
      </c>
      <c r="J91" s="12">
        <f t="shared" si="20"/>
        <v>1948.1</v>
      </c>
      <c r="L91" s="7">
        <f>-LN(pm.rep!B52)-0.9</f>
        <v>3.8517488486378149E-5</v>
      </c>
      <c r="M91" s="7">
        <f>-LN(pm.rep!C52)-0.45</f>
        <v>3.2818212348416642E-3</v>
      </c>
      <c r="N91" s="7">
        <f>-LN(pm.rep!D52)-0.3</f>
        <v>4.4994851146547221E-2</v>
      </c>
      <c r="O91" s="7">
        <f>-LN(pm.rep!E52)-0.3</f>
        <v>0.12504708974838735</v>
      </c>
      <c r="P91" s="7">
        <f>-LN(pm.rep!F52)-0.3</f>
        <v>0.26935379883006844</v>
      </c>
      <c r="Q91" s="7">
        <f>-LN(pm.rep!G52)-0.3</f>
        <v>0.41100366282546091</v>
      </c>
      <c r="R91" s="7">
        <f>-LN(pm.rep!H52)-0.3</f>
        <v>0.36662015397524478</v>
      </c>
      <c r="S91" s="7">
        <f>-LN(pm.rep!I52)-0.3</f>
        <v>0.33151224575218891</v>
      </c>
      <c r="T91" s="7">
        <f>-LN(pm.rep!J52)-0.3</f>
        <v>0.31013780088961368</v>
      </c>
      <c r="U91" s="7">
        <f>-LN(pm.rep!K52)-0.3</f>
        <v>0.29018995048081936</v>
      </c>
      <c r="V91" s="7">
        <f>-LN(pm.rep!L52)-0.3</f>
        <v>0.29018995048081936</v>
      </c>
      <c r="W91" s="7">
        <f>-LN(pm.rep!M52)-0.3</f>
        <v>0.29018995048081936</v>
      </c>
      <c r="X91" s="7">
        <f>-LN(pm.rep!N52)-0.3</f>
        <v>0.29018995048081936</v>
      </c>
      <c r="Y91" s="7">
        <f>-LN(pm.rep!O52)-0.3</f>
        <v>0.29018995048081936</v>
      </c>
      <c r="Z91" s="7">
        <f>-LN(pm.rep!P52)-0.3</f>
        <v>0.29018995048081936</v>
      </c>
      <c r="AA91" s="27">
        <f t="shared" si="19"/>
        <v>2215.1999999999998</v>
      </c>
      <c r="AB91" s="20">
        <f t="shared" si="21"/>
        <v>8940.4589159999996</v>
      </c>
      <c r="AC91" s="27">
        <f>Stdev!E47</f>
        <v>94.554000000000002</v>
      </c>
      <c r="AD91" s="27">
        <f t="shared" si="22"/>
        <v>14622.4</v>
      </c>
      <c r="AE91" s="20">
        <v>0</v>
      </c>
      <c r="AF91" s="20">
        <f t="shared" ref="AF91:AF97" si="23">AE91^2</f>
        <v>0</v>
      </c>
      <c r="AG91" s="6">
        <f>Stdev!D405</f>
        <v>15205</v>
      </c>
      <c r="AH91" s="20">
        <f t="shared" ref="AH91:AH96" si="24">LN(AG91)</f>
        <v>9.6293796001114647</v>
      </c>
      <c r="AI91" s="20">
        <f t="shared" ref="AI91:AI96" si="25">AH91-$AH$88</f>
        <v>1.2349870113134092</v>
      </c>
      <c r="AN91">
        <v>2007</v>
      </c>
      <c r="AO91" s="27">
        <f>Stdev!D47</f>
        <v>2215.1999999999998</v>
      </c>
    </row>
    <row r="92" spans="1:74" x14ac:dyDescent="0.15">
      <c r="A92" t="e">
        <f t="shared" si="11"/>
        <v>#REF!</v>
      </c>
      <c r="C92" s="21">
        <v>2008</v>
      </c>
      <c r="D92" s="3">
        <f>SUMPRODUCT($D$42:$R$42,pm.rep!B107:P107)</f>
        <v>7867.8214119414479</v>
      </c>
      <c r="E92" s="3">
        <f>pm.rep!B108</f>
        <v>56930.6</v>
      </c>
      <c r="F92" s="27">
        <v>1640.95</v>
      </c>
      <c r="G92" s="69" t="e">
        <f>SUMPRODUCT(G270:S270,pm.rep!D107:P107)</f>
        <v>#REF!</v>
      </c>
      <c r="H92" s="69" t="e">
        <f>SUMPRODUCT($D$43:$R$43,E270:S270,pm.rep!B107:P107)</f>
        <v>#REF!</v>
      </c>
      <c r="I92" s="3" t="e">
        <f t="shared" si="12"/>
        <v>#REF!</v>
      </c>
      <c r="J92" s="12">
        <f t="shared" si="20"/>
        <v>1948.1</v>
      </c>
      <c r="L92" s="7">
        <f>-LN(pm.rep!B53)-0.9</f>
        <v>3.8517488486378149E-5</v>
      </c>
      <c r="M92" s="7">
        <f>-LN(pm.rep!C53)-0.45</f>
        <v>2.814610529262962E-3</v>
      </c>
      <c r="N92" s="7">
        <f>-LN(pm.rep!D53)-0.3</f>
        <v>2.5365940490059136E-2</v>
      </c>
      <c r="O92" s="7">
        <f>-LN(pm.rep!E53)-0.3</f>
        <v>0.1144735626661042</v>
      </c>
      <c r="P92" s="7">
        <f>-LN(pm.rep!F53)-0.3</f>
        <v>0.24985928774739247</v>
      </c>
      <c r="Q92" s="7">
        <f>-LN(pm.rep!G53)-0.3</f>
        <v>0.42999167914855901</v>
      </c>
      <c r="R92" s="7">
        <f>-LN(pm.rep!H53)-0.3</f>
        <v>0.4038542977036334</v>
      </c>
      <c r="S92" s="7">
        <f>-LN(pm.rep!I53)-0.3</f>
        <v>0.35945131670321978</v>
      </c>
      <c r="T92" s="7">
        <f>-LN(pm.rep!J53)-0.3</f>
        <v>0.35361305498700618</v>
      </c>
      <c r="U92" s="7">
        <f>-LN(pm.rep!K53)-0.3</f>
        <v>0.32178325557662163</v>
      </c>
      <c r="V92" s="7">
        <f>-LN(pm.rep!L53)-0.3</f>
        <v>0.32178325557662163</v>
      </c>
      <c r="W92" s="7">
        <f>-LN(pm.rep!M53)-0.3</f>
        <v>0.32178325557662163</v>
      </c>
      <c r="X92" s="7">
        <f>-LN(pm.rep!N53)-0.3</f>
        <v>0.32178325557662163</v>
      </c>
      <c r="Y92" s="7">
        <f>-LN(pm.rep!O53)-0.3</f>
        <v>0.32178325557662163</v>
      </c>
      <c r="Z92" s="7">
        <f>-LN(pm.rep!P53)-0.3</f>
        <v>0.32178325557662163</v>
      </c>
      <c r="AA92" s="27">
        <f t="shared" si="19"/>
        <v>1629.7</v>
      </c>
      <c r="AB92" s="20">
        <f t="shared" si="21"/>
        <v>6712.8526240000001</v>
      </c>
      <c r="AC92" s="27">
        <f>Stdev!E48</f>
        <v>81.932000000000002</v>
      </c>
      <c r="AD92" s="27">
        <f t="shared" si="22"/>
        <v>56930.6</v>
      </c>
      <c r="AE92" s="20">
        <v>0</v>
      </c>
      <c r="AF92" s="20">
        <f t="shared" si="23"/>
        <v>0</v>
      </c>
      <c r="AG92" s="6">
        <f>Stdev!D406</f>
        <v>62011</v>
      </c>
      <c r="AH92" s="20">
        <f t="shared" si="24"/>
        <v>11.035067067645114</v>
      </c>
      <c r="AI92" s="20">
        <f t="shared" si="25"/>
        <v>2.6406744788470586</v>
      </c>
      <c r="AN92">
        <v>2008</v>
      </c>
      <c r="AO92" s="27">
        <f>Stdev!D48</f>
        <v>1629.7</v>
      </c>
    </row>
    <row r="93" spans="1:74" x14ac:dyDescent="0.15">
      <c r="A93" t="e">
        <f t="shared" si="11"/>
        <v>#REF!</v>
      </c>
      <c r="C93" s="21">
        <v>2009</v>
      </c>
      <c r="D93" s="3">
        <f>SUMPRODUCT($D$42:$R$42,pm.rep!B108:P108)</f>
        <v>11363.227655658462</v>
      </c>
      <c r="E93" s="3">
        <f>pm.rep!B109</f>
        <v>22500.1</v>
      </c>
      <c r="F93" s="27">
        <v>1797.67</v>
      </c>
      <c r="G93" s="69" t="e">
        <f>SUMPRODUCT(G271:S271,pm.rep!D108:P108)</f>
        <v>#REF!</v>
      </c>
      <c r="H93" s="69" t="e">
        <f>SUMPRODUCT($D$43:$R$43,E271:S271,pm.rep!B108:P108)</f>
        <v>#REF!</v>
      </c>
      <c r="I93" s="3" t="e">
        <f t="shared" ref="I93:I98" si="26">H93*EXP(Alpha*(1-H93/Beta))</f>
        <v>#REF!</v>
      </c>
      <c r="J93" s="12">
        <f t="shared" si="20"/>
        <v>1948.1</v>
      </c>
      <c r="L93" s="7">
        <f>-LN(pm.rep!B54)-0.9</f>
        <v>3.359810488523518E-5</v>
      </c>
      <c r="M93" s="7">
        <f>-LN(pm.rep!C54)-0.45</f>
        <v>1.8525611013010534E-3</v>
      </c>
      <c r="N93" s="7">
        <f>-LN(pm.rep!D54)-0.3</f>
        <v>2.4380635567821551E-2</v>
      </c>
      <c r="O93" s="7">
        <f>-LN(pm.rep!E54)-0.3</f>
        <v>0.10268896516141263</v>
      </c>
      <c r="P93" s="7">
        <f>-LN(pm.rep!F54)-0.3</f>
        <v>0.17422854163230417</v>
      </c>
      <c r="Q93" s="7">
        <f>-LN(pm.rep!G54)-0.3</f>
        <v>0.30617163754567805</v>
      </c>
      <c r="R93" s="7">
        <f>-LN(pm.rep!H54)-0.3</f>
        <v>0.34596020557371482</v>
      </c>
      <c r="S93" s="7">
        <f>-LN(pm.rep!I54)-0.3</f>
        <v>0.33741734220376934</v>
      </c>
      <c r="T93" s="7">
        <f>-LN(pm.rep!J54)-0.3</f>
        <v>0.34615291376355056</v>
      </c>
      <c r="U93" s="7">
        <f>-LN(pm.rep!K54)-0.3</f>
        <v>0.33928419066979404</v>
      </c>
      <c r="V93" s="7">
        <f>-LN(pm.rep!L54)-0.3</f>
        <v>0.33928419066979404</v>
      </c>
      <c r="W93" s="7">
        <f>-LN(pm.rep!M54)-0.3</f>
        <v>0.33928419066979404</v>
      </c>
      <c r="X93" s="7">
        <f>-LN(pm.rep!N54)-0.3</f>
        <v>0.33928419066979404</v>
      </c>
      <c r="Y93" s="7">
        <f>-LN(pm.rep!O54)-0.3</f>
        <v>0.33928419066979404</v>
      </c>
      <c r="Z93" s="7">
        <f>-LN(pm.rep!P54)-0.3</f>
        <v>0.33928419066979404</v>
      </c>
      <c r="AA93" s="27">
        <f t="shared" si="19"/>
        <v>1775.3</v>
      </c>
      <c r="AB93" s="20">
        <f t="shared" si="21"/>
        <v>9071.6100250000018</v>
      </c>
      <c r="AC93" s="27">
        <f>Stdev!E49</f>
        <v>95.245000000000005</v>
      </c>
      <c r="AD93" s="27">
        <f t="shared" si="22"/>
        <v>22500.1</v>
      </c>
      <c r="AE93" s="20">
        <v>0</v>
      </c>
      <c r="AF93" s="20">
        <f t="shared" si="23"/>
        <v>0</v>
      </c>
      <c r="AG93" s="6">
        <f>Stdev!D407</f>
        <v>23818</v>
      </c>
      <c r="AH93" s="20">
        <f t="shared" si="24"/>
        <v>10.078196876327942</v>
      </c>
      <c r="AI93" s="20">
        <f t="shared" si="25"/>
        <v>1.6838042875298864</v>
      </c>
      <c r="AN93">
        <v>2009</v>
      </c>
      <c r="AO93" s="27">
        <f>Stdev!D49</f>
        <v>1775.3</v>
      </c>
    </row>
    <row r="94" spans="1:74" x14ac:dyDescent="0.15">
      <c r="A94" t="e">
        <f t="shared" si="11"/>
        <v>#REF!</v>
      </c>
      <c r="C94" s="21">
        <v>2010</v>
      </c>
      <c r="D94" s="3">
        <f>SUMPRODUCT($D$42:$R$42,pm.rep!B109:P109)</f>
        <v>12135.387891747048</v>
      </c>
      <c r="E94" s="3">
        <f>pm.rep!B110</f>
        <v>13479.2</v>
      </c>
      <c r="F94" s="27">
        <v>2028.11</v>
      </c>
      <c r="G94" s="69" t="e">
        <f>SUMPRODUCT(G272:S272,pm.rep!D109:P109)</f>
        <v>#REF!</v>
      </c>
      <c r="H94" s="69" t="e">
        <f>SUMPRODUCT($D$43:$R$43,E272:S272,pm.rep!B109:P109)</f>
        <v>#REF!</v>
      </c>
      <c r="I94" s="3" t="e">
        <f t="shared" si="26"/>
        <v>#REF!</v>
      </c>
      <c r="J94" s="12">
        <f t="shared" si="20"/>
        <v>1948.1</v>
      </c>
      <c r="L94" s="7">
        <f>-LN(pm.rep!B55)-0.9</f>
        <v>2.8678745484178592E-5</v>
      </c>
      <c r="M94" s="7">
        <f>-LN(pm.rep!C55)-0.45</f>
        <v>1.6341853291464981E-3</v>
      </c>
      <c r="N94" s="7">
        <f>-LN(pm.rep!D55)-0.3</f>
        <v>1.2446187598399217E-2</v>
      </c>
      <c r="O94" s="7">
        <f>-LN(pm.rep!E55)-0.3</f>
        <v>0.13864140560287125</v>
      </c>
      <c r="P94" s="7">
        <f>-LN(pm.rep!F55)-0.3</f>
        <v>0.18644850809400998</v>
      </c>
      <c r="Q94" s="7">
        <f>-LN(pm.rep!G55)-0.3</f>
        <v>0.21888131724526622</v>
      </c>
      <c r="R94" s="7">
        <f>-LN(pm.rep!H55)-0.3</f>
        <v>0.26202067736529039</v>
      </c>
      <c r="S94" s="7">
        <f>-LN(pm.rep!I55)-0.3</f>
        <v>0.28563178831725827</v>
      </c>
      <c r="T94" s="7">
        <f>-LN(pm.rep!J55)-0.3</f>
        <v>0.2793543172859197</v>
      </c>
      <c r="U94" s="7">
        <f>-LN(pm.rep!K55)-0.3</f>
        <v>0.27336791647178188</v>
      </c>
      <c r="V94" s="7">
        <f>-LN(pm.rep!L55)-0.3</f>
        <v>0.27336791647178188</v>
      </c>
      <c r="W94" s="7">
        <f>-LN(pm.rep!M55)-0.3</f>
        <v>0.27336791647178188</v>
      </c>
      <c r="X94" s="7">
        <f>-LN(pm.rep!N55)-0.3</f>
        <v>0.27336791647178188</v>
      </c>
      <c r="Y94" s="7">
        <f>-LN(pm.rep!O55)-0.3</f>
        <v>0.27336791647178188</v>
      </c>
      <c r="Z94" s="7">
        <f>-LN(pm.rep!P55)-0.3</f>
        <v>0.27336791647178188</v>
      </c>
      <c r="AA94" s="27">
        <f>AO94</f>
        <v>2017.6</v>
      </c>
      <c r="AB94" s="20">
        <f>AC94*AC94</f>
        <v>12889.0609</v>
      </c>
      <c r="AC94" s="27">
        <f>Stdev!E50</f>
        <v>113.53</v>
      </c>
      <c r="AD94" s="27">
        <f t="shared" si="22"/>
        <v>13479.2</v>
      </c>
      <c r="AE94" s="20">
        <v>0</v>
      </c>
      <c r="AF94" s="20">
        <f t="shared" si="23"/>
        <v>0</v>
      </c>
      <c r="AG94" s="6">
        <f>Stdev!D408</f>
        <v>16973</v>
      </c>
      <c r="AH94" s="20">
        <f t="shared" si="24"/>
        <v>9.7393791251615323</v>
      </c>
      <c r="AI94" s="20">
        <f t="shared" si="25"/>
        <v>1.3449865363634768</v>
      </c>
      <c r="AM94" s="27">
        <f>Stdev!B50</f>
        <v>931</v>
      </c>
      <c r="AN94">
        <v>2010</v>
      </c>
      <c r="AO94" s="27">
        <f>Stdev!D50</f>
        <v>2017.6</v>
      </c>
    </row>
    <row r="95" spans="1:74" x14ac:dyDescent="0.15">
      <c r="A95" t="e">
        <f t="shared" si="11"/>
        <v>#REF!</v>
      </c>
      <c r="C95" s="21">
        <v>2011</v>
      </c>
      <c r="D95" s="3">
        <f>SUMPRODUCT($D$42:$R$42,pm.rep!B110:P110)</f>
        <v>12209.094989810637</v>
      </c>
      <c r="E95" s="3">
        <f>pm.rep!B111</f>
        <v>11200.8</v>
      </c>
      <c r="F95" s="27">
        <v>2480.02</v>
      </c>
      <c r="G95" s="69" t="e">
        <f>SUMPRODUCT(G273:S273,pm.rep!D110:P110)</f>
        <v>#REF!</v>
      </c>
      <c r="H95" s="69" t="e">
        <f>SUMPRODUCT($D$43:$R$43,E273:S273,pm.rep!B110:P110)</f>
        <v>#REF!</v>
      </c>
      <c r="I95" s="3" t="e">
        <f t="shared" si="26"/>
        <v>#REF!</v>
      </c>
      <c r="J95" s="12">
        <f t="shared" si="20"/>
        <v>1948.1</v>
      </c>
      <c r="L95" s="7">
        <f>-LN(pm.rep!B56)-0.9</f>
        <v>3.8517488486378149E-5</v>
      </c>
      <c r="M95" s="7">
        <f>-LN(pm.rep!C56)-0.45</f>
        <v>2.3161785356485276E-3</v>
      </c>
      <c r="N95" s="7">
        <f>-LN(pm.rep!D56)-0.3</f>
        <v>1.615150826844991E-2</v>
      </c>
      <c r="O95" s="7">
        <f>-LN(pm.rep!E56)-0.3</f>
        <v>6.1734866640655306E-2</v>
      </c>
      <c r="P95" s="7">
        <f>-LN(pm.rep!F56)-0.3</f>
        <v>0.3634194605469761</v>
      </c>
      <c r="Q95" s="7">
        <f>-LN(pm.rep!G56)-0.3</f>
        <v>0.41209761107897031</v>
      </c>
      <c r="R95" s="7">
        <f>-LN(pm.rep!H56)-0.3</f>
        <v>0.38665231791695259</v>
      </c>
      <c r="S95" s="7">
        <f>-LN(pm.rep!I56)-0.3</f>
        <v>0.37413506171168448</v>
      </c>
      <c r="T95" s="7">
        <f>-LN(pm.rep!J56)-0.3</f>
        <v>0.36213506595655282</v>
      </c>
      <c r="U95" s="7">
        <f>-LN(pm.rep!K56)-0.3</f>
        <v>0.34841667423306638</v>
      </c>
      <c r="V95" s="7">
        <f>-LN(pm.rep!L56)-0.3</f>
        <v>0.34841667423306638</v>
      </c>
      <c r="W95" s="7">
        <f>-LN(pm.rep!M56)-0.3</f>
        <v>0.34841667423306638</v>
      </c>
      <c r="X95" s="7">
        <f>-LN(pm.rep!N56)-0.3</f>
        <v>0.34841667423306638</v>
      </c>
      <c r="Y95" s="7">
        <f>-LN(pm.rep!O56)-0.3</f>
        <v>0.34841667423306638</v>
      </c>
      <c r="Z95" s="7">
        <f>-LN(pm.rep!P56)-0.3</f>
        <v>0.34841667423306638</v>
      </c>
      <c r="AA95" s="27">
        <f>AO95</f>
        <v>2538.1</v>
      </c>
      <c r="AB95" s="20">
        <f>AC95*AC95</f>
        <v>26269.926400000004</v>
      </c>
      <c r="AC95" s="27">
        <f>Stdev!E51</f>
        <v>162.08000000000001</v>
      </c>
      <c r="AD95" s="27">
        <f t="shared" si="22"/>
        <v>11200.8</v>
      </c>
      <c r="AE95" s="20">
        <v>0</v>
      </c>
      <c r="AF95" s="20">
        <f t="shared" si="23"/>
        <v>0</v>
      </c>
      <c r="AG95" s="6">
        <f>Stdev!D409</f>
        <v>10626</v>
      </c>
      <c r="AH95" s="20">
        <f t="shared" si="24"/>
        <v>9.2710591070108883</v>
      </c>
      <c r="AI95" s="20">
        <f t="shared" si="25"/>
        <v>0.87666651821283281</v>
      </c>
      <c r="AN95">
        <v>2011</v>
      </c>
      <c r="AO95" s="27">
        <f>Stdev!D51</f>
        <v>2538.1</v>
      </c>
    </row>
    <row r="96" spans="1:74" x14ac:dyDescent="0.15">
      <c r="A96" t="e">
        <f t="shared" si="11"/>
        <v>#REF!</v>
      </c>
      <c r="C96" s="21">
        <v>2012</v>
      </c>
      <c r="D96" s="3">
        <f>SUMPRODUCT($D$42:$R$42,pm.rep!B111:P111)</f>
        <v>11912.163475851332</v>
      </c>
      <c r="E96" s="3">
        <f>pm.rep!B112</f>
        <v>63521.7</v>
      </c>
      <c r="F96" s="27">
        <v>2903.64</v>
      </c>
      <c r="G96" s="69" t="e">
        <f>SUMPRODUCT(G274:S274,pm.rep!D111:P111)</f>
        <v>#REF!</v>
      </c>
      <c r="H96" s="69" t="e">
        <f>SUMPRODUCT($D$43:$R$43,E274:S274,pm.rep!B111:P111)</f>
        <v>#REF!</v>
      </c>
      <c r="I96" s="3" t="e">
        <f t="shared" si="26"/>
        <v>#REF!</v>
      </c>
      <c r="J96" s="12">
        <f t="shared" si="20"/>
        <v>1948.1</v>
      </c>
      <c r="L96" s="7">
        <f>-LN(pm.rep!B57)-0.9</f>
        <v>3.6057793660781989E-5</v>
      </c>
      <c r="M96" s="7">
        <f>-LN(pm.rep!C57)-0.45</f>
        <v>3.0568406836972151E-3</v>
      </c>
      <c r="N96" s="7">
        <f>-LN(pm.rep!D57)-0.3</f>
        <v>2.3209773177639725E-2</v>
      </c>
      <c r="O96" s="7">
        <f>-LN(pm.rep!E57)-0.3</f>
        <v>0.1068951301024002</v>
      </c>
      <c r="P96" s="7">
        <f>-LN(pm.rep!F57)-0.3</f>
        <v>0.1221159674471749</v>
      </c>
      <c r="Q96" s="7">
        <f>-LN(pm.rep!G57)-0.3</f>
        <v>0.38594319171144281</v>
      </c>
      <c r="R96" s="7">
        <f>-LN(pm.rep!H57)-0.3</f>
        <v>0.39073010404434033</v>
      </c>
      <c r="S96" s="7">
        <f>-LN(pm.rep!I57)-0.3</f>
        <v>0.38681924424718656</v>
      </c>
      <c r="T96" s="7">
        <f>-LN(pm.rep!J57)-0.3</f>
        <v>0.36559232662981728</v>
      </c>
      <c r="U96" s="7">
        <f>-LN(pm.rep!K57)-0.3</f>
        <v>0.35555856778897282</v>
      </c>
      <c r="V96" s="7">
        <f>-LN(pm.rep!L57)-0.3</f>
        <v>0.35555856778897282</v>
      </c>
      <c r="W96" s="7">
        <f>-LN(pm.rep!M57)-0.3</f>
        <v>0.35555856778897282</v>
      </c>
      <c r="X96" s="7">
        <f>-LN(pm.rep!N57)-0.3</f>
        <v>0.35555856778897282</v>
      </c>
      <c r="Y96" s="7">
        <f>-LN(pm.rep!O57)-0.3</f>
        <v>0.35555856778897282</v>
      </c>
      <c r="Z96" s="7">
        <f>-LN(pm.rep!P57)-0.3</f>
        <v>0.35555856778897282</v>
      </c>
      <c r="AA96" s="27">
        <f>AO96</f>
        <v>3053</v>
      </c>
      <c r="AB96" s="20">
        <f>AC96*AC96</f>
        <v>55384.9156</v>
      </c>
      <c r="AC96" s="27">
        <f>Stdev!E52</f>
        <v>235.34</v>
      </c>
      <c r="AD96" s="27">
        <f>E96*EXP(-AE96)</f>
        <v>63521.7</v>
      </c>
      <c r="AE96" s="20">
        <v>0</v>
      </c>
      <c r="AF96" s="20">
        <f t="shared" si="23"/>
        <v>0</v>
      </c>
      <c r="AG96" s="6">
        <f>Stdev!D410</f>
        <v>36897</v>
      </c>
      <c r="AH96" s="20">
        <f t="shared" si="24"/>
        <v>10.51588552591052</v>
      </c>
      <c r="AI96" s="20">
        <f t="shared" si="25"/>
        <v>2.121492937112464</v>
      </c>
      <c r="AN96">
        <v>2012</v>
      </c>
      <c r="AO96" s="27">
        <f>Stdev!D52</f>
        <v>3053</v>
      </c>
    </row>
    <row r="97" spans="1:53" x14ac:dyDescent="0.15">
      <c r="A97" t="e">
        <f t="shared" si="11"/>
        <v>#REF!</v>
      </c>
      <c r="C97" s="21">
        <v>2013</v>
      </c>
      <c r="D97" s="3">
        <f>SUMPRODUCT($D$42:$R$42,pm.rep!B112:P112)</f>
        <v>15541.300485649223</v>
      </c>
      <c r="E97" s="3">
        <f>pm.rep!B113</f>
        <v>31883.200000000001</v>
      </c>
      <c r="F97" s="27">
        <v>3242.13</v>
      </c>
      <c r="G97" s="69" t="e">
        <f>SUMPRODUCT(G275:S275,pm.rep!D112:P112)</f>
        <v>#REF!</v>
      </c>
      <c r="H97" s="69" t="e">
        <f>SUMPRODUCT($D$43:$R$43,E275:S275,pm.rep!B112:P112)</f>
        <v>#REF!</v>
      </c>
      <c r="I97" s="3" t="e">
        <f t="shared" si="26"/>
        <v>#REF!</v>
      </c>
      <c r="J97" s="12">
        <f t="shared" si="20"/>
        <v>1948.1</v>
      </c>
      <c r="L97" s="7">
        <f>-LN(pm.rep!B58)-0.9</f>
        <v>3.359810488523518E-5</v>
      </c>
      <c r="M97" s="7">
        <f>-LN(pm.rep!C58)-0.45</f>
        <v>2.0316962561113816E-3</v>
      </c>
      <c r="N97" s="7">
        <f>-LN(pm.rep!D58)-0.3</f>
        <v>2.2932119145210428E-2</v>
      </c>
      <c r="O97" s="7">
        <f>-LN(pm.rep!E58)-0.3</f>
        <v>0.10121963290501212</v>
      </c>
      <c r="P97" s="7">
        <f>-LN(pm.rep!F58)-0.3</f>
        <v>0.17030767546310255</v>
      </c>
      <c r="Q97" s="7">
        <f>-LN(pm.rep!G58)-0.3</f>
        <v>0.18948496416184024</v>
      </c>
      <c r="R97" s="7">
        <f>-LN(pm.rep!H58)-0.3</f>
        <v>0.28647093085990244</v>
      </c>
      <c r="S97" s="7">
        <f>-LN(pm.rep!I58)-0.3</f>
        <v>0.36524995214270944</v>
      </c>
      <c r="T97" s="7">
        <f>-LN(pm.rep!J58)-0.3</f>
        <v>0.36158843778577637</v>
      </c>
      <c r="U97" s="7">
        <f>-LN(pm.rep!K58)-0.3</f>
        <v>0.36048252686060495</v>
      </c>
      <c r="V97" s="7">
        <f>-LN(pm.rep!L58)-0.3</f>
        <v>0.36048252686060495</v>
      </c>
      <c r="W97" s="7">
        <f>-LN(pm.rep!M58)-0.3</f>
        <v>0.36048252686060495</v>
      </c>
      <c r="X97" s="7">
        <f>-LN(pm.rep!N58)-0.3</f>
        <v>0.36048252686060495</v>
      </c>
      <c r="Y97" s="7">
        <f>-LN(pm.rep!O58)-0.3</f>
        <v>0.36048252686060495</v>
      </c>
      <c r="Z97" s="7">
        <f>-LN(pm.rep!P58)-0.3</f>
        <v>0.36048252686060495</v>
      </c>
      <c r="AA97" s="27">
        <f>AO97</f>
        <v>3490.3</v>
      </c>
      <c r="AB97" s="20">
        <f>AC97*AC97</f>
        <v>98608.560399999988</v>
      </c>
      <c r="AC97" s="27">
        <f>Stdev!E53</f>
        <v>314.02</v>
      </c>
      <c r="AD97" s="27">
        <f>E97*EXP(-AE97)</f>
        <v>31883.200000000001</v>
      </c>
      <c r="AE97" s="20">
        <v>0</v>
      </c>
      <c r="AF97" s="20">
        <f t="shared" si="23"/>
        <v>0</v>
      </c>
      <c r="AG97" s="6"/>
      <c r="AH97" s="20"/>
      <c r="AI97" s="20"/>
      <c r="AN97">
        <v>2013</v>
      </c>
      <c r="AO97" s="27">
        <f>Stdev!D53</f>
        <v>3490.3</v>
      </c>
    </row>
    <row r="98" spans="1:53" x14ac:dyDescent="0.15">
      <c r="A98" t="e">
        <f t="shared" si="11"/>
        <v>#REF!</v>
      </c>
      <c r="C98" s="21">
        <v>2014</v>
      </c>
      <c r="D98" s="3">
        <f>SUMPRODUCT($D$42:$R$42,pm.rep!B113:P113)</f>
        <v>15920.452451125713</v>
      </c>
      <c r="E98" s="3">
        <f>pm.rep!B114</f>
        <v>18179.5</v>
      </c>
      <c r="F98" s="27">
        <v>3144.28</v>
      </c>
      <c r="G98" s="69" t="e">
        <f>SUMPRODUCT(G276:S276,pm.rep!D113:P113)</f>
        <v>#REF!</v>
      </c>
      <c r="H98" s="69" t="e">
        <f>SUMPRODUCT($D$43:$R$43,E276:S276,pm.rep!B113:P113)</f>
        <v>#REF!</v>
      </c>
      <c r="I98" s="3" t="e">
        <f t="shared" si="26"/>
        <v>#REF!</v>
      </c>
      <c r="J98" s="12">
        <f>J97</f>
        <v>1948.1</v>
      </c>
      <c r="L98" s="7">
        <f>-LN(pm.rep!B59)-0.9</f>
        <v>2.8678745484178592E-5</v>
      </c>
      <c r="M98" s="7">
        <f>-LN(pm.rep!C59)-0.45</f>
        <v>1.8824147320939399E-3</v>
      </c>
      <c r="N98" s="7">
        <f>-LN(pm.rep!D59)-0.3</f>
        <v>1.8698135982970376E-2</v>
      </c>
      <c r="O98" s="7">
        <f>-LN(pm.rep!E59)-0.3</f>
        <v>8.5856617302312477E-2</v>
      </c>
      <c r="P98" s="7">
        <f>-LN(pm.rep!F59)-0.3</f>
        <v>0.17966777705317816</v>
      </c>
      <c r="Q98" s="7">
        <f>-LN(pm.rep!G59)-0.3</f>
        <v>0.22127334496389678</v>
      </c>
      <c r="R98" s="7">
        <f>-LN(pm.rep!H59)-0.3</f>
        <v>0.3131924767586361</v>
      </c>
      <c r="S98" s="7">
        <f>-LN(pm.rep!I59)-0.3</f>
        <v>0.28719563959199118</v>
      </c>
      <c r="T98" s="7">
        <f>-LN(pm.rep!J59)-0.3</f>
        <v>0.28798208399518616</v>
      </c>
      <c r="U98" s="7">
        <f>-LN(pm.rep!K59)-0.3</f>
        <v>0.31765759184951198</v>
      </c>
      <c r="V98" s="7">
        <f>-LN(pm.rep!L59)-0.3</f>
        <v>0.31765759184951198</v>
      </c>
      <c r="W98" s="7">
        <f>-LN(pm.rep!M59)-0.3</f>
        <v>0.31765759184951198</v>
      </c>
      <c r="X98" s="7">
        <f>-LN(pm.rep!N59)-0.3</f>
        <v>0.31765759184951198</v>
      </c>
      <c r="Y98" s="7">
        <f>-LN(pm.rep!O59)-0.3</f>
        <v>0.31765759184951198</v>
      </c>
      <c r="Z98" s="7">
        <f>-LN(pm.rep!P59)-0.3</f>
        <v>0.31765759184951198</v>
      </c>
      <c r="AA98" s="27">
        <f>AO98</f>
        <v>3467.5</v>
      </c>
      <c r="AB98" s="20">
        <f>AC98*AC98</f>
        <v>130732.8649</v>
      </c>
      <c r="AC98" s="27">
        <f>Stdev!E54</f>
        <v>361.57</v>
      </c>
      <c r="AD98" s="27">
        <f>E98*EXP(-AE98)</f>
        <v>0</v>
      </c>
      <c r="AE98" s="20">
        <f t="array" ref="AE98">TRANSPOSE(pm.rep!B863:AY863)</f>
        <v>2436.06</v>
      </c>
      <c r="AF98" s="20">
        <f>AE98^2</f>
        <v>5934388.3235999998</v>
      </c>
      <c r="AH98" s="41">
        <f>AVERAGE(AH48:AH96)</f>
        <v>9.8995786372932635</v>
      </c>
      <c r="AN98">
        <v>2014</v>
      </c>
      <c r="AO98" s="27">
        <f>Stdev!D54</f>
        <v>3467.5</v>
      </c>
    </row>
    <row r="99" spans="1:53" x14ac:dyDescent="0.15">
      <c r="C99" s="21"/>
      <c r="D99" s="3"/>
      <c r="E99" s="3"/>
      <c r="F99" s="27">
        <v>3452.93</v>
      </c>
      <c r="G99" s="69"/>
      <c r="H99" s="69"/>
      <c r="I99" s="3"/>
      <c r="J99" s="1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27"/>
      <c r="AB99" s="20"/>
      <c r="AC99" s="27"/>
      <c r="AD99" s="27"/>
      <c r="AE99" s="20"/>
      <c r="AF99" s="20"/>
      <c r="AH99" s="41"/>
      <c r="AN99">
        <v>2015</v>
      </c>
      <c r="AO99" s="27">
        <f>Stdev!D56</f>
        <v>3483.4</v>
      </c>
    </row>
    <row r="100" spans="1:53" x14ac:dyDescent="0.15">
      <c r="C100" s="21"/>
      <c r="D100" s="3"/>
      <c r="E100" s="3"/>
      <c r="F100" s="27"/>
      <c r="G100" s="69"/>
      <c r="H100" s="69"/>
      <c r="I100" s="3"/>
      <c r="J100" s="1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27"/>
      <c r="AB100" s="20"/>
      <c r="AC100" s="27"/>
      <c r="AD100" s="27"/>
      <c r="AE100" s="20"/>
      <c r="AF100" s="20"/>
      <c r="AH100" s="41"/>
      <c r="AO100" s="27"/>
    </row>
    <row r="101" spans="1:53" x14ac:dyDescent="0.15">
      <c r="C101" s="87" t="e">
        <f>SQRT(SUMXMY2(LN(E62:E98),LN(I62:I98))/COUNT(E62:E98))</f>
        <v>#REF!</v>
      </c>
      <c r="E101" s="3"/>
      <c r="J101" s="12"/>
      <c r="L101">
        <v>1</v>
      </c>
      <c r="M101">
        <v>2</v>
      </c>
      <c r="N101">
        <v>3</v>
      </c>
      <c r="O101">
        <v>4</v>
      </c>
      <c r="P101">
        <v>5</v>
      </c>
      <c r="Q101">
        <v>6</v>
      </c>
      <c r="R101">
        <v>7</v>
      </c>
      <c r="S101">
        <v>8</v>
      </c>
      <c r="T101">
        <v>9</v>
      </c>
      <c r="U101">
        <v>10</v>
      </c>
      <c r="V101">
        <v>11</v>
      </c>
      <c r="W101">
        <v>12</v>
      </c>
      <c r="X101">
        <v>13</v>
      </c>
      <c r="Y101">
        <v>14</v>
      </c>
      <c r="Z101">
        <v>15</v>
      </c>
      <c r="AN101">
        <v>2016</v>
      </c>
      <c r="AO101" s="27">
        <f>Stdev!D57</f>
        <v>3695.8</v>
      </c>
    </row>
    <row r="102" spans="1:53" x14ac:dyDescent="0.15">
      <c r="C102" s="21"/>
      <c r="E102" s="3"/>
      <c r="J102" s="12"/>
      <c r="L102" s="7">
        <f t="shared" ref="L102:Z102" si="27">AVERAGE(L86:L90)</f>
        <v>3.7533616606211241E-5</v>
      </c>
      <c r="M102" s="7">
        <f t="shared" si="27"/>
        <v>2.5324169931322136E-3</v>
      </c>
      <c r="N102" s="7">
        <f t="shared" si="27"/>
        <v>3.1147310855969456E-2</v>
      </c>
      <c r="O102" s="7">
        <f t="shared" si="27"/>
        <v>0.11190357557686077</v>
      </c>
      <c r="P102" s="7">
        <f t="shared" si="27"/>
        <v>0.2286769407779245</v>
      </c>
      <c r="Q102" s="7">
        <f t="shared" si="27"/>
        <v>0.32670324320573596</v>
      </c>
      <c r="R102" s="7">
        <f t="shared" si="27"/>
        <v>0.34195298882306979</v>
      </c>
      <c r="S102" s="7">
        <f t="shared" si="27"/>
        <v>0.32912223463391876</v>
      </c>
      <c r="T102" s="7">
        <f t="shared" si="27"/>
        <v>0.2953568007651699</v>
      </c>
      <c r="U102" s="7">
        <f t="shared" si="27"/>
        <v>0.25166050534414558</v>
      </c>
      <c r="V102" s="7">
        <f t="shared" si="27"/>
        <v>0.25166050534414558</v>
      </c>
      <c r="W102" s="7">
        <f t="shared" si="27"/>
        <v>0.25166050534414558</v>
      </c>
      <c r="X102" s="7">
        <f t="shared" si="27"/>
        <v>0.25166050534414558</v>
      </c>
      <c r="Y102" s="7">
        <f t="shared" si="27"/>
        <v>0.25166050534414558</v>
      </c>
      <c r="Z102" s="7">
        <f t="shared" si="27"/>
        <v>0.25166050534414558</v>
      </c>
      <c r="AN102">
        <v>2017</v>
      </c>
      <c r="AO102" s="27">
        <f>Stdev!D58</f>
        <v>4058.5</v>
      </c>
    </row>
    <row r="103" spans="1:53" x14ac:dyDescent="0.15">
      <c r="C103" s="21"/>
      <c r="E103" s="3"/>
      <c r="J103" s="12"/>
      <c r="L103" s="7"/>
      <c r="AN103">
        <v>2018</v>
      </c>
      <c r="AO103" s="27">
        <f>Stdev!D59</f>
        <v>4302.5</v>
      </c>
    </row>
    <row r="104" spans="1:53" ht="14" x14ac:dyDescent="0.15">
      <c r="C104" s="21"/>
      <c r="E104" s="144">
        <v>2427.34</v>
      </c>
      <c r="J104" s="12"/>
      <c r="O104" s="7"/>
      <c r="P104" t="s">
        <v>250</v>
      </c>
    </row>
    <row r="105" spans="1:53" ht="14" x14ac:dyDescent="0.15">
      <c r="C105" s="21">
        <v>2000</v>
      </c>
      <c r="D105" t="e">
        <v>#REF!</v>
      </c>
      <c r="E105" s="237">
        <v>2813</v>
      </c>
      <c r="F105">
        <v>0</v>
      </c>
      <c r="O105" t="s">
        <v>413</v>
      </c>
      <c r="P105" s="7">
        <f>AVERAGE(P85:Y89)</f>
        <v>0.26831243009121158</v>
      </c>
    </row>
    <row r="106" spans="1:53" x14ac:dyDescent="0.15">
      <c r="B106">
        <v>1</v>
      </c>
      <c r="C106" s="21">
        <v>2012</v>
      </c>
      <c r="D106" t="e">
        <f>D105</f>
        <v>#REF!</v>
      </c>
      <c r="E106">
        <f>E105</f>
        <v>2813</v>
      </c>
      <c r="F106" s="3">
        <f>K62</f>
        <v>61942.6</v>
      </c>
      <c r="O106" t="s">
        <v>412</v>
      </c>
      <c r="P106" s="7">
        <f>AVERAGE(Q85:T89)</f>
        <v>0.31064670886025048</v>
      </c>
      <c r="Q106" s="7">
        <f>AVERAGE(P102:V102)</f>
        <v>0.28930474555630148</v>
      </c>
    </row>
    <row r="107" spans="1:53" ht="27" thickBot="1" x14ac:dyDescent="0.2">
      <c r="C107" s="9" t="s">
        <v>144</v>
      </c>
      <c r="E107" s="14">
        <v>1</v>
      </c>
      <c r="F107" s="14">
        <v>2</v>
      </c>
      <c r="G107" s="14">
        <v>3</v>
      </c>
      <c r="H107" s="14">
        <v>4</v>
      </c>
      <c r="I107" s="14">
        <v>5</v>
      </c>
      <c r="J107" s="14">
        <v>6</v>
      </c>
      <c r="K107" s="14">
        <v>7</v>
      </c>
      <c r="L107" s="14">
        <v>8</v>
      </c>
      <c r="M107" s="14">
        <v>9</v>
      </c>
      <c r="N107" s="14">
        <v>10</v>
      </c>
      <c r="O107" s="14">
        <v>11</v>
      </c>
      <c r="P107" s="14">
        <v>12</v>
      </c>
      <c r="Q107" s="14">
        <v>13</v>
      </c>
      <c r="R107" s="14">
        <v>14</v>
      </c>
      <c r="S107" s="14">
        <v>15</v>
      </c>
      <c r="U107" s="7"/>
      <c r="V107" s="14">
        <v>1</v>
      </c>
      <c r="W107" s="14">
        <v>2</v>
      </c>
      <c r="X107" s="14">
        <v>3</v>
      </c>
      <c r="Y107" s="14">
        <v>4</v>
      </c>
      <c r="Z107" s="14">
        <v>5</v>
      </c>
      <c r="AA107" s="14">
        <v>6</v>
      </c>
      <c r="AB107" s="14">
        <v>7</v>
      </c>
      <c r="AC107" s="14">
        <v>8</v>
      </c>
      <c r="AD107" s="14">
        <v>9</v>
      </c>
      <c r="AE107" s="14">
        <v>10</v>
      </c>
      <c r="AF107" s="14">
        <v>11</v>
      </c>
      <c r="AG107" s="14">
        <v>12</v>
      </c>
      <c r="AH107" s="14">
        <v>13</v>
      </c>
      <c r="AI107" s="14">
        <v>14</v>
      </c>
      <c r="AJ107" s="14">
        <v>15</v>
      </c>
      <c r="AL107" t="s">
        <v>145</v>
      </c>
      <c r="AM107">
        <v>1</v>
      </c>
      <c r="AN107">
        <v>2</v>
      </c>
      <c r="AO107">
        <v>3</v>
      </c>
      <c r="AP107">
        <v>4</v>
      </c>
      <c r="AQ107">
        <v>5</v>
      </c>
      <c r="AR107">
        <v>6</v>
      </c>
      <c r="AS107">
        <v>7</v>
      </c>
      <c r="AT107">
        <v>8</v>
      </c>
      <c r="AU107">
        <v>9</v>
      </c>
      <c r="AV107">
        <v>10</v>
      </c>
      <c r="AW107">
        <v>11</v>
      </c>
      <c r="AX107">
        <v>12</v>
      </c>
      <c r="AY107">
        <v>13</v>
      </c>
      <c r="AZ107">
        <v>14</v>
      </c>
      <c r="BA107">
        <v>15</v>
      </c>
    </row>
    <row r="108" spans="1:53" x14ac:dyDescent="0.15">
      <c r="A108">
        <f>SUMPRODUCT($E$143:$I$143,$E$107:$I$107)/SUM(E108:I108)</f>
        <v>1.8109098613415957</v>
      </c>
      <c r="B108">
        <f t="shared" ref="B108:B142" si="28">SUMPRODUCT($E$143:$L$143,$E$107:$L$107)/SUM(E108:L108)</f>
        <v>4.8855957809386377</v>
      </c>
      <c r="C108">
        <f>MAX(pm.rep!B117:P117)</f>
        <v>1.3417300000000001</v>
      </c>
      <c r="D108" s="21">
        <v>1964</v>
      </c>
      <c r="E108">
        <f>pm.rep!B117</f>
        <v>1.7158199999999998E-2</v>
      </c>
      <c r="F108">
        <f>pm.rep!C117</f>
        <v>0.11058800000000001</v>
      </c>
      <c r="G108">
        <f>pm.rep!D117</f>
        <v>0.37226399999999998</v>
      </c>
      <c r="H108">
        <f>pm.rep!E117</f>
        <v>1.32779</v>
      </c>
      <c r="I108">
        <f>pm.rep!F117</f>
        <v>1.3417300000000001</v>
      </c>
      <c r="J108">
        <f>pm.rep!G117</f>
        <v>1.33081</v>
      </c>
      <c r="K108">
        <f>pm.rep!H117</f>
        <v>1.28209</v>
      </c>
      <c r="L108">
        <f>pm.rep!I117</f>
        <v>1.22437</v>
      </c>
      <c r="M108">
        <f>pm.rep!J117</f>
        <v>1.17458</v>
      </c>
      <c r="N108">
        <f>pm.rep!K117</f>
        <v>1.1364399999999999</v>
      </c>
      <c r="O108">
        <f>pm.rep!L117</f>
        <v>1.1364399999999999</v>
      </c>
      <c r="P108">
        <f>pm.rep!M117</f>
        <v>1.1364399999999999</v>
      </c>
      <c r="Q108">
        <f>pm.rep!N117</f>
        <v>1.1364399999999999</v>
      </c>
      <c r="R108">
        <f>pm.rep!O117</f>
        <v>1.1364399999999999</v>
      </c>
      <c r="S108">
        <f>pm.rep!P117</f>
        <v>1.1364399999999999</v>
      </c>
      <c r="U108">
        <v>1964</v>
      </c>
      <c r="V108">
        <f>pm.rep!B171</f>
        <v>1</v>
      </c>
      <c r="W108">
        <f>pm.rep!C171</f>
        <v>1</v>
      </c>
      <c r="X108">
        <f>pm.rep!D171</f>
        <v>1</v>
      </c>
      <c r="Y108">
        <f>pm.rep!E171</f>
        <v>1</v>
      </c>
      <c r="Z108">
        <f>pm.rep!F171</f>
        <v>1</v>
      </c>
      <c r="AA108">
        <f>pm.rep!G171</f>
        <v>1</v>
      </c>
      <c r="AB108">
        <f>pm.rep!H171</f>
        <v>1</v>
      </c>
      <c r="AC108">
        <f>pm.rep!I171</f>
        <v>1</v>
      </c>
      <c r="AD108">
        <f>pm.rep!J171</f>
        <v>1</v>
      </c>
      <c r="AE108">
        <f>pm.rep!K171</f>
        <v>1</v>
      </c>
      <c r="AF108">
        <f>pm.rep!L171</f>
        <v>1</v>
      </c>
      <c r="AG108">
        <f>pm.rep!M171</f>
        <v>1</v>
      </c>
      <c r="AH108">
        <f>pm.rep!N171</f>
        <v>1</v>
      </c>
      <c r="AI108">
        <f>pm.rep!O171</f>
        <v>1</v>
      </c>
      <c r="AJ108">
        <f>pm.rep!P171</f>
        <v>1</v>
      </c>
      <c r="AL108">
        <v>1964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</row>
    <row r="109" spans="1:53" x14ac:dyDescent="0.15">
      <c r="A109">
        <f t="shared" ref="A109:A159" si="29">SUMPRODUCT($E$143:$I$143,$E$107:$I$107)/SUM(E109:I109)</f>
        <v>1.7160880605133904</v>
      </c>
      <c r="B109">
        <f t="shared" si="28"/>
        <v>4.8319707547456643</v>
      </c>
      <c r="C109">
        <f>MAX(pm.rep!B118:P118)</f>
        <v>1.4096900000000001</v>
      </c>
      <c r="D109" s="21">
        <v>1965</v>
      </c>
      <c r="E109">
        <f>pm.rep!B118</f>
        <v>1.7189400000000001E-2</v>
      </c>
      <c r="F109">
        <f>pm.rep!C118</f>
        <v>0.115732</v>
      </c>
      <c r="G109">
        <f>pm.rep!D118</f>
        <v>0.44024999999999997</v>
      </c>
      <c r="H109">
        <f>pm.rep!E118</f>
        <v>1.4096900000000001</v>
      </c>
      <c r="I109">
        <f>pm.rep!F118</f>
        <v>1.3617999999999999</v>
      </c>
      <c r="J109">
        <f>pm.rep!G118</f>
        <v>1.2987200000000001</v>
      </c>
      <c r="K109">
        <f>pm.rep!H118</f>
        <v>1.2435700000000001</v>
      </c>
      <c r="L109">
        <f>pm.rep!I118</f>
        <v>1.1976100000000001</v>
      </c>
      <c r="M109">
        <f>pm.rep!J118</f>
        <v>1.15815</v>
      </c>
      <c r="N109">
        <f>pm.rep!K118</f>
        <v>1.12622</v>
      </c>
      <c r="O109">
        <f>pm.rep!L118</f>
        <v>1.12622</v>
      </c>
      <c r="P109">
        <f>pm.rep!M118</f>
        <v>1.12622</v>
      </c>
      <c r="Q109">
        <f>pm.rep!N118</f>
        <v>1.12622</v>
      </c>
      <c r="R109">
        <f>pm.rep!O118</f>
        <v>1.12622</v>
      </c>
      <c r="S109">
        <f>pm.rep!P118</f>
        <v>1.12622</v>
      </c>
      <c r="U109">
        <v>1965</v>
      </c>
      <c r="V109">
        <f>pm.rep!B172</f>
        <v>1</v>
      </c>
      <c r="W109">
        <f>pm.rep!C172</f>
        <v>1</v>
      </c>
      <c r="X109">
        <f>pm.rep!D172</f>
        <v>1</v>
      </c>
      <c r="Y109">
        <f>pm.rep!E172</f>
        <v>1</v>
      </c>
      <c r="Z109">
        <f>pm.rep!F172</f>
        <v>1</v>
      </c>
      <c r="AA109">
        <f>pm.rep!G172</f>
        <v>1</v>
      </c>
      <c r="AB109">
        <f>pm.rep!H172</f>
        <v>1</v>
      </c>
      <c r="AC109">
        <f>pm.rep!I172</f>
        <v>1</v>
      </c>
      <c r="AD109">
        <f>pm.rep!J172</f>
        <v>1</v>
      </c>
      <c r="AE109">
        <f>pm.rep!K172</f>
        <v>1</v>
      </c>
      <c r="AF109">
        <f>pm.rep!L172</f>
        <v>1</v>
      </c>
      <c r="AG109">
        <f>pm.rep!M172</f>
        <v>1</v>
      </c>
      <c r="AH109">
        <f>pm.rep!N172</f>
        <v>1</v>
      </c>
      <c r="AI109">
        <f>pm.rep!O172</f>
        <v>1</v>
      </c>
      <c r="AJ109">
        <f>pm.rep!P172</f>
        <v>1</v>
      </c>
      <c r="AL109">
        <v>1965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</row>
    <row r="110" spans="1:53" x14ac:dyDescent="0.15">
      <c r="A110">
        <f t="shared" si="29"/>
        <v>1.7052659944813959</v>
      </c>
      <c r="B110">
        <f t="shared" si="28"/>
        <v>4.8553573441364462</v>
      </c>
      <c r="C110">
        <f>MAX(pm.rep!B119:P119)</f>
        <v>1.3719600000000001</v>
      </c>
      <c r="D110" s="21">
        <v>1966</v>
      </c>
      <c r="E110">
        <f>pm.rep!B119</f>
        <v>1.8529500000000001E-2</v>
      </c>
      <c r="F110">
        <f>pm.rep!C119</f>
        <v>0.13079099999999999</v>
      </c>
      <c r="G110">
        <f>pm.rep!D119</f>
        <v>0.50822699999999998</v>
      </c>
      <c r="H110">
        <f>pm.rep!E119</f>
        <v>1.3719600000000001</v>
      </c>
      <c r="I110">
        <f>pm.rep!F119</f>
        <v>1.3363799999999999</v>
      </c>
      <c r="J110">
        <f>pm.rep!G119</f>
        <v>1.2717700000000001</v>
      </c>
      <c r="K110">
        <f>pm.rep!H119</f>
        <v>1.2265299999999999</v>
      </c>
      <c r="L110">
        <f>pm.rep!I119</f>
        <v>1.18625</v>
      </c>
      <c r="M110">
        <f>pm.rep!J119</f>
        <v>1.1556599999999999</v>
      </c>
      <c r="N110">
        <f>pm.rep!K119</f>
        <v>1.13232</v>
      </c>
      <c r="O110">
        <f>pm.rep!L119</f>
        <v>1.13232</v>
      </c>
      <c r="P110">
        <f>pm.rep!M119</f>
        <v>1.13232</v>
      </c>
      <c r="Q110">
        <f>pm.rep!N119</f>
        <v>1.13232</v>
      </c>
      <c r="R110">
        <f>pm.rep!O119</f>
        <v>1.13232</v>
      </c>
      <c r="S110">
        <f>pm.rep!P119</f>
        <v>1.13232</v>
      </c>
      <c r="U110">
        <v>1966</v>
      </c>
      <c r="V110">
        <f>pm.rep!B173</f>
        <v>1</v>
      </c>
      <c r="W110">
        <f>pm.rep!C173</f>
        <v>1</v>
      </c>
      <c r="X110">
        <f>pm.rep!D173</f>
        <v>1</v>
      </c>
      <c r="Y110">
        <f>pm.rep!E173</f>
        <v>1</v>
      </c>
      <c r="Z110">
        <f>pm.rep!F173</f>
        <v>1</v>
      </c>
      <c r="AA110">
        <f>pm.rep!G173</f>
        <v>1</v>
      </c>
      <c r="AB110">
        <f>pm.rep!H173</f>
        <v>1</v>
      </c>
      <c r="AC110">
        <f>pm.rep!I173</f>
        <v>1</v>
      </c>
      <c r="AD110">
        <f>pm.rep!J173</f>
        <v>1</v>
      </c>
      <c r="AE110">
        <f>pm.rep!K173</f>
        <v>1</v>
      </c>
      <c r="AF110">
        <f>pm.rep!L173</f>
        <v>1</v>
      </c>
      <c r="AG110">
        <f>pm.rep!M173</f>
        <v>1</v>
      </c>
      <c r="AH110">
        <f>pm.rep!N173</f>
        <v>1</v>
      </c>
      <c r="AI110">
        <f>pm.rep!O173</f>
        <v>1</v>
      </c>
      <c r="AJ110">
        <f>pm.rep!P173</f>
        <v>1</v>
      </c>
      <c r="AL110">
        <v>1966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</row>
    <row r="111" spans="1:53" x14ac:dyDescent="0.15">
      <c r="A111">
        <f t="shared" si="29"/>
        <v>1.737768304280525</v>
      </c>
      <c r="B111">
        <f t="shared" si="28"/>
        <v>4.9642354951316277</v>
      </c>
      <c r="C111">
        <f>MAX(pm.rep!B120:P120)</f>
        <v>1.2438899999999999</v>
      </c>
      <c r="D111" s="21">
        <v>1967</v>
      </c>
      <c r="E111">
        <f>pm.rep!B120</f>
        <v>2.0158700000000002E-2</v>
      </c>
      <c r="F111">
        <f>pm.rep!C120</f>
        <v>0.148697</v>
      </c>
      <c r="G111">
        <f>pm.rep!D120</f>
        <v>0.65473800000000004</v>
      </c>
      <c r="H111">
        <f>pm.rep!E120</f>
        <v>1.2354499999999999</v>
      </c>
      <c r="I111">
        <f>pm.rep!F120</f>
        <v>1.2438899999999999</v>
      </c>
      <c r="J111">
        <f>pm.rep!G120</f>
        <v>1.2138</v>
      </c>
      <c r="K111">
        <f>pm.rep!H120</f>
        <v>1.1977100000000001</v>
      </c>
      <c r="L111">
        <f>pm.rep!I120</f>
        <v>1.18136</v>
      </c>
      <c r="M111">
        <f>pm.rep!J120</f>
        <v>1.16584</v>
      </c>
      <c r="N111">
        <f>pm.rep!K120</f>
        <v>1.15639</v>
      </c>
      <c r="O111">
        <f>pm.rep!L120</f>
        <v>1.15639</v>
      </c>
      <c r="P111">
        <f>pm.rep!M120</f>
        <v>1.15639</v>
      </c>
      <c r="Q111">
        <f>pm.rep!N120</f>
        <v>1.15639</v>
      </c>
      <c r="R111">
        <f>pm.rep!O120</f>
        <v>1.15639</v>
      </c>
      <c r="S111">
        <f>pm.rep!P120</f>
        <v>1.15639</v>
      </c>
      <c r="U111">
        <v>1967</v>
      </c>
      <c r="V111">
        <f>pm.rep!B174</f>
        <v>1</v>
      </c>
      <c r="W111">
        <f>pm.rep!C174</f>
        <v>1</v>
      </c>
      <c r="X111">
        <f>pm.rep!D174</f>
        <v>1</v>
      </c>
      <c r="Y111">
        <f>pm.rep!E174</f>
        <v>1</v>
      </c>
      <c r="Z111">
        <f>pm.rep!F174</f>
        <v>1</v>
      </c>
      <c r="AA111">
        <f>pm.rep!G174</f>
        <v>1</v>
      </c>
      <c r="AB111">
        <f>pm.rep!H174</f>
        <v>1</v>
      </c>
      <c r="AC111">
        <f>pm.rep!I174</f>
        <v>1</v>
      </c>
      <c r="AD111">
        <f>pm.rep!J174</f>
        <v>1</v>
      </c>
      <c r="AE111">
        <f>pm.rep!K174</f>
        <v>1</v>
      </c>
      <c r="AF111">
        <f>pm.rep!L174</f>
        <v>1</v>
      </c>
      <c r="AG111">
        <f>pm.rep!M174</f>
        <v>1</v>
      </c>
      <c r="AH111">
        <f>pm.rep!N174</f>
        <v>1</v>
      </c>
      <c r="AI111">
        <f>pm.rep!O174</f>
        <v>1</v>
      </c>
      <c r="AJ111">
        <f>pm.rep!P174</f>
        <v>1</v>
      </c>
      <c r="AL111">
        <v>1967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</row>
    <row r="112" spans="1:53" x14ac:dyDescent="0.15">
      <c r="A112">
        <f t="shared" si="29"/>
        <v>1.7214576477612351</v>
      </c>
      <c r="B112">
        <f t="shared" si="28"/>
        <v>4.9947473456845888</v>
      </c>
      <c r="C112">
        <f>MAX(pm.rep!B121:P121)</f>
        <v>1.2536799999999999</v>
      </c>
      <c r="D112" s="21">
        <v>1968</v>
      </c>
      <c r="E112">
        <f>pm.rep!B121</f>
        <v>2.33137E-2</v>
      </c>
      <c r="F112">
        <f>pm.rep!C121</f>
        <v>0.168268</v>
      </c>
      <c r="G112">
        <f>pm.rep!D121</f>
        <v>0.66935699999999998</v>
      </c>
      <c r="H112">
        <f>pm.rep!E121</f>
        <v>1.2536799999999999</v>
      </c>
      <c r="I112">
        <f>pm.rep!F121</f>
        <v>1.2196100000000001</v>
      </c>
      <c r="J112">
        <f>pm.rep!G121</f>
        <v>1.1838900000000001</v>
      </c>
      <c r="K112">
        <f>pm.rep!H121</f>
        <v>1.1700600000000001</v>
      </c>
      <c r="L112">
        <f>pm.rep!I121</f>
        <v>1.1655</v>
      </c>
      <c r="M112">
        <f>pm.rep!J121</f>
        <v>1.1637900000000001</v>
      </c>
      <c r="N112">
        <f>pm.rep!K121</f>
        <v>1.1637599999999999</v>
      </c>
      <c r="O112">
        <f>pm.rep!L121</f>
        <v>1.1637599999999999</v>
      </c>
      <c r="P112">
        <f>pm.rep!M121</f>
        <v>1.1637599999999999</v>
      </c>
      <c r="Q112">
        <f>pm.rep!N121</f>
        <v>1.1637599999999999</v>
      </c>
      <c r="R112">
        <f>pm.rep!O121</f>
        <v>1.1637599999999999</v>
      </c>
      <c r="S112">
        <f>pm.rep!P121</f>
        <v>1.1637599999999999</v>
      </c>
      <c r="U112">
        <v>1968</v>
      </c>
      <c r="V112">
        <f>pm.rep!B175</f>
        <v>1</v>
      </c>
      <c r="W112">
        <f>pm.rep!C175</f>
        <v>1</v>
      </c>
      <c r="X112">
        <f>pm.rep!D175</f>
        <v>1</v>
      </c>
      <c r="Y112">
        <f>pm.rep!E175</f>
        <v>1</v>
      </c>
      <c r="Z112">
        <f>pm.rep!F175</f>
        <v>1</v>
      </c>
      <c r="AA112">
        <f>pm.rep!G175</f>
        <v>1</v>
      </c>
      <c r="AB112">
        <f>pm.rep!H175</f>
        <v>1</v>
      </c>
      <c r="AC112">
        <f>pm.rep!I175</f>
        <v>1</v>
      </c>
      <c r="AD112">
        <f>pm.rep!J175</f>
        <v>1</v>
      </c>
      <c r="AE112">
        <f>pm.rep!K175</f>
        <v>1</v>
      </c>
      <c r="AF112">
        <f>pm.rep!L175</f>
        <v>1</v>
      </c>
      <c r="AG112">
        <f>pm.rep!M175</f>
        <v>1</v>
      </c>
      <c r="AH112">
        <f>pm.rep!N175</f>
        <v>1</v>
      </c>
      <c r="AI112">
        <f>pm.rep!O175</f>
        <v>1</v>
      </c>
      <c r="AJ112">
        <f>pm.rep!P175</f>
        <v>1</v>
      </c>
      <c r="AL112">
        <v>1968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</row>
    <row r="113" spans="1:55" x14ac:dyDescent="0.15">
      <c r="A113">
        <f t="shared" si="29"/>
        <v>1.7497983431444979</v>
      </c>
      <c r="B113">
        <f t="shared" si="28"/>
        <v>5.1567346403207646</v>
      </c>
      <c r="C113">
        <f>MAX(pm.rep!B122:P122)</f>
        <v>1.1983200000000001</v>
      </c>
      <c r="D113" s="21">
        <v>1969</v>
      </c>
      <c r="E113">
        <f>pm.rep!B122</f>
        <v>2.70157E-2</v>
      </c>
      <c r="F113">
        <f>pm.rep!C122</f>
        <v>0.18293899999999999</v>
      </c>
      <c r="G113">
        <f>pm.rep!D122</f>
        <v>0.79419099999999998</v>
      </c>
      <c r="H113">
        <f>pm.rep!E122</f>
        <v>1.1512</v>
      </c>
      <c r="I113">
        <f>pm.rep!F122</f>
        <v>1.1248800000000001</v>
      </c>
      <c r="J113">
        <f>pm.rep!G122</f>
        <v>1.1039300000000001</v>
      </c>
      <c r="K113">
        <f>pm.rep!H122</f>
        <v>1.10256</v>
      </c>
      <c r="L113">
        <f>pm.rep!I122</f>
        <v>1.15167</v>
      </c>
      <c r="M113">
        <f>pm.rep!J122</f>
        <v>1.1717200000000001</v>
      </c>
      <c r="N113">
        <f>pm.rep!K122</f>
        <v>1.1983200000000001</v>
      </c>
      <c r="O113">
        <f>pm.rep!L122</f>
        <v>1.1983200000000001</v>
      </c>
      <c r="P113">
        <f>pm.rep!M122</f>
        <v>1.1983200000000001</v>
      </c>
      <c r="Q113">
        <f>pm.rep!N122</f>
        <v>1.1983200000000001</v>
      </c>
      <c r="R113">
        <f>pm.rep!O122</f>
        <v>1.1983200000000001</v>
      </c>
      <c r="S113">
        <f>pm.rep!P122</f>
        <v>1.1983200000000001</v>
      </c>
      <c r="U113">
        <v>1969</v>
      </c>
      <c r="V113">
        <f>pm.rep!B176</f>
        <v>1</v>
      </c>
      <c r="W113">
        <f>pm.rep!C176</f>
        <v>1</v>
      </c>
      <c r="X113">
        <f>pm.rep!D176</f>
        <v>1</v>
      </c>
      <c r="Y113">
        <f>pm.rep!E176</f>
        <v>1</v>
      </c>
      <c r="Z113">
        <f>pm.rep!F176</f>
        <v>1</v>
      </c>
      <c r="AA113">
        <f>pm.rep!G176</f>
        <v>1</v>
      </c>
      <c r="AB113">
        <f>pm.rep!H176</f>
        <v>1</v>
      </c>
      <c r="AC113">
        <f>pm.rep!I176</f>
        <v>1</v>
      </c>
      <c r="AD113">
        <f>pm.rep!J176</f>
        <v>1</v>
      </c>
      <c r="AE113">
        <f>pm.rep!K176</f>
        <v>1</v>
      </c>
      <c r="AF113">
        <f>pm.rep!L176</f>
        <v>1</v>
      </c>
      <c r="AG113">
        <f>pm.rep!M176</f>
        <v>1</v>
      </c>
      <c r="AH113">
        <f>pm.rep!N176</f>
        <v>1</v>
      </c>
      <c r="AI113">
        <f>pm.rep!O176</f>
        <v>1</v>
      </c>
      <c r="AJ113">
        <f>pm.rep!P176</f>
        <v>1</v>
      </c>
      <c r="AL113">
        <v>1969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</row>
    <row r="114" spans="1:55" x14ac:dyDescent="0.15">
      <c r="A114">
        <f t="shared" si="29"/>
        <v>1.978233627280102</v>
      </c>
      <c r="B114">
        <f t="shared" si="28"/>
        <v>5.6227282238938345</v>
      </c>
      <c r="C114">
        <f>MAX(pm.rep!B123:P123)</f>
        <v>1.2846299999999999</v>
      </c>
      <c r="D114" s="21">
        <v>1970</v>
      </c>
      <c r="E114">
        <f>pm.rep!B123</f>
        <v>3.2412700000000003E-2</v>
      </c>
      <c r="F114">
        <f>pm.rep!C123</f>
        <v>0.20857200000000001</v>
      </c>
      <c r="G114">
        <f>pm.rep!D123</f>
        <v>0.76489700000000005</v>
      </c>
      <c r="H114">
        <f>pm.rep!E123</f>
        <v>0.90344800000000003</v>
      </c>
      <c r="I114">
        <f>pm.rep!F123</f>
        <v>0.99211400000000005</v>
      </c>
      <c r="J114">
        <f>pm.rep!G123</f>
        <v>0.99025399999999997</v>
      </c>
      <c r="K114">
        <f>pm.rep!H123</f>
        <v>1.0437399999999999</v>
      </c>
      <c r="L114">
        <f>pm.rep!I123</f>
        <v>1.1527799999999999</v>
      </c>
      <c r="M114">
        <f>pm.rep!J123</f>
        <v>1.20401</v>
      </c>
      <c r="N114">
        <f>pm.rep!K123</f>
        <v>1.2846299999999999</v>
      </c>
      <c r="O114">
        <f>pm.rep!L123</f>
        <v>1.2846299999999999</v>
      </c>
      <c r="P114">
        <f>pm.rep!M123</f>
        <v>1.2846299999999999</v>
      </c>
      <c r="Q114">
        <f>pm.rep!N123</f>
        <v>1.2846299999999999</v>
      </c>
      <c r="R114">
        <f>pm.rep!O123</f>
        <v>1.2846299999999999</v>
      </c>
      <c r="S114">
        <f>pm.rep!P123</f>
        <v>1.2846299999999999</v>
      </c>
      <c r="U114">
        <v>1970</v>
      </c>
      <c r="V114">
        <f>pm.rep!B177</f>
        <v>1</v>
      </c>
      <c r="W114">
        <f>pm.rep!C177</f>
        <v>1</v>
      </c>
      <c r="X114">
        <f>pm.rep!D177</f>
        <v>1</v>
      </c>
      <c r="Y114">
        <f>pm.rep!E177</f>
        <v>1</v>
      </c>
      <c r="Z114">
        <f>pm.rep!F177</f>
        <v>1</v>
      </c>
      <c r="AA114">
        <f>pm.rep!G177</f>
        <v>1</v>
      </c>
      <c r="AB114">
        <f>pm.rep!H177</f>
        <v>1</v>
      </c>
      <c r="AC114">
        <f>pm.rep!I177</f>
        <v>1</v>
      </c>
      <c r="AD114">
        <f>pm.rep!J177</f>
        <v>1</v>
      </c>
      <c r="AE114">
        <f>pm.rep!K177</f>
        <v>1</v>
      </c>
      <c r="AF114">
        <f>pm.rep!L177</f>
        <v>1</v>
      </c>
      <c r="AG114">
        <f>pm.rep!M177</f>
        <v>1</v>
      </c>
      <c r="AH114">
        <f>pm.rep!N177</f>
        <v>1</v>
      </c>
      <c r="AI114">
        <f>pm.rep!O177</f>
        <v>1</v>
      </c>
      <c r="AJ114">
        <f>pm.rep!P177</f>
        <v>1</v>
      </c>
      <c r="AL114">
        <v>1970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</row>
    <row r="115" spans="1:55" x14ac:dyDescent="0.15">
      <c r="A115">
        <f t="shared" si="29"/>
        <v>2.0738428169498344</v>
      </c>
      <c r="B115">
        <f t="shared" si="28"/>
        <v>5.8500970692755336</v>
      </c>
      <c r="C115">
        <f>MAX(pm.rep!B124:P124)</f>
        <v>1.3222700000000001</v>
      </c>
      <c r="D115" s="21">
        <v>1971</v>
      </c>
      <c r="E115">
        <f>pm.rep!B124</f>
        <v>3.2238099999999999E-2</v>
      </c>
      <c r="F115">
        <f>pm.rep!C124</f>
        <v>0.21061299999999999</v>
      </c>
      <c r="G115">
        <f>pm.rep!D124</f>
        <v>0.69386899999999996</v>
      </c>
      <c r="H115">
        <f>pm.rep!E124</f>
        <v>0.85169300000000003</v>
      </c>
      <c r="I115">
        <f>pm.rep!F124</f>
        <v>0.979267</v>
      </c>
      <c r="J115">
        <f>pm.rep!G124</f>
        <v>0.96431999999999995</v>
      </c>
      <c r="K115">
        <f>pm.rep!H124</f>
        <v>0.97955400000000004</v>
      </c>
      <c r="L115">
        <f>pm.rep!I124</f>
        <v>1.1400399999999999</v>
      </c>
      <c r="M115">
        <f>pm.rep!J124</f>
        <v>1.21479</v>
      </c>
      <c r="N115">
        <f>pm.rep!K124</f>
        <v>1.3222700000000001</v>
      </c>
      <c r="O115">
        <f>pm.rep!L124</f>
        <v>1.3222700000000001</v>
      </c>
      <c r="P115">
        <f>pm.rep!M124</f>
        <v>1.3222700000000001</v>
      </c>
      <c r="Q115">
        <f>pm.rep!N124</f>
        <v>1.3222700000000001</v>
      </c>
      <c r="R115">
        <f>pm.rep!O124</f>
        <v>1.3222700000000001</v>
      </c>
      <c r="S115">
        <f>pm.rep!P124</f>
        <v>1.3222700000000001</v>
      </c>
      <c r="U115">
        <v>1971</v>
      </c>
      <c r="V115">
        <f>pm.rep!B178</f>
        <v>1</v>
      </c>
      <c r="W115">
        <f>pm.rep!C178</f>
        <v>1</v>
      </c>
      <c r="X115">
        <f>pm.rep!D178</f>
        <v>1</v>
      </c>
      <c r="Y115">
        <f>pm.rep!E178</f>
        <v>1</v>
      </c>
      <c r="Z115">
        <f>pm.rep!F178</f>
        <v>1</v>
      </c>
      <c r="AA115">
        <f>pm.rep!G178</f>
        <v>1</v>
      </c>
      <c r="AB115">
        <f>pm.rep!H178</f>
        <v>1</v>
      </c>
      <c r="AC115">
        <f>pm.rep!I178</f>
        <v>1</v>
      </c>
      <c r="AD115">
        <f>pm.rep!J178</f>
        <v>1</v>
      </c>
      <c r="AE115">
        <f>pm.rep!K178</f>
        <v>1</v>
      </c>
      <c r="AF115">
        <f>pm.rep!L178</f>
        <v>1</v>
      </c>
      <c r="AG115">
        <f>pm.rep!M178</f>
        <v>1</v>
      </c>
      <c r="AH115">
        <f>pm.rep!N178</f>
        <v>1</v>
      </c>
      <c r="AI115">
        <f>pm.rep!O178</f>
        <v>1</v>
      </c>
      <c r="AJ115">
        <f>pm.rep!P178</f>
        <v>1</v>
      </c>
      <c r="AL115">
        <v>1971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</row>
    <row r="116" spans="1:55" x14ac:dyDescent="0.15">
      <c r="A116">
        <f t="shared" si="29"/>
        <v>1.9297868888494698</v>
      </c>
      <c r="B116">
        <f t="shared" si="28"/>
        <v>5.664322570229297</v>
      </c>
      <c r="C116">
        <f>MAX(pm.rep!B125:P125)</f>
        <v>1.2906</v>
      </c>
      <c r="D116" s="21">
        <v>1972</v>
      </c>
      <c r="E116">
        <f>pm.rep!B125</f>
        <v>2.59116E-2</v>
      </c>
      <c r="F116">
        <f>pm.rep!C125</f>
        <v>0.25871300000000003</v>
      </c>
      <c r="G116">
        <f>pm.rep!D125</f>
        <v>0.78483099999999995</v>
      </c>
      <c r="H116">
        <f>pm.rep!E125</f>
        <v>0.93398300000000001</v>
      </c>
      <c r="I116">
        <f>pm.rep!F125</f>
        <v>0.97084499999999996</v>
      </c>
      <c r="J116">
        <f>pm.rep!G125</f>
        <v>0.96904299999999999</v>
      </c>
      <c r="K116">
        <f>pm.rep!H125</f>
        <v>0.97880400000000001</v>
      </c>
      <c r="L116">
        <f>pm.rep!I125</f>
        <v>1.12138</v>
      </c>
      <c r="M116">
        <f>pm.rep!J125</f>
        <v>1.2129099999999999</v>
      </c>
      <c r="N116">
        <f>pm.rep!K125</f>
        <v>1.2906</v>
      </c>
      <c r="O116">
        <f>pm.rep!L125</f>
        <v>1.2906</v>
      </c>
      <c r="P116">
        <f>pm.rep!M125</f>
        <v>1.2906</v>
      </c>
      <c r="Q116">
        <f>pm.rep!N125</f>
        <v>1.2906</v>
      </c>
      <c r="R116">
        <f>pm.rep!O125</f>
        <v>1.2906</v>
      </c>
      <c r="S116">
        <f>pm.rep!P125</f>
        <v>1.2906</v>
      </c>
      <c r="U116">
        <v>1972</v>
      </c>
      <c r="V116">
        <f>pm.rep!B179</f>
        <v>1</v>
      </c>
      <c r="W116">
        <f>pm.rep!C179</f>
        <v>1</v>
      </c>
      <c r="X116">
        <f>pm.rep!D179</f>
        <v>1</v>
      </c>
      <c r="Y116">
        <f>pm.rep!E179</f>
        <v>1</v>
      </c>
      <c r="Z116">
        <f>pm.rep!F179</f>
        <v>1</v>
      </c>
      <c r="AA116">
        <f>pm.rep!G179</f>
        <v>1</v>
      </c>
      <c r="AB116">
        <f>pm.rep!H179</f>
        <v>1</v>
      </c>
      <c r="AC116">
        <f>pm.rep!I179</f>
        <v>1</v>
      </c>
      <c r="AD116">
        <f>pm.rep!J179</f>
        <v>1</v>
      </c>
      <c r="AE116">
        <f>pm.rep!K179</f>
        <v>1</v>
      </c>
      <c r="AF116">
        <f>pm.rep!L179</f>
        <v>1</v>
      </c>
      <c r="AG116">
        <f>pm.rep!M179</f>
        <v>1</v>
      </c>
      <c r="AH116">
        <f>pm.rep!N179</f>
        <v>1</v>
      </c>
      <c r="AI116">
        <f>pm.rep!O179</f>
        <v>1</v>
      </c>
      <c r="AJ116">
        <f>pm.rep!P179</f>
        <v>1</v>
      </c>
      <c r="AL116">
        <v>1972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</row>
    <row r="117" spans="1:55" x14ac:dyDescent="0.15">
      <c r="A117">
        <f t="shared" si="29"/>
        <v>1.8271081637136917</v>
      </c>
      <c r="B117">
        <f t="shared" si="28"/>
        <v>5.43056645541236</v>
      </c>
      <c r="C117">
        <f>MAX(pm.rep!B126:P126)</f>
        <v>1.24813</v>
      </c>
      <c r="D117" s="21">
        <v>1973</v>
      </c>
      <c r="E117">
        <f>pm.rep!B126</f>
        <v>2.0257600000000001E-2</v>
      </c>
      <c r="F117">
        <f>pm.rep!C126</f>
        <v>0.28852499999999998</v>
      </c>
      <c r="G117">
        <f>pm.rep!D126</f>
        <v>0.83764000000000005</v>
      </c>
      <c r="H117">
        <f>pm.rep!E126</f>
        <v>0.98146800000000001</v>
      </c>
      <c r="I117">
        <f>pm.rep!F126</f>
        <v>1.0135400000000001</v>
      </c>
      <c r="J117">
        <f>pm.rep!G126</f>
        <v>1.01735</v>
      </c>
      <c r="K117">
        <f>pm.rep!H126</f>
        <v>1.0153300000000001</v>
      </c>
      <c r="L117">
        <f>pm.rep!I126</f>
        <v>1.12954</v>
      </c>
      <c r="M117">
        <f>pm.rep!J126</f>
        <v>1.20757</v>
      </c>
      <c r="N117">
        <f>pm.rep!K126</f>
        <v>1.24813</v>
      </c>
      <c r="O117">
        <f>pm.rep!L126</f>
        <v>1.24813</v>
      </c>
      <c r="P117">
        <f>pm.rep!M126</f>
        <v>1.24813</v>
      </c>
      <c r="Q117">
        <f>pm.rep!N126</f>
        <v>1.24813</v>
      </c>
      <c r="R117">
        <f>pm.rep!O126</f>
        <v>1.24813</v>
      </c>
      <c r="S117">
        <f>pm.rep!P126</f>
        <v>1.24813</v>
      </c>
      <c r="U117">
        <v>1973</v>
      </c>
      <c r="V117">
        <f>pm.rep!B180</f>
        <v>1</v>
      </c>
      <c r="W117">
        <f>pm.rep!C180</f>
        <v>1</v>
      </c>
      <c r="X117">
        <f>pm.rep!D180</f>
        <v>1</v>
      </c>
      <c r="Y117">
        <f>pm.rep!E180</f>
        <v>1</v>
      </c>
      <c r="Z117">
        <f>pm.rep!F180</f>
        <v>1</v>
      </c>
      <c r="AA117">
        <f>pm.rep!G180</f>
        <v>1</v>
      </c>
      <c r="AB117">
        <f>pm.rep!H180</f>
        <v>1</v>
      </c>
      <c r="AC117">
        <f>pm.rep!I180</f>
        <v>1</v>
      </c>
      <c r="AD117">
        <f>pm.rep!J180</f>
        <v>1</v>
      </c>
      <c r="AE117">
        <f>pm.rep!K180</f>
        <v>1</v>
      </c>
      <c r="AF117">
        <f>pm.rep!L180</f>
        <v>1</v>
      </c>
      <c r="AG117">
        <f>pm.rep!M180</f>
        <v>1</v>
      </c>
      <c r="AH117">
        <f>pm.rep!N180</f>
        <v>1</v>
      </c>
      <c r="AI117">
        <f>pm.rep!O180</f>
        <v>1</v>
      </c>
      <c r="AJ117">
        <f>pm.rep!P180</f>
        <v>1</v>
      </c>
      <c r="AL117">
        <v>1973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</row>
    <row r="118" spans="1:55" x14ac:dyDescent="0.15">
      <c r="A118">
        <f t="shared" si="29"/>
        <v>1.6831882869875439</v>
      </c>
      <c r="B118">
        <f t="shared" si="28"/>
        <v>5.2093344037871026</v>
      </c>
      <c r="C118">
        <f>MAX(pm.rep!B127:P127)</f>
        <v>1.20492</v>
      </c>
      <c r="D118" s="21">
        <v>1974</v>
      </c>
      <c r="E118">
        <f>pm.rep!B127</f>
        <v>1.6660500000000002E-2</v>
      </c>
      <c r="F118">
        <f>pm.rep!C127</f>
        <v>0.33730599999999999</v>
      </c>
      <c r="G118">
        <f>pm.rep!D127</f>
        <v>1.0072700000000001</v>
      </c>
      <c r="H118">
        <f>pm.rep!E127</f>
        <v>1.0211600000000001</v>
      </c>
      <c r="I118">
        <f>pm.rep!F127</f>
        <v>1.0276400000000001</v>
      </c>
      <c r="J118">
        <f>pm.rep!G127</f>
        <v>1.02434</v>
      </c>
      <c r="K118">
        <f>pm.rep!H127</f>
        <v>1.02366</v>
      </c>
      <c r="L118">
        <f>pm.rep!I127</f>
        <v>1.1133200000000001</v>
      </c>
      <c r="M118">
        <f>pm.rep!J127</f>
        <v>1.19913</v>
      </c>
      <c r="N118">
        <f>pm.rep!K127</f>
        <v>1.20492</v>
      </c>
      <c r="O118">
        <f>pm.rep!L127</f>
        <v>1.20492</v>
      </c>
      <c r="P118">
        <f>pm.rep!M127</f>
        <v>1.20492</v>
      </c>
      <c r="Q118">
        <f>pm.rep!N127</f>
        <v>1.20492</v>
      </c>
      <c r="R118">
        <f>pm.rep!O127</f>
        <v>1.20492</v>
      </c>
      <c r="S118">
        <f>pm.rep!P127</f>
        <v>1.20492</v>
      </c>
      <c r="U118">
        <v>1974</v>
      </c>
      <c r="V118">
        <f>pm.rep!B181</f>
        <v>1</v>
      </c>
      <c r="W118">
        <f>pm.rep!C181</f>
        <v>1</v>
      </c>
      <c r="X118">
        <f>pm.rep!D181</f>
        <v>1</v>
      </c>
      <c r="Y118">
        <f>pm.rep!E181</f>
        <v>1</v>
      </c>
      <c r="Z118">
        <f>pm.rep!F181</f>
        <v>1</v>
      </c>
      <c r="AA118">
        <f>pm.rep!G181</f>
        <v>1</v>
      </c>
      <c r="AB118">
        <f>pm.rep!H181</f>
        <v>1</v>
      </c>
      <c r="AC118">
        <f>pm.rep!I181</f>
        <v>1</v>
      </c>
      <c r="AD118">
        <f>pm.rep!J181</f>
        <v>1</v>
      </c>
      <c r="AE118">
        <f>pm.rep!K181</f>
        <v>1</v>
      </c>
      <c r="AF118">
        <f>pm.rep!L181</f>
        <v>1</v>
      </c>
      <c r="AG118">
        <f>pm.rep!M181</f>
        <v>1</v>
      </c>
      <c r="AH118">
        <f>pm.rep!N181</f>
        <v>1</v>
      </c>
      <c r="AI118">
        <f>pm.rep!O181</f>
        <v>1</v>
      </c>
      <c r="AJ118">
        <f>pm.rep!P181</f>
        <v>1</v>
      </c>
      <c r="AL118">
        <v>1974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</row>
    <row r="119" spans="1:55" x14ac:dyDescent="0.15">
      <c r="A119">
        <f t="shared" si="29"/>
        <v>1.630901290401169</v>
      </c>
      <c r="B119">
        <f t="shared" si="28"/>
        <v>5.1352239589406432</v>
      </c>
      <c r="C119">
        <f>MAX(pm.rep!B128:P128)</f>
        <v>1.1928399999999999</v>
      </c>
      <c r="D119" s="21">
        <v>1975</v>
      </c>
      <c r="E119">
        <f>pm.rep!B128</f>
        <v>1.3425899999999999E-2</v>
      </c>
      <c r="F119">
        <f>pm.rep!C128</f>
        <v>0.27543699999999999</v>
      </c>
      <c r="G119">
        <f>pm.rep!D128</f>
        <v>1.11165</v>
      </c>
      <c r="H119">
        <f>pm.rep!E128</f>
        <v>1.0726100000000001</v>
      </c>
      <c r="I119">
        <f>pm.rep!F128</f>
        <v>1.0462400000000001</v>
      </c>
      <c r="J119">
        <f>pm.rep!G128</f>
        <v>1.03386</v>
      </c>
      <c r="K119">
        <f>pm.rep!H128</f>
        <v>1.0305500000000001</v>
      </c>
      <c r="L119">
        <f>pm.rep!I128</f>
        <v>1.0824199999999999</v>
      </c>
      <c r="M119">
        <f>pm.rep!J128</f>
        <v>1.17679</v>
      </c>
      <c r="N119">
        <f>pm.rep!K128</f>
        <v>1.1928399999999999</v>
      </c>
      <c r="O119">
        <f>pm.rep!L128</f>
        <v>1.1928399999999999</v>
      </c>
      <c r="P119">
        <f>pm.rep!M128</f>
        <v>1.1928399999999999</v>
      </c>
      <c r="Q119">
        <f>pm.rep!N128</f>
        <v>1.1928399999999999</v>
      </c>
      <c r="R119">
        <f>pm.rep!O128</f>
        <v>1.1928399999999999</v>
      </c>
      <c r="S119">
        <f>pm.rep!P128</f>
        <v>1.1928399999999999</v>
      </c>
      <c r="U119">
        <v>1975</v>
      </c>
      <c r="V119">
        <f>pm.rep!B182</f>
        <v>1</v>
      </c>
      <c r="W119">
        <f>pm.rep!C182</f>
        <v>1</v>
      </c>
      <c r="X119">
        <f>pm.rep!D182</f>
        <v>1</v>
      </c>
      <c r="Y119">
        <f>pm.rep!E182</f>
        <v>1</v>
      </c>
      <c r="Z119">
        <f>pm.rep!F182</f>
        <v>1</v>
      </c>
      <c r="AA119">
        <f>pm.rep!G182</f>
        <v>1</v>
      </c>
      <c r="AB119">
        <f>pm.rep!H182</f>
        <v>1</v>
      </c>
      <c r="AC119">
        <f>pm.rep!I182</f>
        <v>1</v>
      </c>
      <c r="AD119">
        <f>pm.rep!J182</f>
        <v>1</v>
      </c>
      <c r="AE119">
        <f>pm.rep!K182</f>
        <v>1</v>
      </c>
      <c r="AF119">
        <f>pm.rep!L182</f>
        <v>1</v>
      </c>
      <c r="AG119">
        <f>pm.rep!M182</f>
        <v>1</v>
      </c>
      <c r="AH119">
        <f>pm.rep!N182</f>
        <v>1</v>
      </c>
      <c r="AI119">
        <f>pm.rep!O182</f>
        <v>1</v>
      </c>
      <c r="AJ119">
        <f>pm.rep!P182</f>
        <v>1</v>
      </c>
      <c r="AL119">
        <v>1975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</row>
    <row r="120" spans="1:55" x14ac:dyDescent="0.15">
      <c r="A120">
        <f t="shared" si="29"/>
        <v>1.6362078873557109</v>
      </c>
      <c r="B120">
        <f t="shared" si="28"/>
        <v>5.0942511184246806</v>
      </c>
      <c r="C120">
        <f>MAX(pm.rep!B129:P129)</f>
        <v>1.1851799999999999</v>
      </c>
      <c r="D120" s="21">
        <v>1976</v>
      </c>
      <c r="E120">
        <f>pm.rep!B129</f>
        <v>1.08968E-2</v>
      </c>
      <c r="F120">
        <f>pm.rep!C129</f>
        <v>0.25142199999999998</v>
      </c>
      <c r="G120">
        <f>pm.rep!D129</f>
        <v>1.00749</v>
      </c>
      <c r="H120">
        <f>pm.rep!E129</f>
        <v>1.14028</v>
      </c>
      <c r="I120">
        <f>pm.rep!F129</f>
        <v>1.0978600000000001</v>
      </c>
      <c r="J120">
        <f>pm.rep!G129</f>
        <v>1.07226</v>
      </c>
      <c r="K120">
        <f>pm.rep!H129</f>
        <v>1.06193</v>
      </c>
      <c r="L120">
        <f>pm.rep!I129</f>
        <v>1.0776699999999999</v>
      </c>
      <c r="M120">
        <f>pm.rep!J129</f>
        <v>1.1691199999999999</v>
      </c>
      <c r="N120">
        <f>pm.rep!K129</f>
        <v>1.1851799999999999</v>
      </c>
      <c r="O120">
        <f>pm.rep!L129</f>
        <v>1.1851799999999999</v>
      </c>
      <c r="P120">
        <f>pm.rep!M129</f>
        <v>1.1851799999999999</v>
      </c>
      <c r="Q120">
        <f>pm.rep!N129</f>
        <v>1.1851799999999999</v>
      </c>
      <c r="R120">
        <f>pm.rep!O129</f>
        <v>1.1851799999999999</v>
      </c>
      <c r="S120">
        <f>pm.rep!P129</f>
        <v>1.1851799999999999</v>
      </c>
      <c r="U120">
        <v>1976</v>
      </c>
      <c r="V120">
        <f>pm.rep!B183</f>
        <v>1</v>
      </c>
      <c r="W120">
        <f>pm.rep!C183</f>
        <v>1</v>
      </c>
      <c r="X120">
        <f>pm.rep!D183</f>
        <v>1</v>
      </c>
      <c r="Y120">
        <f>pm.rep!E183</f>
        <v>1</v>
      </c>
      <c r="Z120">
        <f>pm.rep!F183</f>
        <v>1</v>
      </c>
      <c r="AA120">
        <f>pm.rep!G183</f>
        <v>1</v>
      </c>
      <c r="AB120">
        <f>pm.rep!H183</f>
        <v>1</v>
      </c>
      <c r="AC120">
        <f>pm.rep!I183</f>
        <v>1</v>
      </c>
      <c r="AD120">
        <f>pm.rep!J183</f>
        <v>1</v>
      </c>
      <c r="AE120">
        <f>pm.rep!K183</f>
        <v>1</v>
      </c>
      <c r="AF120">
        <f>pm.rep!L183</f>
        <v>1</v>
      </c>
      <c r="AG120">
        <f>pm.rep!M183</f>
        <v>1</v>
      </c>
      <c r="AH120">
        <f>pm.rep!N183</f>
        <v>1</v>
      </c>
      <c r="AI120">
        <f>pm.rep!O183</f>
        <v>1</v>
      </c>
      <c r="AJ120">
        <f>pm.rep!P183</f>
        <v>1</v>
      </c>
      <c r="AL120">
        <v>1976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</row>
    <row r="121" spans="1:55" x14ac:dyDescent="0.15">
      <c r="A121">
        <f t="shared" si="29"/>
        <v>1.72696955031088</v>
      </c>
      <c r="B121">
        <f t="shared" si="28"/>
        <v>5.1808648685534022</v>
      </c>
      <c r="C121">
        <f>MAX(pm.rep!B130:P130)</f>
        <v>1.20299</v>
      </c>
      <c r="D121" s="21">
        <v>1977</v>
      </c>
      <c r="E121">
        <f>pm.rep!B130</f>
        <v>8.8949700000000003E-3</v>
      </c>
      <c r="F121">
        <f>pm.rep!C130</f>
        <v>0.25171300000000002</v>
      </c>
      <c r="G121">
        <f>pm.rep!D130</f>
        <v>0.87026899999999996</v>
      </c>
      <c r="H121">
        <f>pm.rep!E130</f>
        <v>1.0688800000000001</v>
      </c>
      <c r="I121">
        <f>pm.rep!F130</f>
        <v>1.1238300000000001</v>
      </c>
      <c r="J121">
        <f>pm.rep!G130</f>
        <v>1.1035699999999999</v>
      </c>
      <c r="K121">
        <f>pm.rep!H130</f>
        <v>1.0912900000000001</v>
      </c>
      <c r="L121">
        <f>pm.rep!I130</f>
        <v>1.0890200000000001</v>
      </c>
      <c r="M121">
        <f>pm.rep!J130</f>
        <v>1.17462</v>
      </c>
      <c r="N121">
        <f>pm.rep!K130</f>
        <v>1.20299</v>
      </c>
      <c r="O121">
        <f>pm.rep!L130</f>
        <v>1.20299</v>
      </c>
      <c r="P121">
        <f>pm.rep!M130</f>
        <v>1.20299</v>
      </c>
      <c r="Q121">
        <f>pm.rep!N130</f>
        <v>1.20299</v>
      </c>
      <c r="R121">
        <f>pm.rep!O130</f>
        <v>1.20299</v>
      </c>
      <c r="S121">
        <f>pm.rep!P130</f>
        <v>1.20299</v>
      </c>
      <c r="U121">
        <v>1977</v>
      </c>
      <c r="V121">
        <f>pm.rep!B184</f>
        <v>1</v>
      </c>
      <c r="W121">
        <f>pm.rep!C184</f>
        <v>1</v>
      </c>
      <c r="X121">
        <f>pm.rep!D184</f>
        <v>1</v>
      </c>
      <c r="Y121">
        <f>pm.rep!E184</f>
        <v>1</v>
      </c>
      <c r="Z121">
        <f>pm.rep!F184</f>
        <v>1</v>
      </c>
      <c r="AA121">
        <f>pm.rep!G184</f>
        <v>1</v>
      </c>
      <c r="AB121">
        <f>pm.rep!H184</f>
        <v>1</v>
      </c>
      <c r="AC121">
        <f>pm.rep!I184</f>
        <v>1</v>
      </c>
      <c r="AD121">
        <f>pm.rep!J184</f>
        <v>1</v>
      </c>
      <c r="AE121">
        <f>pm.rep!K184</f>
        <v>1</v>
      </c>
      <c r="AF121">
        <f>pm.rep!L184</f>
        <v>1</v>
      </c>
      <c r="AG121">
        <f>pm.rep!M184</f>
        <v>1</v>
      </c>
      <c r="AH121">
        <f>pm.rep!N184</f>
        <v>1</v>
      </c>
      <c r="AI121">
        <f>pm.rep!O184</f>
        <v>1</v>
      </c>
      <c r="AJ121">
        <f>pm.rep!P184</f>
        <v>1</v>
      </c>
      <c r="AL121">
        <v>1977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</row>
    <row r="122" spans="1:55" x14ac:dyDescent="0.15">
      <c r="A122">
        <f t="shared" si="29"/>
        <v>1.8186089560694516</v>
      </c>
      <c r="B122">
        <f t="shared" si="28"/>
        <v>5.2766597816389087</v>
      </c>
      <c r="C122">
        <f>MAX(pm.rep!B131:P131)</f>
        <v>1.2203200000000001</v>
      </c>
      <c r="D122" s="21">
        <v>1978</v>
      </c>
      <c r="E122">
        <f>pm.rep!B131</f>
        <v>6.8439699999999996E-3</v>
      </c>
      <c r="F122">
        <f>pm.rep!C131</f>
        <v>0.21193699999999999</v>
      </c>
      <c r="G122">
        <f>pm.rep!D131</f>
        <v>0.80718100000000004</v>
      </c>
      <c r="H122">
        <f>pm.rep!E131</f>
        <v>1.0038499999999999</v>
      </c>
      <c r="I122">
        <f>pm.rep!F131</f>
        <v>1.1263000000000001</v>
      </c>
      <c r="J122">
        <f>pm.rep!G131</f>
        <v>1.11155</v>
      </c>
      <c r="K122">
        <f>pm.rep!H131</f>
        <v>1.1106400000000001</v>
      </c>
      <c r="L122">
        <f>pm.rep!I131</f>
        <v>1.10921</v>
      </c>
      <c r="M122">
        <f>pm.rep!J131</f>
        <v>1.1905600000000001</v>
      </c>
      <c r="N122">
        <f>pm.rep!K131</f>
        <v>1.2203200000000001</v>
      </c>
      <c r="O122">
        <f>pm.rep!L131</f>
        <v>1.2203200000000001</v>
      </c>
      <c r="P122">
        <f>pm.rep!M131</f>
        <v>1.2203200000000001</v>
      </c>
      <c r="Q122">
        <f>pm.rep!N131</f>
        <v>1.2203200000000001</v>
      </c>
      <c r="R122">
        <f>pm.rep!O131</f>
        <v>1.2203200000000001</v>
      </c>
      <c r="S122">
        <f>pm.rep!P131</f>
        <v>1.2203200000000001</v>
      </c>
      <c r="U122">
        <v>1978</v>
      </c>
      <c r="V122">
        <f>pm.rep!B185</f>
        <v>1</v>
      </c>
      <c r="W122">
        <f>pm.rep!C185</f>
        <v>1</v>
      </c>
      <c r="X122">
        <f>pm.rep!D185</f>
        <v>1</v>
      </c>
      <c r="Y122">
        <f>pm.rep!E185</f>
        <v>1</v>
      </c>
      <c r="Z122">
        <f>pm.rep!F185</f>
        <v>1</v>
      </c>
      <c r="AA122">
        <f>pm.rep!G185</f>
        <v>1</v>
      </c>
      <c r="AB122">
        <f>pm.rep!H185</f>
        <v>1</v>
      </c>
      <c r="AC122">
        <f>pm.rep!I185</f>
        <v>1</v>
      </c>
      <c r="AD122">
        <f>pm.rep!J185</f>
        <v>1</v>
      </c>
      <c r="AE122">
        <f>pm.rep!K185</f>
        <v>1</v>
      </c>
      <c r="AF122">
        <f>pm.rep!L185</f>
        <v>1</v>
      </c>
      <c r="AG122">
        <f>pm.rep!M185</f>
        <v>1</v>
      </c>
      <c r="AH122">
        <f>pm.rep!N185</f>
        <v>1</v>
      </c>
      <c r="AI122">
        <f>pm.rep!O185</f>
        <v>1</v>
      </c>
      <c r="AJ122">
        <f>pm.rep!P185</f>
        <v>1</v>
      </c>
      <c r="AL122">
        <v>1978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</row>
    <row r="123" spans="1:55" x14ac:dyDescent="0.15">
      <c r="A123">
        <f t="shared" si="29"/>
        <v>2.0148746479681177</v>
      </c>
      <c r="B123">
        <f t="shared" si="28"/>
        <v>5.3814616607514489</v>
      </c>
      <c r="C123">
        <f>MAX(pm.rep!B132:P132)</f>
        <v>1.23454</v>
      </c>
      <c r="D123" s="21">
        <v>1979</v>
      </c>
      <c r="E123">
        <f>pm.rep!B132</f>
        <v>5.3851899999999998E-3</v>
      </c>
      <c r="F123">
        <f>pm.rep!C132</f>
        <v>0.13696900000000001</v>
      </c>
      <c r="G123">
        <f>pm.rep!D132</f>
        <v>0.64664999999999995</v>
      </c>
      <c r="H123">
        <f>pm.rep!E132</f>
        <v>0.90786599999999995</v>
      </c>
      <c r="I123">
        <f>pm.rep!F132</f>
        <v>1.15181</v>
      </c>
      <c r="J123">
        <f>pm.rep!G132</f>
        <v>1.18248</v>
      </c>
      <c r="K123">
        <f>pm.rep!H132</f>
        <v>1.16547</v>
      </c>
      <c r="L123">
        <f>pm.rep!I132</f>
        <v>1.1645399999999999</v>
      </c>
      <c r="M123">
        <f>pm.rep!J132</f>
        <v>1.23159</v>
      </c>
      <c r="N123">
        <f>pm.rep!K132</f>
        <v>1.23454</v>
      </c>
      <c r="O123">
        <f>pm.rep!L132</f>
        <v>1.23454</v>
      </c>
      <c r="P123">
        <f>pm.rep!M132</f>
        <v>1.23454</v>
      </c>
      <c r="Q123">
        <f>pm.rep!N132</f>
        <v>1.23454</v>
      </c>
      <c r="R123">
        <f>pm.rep!O132</f>
        <v>1.23454</v>
      </c>
      <c r="S123">
        <f>pm.rep!P132</f>
        <v>1.23454</v>
      </c>
      <c r="U123">
        <v>1979</v>
      </c>
      <c r="V123">
        <f>pm.rep!B186</f>
        <v>1</v>
      </c>
      <c r="W123">
        <f>pm.rep!C186</f>
        <v>1</v>
      </c>
      <c r="X123">
        <f>pm.rep!D186</f>
        <v>1</v>
      </c>
      <c r="Y123">
        <f>pm.rep!E186</f>
        <v>1</v>
      </c>
      <c r="Z123">
        <f>pm.rep!F186</f>
        <v>1</v>
      </c>
      <c r="AA123">
        <f>pm.rep!G186</f>
        <v>1</v>
      </c>
      <c r="AB123">
        <f>pm.rep!H186</f>
        <v>1</v>
      </c>
      <c r="AC123">
        <f>pm.rep!I186</f>
        <v>1</v>
      </c>
      <c r="AD123">
        <f>pm.rep!J186</f>
        <v>1</v>
      </c>
      <c r="AE123">
        <f>pm.rep!K186</f>
        <v>1</v>
      </c>
      <c r="AF123">
        <f>pm.rep!L186</f>
        <v>1</v>
      </c>
      <c r="AG123">
        <f>pm.rep!M186</f>
        <v>1</v>
      </c>
      <c r="AH123">
        <f>pm.rep!N186</f>
        <v>1</v>
      </c>
      <c r="AI123">
        <f>pm.rep!O186</f>
        <v>1</v>
      </c>
      <c r="AJ123">
        <f>pm.rep!P186</f>
        <v>1</v>
      </c>
      <c r="AL123">
        <v>1979</v>
      </c>
      <c r="AM123" s="4">
        <f t="array" ref="AM123:BA123">pm.rep!$B$239:$P$239</f>
        <v>0</v>
      </c>
      <c r="AN123" s="4">
        <v>3.82572</v>
      </c>
      <c r="AO123" s="4">
        <v>1.14351</v>
      </c>
      <c r="AP123" s="4">
        <v>0.64885999999999999</v>
      </c>
      <c r="AQ123" s="4">
        <v>0.67562900000000004</v>
      </c>
      <c r="AR123" s="4">
        <v>0.69731100000000001</v>
      </c>
      <c r="AS123" s="4">
        <v>0.72634900000000002</v>
      </c>
      <c r="AT123" s="4">
        <v>0.75990999999999997</v>
      </c>
      <c r="AU123" s="4">
        <v>0.75990999999999997</v>
      </c>
      <c r="AV123" s="4">
        <v>0.75990999999999997</v>
      </c>
      <c r="AW123" s="4">
        <v>0.75990999999999997</v>
      </c>
      <c r="AX123" s="4">
        <v>0.75990999999999997</v>
      </c>
      <c r="AY123" s="4">
        <v>0.75990999999999997</v>
      </c>
      <c r="AZ123" s="4">
        <v>0.75990999999999997</v>
      </c>
      <c r="BA123" s="4">
        <v>0.75990999999999997</v>
      </c>
      <c r="BB123" s="4"/>
      <c r="BC123" s="4"/>
    </row>
    <row r="124" spans="1:55" x14ac:dyDescent="0.15">
      <c r="A124">
        <f t="shared" si="29"/>
        <v>2.1900231165383608</v>
      </c>
      <c r="B124">
        <f t="shared" si="28"/>
        <v>5.4176193034976174</v>
      </c>
      <c r="C124">
        <f>MAX(pm.rep!B133:P133)</f>
        <v>1.2494000000000001</v>
      </c>
      <c r="D124" s="21">
        <v>1980</v>
      </c>
      <c r="E124">
        <f>pm.rep!B133</f>
        <v>4.12371E-3</v>
      </c>
      <c r="F124">
        <f>pm.rep!C133</f>
        <v>7.7182500000000001E-2</v>
      </c>
      <c r="G124">
        <f>pm.rep!D133</f>
        <v>0.455708</v>
      </c>
      <c r="H124">
        <f>pm.rep!E133</f>
        <v>0.90214099999999997</v>
      </c>
      <c r="I124">
        <f>pm.rep!F133</f>
        <v>1.1817</v>
      </c>
      <c r="J124">
        <f>pm.rep!G133</f>
        <v>1.2494000000000001</v>
      </c>
      <c r="K124">
        <f>pm.rep!H133</f>
        <v>1.22983</v>
      </c>
      <c r="L124">
        <f>pm.rep!I133</f>
        <v>1.2186300000000001</v>
      </c>
      <c r="M124">
        <f>pm.rep!J133</f>
        <v>1.24068</v>
      </c>
      <c r="N124">
        <f>pm.rep!K133</f>
        <v>1.2401</v>
      </c>
      <c r="O124">
        <f>pm.rep!L133</f>
        <v>1.2401</v>
      </c>
      <c r="P124">
        <f>pm.rep!M133</f>
        <v>1.2401</v>
      </c>
      <c r="Q124">
        <f>pm.rep!N133</f>
        <v>1.2401</v>
      </c>
      <c r="R124">
        <f>pm.rep!O133</f>
        <v>1.2401</v>
      </c>
      <c r="S124">
        <f>pm.rep!P133</f>
        <v>1.2401</v>
      </c>
      <c r="U124">
        <v>1980</v>
      </c>
      <c r="V124">
        <f>pm.rep!B187</f>
        <v>1</v>
      </c>
      <c r="W124">
        <f>pm.rep!C187</f>
        <v>1</v>
      </c>
      <c r="X124">
        <f>pm.rep!D187</f>
        <v>1</v>
      </c>
      <c r="Y124">
        <f>pm.rep!E187</f>
        <v>1</v>
      </c>
      <c r="Z124">
        <f>pm.rep!F187</f>
        <v>1</v>
      </c>
      <c r="AA124">
        <f>pm.rep!G187</f>
        <v>1</v>
      </c>
      <c r="AB124">
        <f>pm.rep!H187</f>
        <v>1</v>
      </c>
      <c r="AC124">
        <f>pm.rep!I187</f>
        <v>1</v>
      </c>
      <c r="AD124">
        <f>pm.rep!J187</f>
        <v>1</v>
      </c>
      <c r="AE124">
        <f>pm.rep!K187</f>
        <v>1</v>
      </c>
      <c r="AF124">
        <f>pm.rep!L187</f>
        <v>1</v>
      </c>
      <c r="AG124">
        <f>pm.rep!M187</f>
        <v>1</v>
      </c>
      <c r="AH124">
        <f>pm.rep!N187</f>
        <v>1</v>
      </c>
      <c r="AI124">
        <f>pm.rep!O187</f>
        <v>1</v>
      </c>
      <c r="AJ124">
        <f>pm.rep!P187</f>
        <v>1</v>
      </c>
      <c r="AL124">
        <v>1980</v>
      </c>
    </row>
    <row r="125" spans="1:55" x14ac:dyDescent="0.15">
      <c r="A125">
        <f t="shared" si="29"/>
        <v>2.3678354367893895</v>
      </c>
      <c r="B125">
        <f t="shared" si="28"/>
        <v>5.5454744567677956</v>
      </c>
      <c r="C125">
        <f>MAX(pm.rep!B134:P134)</f>
        <v>1.2629900000000001</v>
      </c>
      <c r="D125" s="21">
        <v>1981</v>
      </c>
      <c r="E125">
        <f>pm.rep!B134</f>
        <v>3.2926000000000001E-3</v>
      </c>
      <c r="F125">
        <f>pm.rep!C134</f>
        <v>5.5412799999999998E-2</v>
      </c>
      <c r="G125">
        <f>pm.rep!D134</f>
        <v>0.314942</v>
      </c>
      <c r="H125">
        <f>pm.rep!E134</f>
        <v>0.81936500000000001</v>
      </c>
      <c r="I125">
        <f>pm.rep!F134</f>
        <v>1.2310300000000001</v>
      </c>
      <c r="J125">
        <f>pm.rep!G134</f>
        <v>1.2544299999999999</v>
      </c>
      <c r="K125">
        <f>pm.rep!H134</f>
        <v>1.2475700000000001</v>
      </c>
      <c r="L125">
        <f>pm.rep!I134</f>
        <v>1.24699</v>
      </c>
      <c r="M125">
        <f>pm.rep!J134</f>
        <v>1.2629900000000001</v>
      </c>
      <c r="N125">
        <f>pm.rep!K134</f>
        <v>1.2606599999999999</v>
      </c>
      <c r="O125">
        <f>pm.rep!L134</f>
        <v>1.2606599999999999</v>
      </c>
      <c r="P125">
        <f>pm.rep!M134</f>
        <v>1.2606599999999999</v>
      </c>
      <c r="Q125">
        <f>pm.rep!N134</f>
        <v>1.2606599999999999</v>
      </c>
      <c r="R125">
        <f>pm.rep!O134</f>
        <v>1.2606599999999999</v>
      </c>
      <c r="S125">
        <f>pm.rep!P134</f>
        <v>1.2606599999999999</v>
      </c>
      <c r="U125">
        <v>1981</v>
      </c>
      <c r="V125">
        <f>pm.rep!B188</f>
        <v>1</v>
      </c>
      <c r="W125">
        <f>pm.rep!C188</f>
        <v>1</v>
      </c>
      <c r="X125">
        <f>pm.rep!D188</f>
        <v>1</v>
      </c>
      <c r="Y125">
        <f>pm.rep!E188</f>
        <v>1</v>
      </c>
      <c r="Z125">
        <f>pm.rep!F188</f>
        <v>1</v>
      </c>
      <c r="AA125">
        <f>pm.rep!G188</f>
        <v>1</v>
      </c>
      <c r="AB125">
        <f>pm.rep!H188</f>
        <v>1</v>
      </c>
      <c r="AC125">
        <f>pm.rep!I188</f>
        <v>1</v>
      </c>
      <c r="AD125">
        <f>pm.rep!J188</f>
        <v>1</v>
      </c>
      <c r="AE125">
        <f>pm.rep!K188</f>
        <v>1</v>
      </c>
      <c r="AF125">
        <f>pm.rep!L188</f>
        <v>1</v>
      </c>
      <c r="AG125">
        <f>pm.rep!M188</f>
        <v>1</v>
      </c>
      <c r="AH125">
        <f>pm.rep!N188</f>
        <v>1</v>
      </c>
      <c r="AI125">
        <f>pm.rep!O188</f>
        <v>1</v>
      </c>
      <c r="AJ125">
        <f>pm.rep!P188</f>
        <v>1</v>
      </c>
      <c r="AL125">
        <v>1981</v>
      </c>
    </row>
    <row r="126" spans="1:55" x14ac:dyDescent="0.15">
      <c r="A126">
        <f t="shared" si="29"/>
        <v>2.6581889665160365</v>
      </c>
      <c r="B126">
        <f t="shared" si="28"/>
        <v>5.777039345279821</v>
      </c>
      <c r="C126">
        <f>MAX(pm.rep!B135:P135)</f>
        <v>1.2976700000000001</v>
      </c>
      <c r="D126" s="21">
        <v>1982</v>
      </c>
      <c r="E126">
        <f>pm.rep!B135</f>
        <v>2.7445600000000001E-3</v>
      </c>
      <c r="F126">
        <f>pm.rep!C135</f>
        <v>4.6823099999999999E-2</v>
      </c>
      <c r="G126">
        <f>pm.rep!D135</f>
        <v>0.220585</v>
      </c>
      <c r="H126">
        <f>pm.rep!E135</f>
        <v>0.72242200000000001</v>
      </c>
      <c r="I126">
        <f>pm.rep!F135</f>
        <v>1.16669</v>
      </c>
      <c r="J126">
        <f>pm.rep!G135</f>
        <v>1.2568999999999999</v>
      </c>
      <c r="K126">
        <f>pm.rep!H135</f>
        <v>1.2457400000000001</v>
      </c>
      <c r="L126">
        <f>pm.rep!I135</f>
        <v>1.26369</v>
      </c>
      <c r="M126">
        <f>pm.rep!J135</f>
        <v>1.2976700000000001</v>
      </c>
      <c r="N126">
        <f>pm.rep!K135</f>
        <v>1.2961199999999999</v>
      </c>
      <c r="O126">
        <f>pm.rep!L135</f>
        <v>1.2961199999999999</v>
      </c>
      <c r="P126">
        <f>pm.rep!M135</f>
        <v>1.2961199999999999</v>
      </c>
      <c r="Q126">
        <f>pm.rep!N135</f>
        <v>1.2961199999999999</v>
      </c>
      <c r="R126">
        <f>pm.rep!O135</f>
        <v>1.2961199999999999</v>
      </c>
      <c r="S126">
        <f>pm.rep!P135</f>
        <v>1.2961199999999999</v>
      </c>
      <c r="U126">
        <v>1982</v>
      </c>
      <c r="V126">
        <f>pm.rep!B189</f>
        <v>6.8502099999999996E-2</v>
      </c>
      <c r="W126">
        <f>pm.rep!C189</f>
        <v>0.113314</v>
      </c>
      <c r="X126">
        <f>pm.rep!D189</f>
        <v>0.211704</v>
      </c>
      <c r="Y126">
        <f>pm.rep!E189</f>
        <v>0.36076599999999998</v>
      </c>
      <c r="Z126">
        <f>pm.rep!F189</f>
        <v>0.54254800000000003</v>
      </c>
      <c r="AA126">
        <f>pm.rep!G189</f>
        <v>0.71366399999999997</v>
      </c>
      <c r="AB126">
        <f>pm.rep!H189</f>
        <v>0.83968600000000004</v>
      </c>
      <c r="AC126">
        <f>pm.rep!I189</f>
        <v>0.91671599999999998</v>
      </c>
      <c r="AD126">
        <f>pm.rep!J189</f>
        <v>0.95855999999999997</v>
      </c>
      <c r="AE126">
        <f>pm.rep!K189</f>
        <v>0.97984300000000002</v>
      </c>
      <c r="AF126">
        <f>pm.rep!L189</f>
        <v>0.99030600000000002</v>
      </c>
      <c r="AG126">
        <f>pm.rep!M189</f>
        <v>0.995363</v>
      </c>
      <c r="AH126">
        <f>pm.rep!N189</f>
        <v>0.99778800000000001</v>
      </c>
      <c r="AI126">
        <f>pm.rep!O189</f>
        <v>0.998946</v>
      </c>
      <c r="AJ126">
        <f>pm.rep!P189</f>
        <v>0.999498</v>
      </c>
      <c r="AL126">
        <v>1982</v>
      </c>
      <c r="AM126" s="4">
        <f t="array" ref="AM126:BA126">pm.rep!$B$242:$P$242</f>
        <v>0</v>
      </c>
      <c r="AN126" s="4">
        <v>1.00617</v>
      </c>
      <c r="AO126" s="4">
        <v>1.2048700000000001</v>
      </c>
      <c r="AP126" s="4">
        <v>1.28284</v>
      </c>
      <c r="AQ126" s="4">
        <v>1.31125</v>
      </c>
      <c r="AR126" s="4">
        <v>1.10782</v>
      </c>
      <c r="AS126" s="4">
        <v>1.1216299999999999</v>
      </c>
      <c r="AT126" s="4">
        <v>0.94114500000000001</v>
      </c>
      <c r="AU126" s="4">
        <v>0.94114500000000001</v>
      </c>
      <c r="AV126" s="4">
        <v>0.94114500000000001</v>
      </c>
      <c r="AW126" s="4">
        <v>0.94114500000000001</v>
      </c>
      <c r="AX126" s="4">
        <v>0.94114500000000001</v>
      </c>
      <c r="AY126" s="4">
        <v>0.94114500000000001</v>
      </c>
      <c r="AZ126" s="4">
        <v>0.94114500000000001</v>
      </c>
      <c r="BA126" s="4">
        <v>0.94114500000000001</v>
      </c>
      <c r="BB126" s="4"/>
      <c r="BC126" s="4"/>
    </row>
    <row r="127" spans="1:55" x14ac:dyDescent="0.15">
      <c r="A127">
        <f t="shared" si="29"/>
        <v>3.1264245882814201</v>
      </c>
      <c r="B127">
        <f t="shared" si="28"/>
        <v>6.1246760696921161</v>
      </c>
      <c r="C127">
        <f>MAX(pm.rep!B136:P136)</f>
        <v>1.3481300000000001</v>
      </c>
      <c r="D127" s="21">
        <v>1983</v>
      </c>
      <c r="E127">
        <f>pm.rep!B136</f>
        <v>2.3008999999999998E-3</v>
      </c>
      <c r="F127">
        <f>pm.rep!C136</f>
        <v>4.8842900000000002E-2</v>
      </c>
      <c r="G127">
        <f>pm.rep!D136</f>
        <v>0.19256200000000001</v>
      </c>
      <c r="H127">
        <f>pm.rep!E136</f>
        <v>0.58968200000000004</v>
      </c>
      <c r="I127">
        <f>pm.rep!F136</f>
        <v>1.0024900000000001</v>
      </c>
      <c r="J127">
        <f>pm.rep!G136</f>
        <v>1.25282</v>
      </c>
      <c r="K127">
        <f>pm.rep!H136</f>
        <v>1.2451099999999999</v>
      </c>
      <c r="L127">
        <f>pm.rep!I136</f>
        <v>1.25545</v>
      </c>
      <c r="M127">
        <f>pm.rep!J136</f>
        <v>1.3219700000000001</v>
      </c>
      <c r="N127">
        <f>pm.rep!K136</f>
        <v>1.3481300000000001</v>
      </c>
      <c r="O127">
        <f>pm.rep!L136</f>
        <v>1.3481300000000001</v>
      </c>
      <c r="P127">
        <f>pm.rep!M136</f>
        <v>1.3481300000000001</v>
      </c>
      <c r="Q127">
        <f>pm.rep!N136</f>
        <v>1.3481300000000001</v>
      </c>
      <c r="R127">
        <f>pm.rep!O136</f>
        <v>1.3481300000000001</v>
      </c>
      <c r="S127">
        <f>pm.rep!P136</f>
        <v>1.3481300000000001</v>
      </c>
      <c r="U127">
        <v>1983</v>
      </c>
      <c r="V127">
        <f>pm.rep!B190</f>
        <v>7.4277300000000004E-2</v>
      </c>
      <c r="W127">
        <f>pm.rep!C190</f>
        <v>9.0508400000000003E-2</v>
      </c>
      <c r="X127">
        <f>pm.rep!D190</f>
        <v>0.193631</v>
      </c>
      <c r="Y127">
        <f>pm.rep!E190</f>
        <v>0.36685400000000001</v>
      </c>
      <c r="Z127">
        <f>pm.rep!F190</f>
        <v>0.58300399999999997</v>
      </c>
      <c r="AA127">
        <f>pm.rep!G190</f>
        <v>0.77135299999999996</v>
      </c>
      <c r="AB127">
        <f>pm.rep!H190</f>
        <v>0.890594</v>
      </c>
      <c r="AC127">
        <f>pm.rep!I190</f>
        <v>0.95155500000000004</v>
      </c>
      <c r="AD127">
        <f>pm.rep!J190</f>
        <v>0.97933700000000001</v>
      </c>
      <c r="AE127">
        <f>pm.rep!K190</f>
        <v>0.99133199999999999</v>
      </c>
      <c r="AF127">
        <f>pm.rep!L190</f>
        <v>0.99638899999999997</v>
      </c>
      <c r="AG127">
        <f>pm.rep!M190</f>
        <v>0.99850000000000005</v>
      </c>
      <c r="AH127">
        <f>pm.rep!N190</f>
        <v>0.99937799999999999</v>
      </c>
      <c r="AI127">
        <f>pm.rep!O190</f>
        <v>0.99974200000000002</v>
      </c>
      <c r="AJ127">
        <f>pm.rep!P190</f>
        <v>0.99989300000000003</v>
      </c>
      <c r="AL127">
        <v>1983</v>
      </c>
    </row>
    <row r="128" spans="1:55" x14ac:dyDescent="0.15">
      <c r="A128">
        <f t="shared" si="29"/>
        <v>3.2156348461855426</v>
      </c>
      <c r="B128">
        <f t="shared" si="28"/>
        <v>6.2353567807387664</v>
      </c>
      <c r="C128">
        <f>MAX(pm.rep!B137:P137)</f>
        <v>1.36534</v>
      </c>
      <c r="D128" s="21">
        <v>1984</v>
      </c>
      <c r="E128">
        <f>pm.rep!B137</f>
        <v>1.9656700000000001E-3</v>
      </c>
      <c r="F128">
        <f>pm.rep!C137</f>
        <v>3.9357000000000003E-2</v>
      </c>
      <c r="G128">
        <f>pm.rep!D137</f>
        <v>0.18960399999999999</v>
      </c>
      <c r="H128">
        <f>pm.rep!E137</f>
        <v>0.52492899999999998</v>
      </c>
      <c r="I128">
        <f>pm.rep!F137</f>
        <v>1.0290900000000001</v>
      </c>
      <c r="J128">
        <f>pm.rep!G137</f>
        <v>1.1992400000000001</v>
      </c>
      <c r="K128">
        <f>pm.rep!H137</f>
        <v>1.2559</v>
      </c>
      <c r="L128">
        <f>pm.rep!I137</f>
        <v>1.24996</v>
      </c>
      <c r="M128">
        <f>pm.rep!J137</f>
        <v>1.3179000000000001</v>
      </c>
      <c r="N128">
        <f>pm.rep!K137</f>
        <v>1.36534</v>
      </c>
      <c r="O128">
        <f>pm.rep!L137</f>
        <v>1.36534</v>
      </c>
      <c r="P128">
        <f>pm.rep!M137</f>
        <v>1.36534</v>
      </c>
      <c r="Q128">
        <f>pm.rep!N137</f>
        <v>1.36534</v>
      </c>
      <c r="R128">
        <f>pm.rep!O137</f>
        <v>1.36534</v>
      </c>
      <c r="S128">
        <f>pm.rep!P137</f>
        <v>1.36534</v>
      </c>
      <c r="U128">
        <v>1984</v>
      </c>
      <c r="V128">
        <f>pm.rep!B191</f>
        <v>4.7319800000000002E-2</v>
      </c>
      <c r="W128">
        <f>pm.rep!C191</f>
        <v>3.5758400000000003E-2</v>
      </c>
      <c r="X128">
        <f>pm.rep!D191</f>
        <v>8.7860499999999994E-2</v>
      </c>
      <c r="Y128">
        <f>pm.rep!E191</f>
        <v>0.20012199999999999</v>
      </c>
      <c r="Z128">
        <f>pm.rep!F191</f>
        <v>0.39388299999999998</v>
      </c>
      <c r="AA128">
        <f>pm.rep!G191</f>
        <v>0.627965</v>
      </c>
      <c r="AB128">
        <f>pm.rep!H191</f>
        <v>0.814272</v>
      </c>
      <c r="AC128">
        <f>pm.rep!I191</f>
        <v>0.91927400000000004</v>
      </c>
      <c r="AD128">
        <f>pm.rep!J191</f>
        <v>0.96729699999999996</v>
      </c>
      <c r="AE128">
        <f>pm.rep!K191</f>
        <v>0.987151</v>
      </c>
      <c r="AF128">
        <f>pm.rep!L191</f>
        <v>0.99501399999999995</v>
      </c>
      <c r="AG128">
        <f>pm.rep!M191</f>
        <v>0.99807400000000002</v>
      </c>
      <c r="AH128">
        <f>pm.rep!N191</f>
        <v>0.99925799999999998</v>
      </c>
      <c r="AI128">
        <f>pm.rep!O191</f>
        <v>0.99971399999999999</v>
      </c>
      <c r="AJ128">
        <f>pm.rep!P191</f>
        <v>0.99988999999999995</v>
      </c>
      <c r="AL128">
        <v>1984</v>
      </c>
    </row>
    <row r="129" spans="1:55" x14ac:dyDescent="0.15">
      <c r="A129">
        <f t="shared" si="29"/>
        <v>3.7573641177165875</v>
      </c>
      <c r="B129">
        <f t="shared" si="28"/>
        <v>6.3991693870052035</v>
      </c>
      <c r="C129">
        <f>MAX(pm.rep!B138:P138)</f>
        <v>1.3880399999999999</v>
      </c>
      <c r="D129" s="21">
        <v>1985</v>
      </c>
      <c r="E129">
        <f>pm.rep!B138</f>
        <v>1.6849600000000001E-3</v>
      </c>
      <c r="F129">
        <f>pm.rep!C138</f>
        <v>4.03308E-2</v>
      </c>
      <c r="G129">
        <f>pm.rep!D138</f>
        <v>0.20367499999999999</v>
      </c>
      <c r="H129">
        <f>pm.rep!E138</f>
        <v>0.46609200000000001</v>
      </c>
      <c r="I129">
        <f>pm.rep!F138</f>
        <v>0.81581300000000001</v>
      </c>
      <c r="J129">
        <f>pm.rep!G138</f>
        <v>1.2855799999999999</v>
      </c>
      <c r="K129">
        <f>pm.rep!H138</f>
        <v>1.26817</v>
      </c>
      <c r="L129">
        <f>pm.rep!I138</f>
        <v>1.26816</v>
      </c>
      <c r="M129">
        <f>pm.rep!J138</f>
        <v>1.3222700000000001</v>
      </c>
      <c r="N129">
        <f>pm.rep!K138</f>
        <v>1.3880399999999999</v>
      </c>
      <c r="O129">
        <f>pm.rep!L138</f>
        <v>1.3880399999999999</v>
      </c>
      <c r="P129">
        <f>pm.rep!M138</f>
        <v>1.3880399999999999</v>
      </c>
      <c r="Q129">
        <f>pm.rep!N138</f>
        <v>1.3880399999999999</v>
      </c>
      <c r="R129">
        <f>pm.rep!O138</f>
        <v>1.3880399999999999</v>
      </c>
      <c r="S129">
        <f>pm.rep!P138</f>
        <v>1.3880399999999999</v>
      </c>
      <c r="U129">
        <v>1985</v>
      </c>
      <c r="V129">
        <f>pm.rep!B192</f>
        <v>0.10985399999999999</v>
      </c>
      <c r="W129">
        <f>pm.rep!C192</f>
        <v>5.28794E-2</v>
      </c>
      <c r="X129">
        <f>pm.rep!D192</f>
        <v>0.111267</v>
      </c>
      <c r="Y129">
        <f>pm.rep!E192</f>
        <v>0.21920400000000001</v>
      </c>
      <c r="Z129">
        <f>pm.rep!F192</f>
        <v>0.38633099999999998</v>
      </c>
      <c r="AA129">
        <f>pm.rep!G192</f>
        <v>0.58535300000000001</v>
      </c>
      <c r="AB129">
        <f>pm.rep!H192</f>
        <v>0.759938</v>
      </c>
      <c r="AC129">
        <f>pm.rep!I192</f>
        <v>0.87652099999999999</v>
      </c>
      <c r="AD129">
        <f>pm.rep!J192</f>
        <v>0.94089100000000003</v>
      </c>
      <c r="AE129">
        <f>pm.rep!K192</f>
        <v>0.97274799999999995</v>
      </c>
      <c r="AF129">
        <f>pm.rep!L192</f>
        <v>0.98766100000000001</v>
      </c>
      <c r="AG129">
        <f>pm.rep!M192</f>
        <v>0.99445899999999998</v>
      </c>
      <c r="AH129">
        <f>pm.rep!N192</f>
        <v>0.99752200000000002</v>
      </c>
      <c r="AI129">
        <f>pm.rep!O192</f>
        <v>0.99889300000000003</v>
      </c>
      <c r="AJ129">
        <f>pm.rep!P192</f>
        <v>0.99950600000000001</v>
      </c>
      <c r="AL129">
        <v>1985</v>
      </c>
      <c r="AM129" s="4">
        <f t="array" ref="AM129:BA129">pm.rep!$B$245:$P$245</f>
        <v>0</v>
      </c>
      <c r="AN129" s="4">
        <v>1.00617</v>
      </c>
      <c r="AO129" s="4">
        <v>1.2048700000000001</v>
      </c>
      <c r="AP129" s="4">
        <v>1.28284</v>
      </c>
      <c r="AQ129" s="4">
        <v>1.31125</v>
      </c>
      <c r="AR129" s="4">
        <v>1.10782</v>
      </c>
      <c r="AS129" s="4">
        <v>1.1216299999999999</v>
      </c>
      <c r="AT129" s="4">
        <v>0.94114500000000001</v>
      </c>
      <c r="AU129" s="4">
        <v>0.94114500000000001</v>
      </c>
      <c r="AV129" s="4">
        <v>0.94114500000000001</v>
      </c>
      <c r="AW129" s="4">
        <v>0.94114500000000001</v>
      </c>
      <c r="AX129" s="4">
        <v>0.94114500000000001</v>
      </c>
      <c r="AY129" s="4">
        <v>0.94114500000000001</v>
      </c>
      <c r="AZ129" s="4">
        <v>0.94114500000000001</v>
      </c>
      <c r="BA129" s="4">
        <v>0.94114500000000001</v>
      </c>
      <c r="BB129" s="4"/>
      <c r="BC129" s="4"/>
    </row>
    <row r="130" spans="1:55" x14ac:dyDescent="0.15">
      <c r="A130">
        <f t="shared" si="29"/>
        <v>3.6174584754940251</v>
      </c>
      <c r="B130">
        <f t="shared" si="28"/>
        <v>6.4730660203109487</v>
      </c>
      <c r="C130">
        <f>MAX(pm.rep!B139:P139)</f>
        <v>1.3924300000000001</v>
      </c>
      <c r="D130" s="21">
        <v>1986</v>
      </c>
      <c r="E130">
        <f>pm.rep!B139</f>
        <v>1.4615100000000001E-3</v>
      </c>
      <c r="F130">
        <f>pm.rep!C139</f>
        <v>3.9074200000000003E-2</v>
      </c>
      <c r="G130">
        <f>pm.rep!D139</f>
        <v>0.21912799999999999</v>
      </c>
      <c r="H130">
        <f>pm.rep!E139</f>
        <v>0.53888000000000003</v>
      </c>
      <c r="I130">
        <f>pm.rep!F139</f>
        <v>0.78813200000000005</v>
      </c>
      <c r="J130">
        <f>pm.rep!G139</f>
        <v>1.22777</v>
      </c>
      <c r="K130">
        <f>pm.rep!H139</f>
        <v>1.27841</v>
      </c>
      <c r="L130">
        <f>pm.rep!I139</f>
        <v>1.1955800000000001</v>
      </c>
      <c r="M130">
        <f>pm.rep!J139</f>
        <v>1.35701</v>
      </c>
      <c r="N130">
        <f>pm.rep!K139</f>
        <v>1.3924300000000001</v>
      </c>
      <c r="O130">
        <f>pm.rep!L139</f>
        <v>1.3924300000000001</v>
      </c>
      <c r="P130">
        <f>pm.rep!M139</f>
        <v>1.3924300000000001</v>
      </c>
      <c r="Q130">
        <f>pm.rep!N139</f>
        <v>1.3924300000000001</v>
      </c>
      <c r="R130">
        <f>pm.rep!O139</f>
        <v>1.3924300000000001</v>
      </c>
      <c r="S130">
        <f>pm.rep!P139</f>
        <v>1.3924300000000001</v>
      </c>
      <c r="U130">
        <v>1986</v>
      </c>
      <c r="V130">
        <f>pm.rep!B193</f>
        <v>0.142647</v>
      </c>
      <c r="W130">
        <f>pm.rep!C193</f>
        <v>3.5809000000000001E-2</v>
      </c>
      <c r="X130">
        <f>pm.rep!D193</f>
        <v>7.9672800000000002E-2</v>
      </c>
      <c r="Y130">
        <f>pm.rep!E193</f>
        <v>0.16791</v>
      </c>
      <c r="Z130">
        <f>pm.rep!F193</f>
        <v>0.31990200000000002</v>
      </c>
      <c r="AA130">
        <f>pm.rep!G193</f>
        <v>0.52300000000000002</v>
      </c>
      <c r="AB130">
        <f>pm.rep!H193</f>
        <v>0.71876700000000004</v>
      </c>
      <c r="AC130">
        <f>pm.rep!I193</f>
        <v>0.85626899999999995</v>
      </c>
      <c r="AD130">
        <f>pm.rep!J193</f>
        <v>0.93282600000000004</v>
      </c>
      <c r="AE130">
        <f>pm.rep!K193</f>
        <v>0.97003300000000003</v>
      </c>
      <c r="AF130">
        <f>pm.rep!L193</f>
        <v>0.98692000000000002</v>
      </c>
      <c r="AG130">
        <f>pm.rep!M193</f>
        <v>0.99434599999999995</v>
      </c>
      <c r="AH130">
        <f>pm.rep!N193</f>
        <v>0.99756699999999998</v>
      </c>
      <c r="AI130">
        <f>pm.rep!O193</f>
        <v>0.99895500000000004</v>
      </c>
      <c r="AJ130">
        <f>pm.rep!P193</f>
        <v>0.99955099999999997</v>
      </c>
      <c r="AL130">
        <v>1986</v>
      </c>
    </row>
    <row r="131" spans="1:55" x14ac:dyDescent="0.15">
      <c r="A131">
        <f t="shared" si="29"/>
        <v>3.70020893226397</v>
      </c>
      <c r="B131">
        <f t="shared" si="28"/>
        <v>6.6064635909059835</v>
      </c>
      <c r="C131">
        <f>MAX(pm.rep!B140:P140)</f>
        <v>1.42852</v>
      </c>
      <c r="D131" s="21">
        <v>1987</v>
      </c>
      <c r="E131">
        <f>pm.rep!B140</f>
        <v>1.24993E-3</v>
      </c>
      <c r="F131">
        <f>pm.rep!C140</f>
        <v>3.6436799999999998E-2</v>
      </c>
      <c r="G131">
        <f>pm.rep!D140</f>
        <v>0.24163899999999999</v>
      </c>
      <c r="H131">
        <f>pm.rep!E140</f>
        <v>0.48971500000000001</v>
      </c>
      <c r="I131">
        <f>pm.rep!F140</f>
        <v>0.78215100000000004</v>
      </c>
      <c r="J131">
        <f>pm.rep!G140</f>
        <v>1.1209499999999999</v>
      </c>
      <c r="K131">
        <f>pm.rep!H140</f>
        <v>1.1688700000000001</v>
      </c>
      <c r="L131">
        <f>pm.rep!I140</f>
        <v>1.3406400000000001</v>
      </c>
      <c r="M131">
        <f>pm.rep!J140</f>
        <v>1.42852</v>
      </c>
      <c r="N131">
        <f>pm.rep!K140</f>
        <v>1.3983000000000001</v>
      </c>
      <c r="O131">
        <f>pm.rep!L140</f>
        <v>1.3983000000000001</v>
      </c>
      <c r="P131">
        <f>pm.rep!M140</f>
        <v>1.3983000000000001</v>
      </c>
      <c r="Q131">
        <f>pm.rep!N140</f>
        <v>1.3983000000000001</v>
      </c>
      <c r="R131">
        <f>pm.rep!O140</f>
        <v>1.3983000000000001</v>
      </c>
      <c r="S131">
        <f>pm.rep!P140</f>
        <v>1.3983000000000001</v>
      </c>
      <c r="U131">
        <v>1987</v>
      </c>
      <c r="V131">
        <f>pm.rep!B194</f>
        <v>8.6392700000000003E-2</v>
      </c>
      <c r="W131">
        <f>pm.rep!C194</f>
        <v>5.53897E-2</v>
      </c>
      <c r="X131">
        <f>pm.rep!D194</f>
        <v>0.12076199999999999</v>
      </c>
      <c r="Y131">
        <f>pm.rep!E194</f>
        <v>0.24340700000000001</v>
      </c>
      <c r="Z131">
        <f>pm.rep!F194</f>
        <v>0.42973099999999997</v>
      </c>
      <c r="AA131">
        <f>pm.rep!G194</f>
        <v>0.638347</v>
      </c>
      <c r="AB131">
        <f>pm.rep!H194</f>
        <v>0.80523500000000003</v>
      </c>
      <c r="AC131">
        <f>pm.rep!I194</f>
        <v>0.90640299999999996</v>
      </c>
      <c r="AD131">
        <f>pm.rep!J194</f>
        <v>0.95777599999999996</v>
      </c>
      <c r="AE131">
        <f>pm.rep!K194</f>
        <v>0.98152600000000001</v>
      </c>
      <c r="AF131">
        <f>pm.rep!L194</f>
        <v>0.99202900000000005</v>
      </c>
      <c r="AG131">
        <f>pm.rep!M194</f>
        <v>0.99658100000000005</v>
      </c>
      <c r="AH131">
        <f>pm.rep!N194</f>
        <v>0.99853800000000004</v>
      </c>
      <c r="AI131">
        <f>pm.rep!O194</f>
        <v>0.99937500000000001</v>
      </c>
      <c r="AJ131">
        <f>pm.rep!P194</f>
        <v>0.99973299999999998</v>
      </c>
      <c r="AL131">
        <v>1987</v>
      </c>
    </row>
    <row r="132" spans="1:55" x14ac:dyDescent="0.15">
      <c r="A132">
        <f t="shared" si="29"/>
        <v>3.0205119094999984</v>
      </c>
      <c r="B132">
        <f t="shared" si="28"/>
        <v>6.077933814419441</v>
      </c>
      <c r="C132">
        <f>MAX(pm.rep!B141:P141)</f>
        <v>1.3668400000000001</v>
      </c>
      <c r="D132" s="21">
        <v>1988</v>
      </c>
      <c r="E132">
        <f>pm.rep!B141</f>
        <v>1.0923E-3</v>
      </c>
      <c r="F132">
        <f>pm.rep!C141</f>
        <v>3.5168600000000001E-2</v>
      </c>
      <c r="G132">
        <f>pm.rep!D141</f>
        <v>0.40648400000000001</v>
      </c>
      <c r="H132">
        <f>pm.rep!E141</f>
        <v>0.53204799999999997</v>
      </c>
      <c r="I132">
        <f>pm.rep!F141</f>
        <v>0.92545900000000003</v>
      </c>
      <c r="J132">
        <f>pm.rep!G141</f>
        <v>1.08874</v>
      </c>
      <c r="K132">
        <f>pm.rep!H141</f>
        <v>1.3513900000000001</v>
      </c>
      <c r="L132">
        <f>pm.rep!I141</f>
        <v>1.29186</v>
      </c>
      <c r="M132">
        <f>pm.rep!J141</f>
        <v>1.3668400000000001</v>
      </c>
      <c r="N132">
        <f>pm.rep!K141</f>
        <v>1.3334900000000001</v>
      </c>
      <c r="O132">
        <f>pm.rep!L141</f>
        <v>1.3334900000000001</v>
      </c>
      <c r="P132">
        <f>pm.rep!M141</f>
        <v>1.3334900000000001</v>
      </c>
      <c r="Q132">
        <f>pm.rep!N141</f>
        <v>1.3334900000000001</v>
      </c>
      <c r="R132">
        <f>pm.rep!O141</f>
        <v>1.3334900000000001</v>
      </c>
      <c r="S132">
        <f>pm.rep!P141</f>
        <v>1.3334900000000001</v>
      </c>
      <c r="U132">
        <v>1988</v>
      </c>
      <c r="V132">
        <f>pm.rep!B195</f>
        <v>0.117604</v>
      </c>
      <c r="W132">
        <f>pm.rep!C195</f>
        <v>8.7395399999999998E-2</v>
      </c>
      <c r="X132">
        <f>pm.rep!D195</f>
        <v>0.18635599999999999</v>
      </c>
      <c r="Y132">
        <f>pm.rep!E195</f>
        <v>0.35391499999999998</v>
      </c>
      <c r="Z132">
        <f>pm.rep!F195</f>
        <v>0.56712300000000004</v>
      </c>
      <c r="AA132">
        <f>pm.rep!G195</f>
        <v>0.75806799999999996</v>
      </c>
      <c r="AB132">
        <f>pm.rep!H195</f>
        <v>0.88227100000000003</v>
      </c>
      <c r="AC132">
        <f>pm.rep!I195</f>
        <v>0.94715499999999997</v>
      </c>
      <c r="AD132">
        <f>pm.rep!J195</f>
        <v>0.97720399999999996</v>
      </c>
      <c r="AE132">
        <f>pm.rep!K195</f>
        <v>0.99034</v>
      </c>
      <c r="AF132">
        <f>pm.rep!L195</f>
        <v>0.99593799999999999</v>
      </c>
      <c r="AG132">
        <f>pm.rep!M195</f>
        <v>0.99829800000000002</v>
      </c>
      <c r="AH132">
        <f>pm.rep!N195</f>
        <v>0.99928799999999995</v>
      </c>
      <c r="AI132">
        <f>pm.rep!O195</f>
        <v>0.99970199999999998</v>
      </c>
      <c r="AJ132">
        <f>pm.rep!P195</f>
        <v>0.99987499999999996</v>
      </c>
      <c r="AL132">
        <v>1988</v>
      </c>
      <c r="AM132" s="4">
        <f t="array" ref="AM132:BA132">pm.rep!$B$248:$P$248</f>
        <v>0</v>
      </c>
      <c r="AN132" s="4">
        <v>1.00617</v>
      </c>
      <c r="AO132" s="4">
        <v>1.2048700000000001</v>
      </c>
      <c r="AP132" s="4">
        <v>1.28284</v>
      </c>
      <c r="AQ132" s="4">
        <v>1.31125</v>
      </c>
      <c r="AR132" s="4">
        <v>1.10782</v>
      </c>
      <c r="AS132" s="4">
        <v>1.1216299999999999</v>
      </c>
      <c r="AT132" s="4">
        <v>0.94114500000000001</v>
      </c>
      <c r="AU132" s="4">
        <v>0.94114500000000001</v>
      </c>
      <c r="AV132" s="4">
        <v>0.94114500000000001</v>
      </c>
      <c r="AW132" s="4">
        <v>0.94114500000000001</v>
      </c>
      <c r="AX132" s="4">
        <v>0.94114500000000001</v>
      </c>
      <c r="AY132" s="4">
        <v>0.94114500000000001</v>
      </c>
      <c r="AZ132" s="4">
        <v>0.94114500000000001</v>
      </c>
      <c r="BA132" s="4">
        <v>0.94114500000000001</v>
      </c>
      <c r="BB132" s="4"/>
      <c r="BC132" s="4"/>
    </row>
    <row r="133" spans="1:55" x14ac:dyDescent="0.15">
      <c r="A133">
        <f t="shared" si="29"/>
        <v>3.039399259032495</v>
      </c>
      <c r="B133">
        <f t="shared" si="28"/>
        <v>5.8061320082942585</v>
      </c>
      <c r="C133">
        <f>MAX(pm.rep!B142:P142)</f>
        <v>1.4694700000000001</v>
      </c>
      <c r="D133" s="21">
        <v>1989</v>
      </c>
      <c r="E133">
        <f>pm.rep!B142</f>
        <v>9.2460800000000005E-4</v>
      </c>
      <c r="F133">
        <f>pm.rep!C142</f>
        <v>3.3453799999999999E-2</v>
      </c>
      <c r="G133">
        <f>pm.rep!D142</f>
        <v>0.29193599999999997</v>
      </c>
      <c r="H133">
        <f>pm.rep!E142</f>
        <v>0.62594700000000003</v>
      </c>
      <c r="I133">
        <f>pm.rep!F142</f>
        <v>0.93618199999999996</v>
      </c>
      <c r="J133">
        <f>pm.rep!G142</f>
        <v>1.15724</v>
      </c>
      <c r="K133">
        <f>pm.rep!H142</f>
        <v>1.4694700000000001</v>
      </c>
      <c r="L133">
        <f>pm.rep!I142</f>
        <v>1.3807499999999999</v>
      </c>
      <c r="M133">
        <f>pm.rep!J142</f>
        <v>1.3117099999999999</v>
      </c>
      <c r="N133">
        <f>pm.rep!K142</f>
        <v>1.2987299999999999</v>
      </c>
      <c r="O133">
        <f>pm.rep!L142</f>
        <v>1.2987299999999999</v>
      </c>
      <c r="P133">
        <f>pm.rep!M142</f>
        <v>1.2987299999999999</v>
      </c>
      <c r="Q133">
        <f>pm.rep!N142</f>
        <v>1.2987299999999999</v>
      </c>
      <c r="R133">
        <f>pm.rep!O142</f>
        <v>1.2987299999999999</v>
      </c>
      <c r="S133">
        <f>pm.rep!P142</f>
        <v>1.2987299999999999</v>
      </c>
      <c r="U133">
        <v>1989</v>
      </c>
      <c r="V133">
        <f>pm.rep!B196</f>
        <v>7.1787100000000006E-2</v>
      </c>
      <c r="W133">
        <f>pm.rep!C196</f>
        <v>8.4401900000000002E-2</v>
      </c>
      <c r="X133">
        <f>pm.rep!D196</f>
        <v>0.191745</v>
      </c>
      <c r="Y133">
        <f>pm.rep!E196</f>
        <v>0.37908399999999998</v>
      </c>
      <c r="Z133">
        <f>pm.rep!F196</f>
        <v>0.61107599999999995</v>
      </c>
      <c r="AA133">
        <f>pm.rep!G196</f>
        <v>0.80172500000000002</v>
      </c>
      <c r="AB133">
        <f>pm.rep!H196</f>
        <v>0.912327</v>
      </c>
      <c r="AC133">
        <f>pm.rep!I196</f>
        <v>0.96400300000000005</v>
      </c>
      <c r="AD133">
        <f>pm.rep!J196</f>
        <v>0.98569799999999996</v>
      </c>
      <c r="AE133">
        <f>pm.rep!K196</f>
        <v>0.994394</v>
      </c>
      <c r="AF133">
        <f>pm.rep!L196</f>
        <v>0.99781399999999998</v>
      </c>
      <c r="AG133">
        <f>pm.rep!M196</f>
        <v>0.99914899999999995</v>
      </c>
      <c r="AH133">
        <f>pm.rep!N196</f>
        <v>0.99966900000000003</v>
      </c>
      <c r="AI133">
        <f>pm.rep!O196</f>
        <v>0.99987099999999995</v>
      </c>
      <c r="AJ133">
        <f>pm.rep!P196</f>
        <v>0.99995000000000001</v>
      </c>
      <c r="AL133">
        <v>1989</v>
      </c>
    </row>
    <row r="134" spans="1:55" x14ac:dyDescent="0.15">
      <c r="A134">
        <f t="shared" si="29"/>
        <v>2.8184202512233734</v>
      </c>
      <c r="B134">
        <f t="shared" si="28"/>
        <v>5.7126756001423828</v>
      </c>
      <c r="C134">
        <f>MAX(pm.rep!B143:P143)</f>
        <v>1.3846700000000001</v>
      </c>
      <c r="D134" s="21">
        <v>1990</v>
      </c>
      <c r="E134">
        <f>pm.rep!B143</f>
        <v>7.7772799999999999E-4</v>
      </c>
      <c r="F134">
        <f>pm.rep!C143</f>
        <v>3.2546600000000002E-2</v>
      </c>
      <c r="G134">
        <f>pm.rep!D143</f>
        <v>0.22229499999999999</v>
      </c>
      <c r="H134">
        <f>pm.rep!E143</f>
        <v>0.674288</v>
      </c>
      <c r="I134">
        <f>pm.rep!F143</f>
        <v>1.1066</v>
      </c>
      <c r="J134">
        <f>pm.rep!G143</f>
        <v>1.2117</v>
      </c>
      <c r="K134">
        <f>pm.rep!H143</f>
        <v>1.35948</v>
      </c>
      <c r="L134">
        <f>pm.rep!I143</f>
        <v>1.3846700000000001</v>
      </c>
      <c r="M134">
        <f>pm.rep!J143</f>
        <v>1.33182</v>
      </c>
      <c r="N134">
        <f>pm.rep!K143</f>
        <v>1.2793000000000001</v>
      </c>
      <c r="O134">
        <f>pm.rep!L143</f>
        <v>1.2793000000000001</v>
      </c>
      <c r="P134">
        <f>pm.rep!M143</f>
        <v>1.2793000000000001</v>
      </c>
      <c r="Q134">
        <f>pm.rep!N143</f>
        <v>1.2793000000000001</v>
      </c>
      <c r="R134">
        <f>pm.rep!O143</f>
        <v>1.2793000000000001</v>
      </c>
      <c r="S134">
        <f>pm.rep!P143</f>
        <v>1.2793000000000001</v>
      </c>
      <c r="U134">
        <v>1990</v>
      </c>
      <c r="V134">
        <f>pm.rep!B197</f>
        <v>3.7098199999999998E-2</v>
      </c>
      <c r="W134">
        <f>pm.rep!C197</f>
        <v>5.6126799999999998E-2</v>
      </c>
      <c r="X134">
        <f>pm.rep!D197</f>
        <v>0.145228</v>
      </c>
      <c r="Y134">
        <f>pm.rep!E197</f>
        <v>0.32680199999999998</v>
      </c>
      <c r="Z134">
        <f>pm.rep!F197</f>
        <v>0.58106899999999995</v>
      </c>
      <c r="AA134">
        <f>pm.rep!G197</f>
        <v>0.79851000000000005</v>
      </c>
      <c r="AB134">
        <f>pm.rep!H197</f>
        <v>0.918852</v>
      </c>
      <c r="AC134">
        <f>pm.rep!I197</f>
        <v>0.97001800000000005</v>
      </c>
      <c r="AD134">
        <f>pm.rep!J197</f>
        <v>0.98929800000000001</v>
      </c>
      <c r="AE134">
        <f>pm.rep!K197</f>
        <v>0.996228</v>
      </c>
      <c r="AF134">
        <f>pm.rep!L197</f>
        <v>0.99867700000000004</v>
      </c>
      <c r="AG134">
        <f>pm.rep!M197</f>
        <v>0.99953599999999998</v>
      </c>
      <c r="AH134">
        <f>pm.rep!N197</f>
        <v>0.999838</v>
      </c>
      <c r="AI134">
        <f>pm.rep!O197</f>
        <v>0.99994300000000003</v>
      </c>
      <c r="AJ134">
        <f>pm.rep!P197</f>
        <v>0.99997999999999998</v>
      </c>
      <c r="AL134">
        <v>1990</v>
      </c>
    </row>
    <row r="135" spans="1:55" x14ac:dyDescent="0.15">
      <c r="A135">
        <f t="shared" si="29"/>
        <v>3.7251534898264707</v>
      </c>
      <c r="B135">
        <f t="shared" si="28"/>
        <v>6.5460358631141835</v>
      </c>
      <c r="C135">
        <f>MAX(pm.rep!B144:P144)</f>
        <v>1.40099</v>
      </c>
      <c r="D135" s="21">
        <v>1991</v>
      </c>
      <c r="E135">
        <f>pm.rep!B144</f>
        <v>6.3346300000000002E-4</v>
      </c>
      <c r="F135">
        <f>pm.rep!C144</f>
        <v>3.0010100000000001E-2</v>
      </c>
      <c r="G135">
        <f>pm.rep!D144</f>
        <v>0.15395900000000001</v>
      </c>
      <c r="H135">
        <f>pm.rep!E144</f>
        <v>0.490315</v>
      </c>
      <c r="I135">
        <f>pm.rep!F144</f>
        <v>0.86588699999999996</v>
      </c>
      <c r="J135">
        <f>pm.rep!G144</f>
        <v>1.0662799999999999</v>
      </c>
      <c r="K135">
        <f>pm.rep!H144</f>
        <v>1.3855900000000001</v>
      </c>
      <c r="L135">
        <f>pm.rep!I144</f>
        <v>1.23681</v>
      </c>
      <c r="M135">
        <f>pm.rep!J144</f>
        <v>1.40099</v>
      </c>
      <c r="N135">
        <f>pm.rep!K144</f>
        <v>1.3949199999999999</v>
      </c>
      <c r="O135">
        <f>pm.rep!L144</f>
        <v>1.3949199999999999</v>
      </c>
      <c r="P135">
        <f>pm.rep!M144</f>
        <v>1.3949199999999999</v>
      </c>
      <c r="Q135">
        <f>pm.rep!N144</f>
        <v>1.3949199999999999</v>
      </c>
      <c r="R135">
        <f>pm.rep!O144</f>
        <v>1.3949199999999999</v>
      </c>
      <c r="S135">
        <f>pm.rep!P144</f>
        <v>1.3949199999999999</v>
      </c>
      <c r="U135">
        <v>1991</v>
      </c>
      <c r="V135">
        <f>pm.rep!B198</f>
        <v>8.1551899999999997E-2</v>
      </c>
      <c r="W135">
        <f>pm.rep!C198</f>
        <v>2.8471099999999999E-2</v>
      </c>
      <c r="X135">
        <f>pm.rep!D198</f>
        <v>8.0374699999999993E-2</v>
      </c>
      <c r="Y135">
        <f>pm.rep!E198</f>
        <v>0.206762</v>
      </c>
      <c r="Z135">
        <f>pm.rep!F198</f>
        <v>0.43736999999999998</v>
      </c>
      <c r="AA135">
        <f>pm.rep!G198</f>
        <v>0.69864800000000005</v>
      </c>
      <c r="AB135">
        <f>pm.rep!H198</f>
        <v>0.873645</v>
      </c>
      <c r="AC135">
        <f>pm.rep!I198</f>
        <v>0.95374800000000004</v>
      </c>
      <c r="AD135">
        <f>pm.rep!J198</f>
        <v>0.98399999999999999</v>
      </c>
      <c r="AE135">
        <f>pm.rep!K198</f>
        <v>0.99457700000000004</v>
      </c>
      <c r="AF135">
        <f>pm.rep!L198</f>
        <v>0.99817500000000003</v>
      </c>
      <c r="AG135">
        <f>pm.rep!M198</f>
        <v>0.99938700000000003</v>
      </c>
      <c r="AH135">
        <f>pm.rep!N198</f>
        <v>0.99979399999999996</v>
      </c>
      <c r="AI135">
        <f>pm.rep!O198</f>
        <v>0.99993100000000001</v>
      </c>
      <c r="AJ135">
        <f>pm.rep!P198</f>
        <v>0.999977</v>
      </c>
      <c r="AL135">
        <v>1991</v>
      </c>
      <c r="AM135" s="4">
        <f t="array" ref="AM135:BA135">pm.rep!$B$251:$P$251</f>
        <v>0</v>
      </c>
      <c r="AN135" s="4">
        <v>1.00617</v>
      </c>
      <c r="AO135" s="4">
        <v>1.2048700000000001</v>
      </c>
      <c r="AP135" s="4">
        <v>1.28284</v>
      </c>
      <c r="AQ135" s="4">
        <v>1.31125</v>
      </c>
      <c r="AR135" s="4">
        <v>1.10782</v>
      </c>
      <c r="AS135" s="4">
        <v>1.1216299999999999</v>
      </c>
      <c r="AT135" s="4">
        <v>0.94114500000000001</v>
      </c>
      <c r="AU135" s="4">
        <v>0.94114500000000001</v>
      </c>
      <c r="AV135" s="4">
        <v>0.94114500000000001</v>
      </c>
      <c r="AW135" s="4">
        <v>0.94114500000000001</v>
      </c>
      <c r="AX135" s="4">
        <v>0.94114500000000001</v>
      </c>
      <c r="AY135" s="4">
        <v>0.94114500000000001</v>
      </c>
      <c r="AZ135" s="4">
        <v>0.94114500000000001</v>
      </c>
      <c r="BA135" s="4">
        <v>0.94114500000000001</v>
      </c>
      <c r="BB135" s="4"/>
      <c r="BC135" s="4"/>
    </row>
    <row r="136" spans="1:55" x14ac:dyDescent="0.15">
      <c r="A136">
        <f t="shared" si="29"/>
        <v>4.6184422536993486</v>
      </c>
      <c r="B136">
        <f t="shared" si="28"/>
        <v>6.8038652837892073</v>
      </c>
      <c r="C136">
        <f>MAX(pm.rep!B145:P145)</f>
        <v>1.4434499999999999</v>
      </c>
      <c r="D136" s="21">
        <v>1992</v>
      </c>
      <c r="E136">
        <f>pm.rep!B145</f>
        <v>5.3899299999999998E-4</v>
      </c>
      <c r="F136">
        <f>pm.rep!C145</f>
        <v>2.6718599999999999E-2</v>
      </c>
      <c r="G136">
        <f>pm.rep!D145</f>
        <v>0.206815</v>
      </c>
      <c r="H136">
        <f>pm.rep!E145</f>
        <v>0.37861800000000001</v>
      </c>
      <c r="I136">
        <f>pm.rep!F145</f>
        <v>0.63009499999999996</v>
      </c>
      <c r="J136">
        <f>pm.rep!G145</f>
        <v>1.01674</v>
      </c>
      <c r="K136">
        <f>pm.rep!H145</f>
        <v>1.34077</v>
      </c>
      <c r="L136">
        <f>pm.rep!I145</f>
        <v>1.43102</v>
      </c>
      <c r="M136">
        <f>pm.rep!J145</f>
        <v>1.4434499999999999</v>
      </c>
      <c r="N136">
        <f>pm.rep!K145</f>
        <v>1.4208700000000001</v>
      </c>
      <c r="O136">
        <f>pm.rep!L145</f>
        <v>1.4208700000000001</v>
      </c>
      <c r="P136">
        <f>pm.rep!M145</f>
        <v>1.4208700000000001</v>
      </c>
      <c r="Q136">
        <f>pm.rep!N145</f>
        <v>1.4208700000000001</v>
      </c>
      <c r="R136">
        <f>pm.rep!O145</f>
        <v>1.4208700000000001</v>
      </c>
      <c r="S136">
        <f>pm.rep!P145</f>
        <v>1.4208700000000001</v>
      </c>
      <c r="U136">
        <v>1992</v>
      </c>
      <c r="V136">
        <f>pm.rep!B199</f>
        <v>5.6694099999999997E-2</v>
      </c>
      <c r="W136">
        <f>pm.rep!C199</f>
        <v>3.34927E-2</v>
      </c>
      <c r="X136">
        <f>pm.rep!D199</f>
        <v>9.5076300000000002E-2</v>
      </c>
      <c r="Y136">
        <f>pm.rep!E199</f>
        <v>0.24159</v>
      </c>
      <c r="Z136">
        <f>pm.rep!F199</f>
        <v>0.49130299999999999</v>
      </c>
      <c r="AA136">
        <f>pm.rep!G199</f>
        <v>0.74543199999999998</v>
      </c>
      <c r="AB136">
        <f>pm.rep!H199</f>
        <v>0.89876599999999995</v>
      </c>
      <c r="AC136">
        <f>pm.rep!I199</f>
        <v>0.96418000000000004</v>
      </c>
      <c r="AD136">
        <f>pm.rep!J199</f>
        <v>0.98789499999999997</v>
      </c>
      <c r="AE136">
        <f>pm.rep!K199</f>
        <v>0.99597500000000005</v>
      </c>
      <c r="AF136">
        <f>pm.rep!L199</f>
        <v>0.99866900000000003</v>
      </c>
      <c r="AG136">
        <f>pm.rep!M199</f>
        <v>0.99956100000000003</v>
      </c>
      <c r="AH136">
        <f>pm.rep!N199</f>
        <v>0.99985500000000005</v>
      </c>
      <c r="AI136">
        <f>pm.rep!O199</f>
        <v>0.99995199999999995</v>
      </c>
      <c r="AJ136">
        <f>pm.rep!P199</f>
        <v>0.99998399999999998</v>
      </c>
      <c r="AL136">
        <v>1992</v>
      </c>
    </row>
    <row r="137" spans="1:55" x14ac:dyDescent="0.15">
      <c r="A137">
        <f t="shared" si="29"/>
        <v>3.6868267540959825</v>
      </c>
      <c r="B137">
        <f t="shared" si="28"/>
        <v>6.3245722939738256</v>
      </c>
      <c r="C137">
        <f>MAX(pm.rep!B146:P146)</f>
        <v>1.42116</v>
      </c>
      <c r="D137" s="21">
        <v>1993</v>
      </c>
      <c r="E137">
        <f>pm.rep!B146</f>
        <v>4.75234E-4</v>
      </c>
      <c r="F137">
        <f>pm.rep!C146</f>
        <v>1.7467900000000001E-2</v>
      </c>
      <c r="G137">
        <f>pm.rep!D146</f>
        <v>0.19313900000000001</v>
      </c>
      <c r="H137">
        <f>pm.rep!E146</f>
        <v>0.71436200000000005</v>
      </c>
      <c r="I137">
        <f>pm.rep!F146</f>
        <v>0.63137799999999999</v>
      </c>
      <c r="J137">
        <f>pm.rep!G146</f>
        <v>1.0156000000000001</v>
      </c>
      <c r="K137">
        <f>pm.rep!H146</f>
        <v>1.42116</v>
      </c>
      <c r="L137">
        <f>pm.rep!I146</f>
        <v>1.4190199999999999</v>
      </c>
      <c r="M137">
        <f>pm.rep!J146</f>
        <v>1.4162399999999999</v>
      </c>
      <c r="N137">
        <f>pm.rep!K146</f>
        <v>1.3618600000000001</v>
      </c>
      <c r="O137">
        <f>pm.rep!L146</f>
        <v>1.3618600000000001</v>
      </c>
      <c r="P137">
        <f>pm.rep!M146</f>
        <v>1.3618600000000001</v>
      </c>
      <c r="Q137">
        <f>pm.rep!N146</f>
        <v>1.3618600000000001</v>
      </c>
      <c r="R137">
        <f>pm.rep!O146</f>
        <v>1.3618600000000001</v>
      </c>
      <c r="S137">
        <f>pm.rep!P146</f>
        <v>1.3618600000000001</v>
      </c>
      <c r="U137">
        <v>1993</v>
      </c>
      <c r="V137">
        <f>pm.rep!B200</f>
        <v>4.7585200000000001E-2</v>
      </c>
      <c r="W137">
        <f>pm.rep!C200</f>
        <v>3.4880099999999997E-2</v>
      </c>
      <c r="X137">
        <f>pm.rep!D200</f>
        <v>0.101262</v>
      </c>
      <c r="Y137">
        <f>pm.rep!E200</f>
        <v>0.25994899999999999</v>
      </c>
      <c r="Z137">
        <f>pm.rep!F200</f>
        <v>0.52268999999999999</v>
      </c>
      <c r="AA137">
        <f>pm.rep!G200</f>
        <v>0.77344599999999997</v>
      </c>
      <c r="AB137">
        <f>pm.rep!H200</f>
        <v>0.91411299999999995</v>
      </c>
      <c r="AC137">
        <f>pm.rep!I200</f>
        <v>0.97074400000000005</v>
      </c>
      <c r="AD137">
        <f>pm.rep!J200</f>
        <v>0.99042600000000003</v>
      </c>
      <c r="AE137">
        <f>pm.rep!K200</f>
        <v>0.99690900000000005</v>
      </c>
      <c r="AF137">
        <f>pm.rep!L200</f>
        <v>0.99900599999999995</v>
      </c>
      <c r="AG137">
        <f>pm.rep!M200</f>
        <v>0.99968100000000004</v>
      </c>
      <c r="AH137">
        <f>pm.rep!N200</f>
        <v>0.99989799999999995</v>
      </c>
      <c r="AI137">
        <f>pm.rep!O200</f>
        <v>0.99996700000000005</v>
      </c>
      <c r="AJ137">
        <f>pm.rep!P200</f>
        <v>0.99998900000000002</v>
      </c>
      <c r="AL137">
        <v>1993</v>
      </c>
    </row>
    <row r="138" spans="1:55" x14ac:dyDescent="0.15">
      <c r="A138">
        <f t="shared" si="29"/>
        <v>3.4313963303661219</v>
      </c>
      <c r="B138">
        <f t="shared" si="28"/>
        <v>6.1563065708246212</v>
      </c>
      <c r="C138">
        <f>MAX(pm.rep!B147:P147)</f>
        <v>1.3995599999999999</v>
      </c>
      <c r="D138" s="21">
        <v>1994</v>
      </c>
      <c r="E138">
        <f>pm.rep!B147</f>
        <v>4.2784000000000002E-4</v>
      </c>
      <c r="F138">
        <f>pm.rep!C147</f>
        <v>1.6273300000000001E-2</v>
      </c>
      <c r="G138">
        <f>pm.rep!D147</f>
        <v>9.4785599999999998E-2</v>
      </c>
      <c r="H138">
        <f>pm.rep!E147</f>
        <v>0.42780400000000002</v>
      </c>
      <c r="I138">
        <f>pm.rep!F147</f>
        <v>1.1334200000000001</v>
      </c>
      <c r="J138">
        <f>pm.rep!G147</f>
        <v>1.0955699999999999</v>
      </c>
      <c r="K138">
        <f>pm.rep!H147</f>
        <v>1.3995599999999999</v>
      </c>
      <c r="L138">
        <f>pm.rep!I147</f>
        <v>1.3927</v>
      </c>
      <c r="M138">
        <f>pm.rep!J147</f>
        <v>1.37602</v>
      </c>
      <c r="N138">
        <f>pm.rep!K147</f>
        <v>1.3439099999999999</v>
      </c>
      <c r="O138">
        <f>pm.rep!L147</f>
        <v>1.3439099999999999</v>
      </c>
      <c r="P138">
        <f>pm.rep!M147</f>
        <v>1.3439099999999999</v>
      </c>
      <c r="Q138">
        <f>pm.rep!N147</f>
        <v>1.3439099999999999</v>
      </c>
      <c r="R138">
        <f>pm.rep!O147</f>
        <v>1.3439099999999999</v>
      </c>
      <c r="S138">
        <f>pm.rep!P147</f>
        <v>1.3439099999999999</v>
      </c>
      <c r="U138">
        <v>1994</v>
      </c>
      <c r="V138">
        <f>pm.rep!B201</f>
        <v>7.0868299999999995E-2</v>
      </c>
      <c r="W138">
        <f>pm.rep!C201</f>
        <v>2.4059000000000001E-2</v>
      </c>
      <c r="X138">
        <f>pm.rep!D201</f>
        <v>7.1488300000000005E-2</v>
      </c>
      <c r="Y138">
        <f>pm.rep!E201</f>
        <v>0.19384699999999999</v>
      </c>
      <c r="Z138">
        <f>pm.rep!F201</f>
        <v>0.428894</v>
      </c>
      <c r="AA138">
        <f>pm.rep!G201</f>
        <v>0.70108700000000002</v>
      </c>
      <c r="AB138">
        <f>pm.rep!H201</f>
        <v>0.87988299999999997</v>
      </c>
      <c r="AC138">
        <f>pm.rep!I201</f>
        <v>0.95811999999999997</v>
      </c>
      <c r="AD138">
        <f>pm.rep!J201</f>
        <v>0.98619800000000002</v>
      </c>
      <c r="AE138">
        <f>pm.rep!K201</f>
        <v>0.99553899999999995</v>
      </c>
      <c r="AF138">
        <f>pm.rep!L201</f>
        <v>0.99856699999999998</v>
      </c>
      <c r="AG138">
        <f>pm.rep!M201</f>
        <v>0.99954100000000001</v>
      </c>
      <c r="AH138">
        <f>pm.rep!N201</f>
        <v>0.99985299999999999</v>
      </c>
      <c r="AI138">
        <f>pm.rep!O201</f>
        <v>0.99995299999999998</v>
      </c>
      <c r="AJ138">
        <f>pm.rep!P201</f>
        <v>0.99998500000000001</v>
      </c>
      <c r="AL138">
        <v>1994</v>
      </c>
      <c r="AM138" s="4">
        <f t="array" ref="AM138:BA138">pm.rep!$B$254:$P$254</f>
        <v>0</v>
      </c>
      <c r="AN138" s="4">
        <v>1.00617</v>
      </c>
      <c r="AO138" s="4">
        <v>1.2048700000000001</v>
      </c>
      <c r="AP138" s="4">
        <v>1.28284</v>
      </c>
      <c r="AQ138" s="4">
        <v>1.31125</v>
      </c>
      <c r="AR138" s="4">
        <v>1.10782</v>
      </c>
      <c r="AS138" s="4">
        <v>1.1216299999999999</v>
      </c>
      <c r="AT138" s="4">
        <v>0.94114500000000001</v>
      </c>
      <c r="AU138" s="4">
        <v>0.94114500000000001</v>
      </c>
      <c r="AV138" s="4">
        <v>0.94114500000000001</v>
      </c>
      <c r="AW138" s="4">
        <v>0.94114500000000001</v>
      </c>
      <c r="AX138" s="4">
        <v>0.94114500000000001</v>
      </c>
      <c r="AY138" s="4">
        <v>0.94114500000000001</v>
      </c>
      <c r="AZ138" s="4">
        <v>0.94114500000000001</v>
      </c>
      <c r="BA138" s="4">
        <v>0.94114500000000001</v>
      </c>
      <c r="BB138" s="4"/>
      <c r="BC138" s="4"/>
    </row>
    <row r="139" spans="1:55" x14ac:dyDescent="0.15">
      <c r="A139">
        <f t="shared" si="29"/>
        <v>5.4656633902061005</v>
      </c>
      <c r="B139">
        <f t="shared" si="28"/>
        <v>6.2194420429279962</v>
      </c>
      <c r="C139">
        <f>MAX(pm.rep!B148:P148)</f>
        <v>1.57376</v>
      </c>
      <c r="D139" s="21">
        <v>1995</v>
      </c>
      <c r="E139">
        <f>pm.rep!B148</f>
        <v>3.7747799999999999E-4</v>
      </c>
      <c r="F139">
        <f>pm.rep!C148</f>
        <v>1.7277399999999998E-2</v>
      </c>
      <c r="G139">
        <f>pm.rep!D148</f>
        <v>6.3384099999999999E-2</v>
      </c>
      <c r="H139">
        <f>pm.rep!E148</f>
        <v>0.207731</v>
      </c>
      <c r="I139">
        <f>pm.rep!F148</f>
        <v>0.761374</v>
      </c>
      <c r="J139">
        <f>pm.rep!G148</f>
        <v>1.57376</v>
      </c>
      <c r="K139">
        <f>pm.rep!H148</f>
        <v>1.4442699999999999</v>
      </c>
      <c r="L139">
        <f>pm.rep!I148</f>
        <v>1.4359200000000001</v>
      </c>
      <c r="M139">
        <f>pm.rep!J148</f>
        <v>1.3933599999999999</v>
      </c>
      <c r="N139">
        <f>pm.rep!K148</f>
        <v>1.35042</v>
      </c>
      <c r="O139">
        <f>pm.rep!L148</f>
        <v>1.35042</v>
      </c>
      <c r="P139">
        <f>pm.rep!M148</f>
        <v>1.35042</v>
      </c>
      <c r="Q139">
        <f>pm.rep!N148</f>
        <v>1.35042</v>
      </c>
      <c r="R139">
        <f>pm.rep!O148</f>
        <v>1.35042</v>
      </c>
      <c r="S139">
        <f>pm.rep!P148</f>
        <v>1.35042</v>
      </c>
      <c r="U139">
        <v>1995</v>
      </c>
      <c r="V139">
        <f>pm.rep!B202</f>
        <v>7.6112799999999994E-2</v>
      </c>
      <c r="W139">
        <f>pm.rep!C202</f>
        <v>1.2233900000000001E-2</v>
      </c>
      <c r="X139">
        <f>pm.rep!D202</f>
        <v>3.6290099999999999E-2</v>
      </c>
      <c r="Y139">
        <f>pm.rep!E202</f>
        <v>0.10273</v>
      </c>
      <c r="Z139">
        <f>pm.rep!F202</f>
        <v>0.25821499999999997</v>
      </c>
      <c r="AA139">
        <f>pm.rep!G202</f>
        <v>0.51417800000000002</v>
      </c>
      <c r="AB139">
        <f>pm.rep!H202</f>
        <v>0.76291299999999995</v>
      </c>
      <c r="AC139">
        <f>pm.rep!I202</f>
        <v>0.90726700000000005</v>
      </c>
      <c r="AD139">
        <f>pm.rep!J202</f>
        <v>0.967476</v>
      </c>
      <c r="AE139">
        <f>pm.rep!K202</f>
        <v>0.98906400000000005</v>
      </c>
      <c r="AF139">
        <f>pm.rep!L202</f>
        <v>0.99637600000000004</v>
      </c>
      <c r="AG139">
        <f>pm.rep!M202</f>
        <v>0.99880500000000005</v>
      </c>
      <c r="AH139">
        <f>pm.rep!N202</f>
        <v>0.99960700000000002</v>
      </c>
      <c r="AI139">
        <f>pm.rep!O202</f>
        <v>0.99987099999999995</v>
      </c>
      <c r="AJ139">
        <f>pm.rep!P202</f>
        <v>0.99995699999999998</v>
      </c>
      <c r="AL139">
        <v>1995</v>
      </c>
    </row>
    <row r="140" spans="1:55" x14ac:dyDescent="0.15">
      <c r="A140">
        <f t="shared" si="29"/>
        <v>10.1049224593317</v>
      </c>
      <c r="B140">
        <f t="shared" si="28"/>
        <v>6.6231928387501871</v>
      </c>
      <c r="C140">
        <f>MAX(pm.rep!B149:P149)</f>
        <v>1.7607299999999999</v>
      </c>
      <c r="D140" s="21">
        <v>1996</v>
      </c>
      <c r="E140">
        <f>pm.rep!B149</f>
        <v>3.3111099999999998E-4</v>
      </c>
      <c r="F140">
        <f>pm.rep!C149</f>
        <v>2.2821999999999999E-2</v>
      </c>
      <c r="G140">
        <f>pm.rep!D149</f>
        <v>7.1469500000000005E-2</v>
      </c>
      <c r="H140">
        <f>pm.rep!E149</f>
        <v>0.101302</v>
      </c>
      <c r="I140">
        <f>pm.rep!F149</f>
        <v>0.372089</v>
      </c>
      <c r="J140">
        <f>pm.rep!G149</f>
        <v>1.1145400000000001</v>
      </c>
      <c r="K140">
        <f>pm.rep!H149</f>
        <v>1.7607299999999999</v>
      </c>
      <c r="L140">
        <f>pm.rep!I149</f>
        <v>1.7252799999999999</v>
      </c>
      <c r="M140">
        <f>pm.rep!J149</f>
        <v>1.5297799999999999</v>
      </c>
      <c r="N140">
        <f>pm.rep!K149</f>
        <v>1.38361</v>
      </c>
      <c r="O140">
        <f>pm.rep!L149</f>
        <v>1.38361</v>
      </c>
      <c r="P140">
        <f>pm.rep!M149</f>
        <v>1.38361</v>
      </c>
      <c r="Q140">
        <f>pm.rep!N149</f>
        <v>1.38361</v>
      </c>
      <c r="R140">
        <f>pm.rep!O149</f>
        <v>1.38361</v>
      </c>
      <c r="S140">
        <f>pm.rep!P149</f>
        <v>1.38361</v>
      </c>
      <c r="U140">
        <v>1996</v>
      </c>
      <c r="V140">
        <f>pm.rep!B203</f>
        <v>5.60289E-2</v>
      </c>
      <c r="W140">
        <f>pm.rep!C203</f>
        <v>1.00272E-2</v>
      </c>
      <c r="X140">
        <f>pm.rep!D203</f>
        <v>2.6279799999999999E-2</v>
      </c>
      <c r="Y140">
        <f>pm.rep!E203</f>
        <v>6.7090700000000003E-2</v>
      </c>
      <c r="Z140">
        <f>pm.rep!F203</f>
        <v>0.16081100000000001</v>
      </c>
      <c r="AA140">
        <f>pm.rep!G203</f>
        <v>0.33801700000000001</v>
      </c>
      <c r="AB140">
        <f>pm.rep!H203</f>
        <v>0.576376</v>
      </c>
      <c r="AC140">
        <f>pm.rep!I203</f>
        <v>0.78380399999999995</v>
      </c>
      <c r="AD140">
        <f>pm.rep!J203</f>
        <v>0.90619499999999997</v>
      </c>
      <c r="AE140">
        <f>pm.rep!K203</f>
        <v>0.96260400000000002</v>
      </c>
      <c r="AF140">
        <f>pm.rep!L203</f>
        <v>0.98563000000000001</v>
      </c>
      <c r="AG140">
        <f>pm.rep!M203</f>
        <v>0.99455800000000005</v>
      </c>
      <c r="AH140">
        <f>pm.rep!N203</f>
        <v>0.99795100000000003</v>
      </c>
      <c r="AI140">
        <f>pm.rep!O203</f>
        <v>0.99922999999999995</v>
      </c>
      <c r="AJ140">
        <f>pm.rep!P203</f>
        <v>0.99971100000000002</v>
      </c>
      <c r="AL140">
        <v>1996</v>
      </c>
      <c r="AM140">
        <f t="array" ref="AM140:BA140">pm.rep!$B$256:$P$256</f>
        <v>0</v>
      </c>
      <c r="AN140">
        <v>1.00617</v>
      </c>
      <c r="AO140">
        <v>1.2048700000000001</v>
      </c>
      <c r="AP140">
        <v>1.28284</v>
      </c>
      <c r="AQ140">
        <v>1.31125</v>
      </c>
      <c r="AR140">
        <v>1.10782</v>
      </c>
      <c r="AS140">
        <v>1.1216299999999999</v>
      </c>
      <c r="AT140">
        <v>0.94114500000000001</v>
      </c>
      <c r="AU140">
        <v>0.94114500000000001</v>
      </c>
      <c r="AV140">
        <v>0.94114500000000001</v>
      </c>
      <c r="AW140">
        <v>0.94114500000000001</v>
      </c>
      <c r="AX140">
        <v>0.94114500000000001</v>
      </c>
      <c r="AY140">
        <v>0.94114500000000001</v>
      </c>
      <c r="AZ140">
        <v>0.94114500000000001</v>
      </c>
      <c r="BA140">
        <v>0.94114500000000001</v>
      </c>
    </row>
    <row r="141" spans="1:55" x14ac:dyDescent="0.15">
      <c r="A141">
        <f t="shared" si="29"/>
        <v>8.5831392481792328</v>
      </c>
      <c r="B141">
        <f t="shared" si="28"/>
        <v>7.9292036264869772</v>
      </c>
      <c r="C141">
        <f>MAX(pm.rep!B150:P150)</f>
        <v>1.6109199999999999</v>
      </c>
      <c r="D141" s="21">
        <v>1997</v>
      </c>
      <c r="E141">
        <f>pm.rep!B150</f>
        <v>3.0193599999999999E-4</v>
      </c>
      <c r="F141">
        <f>pm.rep!C150</f>
        <v>3.08335E-2</v>
      </c>
      <c r="G141">
        <f>pm.rep!D150</f>
        <v>8.3875500000000006E-2</v>
      </c>
      <c r="H141">
        <f>pm.rep!E150</f>
        <v>0.17175799999999999</v>
      </c>
      <c r="I141">
        <f>pm.rep!F150</f>
        <v>0.38195299999999999</v>
      </c>
      <c r="J141">
        <f>pm.rep!G150</f>
        <v>0.79022300000000001</v>
      </c>
      <c r="K141">
        <f>pm.rep!H150</f>
        <v>1.33006</v>
      </c>
      <c r="L141">
        <f>pm.rep!I150</f>
        <v>1.5282500000000001</v>
      </c>
      <c r="M141">
        <f>pm.rep!J150</f>
        <v>1.6109199999999999</v>
      </c>
      <c r="N141">
        <f>pm.rep!K150</f>
        <v>1.51197</v>
      </c>
      <c r="O141">
        <f>pm.rep!L150</f>
        <v>1.51197</v>
      </c>
      <c r="P141">
        <f>pm.rep!M150</f>
        <v>1.51197</v>
      </c>
      <c r="Q141">
        <f>pm.rep!N150</f>
        <v>1.51197</v>
      </c>
      <c r="R141">
        <f>pm.rep!O150</f>
        <v>1.51197</v>
      </c>
      <c r="S141">
        <f>pm.rep!P150</f>
        <v>1.51197</v>
      </c>
      <c r="U141">
        <v>1997</v>
      </c>
      <c r="V141">
        <f>pm.rep!B204</f>
        <v>5.3754499999999997E-2</v>
      </c>
      <c r="W141">
        <f>pm.rep!C204</f>
        <v>1.9001299999999999E-2</v>
      </c>
      <c r="X141">
        <f>pm.rep!D204</f>
        <v>4.3343600000000003E-2</v>
      </c>
      <c r="Y141">
        <f>pm.rep!E204</f>
        <v>9.5824099999999995E-2</v>
      </c>
      <c r="Z141">
        <f>pm.rep!F204</f>
        <v>0.198653</v>
      </c>
      <c r="AA141">
        <f>pm.rep!G204</f>
        <v>0.367035</v>
      </c>
      <c r="AB141">
        <f>pm.rep!H204</f>
        <v>0.57562000000000002</v>
      </c>
      <c r="AC141">
        <f>pm.rep!I204</f>
        <v>0.76034900000000005</v>
      </c>
      <c r="AD141">
        <f>pm.rep!J204</f>
        <v>0.88125500000000001</v>
      </c>
      <c r="AE141">
        <f>pm.rep!K204</f>
        <v>0.94553299999999996</v>
      </c>
      <c r="AF141">
        <f>pm.rep!L204</f>
        <v>0.97596499999999997</v>
      </c>
      <c r="AG141">
        <f>pm.rep!M204</f>
        <v>0.98958199999999996</v>
      </c>
      <c r="AH141">
        <f>pm.rep!N204</f>
        <v>0.99551900000000004</v>
      </c>
      <c r="AI141">
        <f>pm.rep!O204</f>
        <v>0.99807999999999997</v>
      </c>
      <c r="AJ141">
        <f>pm.rep!P204</f>
        <v>0.99917800000000001</v>
      </c>
      <c r="AL141">
        <v>1997</v>
      </c>
      <c r="AM141">
        <f>pm.rep!B257</f>
        <v>0</v>
      </c>
      <c r="AN141">
        <f>pm.rep!C257</f>
        <v>1.00617</v>
      </c>
      <c r="AO141">
        <f>pm.rep!D257</f>
        <v>1.2048700000000001</v>
      </c>
      <c r="AP141">
        <f>pm.rep!E257</f>
        <v>1.28284</v>
      </c>
      <c r="AQ141">
        <f>pm.rep!F257</f>
        <v>1.31125</v>
      </c>
      <c r="AR141">
        <f>pm.rep!G257</f>
        <v>1.10782</v>
      </c>
      <c r="AS141">
        <f>pm.rep!H257</f>
        <v>1.1216299999999999</v>
      </c>
      <c r="AT141">
        <f>pm.rep!I257</f>
        <v>0.94114500000000001</v>
      </c>
      <c r="AU141">
        <f>pm.rep!J257</f>
        <v>0.94114500000000001</v>
      </c>
      <c r="AV141">
        <f>pm.rep!K257</f>
        <v>0.94114500000000001</v>
      </c>
      <c r="AW141">
        <f>pm.rep!L257</f>
        <v>0.94114500000000001</v>
      </c>
      <c r="AX141">
        <f>pm.rep!M257</f>
        <v>0.94114500000000001</v>
      </c>
      <c r="AY141">
        <f>pm.rep!N257</f>
        <v>0.94114500000000001</v>
      </c>
      <c r="AZ141">
        <f>pm.rep!O257</f>
        <v>0.94114500000000001</v>
      </c>
      <c r="BA141">
        <f>pm.rep!P257</f>
        <v>0.94114500000000001</v>
      </c>
    </row>
    <row r="142" spans="1:55" x14ac:dyDescent="0.15">
      <c r="A142">
        <f t="shared" si="29"/>
        <v>6.7666144162715298</v>
      </c>
      <c r="B142">
        <f t="shared" si="28"/>
        <v>7.8296779360551696</v>
      </c>
      <c r="C142">
        <f>MAX(pm.rep!B151:P151)</f>
        <v>1.6080099999999999</v>
      </c>
      <c r="D142" s="21">
        <v>1998</v>
      </c>
      <c r="E142">
        <f>pm.rep!B151</f>
        <v>2.7212699999999999E-4</v>
      </c>
      <c r="F142">
        <f>pm.rep!C151</f>
        <v>2.3681899999999999E-2</v>
      </c>
      <c r="G142">
        <f>pm.rep!D151</f>
        <v>0.11805400000000001</v>
      </c>
      <c r="H142">
        <f>pm.rep!E151</f>
        <v>0.24415700000000001</v>
      </c>
      <c r="I142">
        <f>pm.rep!F151</f>
        <v>0.46207799999999999</v>
      </c>
      <c r="J142">
        <f>pm.rep!G151</f>
        <v>0.99817999999999996</v>
      </c>
      <c r="K142">
        <f>pm.rep!H151</f>
        <v>1.0678300000000001</v>
      </c>
      <c r="L142">
        <f>pm.rep!I151</f>
        <v>1.4578800000000001</v>
      </c>
      <c r="M142">
        <f>pm.rep!J151</f>
        <v>1.6080099999999999</v>
      </c>
      <c r="N142">
        <f>pm.rep!K151</f>
        <v>1.5033099999999999</v>
      </c>
      <c r="O142">
        <f>pm.rep!L151</f>
        <v>1.5033099999999999</v>
      </c>
      <c r="P142">
        <f>pm.rep!M151</f>
        <v>1.5033099999999999</v>
      </c>
      <c r="Q142">
        <f>pm.rep!N151</f>
        <v>1.5033099999999999</v>
      </c>
      <c r="R142">
        <f>pm.rep!O151</f>
        <v>1.5033099999999999</v>
      </c>
      <c r="S142">
        <f>pm.rep!P151</f>
        <v>1.5033099999999999</v>
      </c>
      <c r="U142">
        <v>1998</v>
      </c>
      <c r="V142">
        <f>pm.rep!B205</f>
        <v>3.9538499999999997E-2</v>
      </c>
      <c r="W142">
        <f>pm.rep!C205</f>
        <v>1.89649E-2</v>
      </c>
      <c r="X142">
        <f>pm.rep!D205</f>
        <v>3.9634999999999997E-2</v>
      </c>
      <c r="Y142">
        <f>pm.rep!E205</f>
        <v>8.0973900000000001E-2</v>
      </c>
      <c r="Z142">
        <f>pm.rep!F205</f>
        <v>0.15832099999999999</v>
      </c>
      <c r="AA142">
        <f>pm.rep!G205</f>
        <v>0.28651700000000002</v>
      </c>
      <c r="AB142">
        <f>pm.rep!H205</f>
        <v>0.46159</v>
      </c>
      <c r="AC142">
        <f>pm.rep!I205</f>
        <v>0.64667799999999998</v>
      </c>
      <c r="AD142">
        <f>pm.rep!J205</f>
        <v>0.79622800000000005</v>
      </c>
      <c r="AE142">
        <f>pm.rep!K205</f>
        <v>0.89295599999999997</v>
      </c>
      <c r="AF142">
        <f>pm.rep!L205</f>
        <v>0.94683399999999995</v>
      </c>
      <c r="AG142">
        <f>pm.rep!M205</f>
        <v>0.97437300000000004</v>
      </c>
      <c r="AH142">
        <f>pm.rep!N205</f>
        <v>0.98782999999999999</v>
      </c>
      <c r="AI142">
        <f>pm.rep!O205</f>
        <v>0.99426199999999998</v>
      </c>
      <c r="AJ142">
        <f>pm.rep!P205</f>
        <v>0.99730399999999997</v>
      </c>
      <c r="AL142">
        <v>1998</v>
      </c>
    </row>
    <row r="143" spans="1:55" x14ac:dyDescent="0.15">
      <c r="A143">
        <f t="shared" si="29"/>
        <v>4.2204031525831258</v>
      </c>
      <c r="B143">
        <f>SUMPRODUCT($E$143:$L$143,$E$107:$L$107)/SUM(E143:L143)</f>
        <v>6.4013463629565308</v>
      </c>
      <c r="C143">
        <f>MAX(pm.rep!B152:P152)</f>
        <v>1.5681</v>
      </c>
      <c r="D143" s="21">
        <v>1999</v>
      </c>
      <c r="E143">
        <f>pm.rep!B152</f>
        <v>2.5149500000000002E-4</v>
      </c>
      <c r="F143">
        <f>pm.rep!C152</f>
        <v>1.7746000000000001E-2</v>
      </c>
      <c r="G143">
        <f>pm.rep!D152</f>
        <v>0.28379700000000002</v>
      </c>
      <c r="H143">
        <f>pm.rep!E152</f>
        <v>0.438411</v>
      </c>
      <c r="I143">
        <f>pm.rep!F152</f>
        <v>0.61979099999999998</v>
      </c>
      <c r="J143">
        <f>pm.rep!G152</f>
        <v>0.92037999999999998</v>
      </c>
      <c r="K143">
        <f>pm.rep!H152</f>
        <v>1.5681</v>
      </c>
      <c r="L143">
        <f>pm.rep!I152</f>
        <v>1.4992099999999999</v>
      </c>
      <c r="M143">
        <f>pm.rep!J152</f>
        <v>1.4489700000000001</v>
      </c>
      <c r="N143">
        <f>pm.rep!K152</f>
        <v>1.3672200000000001</v>
      </c>
      <c r="O143">
        <f>pm.rep!L152</f>
        <v>1.3672200000000001</v>
      </c>
      <c r="P143">
        <f>pm.rep!M152</f>
        <v>1.3672200000000001</v>
      </c>
      <c r="Q143">
        <f>pm.rep!N152</f>
        <v>1.3672200000000001</v>
      </c>
      <c r="R143">
        <f>pm.rep!O152</f>
        <v>1.3672200000000001</v>
      </c>
      <c r="S143">
        <f>pm.rep!P152</f>
        <v>1.3672200000000001</v>
      </c>
      <c r="U143">
        <v>1999</v>
      </c>
      <c r="V143">
        <f>pm.rep!B206</f>
        <v>4.7252500000000003E-2</v>
      </c>
      <c r="W143">
        <f>pm.rep!C206</f>
        <v>4.3188200000000003E-2</v>
      </c>
      <c r="X143">
        <f>pm.rep!D206</f>
        <v>8.54911E-2</v>
      </c>
      <c r="Y143">
        <f>pm.rep!E206</f>
        <v>0.16220499999999999</v>
      </c>
      <c r="Z143">
        <f>pm.rep!F206</f>
        <v>0.28621400000000002</v>
      </c>
      <c r="AA143">
        <f>pm.rep!G206</f>
        <v>0.45368799999999998</v>
      </c>
      <c r="AB143">
        <f>pm.rep!H206</f>
        <v>0.63234400000000002</v>
      </c>
      <c r="AC143">
        <f>pm.rep!I206</f>
        <v>0.78080300000000002</v>
      </c>
      <c r="AD143">
        <f>pm.rep!J206</f>
        <v>0.88063000000000002</v>
      </c>
      <c r="AE143">
        <f>pm.rep!K206</f>
        <v>0.93857100000000004</v>
      </c>
      <c r="AF143">
        <f>pm.rep!L206</f>
        <v>0.96936599999999995</v>
      </c>
      <c r="AG143">
        <f>pm.rep!M206</f>
        <v>0.98497100000000004</v>
      </c>
      <c r="AH143">
        <f>pm.rep!N206</f>
        <v>0.99268599999999996</v>
      </c>
      <c r="AI143">
        <f>pm.rep!O206</f>
        <v>0.99645499999999998</v>
      </c>
      <c r="AJ143">
        <f>pm.rep!P206</f>
        <v>0.99828499999999998</v>
      </c>
      <c r="AL143">
        <v>1999</v>
      </c>
      <c r="AM143">
        <f>pm.rep!B259</f>
        <v>0</v>
      </c>
      <c r="AN143">
        <f>pm.rep!C259</f>
        <v>1.00617</v>
      </c>
      <c r="AO143">
        <f>pm.rep!D259</f>
        <v>1.2048700000000001</v>
      </c>
      <c r="AP143">
        <f>pm.rep!E259</f>
        <v>1.28284</v>
      </c>
      <c r="AQ143">
        <f>pm.rep!F259</f>
        <v>1.31125</v>
      </c>
      <c r="AR143">
        <f>pm.rep!G259</f>
        <v>1.10782</v>
      </c>
      <c r="AS143">
        <f>pm.rep!H259</f>
        <v>1.1216299999999999</v>
      </c>
      <c r="AT143">
        <f>pm.rep!I259</f>
        <v>0.94114500000000001</v>
      </c>
      <c r="AU143">
        <f>pm.rep!J259</f>
        <v>0.94114500000000001</v>
      </c>
      <c r="AV143">
        <f>pm.rep!K259</f>
        <v>0.94114500000000001</v>
      </c>
      <c r="AW143">
        <f>pm.rep!L259</f>
        <v>0.94114500000000001</v>
      </c>
      <c r="AX143">
        <f>pm.rep!M259</f>
        <v>0.94114500000000001</v>
      </c>
      <c r="AY143">
        <f>pm.rep!N259</f>
        <v>0.94114500000000001</v>
      </c>
      <c r="AZ143">
        <f>pm.rep!O259</f>
        <v>0.94114500000000001</v>
      </c>
      <c r="BA143">
        <f>pm.rep!P259</f>
        <v>0.94114500000000001</v>
      </c>
    </row>
    <row r="144" spans="1:55" x14ac:dyDescent="0.15">
      <c r="A144">
        <f t="shared" si="29"/>
        <v>3.5352124929813691</v>
      </c>
      <c r="B144">
        <f t="shared" ref="B144:B159" si="30">SUMPRODUCT($E$143:$L$143,$E$107:$L$107)/SUM(E144:L144)</f>
        <v>5.9236638225556799</v>
      </c>
      <c r="C144" s="25">
        <f t="shared" ref="C144:C150" si="31">MAX(E144:S144)</f>
        <v>1.82857</v>
      </c>
      <c r="D144" s="21">
        <v>2000</v>
      </c>
      <c r="E144">
        <f>pm.rep!B153</f>
        <v>2.2258999999999999E-4</v>
      </c>
      <c r="F144">
        <f>pm.rep!C153</f>
        <v>1.5327800000000001E-2</v>
      </c>
      <c r="G144">
        <f>pm.rep!D153</f>
        <v>0.150949</v>
      </c>
      <c r="H144">
        <f>pm.rep!E153</f>
        <v>0.557639</v>
      </c>
      <c r="I144">
        <f>pm.rep!F153</f>
        <v>0.899451</v>
      </c>
      <c r="J144">
        <f>pm.rep!G153</f>
        <v>0.89240299999999995</v>
      </c>
      <c r="K144">
        <f>pm.rep!H153</f>
        <v>1.4343600000000001</v>
      </c>
      <c r="L144">
        <f>pm.rep!I153</f>
        <v>1.82857</v>
      </c>
      <c r="M144">
        <f>pm.rep!J153</f>
        <v>1.4610799999999999</v>
      </c>
      <c r="N144">
        <f>pm.rep!K153</f>
        <v>1.2933300000000001</v>
      </c>
      <c r="O144">
        <f>pm.rep!L153</f>
        <v>1.2933300000000001</v>
      </c>
      <c r="P144">
        <f>pm.rep!M153</f>
        <v>1.2933300000000001</v>
      </c>
      <c r="Q144">
        <f>pm.rep!N153</f>
        <v>1.2933300000000001</v>
      </c>
      <c r="R144">
        <f>pm.rep!O153</f>
        <v>1.2933300000000001</v>
      </c>
      <c r="S144">
        <f>pm.rep!P153</f>
        <v>1.2933300000000001</v>
      </c>
      <c r="U144">
        <v>2000</v>
      </c>
      <c r="V144">
        <f>pm.rep!B207</f>
        <v>3.1841099999999997E-2</v>
      </c>
      <c r="W144">
        <f>pm.rep!C207</f>
        <v>4.1831100000000003E-2</v>
      </c>
      <c r="X144">
        <f>pm.rep!D207</f>
        <v>8.6451399999999998E-2</v>
      </c>
      <c r="Y144">
        <f>pm.rep!E207</f>
        <v>0.170212</v>
      </c>
      <c r="Z144">
        <f>pm.rep!F207</f>
        <v>0.30778499999999998</v>
      </c>
      <c r="AA144">
        <f>pm.rep!G207</f>
        <v>0.49078500000000003</v>
      </c>
      <c r="AB144">
        <f>pm.rep!H207</f>
        <v>0.67628900000000003</v>
      </c>
      <c r="AC144">
        <f>pm.rep!I207</f>
        <v>0.81911999999999996</v>
      </c>
      <c r="AD144">
        <f>pm.rep!J207</f>
        <v>0.90754599999999996</v>
      </c>
      <c r="AE144">
        <f>pm.rep!K207</f>
        <v>0.95511199999999996</v>
      </c>
      <c r="AF144">
        <f>pm.rep!L207</f>
        <v>0.97877800000000004</v>
      </c>
      <c r="AG144">
        <f>pm.rep!M207</f>
        <v>0.990097</v>
      </c>
      <c r="AH144">
        <f>pm.rep!N207</f>
        <v>0.99540700000000004</v>
      </c>
      <c r="AI144">
        <f>pm.rep!O207</f>
        <v>0.99787599999999999</v>
      </c>
      <c r="AJ144">
        <f>pm.rep!P207</f>
        <v>0.99901899999999999</v>
      </c>
      <c r="AL144">
        <v>2000</v>
      </c>
      <c r="AM144">
        <f>pm.rep!B260</f>
        <v>0</v>
      </c>
      <c r="AN144">
        <f>pm.rep!C260</f>
        <v>1.00617</v>
      </c>
      <c r="AO144">
        <f>pm.rep!D260</f>
        <v>1.2048700000000001</v>
      </c>
      <c r="AP144">
        <f>pm.rep!E260</f>
        <v>1.28284</v>
      </c>
      <c r="AQ144">
        <f>pm.rep!F260</f>
        <v>1.31125</v>
      </c>
      <c r="AR144">
        <f>pm.rep!G260</f>
        <v>1.10782</v>
      </c>
      <c r="AS144">
        <f>pm.rep!H260</f>
        <v>1.1216299999999999</v>
      </c>
      <c r="AT144">
        <f>pm.rep!I260</f>
        <v>0.94114500000000001</v>
      </c>
      <c r="AU144">
        <f>pm.rep!J260</f>
        <v>0.94114500000000001</v>
      </c>
      <c r="AV144">
        <f>pm.rep!K260</f>
        <v>0.94114500000000001</v>
      </c>
      <c r="AW144">
        <f>pm.rep!L260</f>
        <v>0.94114500000000001</v>
      </c>
      <c r="AX144">
        <f>pm.rep!M260</f>
        <v>0.94114500000000001</v>
      </c>
      <c r="AY144">
        <f>pm.rep!N260</f>
        <v>0.94114500000000001</v>
      </c>
      <c r="AZ144">
        <f>pm.rep!O260</f>
        <v>0.94114500000000001</v>
      </c>
      <c r="BA144">
        <f>pm.rep!P260</f>
        <v>0.94114500000000001</v>
      </c>
    </row>
    <row r="145" spans="1:53" x14ac:dyDescent="0.15">
      <c r="A145">
        <f t="shared" si="29"/>
        <v>3.7666321618172063</v>
      </c>
      <c r="B145">
        <f t="shared" si="30"/>
        <v>5.6989714154571534</v>
      </c>
      <c r="C145" s="25">
        <f t="shared" si="31"/>
        <v>1.5150300000000001</v>
      </c>
      <c r="D145" s="21">
        <v>2001</v>
      </c>
      <c r="E145">
        <f>pm.rep!B154</f>
        <v>1.9941100000000001E-4</v>
      </c>
      <c r="F145">
        <f>pm.rep!C154</f>
        <v>1.12844E-2</v>
      </c>
      <c r="G145">
        <f>pm.rep!D154</f>
        <v>9.5981200000000003E-2</v>
      </c>
      <c r="H145">
        <f>pm.rep!E154</f>
        <v>0.37965199999999999</v>
      </c>
      <c r="I145">
        <f>pm.rep!F154</f>
        <v>1.0367200000000001</v>
      </c>
      <c r="J145">
        <f>pm.rep!G154</f>
        <v>1.5150300000000001</v>
      </c>
      <c r="K145">
        <f>pm.rep!H154</f>
        <v>1.48688</v>
      </c>
      <c r="L145">
        <f>pm.rep!I154</f>
        <v>1.48102</v>
      </c>
      <c r="M145">
        <f>pm.rep!J154</f>
        <v>1.3616200000000001</v>
      </c>
      <c r="N145">
        <f>pm.rep!K154</f>
        <v>1.2719400000000001</v>
      </c>
      <c r="O145">
        <f>pm.rep!L154</f>
        <v>1.2719400000000001</v>
      </c>
      <c r="P145">
        <f>pm.rep!M154</f>
        <v>1.2719400000000001</v>
      </c>
      <c r="Q145">
        <f>pm.rep!N154</f>
        <v>1.2719400000000001</v>
      </c>
      <c r="R145">
        <f>pm.rep!O154</f>
        <v>1.2719400000000001</v>
      </c>
      <c r="S145">
        <f>pm.rep!P154</f>
        <v>1.2719400000000001</v>
      </c>
      <c r="U145">
        <v>2001</v>
      </c>
      <c r="V145">
        <f>pm.rep!B208</f>
        <v>3.61374E-2</v>
      </c>
      <c r="W145">
        <f>pm.rep!C208</f>
        <v>3.2509299999999998E-2</v>
      </c>
      <c r="X145">
        <f>pm.rep!D208</f>
        <v>6.8155800000000002E-2</v>
      </c>
      <c r="Y145">
        <f>pm.rep!E208</f>
        <v>0.13733999999999999</v>
      </c>
      <c r="Z145">
        <f>pm.rep!F208</f>
        <v>0.257357</v>
      </c>
      <c r="AA145">
        <f>pm.rep!G208</f>
        <v>0.429977</v>
      </c>
      <c r="AB145">
        <f>pm.rep!H208</f>
        <v>0.62148700000000001</v>
      </c>
      <c r="AC145">
        <f>pm.rep!I208</f>
        <v>0.78137100000000004</v>
      </c>
      <c r="AD145">
        <f>pm.rep!J208</f>
        <v>0.88609700000000002</v>
      </c>
      <c r="AE145">
        <f>pm.rep!K208</f>
        <v>0.94423800000000002</v>
      </c>
      <c r="AF145">
        <f>pm.rep!L208</f>
        <v>0.97358599999999995</v>
      </c>
      <c r="AG145">
        <f>pm.rep!M208</f>
        <v>0.98768900000000004</v>
      </c>
      <c r="AH145">
        <f>pm.rep!N208</f>
        <v>0.99430600000000002</v>
      </c>
      <c r="AI145">
        <f>pm.rep!O208</f>
        <v>0.99737600000000004</v>
      </c>
      <c r="AJ145">
        <f>pm.rep!P208</f>
        <v>0.99879300000000004</v>
      </c>
      <c r="AL145">
        <v>2001</v>
      </c>
    </row>
    <row r="146" spans="1:53" x14ac:dyDescent="0.15">
      <c r="A146">
        <f t="shared" si="29"/>
        <v>4.3020394132911735</v>
      </c>
      <c r="B146">
        <f t="shared" si="30"/>
        <v>5.5397251613049807</v>
      </c>
      <c r="C146" s="25">
        <f t="shared" si="31"/>
        <v>1.6381300000000001</v>
      </c>
      <c r="D146" s="21">
        <v>2002</v>
      </c>
      <c r="E146">
        <f>pm.rep!B155</f>
        <v>1.91261E-4</v>
      </c>
      <c r="F146">
        <f>pm.rep!C155</f>
        <v>1.6433799999999998E-2</v>
      </c>
      <c r="G146">
        <f>pm.rep!D155</f>
        <v>9.9142900000000006E-2</v>
      </c>
      <c r="H146">
        <f>pm.rep!E155</f>
        <v>0.37633499999999998</v>
      </c>
      <c r="I146">
        <f>pm.rep!F155</f>
        <v>0.842086</v>
      </c>
      <c r="J146">
        <f>pm.rep!G155</f>
        <v>1.6381300000000001</v>
      </c>
      <c r="K146">
        <f>pm.rep!H155</f>
        <v>1.61524</v>
      </c>
      <c r="L146">
        <f>pm.rep!I155</f>
        <v>1.59188</v>
      </c>
      <c r="M146">
        <f>pm.rep!J155</f>
        <v>1.45411</v>
      </c>
      <c r="N146">
        <f>pm.rep!K155</f>
        <v>1.2277400000000001</v>
      </c>
      <c r="O146">
        <f>pm.rep!L155</f>
        <v>1.2277400000000001</v>
      </c>
      <c r="P146">
        <f>pm.rep!M155</f>
        <v>1.2277400000000001</v>
      </c>
      <c r="Q146">
        <f>pm.rep!N155</f>
        <v>1.2277400000000001</v>
      </c>
      <c r="R146">
        <f>pm.rep!O155</f>
        <v>1.2277400000000001</v>
      </c>
      <c r="S146">
        <f>pm.rep!P155</f>
        <v>1.2277400000000001</v>
      </c>
      <c r="U146">
        <v>2002</v>
      </c>
      <c r="V146">
        <f>pm.rep!B209</f>
        <v>2.21698E-2</v>
      </c>
      <c r="W146">
        <f>pm.rep!C209</f>
        <v>2.53367E-2</v>
      </c>
      <c r="X146">
        <f>pm.rep!D209</f>
        <v>5.9341100000000001E-2</v>
      </c>
      <c r="Y146">
        <f>pm.rep!E209</f>
        <v>0.132766</v>
      </c>
      <c r="Z146">
        <f>pm.rep!F209</f>
        <v>0.27088099999999998</v>
      </c>
      <c r="AA146">
        <f>pm.rep!G209</f>
        <v>0.47412399999999999</v>
      </c>
      <c r="AB146">
        <f>pm.rep!H209</f>
        <v>0.68631799999999998</v>
      </c>
      <c r="AC146">
        <f>pm.rep!I209</f>
        <v>0.84151200000000004</v>
      </c>
      <c r="AD146">
        <f>pm.rep!J209</f>
        <v>0.92798099999999994</v>
      </c>
      <c r="AE146">
        <f>pm.rep!K209</f>
        <v>0.96901099999999996</v>
      </c>
      <c r="AF146">
        <f>pm.rep!L209</f>
        <v>0.98699300000000001</v>
      </c>
      <c r="AG146">
        <f>pm.rep!M209</f>
        <v>0.99459900000000001</v>
      </c>
      <c r="AH146">
        <f>pm.rep!N209</f>
        <v>0.99776699999999996</v>
      </c>
      <c r="AI146">
        <f>pm.rep!O209</f>
        <v>0.99907900000000005</v>
      </c>
      <c r="AJ146">
        <f>pm.rep!P209</f>
        <v>0.99961999999999995</v>
      </c>
      <c r="AL146">
        <v>2002</v>
      </c>
      <c r="AM146">
        <f>pm.rep!B262</f>
        <v>0</v>
      </c>
      <c r="AN146">
        <f>pm.rep!C262</f>
        <v>1.00617</v>
      </c>
      <c r="AO146">
        <f>pm.rep!D262</f>
        <v>1.2048700000000001</v>
      </c>
      <c r="AP146">
        <f>pm.rep!E262</f>
        <v>1.28284</v>
      </c>
      <c r="AQ146">
        <f>pm.rep!F262</f>
        <v>1.31125</v>
      </c>
      <c r="AR146">
        <f>pm.rep!G262</f>
        <v>1.10782</v>
      </c>
      <c r="AS146">
        <f>pm.rep!H262</f>
        <v>1.1216299999999999</v>
      </c>
      <c r="AT146">
        <f>pm.rep!I262</f>
        <v>0.94114500000000001</v>
      </c>
      <c r="AU146">
        <f>pm.rep!J262</f>
        <v>0.94114500000000001</v>
      </c>
      <c r="AV146">
        <f>pm.rep!K262</f>
        <v>0.94114500000000001</v>
      </c>
      <c r="AW146">
        <f>pm.rep!L262</f>
        <v>0.94114500000000001</v>
      </c>
      <c r="AX146">
        <f>pm.rep!M262</f>
        <v>0.94114500000000001</v>
      </c>
      <c r="AY146">
        <f>pm.rep!N262</f>
        <v>0.94114500000000001</v>
      </c>
      <c r="AZ146">
        <f>pm.rep!O262</f>
        <v>0.94114500000000001</v>
      </c>
      <c r="BA146">
        <f>pm.rep!P262</f>
        <v>0.94114500000000001</v>
      </c>
    </row>
    <row r="147" spans="1:53" x14ac:dyDescent="0.15">
      <c r="A147">
        <f t="shared" si="29"/>
        <v>3.6707658539191113</v>
      </c>
      <c r="B147">
        <f t="shared" si="30"/>
        <v>5.332577300216319</v>
      </c>
      <c r="C147" s="25">
        <f t="shared" si="31"/>
        <v>1.7083600000000001</v>
      </c>
      <c r="D147" s="21">
        <v>2003</v>
      </c>
      <c r="E147">
        <f>pm.rep!B156</f>
        <v>1.8518199999999999E-4</v>
      </c>
      <c r="F147">
        <f>pm.rep!C156</f>
        <v>1.11526E-2</v>
      </c>
      <c r="G147">
        <f>pm.rep!D156</f>
        <v>0.21235399999999999</v>
      </c>
      <c r="H147">
        <f>pm.rep!E156</f>
        <v>0.37323800000000001</v>
      </c>
      <c r="I147">
        <f>pm.rep!F156</f>
        <v>0.96670400000000001</v>
      </c>
      <c r="J147">
        <f>pm.rep!G156</f>
        <v>1.4783299999999999</v>
      </c>
      <c r="K147">
        <f>pm.rep!H156</f>
        <v>1.7083600000000001</v>
      </c>
      <c r="L147">
        <f>pm.rep!I156</f>
        <v>1.66916</v>
      </c>
      <c r="M147">
        <f>pm.rep!J156</f>
        <v>1.4574400000000001</v>
      </c>
      <c r="N147">
        <f>pm.rep!K156</f>
        <v>1.1871799999999999</v>
      </c>
      <c r="O147">
        <f>pm.rep!L156</f>
        <v>1.1871799999999999</v>
      </c>
      <c r="P147">
        <f>pm.rep!M156</f>
        <v>1.1871799999999999</v>
      </c>
      <c r="Q147">
        <f>pm.rep!N156</f>
        <v>1.1871799999999999</v>
      </c>
      <c r="R147">
        <f>pm.rep!O156</f>
        <v>1.1871799999999999</v>
      </c>
      <c r="S147">
        <f>pm.rep!P156</f>
        <v>1.1871799999999999</v>
      </c>
      <c r="U147">
        <v>2003</v>
      </c>
      <c r="V147">
        <f>pm.rep!B210</f>
        <v>1.4895E-2</v>
      </c>
      <c r="W147">
        <f>pm.rep!C210</f>
        <v>1.13843E-2</v>
      </c>
      <c r="X147">
        <f>pm.rep!D210</f>
        <v>3.0444800000000001E-2</v>
      </c>
      <c r="Y147">
        <f>pm.rep!E210</f>
        <v>7.8871800000000006E-2</v>
      </c>
      <c r="Z147">
        <f>pm.rep!F210</f>
        <v>0.18929099999999999</v>
      </c>
      <c r="AA147">
        <f>pm.rep!G210</f>
        <v>0.38900899999999999</v>
      </c>
      <c r="AB147">
        <f>pm.rep!H210</f>
        <v>0.63452299999999995</v>
      </c>
      <c r="AC147">
        <f>pm.rep!I210</f>
        <v>0.82560900000000004</v>
      </c>
      <c r="AD147">
        <f>pm.rep!J210</f>
        <v>0.92810700000000002</v>
      </c>
      <c r="AE147">
        <f>pm.rep!K210</f>
        <v>0.97237799999999996</v>
      </c>
      <c r="AF147">
        <f>pm.rep!L210</f>
        <v>0.98968999999999996</v>
      </c>
      <c r="AG147">
        <f>pm.rep!M210</f>
        <v>0.99619400000000002</v>
      </c>
      <c r="AH147">
        <f>pm.rep!N210</f>
        <v>0.99860099999999996</v>
      </c>
      <c r="AI147">
        <f>pm.rep!O210</f>
        <v>0.99948599999999999</v>
      </c>
      <c r="AJ147">
        <f>pm.rep!P210</f>
        <v>0.99981200000000003</v>
      </c>
      <c r="AL147">
        <v>2003</v>
      </c>
    </row>
    <row r="148" spans="1:53" x14ac:dyDescent="0.15">
      <c r="A148">
        <f t="shared" si="29"/>
        <v>3.0879673110334753</v>
      </c>
      <c r="B148">
        <f t="shared" si="30"/>
        <v>5.3113897031940489</v>
      </c>
      <c r="C148" s="25">
        <f t="shared" si="31"/>
        <v>1.6745300000000001</v>
      </c>
      <c r="D148" s="21">
        <v>2004</v>
      </c>
      <c r="E148">
        <f>pm.rep!B157</f>
        <v>1.7610299999999999E-4</v>
      </c>
      <c r="F148">
        <f>pm.rep!C157</f>
        <v>8.8765600000000004E-3</v>
      </c>
      <c r="G148">
        <f>pm.rep!D157</f>
        <v>0.10266</v>
      </c>
      <c r="H148">
        <f>pm.rep!E157</f>
        <v>0.79082300000000005</v>
      </c>
      <c r="I148">
        <f>pm.rep!F157</f>
        <v>0.956206</v>
      </c>
      <c r="J148">
        <f>pm.rep!G157</f>
        <v>1.2820499999999999</v>
      </c>
      <c r="K148">
        <f>pm.rep!H157</f>
        <v>1.6745300000000001</v>
      </c>
      <c r="L148">
        <f>pm.rep!I157</f>
        <v>1.6297699999999999</v>
      </c>
      <c r="M148">
        <f>pm.rep!J157</f>
        <v>1.41605</v>
      </c>
      <c r="N148">
        <f>pm.rep!K157</f>
        <v>1.18981</v>
      </c>
      <c r="O148">
        <f>pm.rep!L157</f>
        <v>1.18981</v>
      </c>
      <c r="P148">
        <f>pm.rep!M157</f>
        <v>1.18981</v>
      </c>
      <c r="Q148">
        <f>pm.rep!N157</f>
        <v>1.18981</v>
      </c>
      <c r="R148">
        <f>pm.rep!O157</f>
        <v>1.18981</v>
      </c>
      <c r="S148">
        <f>pm.rep!P157</f>
        <v>1.18981</v>
      </c>
      <c r="U148">
        <v>2004</v>
      </c>
      <c r="V148">
        <f>pm.rep!B211</f>
        <v>3.9308799999999998E-2</v>
      </c>
      <c r="W148">
        <f>pm.rep!C211</f>
        <v>1.49877E-2</v>
      </c>
      <c r="X148">
        <f>pm.rep!D211</f>
        <v>4.0847899999999999E-2</v>
      </c>
      <c r="Y148">
        <f>pm.rep!E211</f>
        <v>0.106503</v>
      </c>
      <c r="Z148">
        <f>pm.rep!F211</f>
        <v>0.250164</v>
      </c>
      <c r="AA148">
        <f>pm.rep!G211</f>
        <v>0.48287999999999998</v>
      </c>
      <c r="AB148">
        <f>pm.rep!H211</f>
        <v>0.72326699999999999</v>
      </c>
      <c r="AC148">
        <f>pm.rep!I211</f>
        <v>0.87973800000000002</v>
      </c>
      <c r="AD148">
        <f>pm.rep!J211</f>
        <v>0.95343299999999997</v>
      </c>
      <c r="AE148">
        <f>pm.rep!K211</f>
        <v>0.98284899999999997</v>
      </c>
      <c r="AF148">
        <f>pm.rep!L211</f>
        <v>0.99380400000000002</v>
      </c>
      <c r="AG148">
        <f>pm.rep!M211</f>
        <v>0.99777700000000003</v>
      </c>
      <c r="AH148">
        <f>pm.rep!N211</f>
        <v>0.99920500000000001</v>
      </c>
      <c r="AI148">
        <f>pm.rep!O211</f>
        <v>0.99971600000000005</v>
      </c>
      <c r="AJ148">
        <f>pm.rep!P211</f>
        <v>0.99989799999999995</v>
      </c>
      <c r="AL148">
        <v>2004</v>
      </c>
      <c r="AM148">
        <f>pm.rep!B264</f>
        <v>0</v>
      </c>
      <c r="AN148">
        <f>pm.rep!C264</f>
        <v>1.00617</v>
      </c>
      <c r="AO148">
        <f>pm.rep!D264</f>
        <v>1.2048700000000001</v>
      </c>
      <c r="AP148">
        <f>pm.rep!E264</f>
        <v>1.28284</v>
      </c>
      <c r="AQ148">
        <f>pm.rep!F264</f>
        <v>1.31125</v>
      </c>
      <c r="AR148">
        <f>pm.rep!G264</f>
        <v>1.10782</v>
      </c>
      <c r="AS148">
        <f>pm.rep!H264</f>
        <v>1.1216299999999999</v>
      </c>
      <c r="AT148">
        <f>pm.rep!I264</f>
        <v>0.94114500000000001</v>
      </c>
      <c r="AU148">
        <f>pm.rep!J264</f>
        <v>0.94114500000000001</v>
      </c>
      <c r="AV148">
        <f>pm.rep!K264</f>
        <v>0.94114500000000001</v>
      </c>
      <c r="AW148">
        <f>pm.rep!L264</f>
        <v>0.94114500000000001</v>
      </c>
      <c r="AX148">
        <f>pm.rep!M264</f>
        <v>0.94114500000000001</v>
      </c>
      <c r="AY148">
        <f>pm.rep!N264</f>
        <v>0.94114500000000001</v>
      </c>
      <c r="AZ148">
        <f>pm.rep!O264</f>
        <v>0.94114500000000001</v>
      </c>
      <c r="BA148">
        <f>pm.rep!P264</f>
        <v>0.94114500000000001</v>
      </c>
    </row>
    <row r="149" spans="1:53" x14ac:dyDescent="0.15">
      <c r="A149">
        <f t="shared" si="29"/>
        <v>2.6142267868324263</v>
      </c>
      <c r="B149">
        <f t="shared" si="30"/>
        <v>5.0130132532402909</v>
      </c>
      <c r="C149" s="25">
        <f t="shared" si="31"/>
        <v>1.70075</v>
      </c>
      <c r="D149" s="21">
        <v>2005</v>
      </c>
      <c r="E149">
        <f>pm.rep!B158</f>
        <v>1.70743E-4</v>
      </c>
      <c r="F149">
        <f>pm.rep!C158</f>
        <v>9.9922199999999996E-3</v>
      </c>
      <c r="G149">
        <f>pm.rep!D158</f>
        <v>0.106833</v>
      </c>
      <c r="H149">
        <f>pm.rep!E158</f>
        <v>0.57586000000000004</v>
      </c>
      <c r="I149">
        <f>pm.rep!F158</f>
        <v>1.5027200000000001</v>
      </c>
      <c r="J149">
        <f>pm.rep!G158</f>
        <v>1.70075</v>
      </c>
      <c r="K149">
        <f>pm.rep!H158</f>
        <v>1.5312600000000001</v>
      </c>
      <c r="L149">
        <f>pm.rep!I158</f>
        <v>1.4011199999999999</v>
      </c>
      <c r="M149">
        <f>pm.rep!J158</f>
        <v>1.3194900000000001</v>
      </c>
      <c r="N149">
        <f>pm.rep!K158</f>
        <v>1.1419699999999999</v>
      </c>
      <c r="O149">
        <f>pm.rep!L158</f>
        <v>1.1419699999999999</v>
      </c>
      <c r="P149">
        <f>pm.rep!M158</f>
        <v>1.1419699999999999</v>
      </c>
      <c r="Q149">
        <f>pm.rep!N158</f>
        <v>1.1419699999999999</v>
      </c>
      <c r="R149">
        <f>pm.rep!O158</f>
        <v>1.1419699999999999</v>
      </c>
      <c r="S149">
        <f>pm.rep!P158</f>
        <v>1.1419699999999999</v>
      </c>
      <c r="U149">
        <v>2005</v>
      </c>
      <c r="V149">
        <f>pm.rep!B212</f>
        <v>5.3004200000000001E-2</v>
      </c>
      <c r="W149">
        <f>pm.rep!C212</f>
        <v>2.14138E-2</v>
      </c>
      <c r="X149">
        <f>pm.rep!D212</f>
        <v>6.0550300000000001E-2</v>
      </c>
      <c r="Y149">
        <f>pm.rep!E212</f>
        <v>0.159552</v>
      </c>
      <c r="Z149">
        <f>pm.rep!F212</f>
        <v>0.35863200000000001</v>
      </c>
      <c r="AA149">
        <f>pm.rep!G212</f>
        <v>0.62221199999999999</v>
      </c>
      <c r="AB149">
        <f>pm.rep!H212</f>
        <v>0.82909100000000002</v>
      </c>
      <c r="AC149">
        <f>pm.rep!I212</f>
        <v>0.93459199999999998</v>
      </c>
      <c r="AD149">
        <f>pm.rep!J212</f>
        <v>0.97679099999999996</v>
      </c>
      <c r="AE149">
        <f>pm.rep!K212</f>
        <v>0.99199800000000005</v>
      </c>
      <c r="AF149">
        <f>pm.rep!L212</f>
        <v>0.99726899999999996</v>
      </c>
      <c r="AG149">
        <f>pm.rep!M212</f>
        <v>0.99907100000000004</v>
      </c>
      <c r="AH149">
        <f>pm.rep!N212</f>
        <v>0.99968400000000002</v>
      </c>
      <c r="AI149">
        <f>pm.rep!O212</f>
        <v>0.99989300000000003</v>
      </c>
      <c r="AJ149">
        <f>pm.rep!P212</f>
        <v>0.99996399999999996</v>
      </c>
      <c r="AL149">
        <v>2005</v>
      </c>
    </row>
    <row r="150" spans="1:53" x14ac:dyDescent="0.15">
      <c r="A150">
        <f t="shared" si="29"/>
        <v>2.9403701219201372</v>
      </c>
      <c r="B150">
        <f t="shared" si="30"/>
        <v>5.2174264480625769</v>
      </c>
      <c r="C150" s="25">
        <f t="shared" si="31"/>
        <v>1.61222</v>
      </c>
      <c r="D150" s="21">
        <v>2006</v>
      </c>
      <c r="E150">
        <f>pm.rep!B159</f>
        <v>1.6685800000000001E-4</v>
      </c>
      <c r="F150">
        <f>pm.rep!C159</f>
        <v>1.27527E-2</v>
      </c>
      <c r="G150">
        <f>pm.rep!D159</f>
        <v>0.200103</v>
      </c>
      <c r="H150">
        <f>pm.rep!E159</f>
        <v>0.55820199999999998</v>
      </c>
      <c r="I150">
        <f>pm.rep!F159</f>
        <v>1.18082</v>
      </c>
      <c r="J150">
        <f>pm.rep!G159</f>
        <v>1.61222</v>
      </c>
      <c r="K150">
        <f>pm.rep!H159</f>
        <v>1.5356300000000001</v>
      </c>
      <c r="L150">
        <f>pm.rep!I159</f>
        <v>1.4612700000000001</v>
      </c>
      <c r="M150">
        <f>pm.rep!J159</f>
        <v>1.3168899999999999</v>
      </c>
      <c r="N150">
        <f>pm.rep!K159</f>
        <v>1.18699</v>
      </c>
      <c r="O150">
        <f>pm.rep!L159</f>
        <v>1.18699</v>
      </c>
      <c r="P150">
        <f>pm.rep!M159</f>
        <v>1.18699</v>
      </c>
      <c r="Q150">
        <f>pm.rep!N159</f>
        <v>1.18699</v>
      </c>
      <c r="R150">
        <f>pm.rep!O159</f>
        <v>1.18699</v>
      </c>
      <c r="S150">
        <f>pm.rep!P159</f>
        <v>1.18699</v>
      </c>
      <c r="U150">
        <v>2006</v>
      </c>
      <c r="V150">
        <f>pm.rep!B213</f>
        <v>5.8191800000000002E-2</v>
      </c>
      <c r="W150">
        <f>pm.rep!C213</f>
        <v>9.3378699999999999E-3</v>
      </c>
      <c r="X150">
        <f>pm.rep!D213</f>
        <v>2.7198799999999999E-2</v>
      </c>
      <c r="Y150">
        <f>pm.rep!E213</f>
        <v>7.6581999999999997E-2</v>
      </c>
      <c r="Z150">
        <f>pm.rep!F213</f>
        <v>0.19742999999999999</v>
      </c>
      <c r="AA150">
        <f>pm.rep!G213</f>
        <v>0.42185899999999998</v>
      </c>
      <c r="AB150">
        <f>pm.rep!H213</f>
        <v>0.68398400000000004</v>
      </c>
      <c r="AC150">
        <f>pm.rep!I213</f>
        <v>0.86523000000000005</v>
      </c>
      <c r="AD150">
        <f>pm.rep!J213</f>
        <v>0.95010799999999995</v>
      </c>
      <c r="AE150">
        <f>pm.rep!K213</f>
        <v>0.98260499999999995</v>
      </c>
      <c r="AF150">
        <f>pm.rep!L213</f>
        <v>0.99406700000000003</v>
      </c>
      <c r="AG150">
        <f>pm.rep!M213</f>
        <v>0.99799199999999999</v>
      </c>
      <c r="AH150">
        <f>pm.rep!N213</f>
        <v>0.99932200000000004</v>
      </c>
      <c r="AI150">
        <f>pm.rep!O213</f>
        <v>0.99977099999999997</v>
      </c>
      <c r="AJ150">
        <f>pm.rep!P213</f>
        <v>0.99992300000000001</v>
      </c>
      <c r="AL150">
        <v>2006</v>
      </c>
      <c r="AM150">
        <f>pm.rep!B266</f>
        <v>0</v>
      </c>
      <c r="AN150">
        <f>pm.rep!C266</f>
        <v>1.00617</v>
      </c>
      <c r="AO150">
        <f>pm.rep!D266</f>
        <v>1.2048700000000001</v>
      </c>
      <c r="AP150">
        <f>pm.rep!E266</f>
        <v>1.28284</v>
      </c>
      <c r="AQ150">
        <f>pm.rep!F266</f>
        <v>1.31125</v>
      </c>
      <c r="AR150">
        <f>pm.rep!G266</f>
        <v>1.10782</v>
      </c>
      <c r="AS150">
        <f>pm.rep!H266</f>
        <v>1.1216299999999999</v>
      </c>
      <c r="AT150">
        <f>pm.rep!I266</f>
        <v>0.94114500000000001</v>
      </c>
      <c r="AU150">
        <f>pm.rep!J266</f>
        <v>0.94114500000000001</v>
      </c>
      <c r="AV150">
        <f>pm.rep!K266</f>
        <v>0.94114500000000001</v>
      </c>
      <c r="AW150">
        <f>pm.rep!L266</f>
        <v>0.94114500000000001</v>
      </c>
      <c r="AX150">
        <f>pm.rep!M266</f>
        <v>0.94114500000000001</v>
      </c>
      <c r="AY150">
        <f>pm.rep!N266</f>
        <v>0.94114500000000001</v>
      </c>
      <c r="AZ150">
        <f>pm.rep!O266</f>
        <v>0.94114500000000001</v>
      </c>
      <c r="BA150">
        <f>pm.rep!P266</f>
        <v>0.94114500000000001</v>
      </c>
    </row>
    <row r="151" spans="1:53" x14ac:dyDescent="0.15">
      <c r="A151">
        <f t="shared" si="29"/>
        <v>3.114260853129498</v>
      </c>
      <c r="B151">
        <f t="shared" si="30"/>
        <v>5.2987807238611113</v>
      </c>
      <c r="C151" s="25">
        <f t="shared" ref="C151:C157" si="32">MAX(E151:S151)</f>
        <v>1.71102</v>
      </c>
      <c r="D151">
        <v>2007</v>
      </c>
      <c r="E151">
        <f>pm.rep!B160</f>
        <v>1.59304E-4</v>
      </c>
      <c r="F151">
        <f>pm.rep!C160</f>
        <v>1.36601E-2</v>
      </c>
      <c r="G151">
        <f>pm.rep!D160</f>
        <v>0.18731400000000001</v>
      </c>
      <c r="H151">
        <f>pm.rep!E160</f>
        <v>0.52057500000000001</v>
      </c>
      <c r="I151">
        <f>pm.rep!F160</f>
        <v>1.12134</v>
      </c>
      <c r="J151">
        <f>pm.rep!G160</f>
        <v>1.71102</v>
      </c>
      <c r="K151">
        <f>pm.rep!H160</f>
        <v>1.52626</v>
      </c>
      <c r="L151">
        <f>pm.rep!I160</f>
        <v>1.3801000000000001</v>
      </c>
      <c r="M151">
        <f>pm.rep!J160</f>
        <v>1.29112</v>
      </c>
      <c r="N151">
        <f>pm.rep!K160</f>
        <v>1.20808</v>
      </c>
      <c r="O151">
        <f>pm.rep!L160</f>
        <v>1.20808</v>
      </c>
      <c r="P151">
        <f>pm.rep!M160</f>
        <v>1.20808</v>
      </c>
      <c r="Q151">
        <f>pm.rep!N160</f>
        <v>1.20808</v>
      </c>
      <c r="R151">
        <f>pm.rep!O160</f>
        <v>1.20808</v>
      </c>
      <c r="S151">
        <f>pm.rep!P160</f>
        <v>1.20808</v>
      </c>
      <c r="U151">
        <v>2007</v>
      </c>
      <c r="V151">
        <f>pm.rep!B214</f>
        <v>5.8312099999999999E-2</v>
      </c>
      <c r="W151">
        <f>pm.rep!C214</f>
        <v>1.7276300000000001E-2</v>
      </c>
      <c r="X151">
        <f>pm.rep!D214</f>
        <v>5.5549099999999997E-2</v>
      </c>
      <c r="Y151">
        <f>pm.rep!E214</f>
        <v>0.16442300000000001</v>
      </c>
      <c r="Z151">
        <f>pm.rep!F214</f>
        <v>0.39698899999999998</v>
      </c>
      <c r="AA151">
        <f>pm.rep!G214</f>
        <v>0.687751</v>
      </c>
      <c r="AB151">
        <f>pm.rep!H214</f>
        <v>0.88051100000000004</v>
      </c>
      <c r="AC151">
        <f>pm.rep!I214</f>
        <v>0.96101999999999999</v>
      </c>
      <c r="AD151">
        <f>pm.rep!J214</f>
        <v>0.98802100000000004</v>
      </c>
      <c r="AE151">
        <f>pm.rep!K214</f>
        <v>0.99638899999999997</v>
      </c>
      <c r="AF151">
        <f>pm.rep!L214</f>
        <v>0.99891799999999997</v>
      </c>
      <c r="AG151">
        <f>pm.rep!M214</f>
        <v>0.99967600000000001</v>
      </c>
      <c r="AH151">
        <f>pm.rep!N214</f>
        <v>0.99990299999999999</v>
      </c>
      <c r="AI151">
        <f>pm.rep!O214</f>
        <v>0.99997100000000005</v>
      </c>
      <c r="AJ151">
        <f>pm.rep!P214</f>
        <v>0.99999099999999996</v>
      </c>
      <c r="AL151">
        <v>2007</v>
      </c>
      <c r="AM151">
        <f>pm.rep!B267</f>
        <v>0</v>
      </c>
      <c r="AN151">
        <f>pm.rep!C267</f>
        <v>1.00617</v>
      </c>
      <c r="AO151">
        <f>pm.rep!D267</f>
        <v>1.2048700000000001</v>
      </c>
      <c r="AP151">
        <f>pm.rep!E267</f>
        <v>1.28284</v>
      </c>
      <c r="AQ151">
        <f>pm.rep!F267</f>
        <v>1.31125</v>
      </c>
      <c r="AR151">
        <f>pm.rep!G267</f>
        <v>1.10782</v>
      </c>
      <c r="AS151">
        <f>pm.rep!H267</f>
        <v>1.1216299999999999</v>
      </c>
      <c r="AT151">
        <f>pm.rep!I267</f>
        <v>0.94114500000000001</v>
      </c>
      <c r="AU151">
        <f>pm.rep!J267</f>
        <v>0.94114500000000001</v>
      </c>
      <c r="AV151">
        <f>pm.rep!K267</f>
        <v>0.94114500000000001</v>
      </c>
      <c r="AW151">
        <f>pm.rep!L267</f>
        <v>0.94114500000000001</v>
      </c>
      <c r="AX151">
        <f>pm.rep!M267</f>
        <v>0.94114500000000001</v>
      </c>
      <c r="AY151">
        <f>pm.rep!N267</f>
        <v>0.94114500000000001</v>
      </c>
      <c r="AZ151">
        <f>pm.rep!O267</f>
        <v>0.94114500000000001</v>
      </c>
      <c r="BA151">
        <f>pm.rep!P267</f>
        <v>0.94114500000000001</v>
      </c>
    </row>
    <row r="152" spans="1:53" x14ac:dyDescent="0.15">
      <c r="A152">
        <f t="shared" si="29"/>
        <v>3.7725240189172835</v>
      </c>
      <c r="B152">
        <f t="shared" si="30"/>
        <v>5.5694512914986483</v>
      </c>
      <c r="C152" s="25">
        <f t="shared" si="32"/>
        <v>1.6665700000000001</v>
      </c>
      <c r="D152">
        <f>pm.rep!A161</f>
        <v>2008</v>
      </c>
      <c r="E152">
        <f>pm.rep!B161</f>
        <v>1.46811E-4</v>
      </c>
      <c r="F152">
        <f>pm.rep!C161</f>
        <v>1.09119E-2</v>
      </c>
      <c r="G152">
        <f>pm.rep!D161</f>
        <v>9.8313399999999995E-2</v>
      </c>
      <c r="H152">
        <f>pm.rep!E161</f>
        <v>0.44367600000000001</v>
      </c>
      <c r="I152">
        <f>pm.rep!F161</f>
        <v>0.96840899999999996</v>
      </c>
      <c r="J152">
        <f>pm.rep!G161</f>
        <v>1.6665700000000001</v>
      </c>
      <c r="K152">
        <f>pm.rep!H161</f>
        <v>1.5652600000000001</v>
      </c>
      <c r="L152">
        <f>pm.rep!I161</f>
        <v>1.39317</v>
      </c>
      <c r="M152">
        <f>pm.rep!J161</f>
        <v>1.3705400000000001</v>
      </c>
      <c r="N152">
        <f>pm.rep!K161</f>
        <v>1.2471699999999999</v>
      </c>
      <c r="O152">
        <f>pm.rep!L161</f>
        <v>1.2471699999999999</v>
      </c>
      <c r="P152">
        <f>pm.rep!M161</f>
        <v>1.2471699999999999</v>
      </c>
      <c r="Q152">
        <f>pm.rep!N161</f>
        <v>1.2471699999999999</v>
      </c>
      <c r="R152">
        <f>pm.rep!O161</f>
        <v>1.2471699999999999</v>
      </c>
      <c r="S152">
        <f>pm.rep!P161</f>
        <v>1.2471699999999999</v>
      </c>
      <c r="U152">
        <v>2008</v>
      </c>
      <c r="V152">
        <f>pm.rep!B215</f>
        <v>3.01617E-2</v>
      </c>
      <c r="W152">
        <f>pm.rep!C215</f>
        <v>1.08568E-2</v>
      </c>
      <c r="X152">
        <f>pm.rep!D215</f>
        <v>4.0389899999999999E-2</v>
      </c>
      <c r="Y152">
        <f>pm.rep!E215</f>
        <v>0.13897300000000001</v>
      </c>
      <c r="Z152">
        <f>pm.rep!F215</f>
        <v>0.38230999999999998</v>
      </c>
      <c r="AA152">
        <f>pm.rep!G215</f>
        <v>0.70356700000000005</v>
      </c>
      <c r="AB152">
        <f>pm.rep!H215</f>
        <v>0.90100499999999994</v>
      </c>
      <c r="AC152">
        <f>pm.rep!I215</f>
        <v>0.97214599999999995</v>
      </c>
      <c r="AD152">
        <f>pm.rep!J215</f>
        <v>0.99258400000000002</v>
      </c>
      <c r="AE152">
        <f>pm.rep!K215</f>
        <v>0.99805500000000003</v>
      </c>
      <c r="AF152">
        <f>pm.rep!L215</f>
        <v>0.99949200000000005</v>
      </c>
      <c r="AG152">
        <f>pm.rep!M215</f>
        <v>0.99986799999999998</v>
      </c>
      <c r="AH152">
        <f>pm.rep!N215</f>
        <v>0.99996499999999999</v>
      </c>
      <c r="AI152">
        <f>pm.rep!O215</f>
        <v>0.99999099999999996</v>
      </c>
      <c r="AJ152">
        <f>pm.rep!P215</f>
        <v>0.99999800000000005</v>
      </c>
      <c r="AL152">
        <f>pm.rep!A268</f>
        <v>2008</v>
      </c>
      <c r="AM152">
        <f>pm.rep!B268</f>
        <v>0</v>
      </c>
      <c r="AN152">
        <f>pm.rep!C268</f>
        <v>1.00617</v>
      </c>
      <c r="AO152">
        <f>pm.rep!D268</f>
        <v>1.2048700000000001</v>
      </c>
      <c r="AP152">
        <f>pm.rep!E268</f>
        <v>1.28284</v>
      </c>
      <c r="AQ152">
        <f>pm.rep!F268</f>
        <v>1.31125</v>
      </c>
      <c r="AR152">
        <f>pm.rep!G268</f>
        <v>1.10782</v>
      </c>
      <c r="AS152">
        <f>pm.rep!H268</f>
        <v>1.1216299999999999</v>
      </c>
      <c r="AT152">
        <f>pm.rep!I268</f>
        <v>0.94114500000000001</v>
      </c>
      <c r="AU152">
        <f>pm.rep!J268</f>
        <v>0.94114500000000001</v>
      </c>
      <c r="AV152">
        <f>pm.rep!K268</f>
        <v>0.94114500000000001</v>
      </c>
      <c r="AW152">
        <f>pm.rep!L268</f>
        <v>0.94114500000000001</v>
      </c>
      <c r="AX152">
        <f>pm.rep!M268</f>
        <v>0.94114500000000001</v>
      </c>
      <c r="AY152">
        <f>pm.rep!N268</f>
        <v>0.94114500000000001</v>
      </c>
      <c r="AZ152">
        <f>pm.rep!O268</f>
        <v>0.94114500000000001</v>
      </c>
      <c r="BA152">
        <f>pm.rep!P268</f>
        <v>0.94114500000000001</v>
      </c>
    </row>
    <row r="153" spans="1:53" x14ac:dyDescent="0.15">
      <c r="A153">
        <f t="shared" si="29"/>
        <v>4.6376938357982294</v>
      </c>
      <c r="B153">
        <f t="shared" si="30"/>
        <v>6.487024065209904</v>
      </c>
      <c r="C153" s="25">
        <f t="shared" si="32"/>
        <v>1.4130199999999999</v>
      </c>
      <c r="D153">
        <f>pm.rep!A162</f>
        <v>2009</v>
      </c>
      <c r="E153">
        <f>pm.rep!B162</f>
        <v>1.3771200000000001E-4</v>
      </c>
      <c r="F153">
        <f>pm.rep!C162</f>
        <v>7.5641399999999996E-3</v>
      </c>
      <c r="G153">
        <f>pm.rep!D162</f>
        <v>9.9524799999999997E-2</v>
      </c>
      <c r="H153">
        <f>pm.rep!E162</f>
        <v>0.419186</v>
      </c>
      <c r="I153">
        <f>pm.rep!F162</f>
        <v>0.71121400000000001</v>
      </c>
      <c r="J153">
        <f>pm.rep!G162</f>
        <v>1.2498199999999999</v>
      </c>
      <c r="K153">
        <f>pm.rep!H162</f>
        <v>1.4122399999999999</v>
      </c>
      <c r="L153">
        <f>pm.rep!I162</f>
        <v>1.37737</v>
      </c>
      <c r="M153">
        <f>pm.rep!J162</f>
        <v>1.4130199999999999</v>
      </c>
      <c r="N153">
        <f>pm.rep!K162</f>
        <v>1.3849899999999999</v>
      </c>
      <c r="O153">
        <f>pm.rep!L162</f>
        <v>1.3849899999999999</v>
      </c>
      <c r="P153">
        <f>pm.rep!M162</f>
        <v>1.3849899999999999</v>
      </c>
      <c r="Q153">
        <f>pm.rep!N162</f>
        <v>1.3849899999999999</v>
      </c>
      <c r="R153">
        <f>pm.rep!O162</f>
        <v>1.3849899999999999</v>
      </c>
      <c r="S153">
        <f>pm.rep!P162</f>
        <v>1.3849899999999999</v>
      </c>
      <c r="U153">
        <f>pm.rep!A216</f>
        <v>2009</v>
      </c>
      <c r="V153">
        <f>pm.rep!B216</f>
        <v>1.4244700000000001E-2</v>
      </c>
      <c r="W153">
        <f>pm.rep!C216</f>
        <v>1.1980599999999999E-2</v>
      </c>
      <c r="X153">
        <f>pm.rep!D216</f>
        <v>4.6351000000000003E-2</v>
      </c>
      <c r="Y153">
        <f>pm.rep!E216</f>
        <v>0.163052</v>
      </c>
      <c r="Z153">
        <f>pm.rep!F216</f>
        <v>0.43847999999999998</v>
      </c>
      <c r="AA153">
        <f>pm.rep!G216</f>
        <v>0.75786799999999999</v>
      </c>
      <c r="AB153">
        <f>pm.rep!H216</f>
        <v>0.926176</v>
      </c>
      <c r="AC153">
        <f>pm.rep!I216</f>
        <v>0.98050199999999998</v>
      </c>
      <c r="AD153">
        <f>pm.rep!J216</f>
        <v>0.99506300000000003</v>
      </c>
      <c r="AE153">
        <f>pm.rep!K216</f>
        <v>0.99876399999999999</v>
      </c>
      <c r="AF153">
        <f>pm.rep!L216</f>
        <v>0.999691</v>
      </c>
      <c r="AG153">
        <f>pm.rep!M216</f>
        <v>0.99992300000000001</v>
      </c>
      <c r="AH153">
        <f>pm.rep!N216</f>
        <v>0.99998100000000001</v>
      </c>
      <c r="AI153">
        <f>pm.rep!O216</f>
        <v>0.99999499999999997</v>
      </c>
      <c r="AJ153">
        <f>pm.rep!P216</f>
        <v>0.99999899999999997</v>
      </c>
      <c r="AL153">
        <f>pm.rep!A269</f>
        <v>2009</v>
      </c>
      <c r="AM153">
        <f>pm.rep!B269</f>
        <v>0</v>
      </c>
      <c r="AN153">
        <f>pm.rep!C269</f>
        <v>1.00617</v>
      </c>
      <c r="AO153">
        <f>pm.rep!D269</f>
        <v>1.2048700000000001</v>
      </c>
      <c r="AP153">
        <f>pm.rep!E269</f>
        <v>1.28284</v>
      </c>
      <c r="AQ153">
        <f>pm.rep!F269</f>
        <v>1.31125</v>
      </c>
      <c r="AR153">
        <f>pm.rep!G269</f>
        <v>1.10782</v>
      </c>
      <c r="AS153">
        <f>pm.rep!H269</f>
        <v>1.1216299999999999</v>
      </c>
      <c r="AT153">
        <f>pm.rep!I269</f>
        <v>0.94114500000000001</v>
      </c>
      <c r="AU153">
        <f>pm.rep!J269</f>
        <v>0.94114500000000001</v>
      </c>
      <c r="AV153">
        <f>pm.rep!K269</f>
        <v>0.94114500000000001</v>
      </c>
      <c r="AW153">
        <f>pm.rep!L269</f>
        <v>0.94114500000000001</v>
      </c>
      <c r="AX153">
        <f>pm.rep!M269</f>
        <v>0.94114500000000001</v>
      </c>
      <c r="AY153">
        <f>pm.rep!N269</f>
        <v>0.94114500000000001</v>
      </c>
      <c r="AZ153">
        <f>pm.rep!O269</f>
        <v>0.94114500000000001</v>
      </c>
      <c r="BA153">
        <f>pm.rep!P269</f>
        <v>0.94114500000000001</v>
      </c>
    </row>
    <row r="154" spans="1:53" x14ac:dyDescent="0.15">
      <c r="A154">
        <f t="shared" si="29"/>
        <v>3.4128286479526184</v>
      </c>
      <c r="B154">
        <f t="shared" si="30"/>
        <v>6.2440055720688665</v>
      </c>
      <c r="C154" s="25">
        <f t="shared" si="32"/>
        <v>1.41622</v>
      </c>
      <c r="D154">
        <f>pm.rep!A163</f>
        <v>2010</v>
      </c>
      <c r="E154">
        <f>pm.rep!B163</f>
        <v>1.40715E-4</v>
      </c>
      <c r="F154">
        <f>pm.rep!C163</f>
        <v>8.1065000000000009E-3</v>
      </c>
      <c r="G154">
        <f>pm.rep!D163</f>
        <v>6.1707999999999999E-2</v>
      </c>
      <c r="H154">
        <f>pm.rep!E163</f>
        <v>0.68741099999999999</v>
      </c>
      <c r="I154">
        <f>pm.rep!F163</f>
        <v>0.92444499999999996</v>
      </c>
      <c r="J154">
        <f>pm.rep!G163</f>
        <v>1.0852599999999999</v>
      </c>
      <c r="K154">
        <f>pm.rep!H163</f>
        <v>1.29915</v>
      </c>
      <c r="L154">
        <f>pm.rep!I163</f>
        <v>1.41622</v>
      </c>
      <c r="M154">
        <f>pm.rep!J163</f>
        <v>1.3850899999999999</v>
      </c>
      <c r="N154">
        <f>pm.rep!K163</f>
        <v>1.35541</v>
      </c>
      <c r="O154">
        <f>pm.rep!L163</f>
        <v>1.35541</v>
      </c>
      <c r="P154">
        <f>pm.rep!M163</f>
        <v>1.35541</v>
      </c>
      <c r="Q154">
        <f>pm.rep!N163</f>
        <v>1.35541</v>
      </c>
      <c r="R154">
        <f>pm.rep!O163</f>
        <v>1.35541</v>
      </c>
      <c r="S154">
        <f>pm.rep!P163</f>
        <v>1.35541</v>
      </c>
      <c r="U154">
        <f>pm.rep!A217</f>
        <v>2010</v>
      </c>
      <c r="V154">
        <f>pm.rep!B217</f>
        <v>1.89905E-2</v>
      </c>
      <c r="W154">
        <f>pm.rep!C217</f>
        <v>1.32847E-2</v>
      </c>
      <c r="X154">
        <f>pm.rep!D217</f>
        <v>6.0748299999999998E-2</v>
      </c>
      <c r="Y154">
        <f>pm.rep!E217</f>
        <v>0.23705000000000001</v>
      </c>
      <c r="Z154">
        <f>pm.rep!F217</f>
        <v>0.59880800000000001</v>
      </c>
      <c r="AA154">
        <f>pm.rep!G217</f>
        <v>0.87760300000000002</v>
      </c>
      <c r="AB154">
        <f>pm.rep!H217</f>
        <v>0.97178699999999996</v>
      </c>
      <c r="AC154">
        <f>pm.rep!I217</f>
        <v>0.99399300000000002</v>
      </c>
      <c r="AD154">
        <f>pm.rep!J217</f>
        <v>0.99874399999999997</v>
      </c>
      <c r="AE154">
        <f>pm.rep!K217</f>
        <v>0.99973800000000002</v>
      </c>
      <c r="AF154">
        <f>pm.rep!L217</f>
        <v>0.99994499999999997</v>
      </c>
      <c r="AG154">
        <f>pm.rep!M217</f>
        <v>0.99998900000000002</v>
      </c>
      <c r="AH154">
        <f>pm.rep!N217</f>
        <v>0.99999800000000005</v>
      </c>
      <c r="AI154">
        <f>pm.rep!O217</f>
        <v>1</v>
      </c>
      <c r="AJ154">
        <f>pm.rep!P217</f>
        <v>1</v>
      </c>
      <c r="AL154">
        <f>pm.rep!A270</f>
        <v>2010</v>
      </c>
      <c r="AM154">
        <f>pm.rep!B270</f>
        <v>0</v>
      </c>
      <c r="AN154">
        <f>pm.rep!C270</f>
        <v>1.00617</v>
      </c>
      <c r="AO154">
        <f>pm.rep!D270</f>
        <v>1.2048700000000001</v>
      </c>
      <c r="AP154">
        <f>pm.rep!E270</f>
        <v>1.28284</v>
      </c>
      <c r="AQ154">
        <f>pm.rep!F270</f>
        <v>1.31125</v>
      </c>
      <c r="AR154">
        <f>pm.rep!G270</f>
        <v>1.10782</v>
      </c>
      <c r="AS154">
        <f>pm.rep!H270</f>
        <v>1.1216299999999999</v>
      </c>
      <c r="AT154">
        <f>pm.rep!I270</f>
        <v>0.94114500000000001</v>
      </c>
      <c r="AU154">
        <f>pm.rep!J270</f>
        <v>0.94114500000000001</v>
      </c>
      <c r="AV154">
        <f>pm.rep!K270</f>
        <v>0.94114500000000001</v>
      </c>
      <c r="AW154">
        <f>pm.rep!L270</f>
        <v>0.94114500000000001</v>
      </c>
      <c r="AX154">
        <f>pm.rep!M270</f>
        <v>0.94114500000000001</v>
      </c>
      <c r="AY154">
        <f>pm.rep!N270</f>
        <v>0.94114500000000001</v>
      </c>
      <c r="AZ154">
        <f>pm.rep!O270</f>
        <v>0.94114500000000001</v>
      </c>
      <c r="BA154">
        <f>pm.rep!P270</f>
        <v>0.94114500000000001</v>
      </c>
    </row>
    <row r="155" spans="1:53" x14ac:dyDescent="0.15">
      <c r="A155">
        <f t="shared" si="29"/>
        <v>3.5095919390869881</v>
      </c>
      <c r="B155">
        <f t="shared" si="30"/>
        <v>5.7446619193129598</v>
      </c>
      <c r="C155" s="25">
        <f t="shared" si="32"/>
        <v>1.5190999999999999</v>
      </c>
      <c r="D155">
        <f>pm.rep!A164</f>
        <v>2011</v>
      </c>
      <c r="E155">
        <f>pm.rep!B164</f>
        <v>1.3757900000000001E-4</v>
      </c>
      <c r="F155">
        <f>pm.rep!C164</f>
        <v>8.5359600000000004E-3</v>
      </c>
      <c r="G155">
        <f>pm.rep!D164</f>
        <v>5.95363E-2</v>
      </c>
      <c r="H155">
        <f>pm.rep!E164</f>
        <v>0.227572</v>
      </c>
      <c r="I155">
        <f>pm.rep!F164</f>
        <v>1.3396600000000001</v>
      </c>
      <c r="J155">
        <f>pm.rep!G164</f>
        <v>1.5190999999999999</v>
      </c>
      <c r="K155">
        <f>pm.rep!H164</f>
        <v>1.4253</v>
      </c>
      <c r="L155">
        <f>pm.rep!I164</f>
        <v>1.3791500000000001</v>
      </c>
      <c r="M155">
        <f>pm.rep!J164</f>
        <v>1.3349200000000001</v>
      </c>
      <c r="N155">
        <f>pm.rep!K164</f>
        <v>1.2843500000000001</v>
      </c>
      <c r="O155">
        <f>pm.rep!L164</f>
        <v>1.2843500000000001</v>
      </c>
      <c r="P155">
        <f>pm.rep!M164</f>
        <v>1.2843500000000001</v>
      </c>
      <c r="Q155">
        <f>pm.rep!N164</f>
        <v>1.2843500000000001</v>
      </c>
      <c r="R155">
        <f>pm.rep!O164</f>
        <v>1.2843500000000001</v>
      </c>
      <c r="S155">
        <f>pm.rep!P164</f>
        <v>1.2843500000000001</v>
      </c>
      <c r="U155">
        <f>pm.rep!A218</f>
        <v>2011</v>
      </c>
      <c r="V155">
        <f>pm.rep!B218</f>
        <v>5.8052899999999998E-2</v>
      </c>
      <c r="W155">
        <f>pm.rep!C218</f>
        <v>4.5048800000000002E-3</v>
      </c>
      <c r="X155">
        <f>pm.rep!D218</f>
        <v>2.11024E-2</v>
      </c>
      <c r="Y155">
        <f>pm.rep!E218</f>
        <v>9.3130199999999996E-2</v>
      </c>
      <c r="Z155">
        <f>pm.rep!F218</f>
        <v>0.32850400000000002</v>
      </c>
      <c r="AA155">
        <f>pm.rep!G218</f>
        <v>0.69974400000000003</v>
      </c>
      <c r="AB155">
        <f>pm.rep!H218</f>
        <v>0.91736799999999996</v>
      </c>
      <c r="AC155">
        <f>pm.rep!I218</f>
        <v>0.98144299999999995</v>
      </c>
      <c r="AD155">
        <f>pm.rep!J218</f>
        <v>0.99604700000000002</v>
      </c>
      <c r="AE155">
        <f>pm.rep!K218</f>
        <v>0.99916700000000003</v>
      </c>
      <c r="AF155">
        <f>pm.rep!L218</f>
        <v>0.99982499999999996</v>
      </c>
      <c r="AG155">
        <f>pm.rep!M218</f>
        <v>0.99996300000000005</v>
      </c>
      <c r="AH155">
        <f>pm.rep!N218</f>
        <v>0.99999199999999999</v>
      </c>
      <c r="AI155">
        <f>pm.rep!O218</f>
        <v>0.99999800000000005</v>
      </c>
      <c r="AJ155">
        <f>pm.rep!P218</f>
        <v>1</v>
      </c>
      <c r="AL155">
        <f>pm.rep!A271</f>
        <v>2011</v>
      </c>
    </row>
    <row r="156" spans="1:53" x14ac:dyDescent="0.15">
      <c r="A156">
        <f t="shared" si="29"/>
        <v>5.8716843880880294</v>
      </c>
      <c r="B156">
        <f t="shared" si="30"/>
        <v>6.3017113890076173</v>
      </c>
      <c r="C156" s="25">
        <f t="shared" si="32"/>
        <v>1.4960100000000001</v>
      </c>
      <c r="D156">
        <f>pm.rep!A165</f>
        <v>2012</v>
      </c>
      <c r="E156">
        <f>pm.rep!B165</f>
        <v>1.3829099999999999E-4</v>
      </c>
      <c r="F156">
        <f>pm.rep!C165</f>
        <v>1.17016E-2</v>
      </c>
      <c r="G156">
        <f>pm.rep!D165</f>
        <v>8.8862700000000003E-2</v>
      </c>
      <c r="H156">
        <f>pm.rep!E165</f>
        <v>0.409275</v>
      </c>
      <c r="I156">
        <f>pm.rep!F165</f>
        <v>0.46755000000000002</v>
      </c>
      <c r="J156">
        <f>pm.rep!G165</f>
        <v>1.47767</v>
      </c>
      <c r="K156">
        <f>pm.rep!H165</f>
        <v>1.4960100000000001</v>
      </c>
      <c r="L156">
        <f>pm.rep!I165</f>
        <v>1.4810300000000001</v>
      </c>
      <c r="M156">
        <f>pm.rep!J165</f>
        <v>1.39975</v>
      </c>
      <c r="N156">
        <f>pm.rep!K165</f>
        <v>1.36134</v>
      </c>
      <c r="O156">
        <f>pm.rep!L165</f>
        <v>1.36134</v>
      </c>
      <c r="P156">
        <f>pm.rep!M165</f>
        <v>1.36134</v>
      </c>
      <c r="Q156">
        <f>pm.rep!N165</f>
        <v>1.36134</v>
      </c>
      <c r="R156">
        <f>pm.rep!O165</f>
        <v>1.36134</v>
      </c>
      <c r="S156">
        <f>pm.rep!P165</f>
        <v>1.36134</v>
      </c>
      <c r="U156">
        <f>pm.rep!A219</f>
        <v>2012</v>
      </c>
      <c r="V156">
        <f>pm.rep!B219</f>
        <v>6.8277900000000002E-2</v>
      </c>
      <c r="W156">
        <f>pm.rep!C219</f>
        <v>1.23838E-2</v>
      </c>
      <c r="X156">
        <f>pm.rep!D219</f>
        <v>4.5172799999999999E-2</v>
      </c>
      <c r="Y156">
        <f>pm.rep!E219</f>
        <v>0.15146399999999999</v>
      </c>
      <c r="Z156">
        <f>pm.rep!F219</f>
        <v>0.402443</v>
      </c>
      <c r="AA156">
        <f>pm.rep!G219</f>
        <v>0.71759700000000004</v>
      </c>
      <c r="AB156">
        <f>pm.rep!H219</f>
        <v>0.90554800000000002</v>
      </c>
      <c r="AC156">
        <f>pm.rep!I219</f>
        <v>0.97309900000000005</v>
      </c>
      <c r="AD156">
        <f>pm.rep!J219</f>
        <v>0.992726</v>
      </c>
      <c r="AE156">
        <f>pm.rep!K219</f>
        <v>0.998062</v>
      </c>
      <c r="AF156">
        <f>pm.rep!L219</f>
        <v>0.99948599999999999</v>
      </c>
      <c r="AG156">
        <f>pm.rep!M219</f>
        <v>0.99986399999999998</v>
      </c>
      <c r="AH156">
        <f>pm.rep!N219</f>
        <v>0.99996399999999996</v>
      </c>
      <c r="AI156">
        <f>pm.rep!O219</f>
        <v>0.99999000000000005</v>
      </c>
      <c r="AJ156">
        <f>pm.rep!P219</f>
        <v>0.99999700000000002</v>
      </c>
      <c r="AL156">
        <f>pm.rep!A272</f>
        <v>2012</v>
      </c>
      <c r="AM156">
        <f>pm.rep!B272</f>
        <v>0</v>
      </c>
      <c r="AN156">
        <f>pm.rep!C272</f>
        <v>1.00617</v>
      </c>
      <c r="AO156">
        <f>pm.rep!D272</f>
        <v>1.2048700000000001</v>
      </c>
      <c r="AP156">
        <f>pm.rep!E272</f>
        <v>1.28284</v>
      </c>
      <c r="AQ156">
        <f>pm.rep!F272</f>
        <v>1.31125</v>
      </c>
      <c r="AR156">
        <f>pm.rep!G272</f>
        <v>1.10782</v>
      </c>
      <c r="AS156">
        <f>pm.rep!H272</f>
        <v>1.1216299999999999</v>
      </c>
      <c r="AT156">
        <f>pm.rep!I272</f>
        <v>0.94114500000000001</v>
      </c>
      <c r="AU156">
        <f>pm.rep!J272</f>
        <v>0.94114500000000001</v>
      </c>
      <c r="AV156">
        <f>pm.rep!K272</f>
        <v>0.94114500000000001</v>
      </c>
      <c r="AW156">
        <f>pm.rep!L272</f>
        <v>0.94114500000000001</v>
      </c>
      <c r="AX156">
        <f>pm.rep!M272</f>
        <v>0.94114500000000001</v>
      </c>
      <c r="AY156">
        <f>pm.rep!N272</f>
        <v>0.94114500000000001</v>
      </c>
      <c r="AZ156">
        <f>pm.rep!O272</f>
        <v>0.94114500000000001</v>
      </c>
      <c r="BA156">
        <f>pm.rep!P272</f>
        <v>0.94114500000000001</v>
      </c>
    </row>
    <row r="157" spans="1:53" x14ac:dyDescent="0.15">
      <c r="A157">
        <f t="shared" si="29"/>
        <v>4.7259052147230225</v>
      </c>
      <c r="B157">
        <f t="shared" si="30"/>
        <v>7.3459981502988443</v>
      </c>
      <c r="C157" s="25">
        <f t="shared" si="32"/>
        <v>1.4960199999999999</v>
      </c>
      <c r="D157">
        <f>pm.rep!A166</f>
        <v>2013</v>
      </c>
      <c r="E157">
        <f>pm.rep!B166</f>
        <v>1.33953E-4</v>
      </c>
      <c r="F157">
        <f>pm.rep!C166</f>
        <v>8.31988E-3</v>
      </c>
      <c r="G157">
        <f>pm.rep!D166</f>
        <v>9.3927899999999995E-2</v>
      </c>
      <c r="H157">
        <f>pm.rep!E166</f>
        <v>0.41458299999999998</v>
      </c>
      <c r="I157">
        <f>pm.rep!F166</f>
        <v>0.69756099999999999</v>
      </c>
      <c r="J157">
        <f>pm.rep!G166</f>
        <v>0.77610999999999997</v>
      </c>
      <c r="K157">
        <f>pm.rep!H166</f>
        <v>1.1733499999999999</v>
      </c>
      <c r="L157">
        <f>pm.rep!I166</f>
        <v>1.4960199999999999</v>
      </c>
      <c r="M157">
        <f>pm.rep!J166</f>
        <v>1.48102</v>
      </c>
      <c r="N157">
        <f>pm.rep!K166</f>
        <v>1.4764900000000001</v>
      </c>
      <c r="O157">
        <f>pm.rep!L166</f>
        <v>1.4764900000000001</v>
      </c>
      <c r="P157">
        <f>pm.rep!M166</f>
        <v>1.4764900000000001</v>
      </c>
      <c r="Q157">
        <f>pm.rep!N166</f>
        <v>1.4764900000000001</v>
      </c>
      <c r="R157">
        <f>pm.rep!O166</f>
        <v>1.4764900000000001</v>
      </c>
      <c r="S157">
        <f>pm.rep!P166</f>
        <v>1.4764900000000001</v>
      </c>
      <c r="U157">
        <f>pm.rep!A220</f>
        <v>2013</v>
      </c>
      <c r="V157">
        <f>pm.rep!B220</f>
        <v>1.91588E-2</v>
      </c>
      <c r="W157">
        <f>pm.rep!C220</f>
        <v>1.28051E-2</v>
      </c>
      <c r="X157">
        <f>pm.rep!D220</f>
        <v>4.7149900000000002E-2</v>
      </c>
      <c r="Y157">
        <f>pm.rep!E220</f>
        <v>0.15879399999999999</v>
      </c>
      <c r="Z157">
        <f>pm.rep!F220</f>
        <v>0.41864499999999999</v>
      </c>
      <c r="AA157">
        <f>pm.rep!G220</f>
        <v>0.73312900000000003</v>
      </c>
      <c r="AB157">
        <f>pm.rep!H220</f>
        <v>0.91289100000000001</v>
      </c>
      <c r="AC157">
        <f>pm.rep!I220</f>
        <v>0.97559700000000005</v>
      </c>
      <c r="AD157">
        <f>pm.rep!J220</f>
        <v>0.99348599999999998</v>
      </c>
      <c r="AE157">
        <f>pm.rep!K220</f>
        <v>0.99828399999999995</v>
      </c>
      <c r="AF157">
        <f>pm.rep!L220</f>
        <v>0.99955000000000005</v>
      </c>
      <c r="AG157">
        <f>pm.rep!M220</f>
        <v>0.99988200000000005</v>
      </c>
      <c r="AH157">
        <f>pm.rep!N220</f>
        <v>0.999969</v>
      </c>
      <c r="AI157">
        <f>pm.rep!O220</f>
        <v>0.99999199999999999</v>
      </c>
      <c r="AJ157">
        <f>pm.rep!P220</f>
        <v>0.99999800000000005</v>
      </c>
      <c r="AL157">
        <f>pm.rep!A273</f>
        <v>2013</v>
      </c>
    </row>
    <row r="158" spans="1:53" x14ac:dyDescent="0.15">
      <c r="A158">
        <f t="shared" si="29"/>
        <v>4.4154155136034596</v>
      </c>
      <c r="B158">
        <f t="shared" si="30"/>
        <v>6.8018577706222212</v>
      </c>
      <c r="C158" s="25">
        <f>MAX(E158:S158)</f>
        <v>1.4431499999999999</v>
      </c>
      <c r="D158">
        <f>pm.rep!A167</f>
        <v>2014</v>
      </c>
      <c r="E158">
        <f>pm.rep!B167</f>
        <v>1.3110500000000001E-4</v>
      </c>
      <c r="F158">
        <f>pm.rep!C167</f>
        <v>8.5542399999999994E-3</v>
      </c>
      <c r="G158">
        <f>pm.rep!D167</f>
        <v>8.4946199999999999E-2</v>
      </c>
      <c r="H158">
        <f>pm.rep!E167</f>
        <v>0.39005200000000001</v>
      </c>
      <c r="I158">
        <f>pm.rep!F167</f>
        <v>0.81624699999999994</v>
      </c>
      <c r="J158">
        <f>pm.rep!G167</f>
        <v>1.00526</v>
      </c>
      <c r="K158">
        <f>pm.rep!H167</f>
        <v>1.42286</v>
      </c>
      <c r="L158">
        <f>pm.rep!I167</f>
        <v>1.3047500000000001</v>
      </c>
      <c r="M158">
        <f>pm.rep!J167</f>
        <v>1.30833</v>
      </c>
      <c r="N158">
        <f>pm.rep!K167</f>
        <v>1.4431499999999999</v>
      </c>
      <c r="O158">
        <f>pm.rep!L167</f>
        <v>1.4431499999999999</v>
      </c>
      <c r="P158">
        <f>pm.rep!M167</f>
        <v>1.4431499999999999</v>
      </c>
      <c r="Q158">
        <f>pm.rep!N167</f>
        <v>1.4431499999999999</v>
      </c>
      <c r="R158">
        <f>pm.rep!O167</f>
        <v>1.4431499999999999</v>
      </c>
      <c r="S158">
        <f>pm.rep!P167</f>
        <v>1.4431499999999999</v>
      </c>
      <c r="U158">
        <f>pm.rep!A221</f>
        <v>2014</v>
      </c>
      <c r="V158">
        <f>pm.rep!B221</f>
        <v>4.2179099999999997E-2</v>
      </c>
      <c r="W158">
        <f>pm.rep!C221</f>
        <v>1.3810100000000001E-2</v>
      </c>
      <c r="X158">
        <f>pm.rep!D221</f>
        <v>5.2898100000000003E-2</v>
      </c>
      <c r="Y158">
        <f>pm.rep!E221</f>
        <v>0.18218300000000001</v>
      </c>
      <c r="Z158">
        <f>pm.rep!F221</f>
        <v>0.47048000000000001</v>
      </c>
      <c r="AA158">
        <f>pm.rep!G221</f>
        <v>0.779918</v>
      </c>
      <c r="AB158">
        <f>pm.rep!H221</f>
        <v>0.93392500000000001</v>
      </c>
      <c r="AC158">
        <f>pm.rep!I221</f>
        <v>0.98257099999999997</v>
      </c>
      <c r="AD158">
        <f>pm.rep!J221</f>
        <v>0.99557200000000001</v>
      </c>
      <c r="AE158">
        <f>pm.rep!K221</f>
        <v>0.99888600000000005</v>
      </c>
      <c r="AF158">
        <f>pm.rep!L221</f>
        <v>0.99972099999999997</v>
      </c>
      <c r="AG158">
        <f>pm.rep!M221</f>
        <v>0.99992999999999999</v>
      </c>
      <c r="AH158">
        <f>pm.rep!N221</f>
        <v>0.99998200000000004</v>
      </c>
      <c r="AI158">
        <f>pm.rep!O221</f>
        <v>0.999996</v>
      </c>
      <c r="AJ158">
        <f>pm.rep!P221</f>
        <v>0.99999899999999997</v>
      </c>
      <c r="AL158">
        <f>pm.rep!A274</f>
        <v>2014</v>
      </c>
      <c r="AM158">
        <f>pm.rep!B274</f>
        <v>0</v>
      </c>
      <c r="AN158">
        <f>pm.rep!C274</f>
        <v>1.00617</v>
      </c>
      <c r="AO158">
        <f>pm.rep!D274</f>
        <v>1.2048700000000001</v>
      </c>
      <c r="AP158">
        <f>pm.rep!E274</f>
        <v>1.28284</v>
      </c>
      <c r="AQ158">
        <f>pm.rep!F274</f>
        <v>1.31125</v>
      </c>
      <c r="AR158">
        <f>pm.rep!G274</f>
        <v>1.10782</v>
      </c>
      <c r="AS158">
        <f>pm.rep!H274</f>
        <v>1.1216299999999999</v>
      </c>
      <c r="AT158">
        <f>pm.rep!I274</f>
        <v>0.94114500000000001</v>
      </c>
      <c r="AU158">
        <f>pm.rep!J274</f>
        <v>0.94114500000000001</v>
      </c>
      <c r="AV158">
        <f>pm.rep!K274</f>
        <v>0.94114500000000001</v>
      </c>
      <c r="AW158">
        <f>pm.rep!L274</f>
        <v>0.94114500000000001</v>
      </c>
      <c r="AX158">
        <f>pm.rep!M274</f>
        <v>0.94114500000000001</v>
      </c>
      <c r="AY158">
        <f>pm.rep!N274</f>
        <v>0.94114500000000001</v>
      </c>
      <c r="AZ158">
        <f>pm.rep!O274</f>
        <v>0.94114500000000001</v>
      </c>
      <c r="BA158">
        <f>pm.rep!P274</f>
        <v>0.94114500000000001</v>
      </c>
    </row>
    <row r="159" spans="1:53" x14ac:dyDescent="0.15">
      <c r="A159">
        <f t="shared" si="29"/>
        <v>4.0776315208601082</v>
      </c>
      <c r="B159">
        <f t="shared" si="30"/>
        <v>6.9665619416387914</v>
      </c>
      <c r="C159" s="25"/>
      <c r="D159">
        <f>pm.rep!A168</f>
        <v>2015</v>
      </c>
      <c r="E159">
        <f>pm.rep!B168</f>
        <v>1.33249E-4</v>
      </c>
      <c r="F159">
        <f>pm.rep!C168</f>
        <v>7.9993100000000008E-3</v>
      </c>
      <c r="G159">
        <f>pm.rep!D168</f>
        <v>0.192963</v>
      </c>
      <c r="H159">
        <f>pm.rep!E168</f>
        <v>0.47067100000000001</v>
      </c>
      <c r="I159">
        <f>pm.rep!F168</f>
        <v>0.73584799999999995</v>
      </c>
      <c r="J159">
        <f>pm.rep!G168</f>
        <v>1.21733</v>
      </c>
      <c r="K159">
        <f>pm.rep!H168</f>
        <v>1.13059</v>
      </c>
      <c r="L159">
        <f>pm.rep!I168</f>
        <v>1.15828</v>
      </c>
      <c r="M159">
        <f>pm.rep!J168</f>
        <v>1.1374</v>
      </c>
      <c r="N159">
        <f>pm.rep!K168</f>
        <v>1.49146</v>
      </c>
      <c r="O159">
        <f>pm.rep!L168</f>
        <v>1.49146</v>
      </c>
      <c r="P159">
        <f>pm.rep!M168</f>
        <v>1.49146</v>
      </c>
      <c r="Q159">
        <f>pm.rep!N168</f>
        <v>1.49146</v>
      </c>
      <c r="R159">
        <f>pm.rep!O168</f>
        <v>1.49146</v>
      </c>
      <c r="S159">
        <f>pm.rep!P168</f>
        <v>1.49146</v>
      </c>
      <c r="U159">
        <f>pm.rep!A222</f>
        <v>2015</v>
      </c>
      <c r="V159">
        <f>pm.rep!B222</f>
        <v>4.1726300000000001E-2</v>
      </c>
      <c r="W159">
        <f>pm.rep!C222</f>
        <v>2.1284000000000001E-2</v>
      </c>
      <c r="X159">
        <f>pm.rep!D222</f>
        <v>6.8815000000000001E-2</v>
      </c>
      <c r="Y159">
        <f>pm.rep!E222</f>
        <v>0.20072200000000001</v>
      </c>
      <c r="Z159">
        <f>pm.rep!F222</f>
        <v>0.460449</v>
      </c>
      <c r="AA159">
        <f>pm.rep!G222</f>
        <v>0.743591</v>
      </c>
      <c r="AB159">
        <f>pm.rep!H222</f>
        <v>0.90787499999999999</v>
      </c>
      <c r="AC159">
        <f>pm.rep!I222</f>
        <v>0.97100500000000001</v>
      </c>
      <c r="AD159">
        <f>pm.rep!J222</f>
        <v>0.99128899999999998</v>
      </c>
      <c r="AE159">
        <f>pm.rep!K222</f>
        <v>0.997421</v>
      </c>
      <c r="AF159">
        <f>pm.rep!L222</f>
        <v>0.99924000000000002</v>
      </c>
      <c r="AG159">
        <f>pm.rep!M222</f>
        <v>0.999776</v>
      </c>
      <c r="AH159">
        <f>pm.rep!N222</f>
        <v>0.99993399999999999</v>
      </c>
      <c r="AI159">
        <f>pm.rep!O222</f>
        <v>0.99998100000000001</v>
      </c>
      <c r="AJ159">
        <f>pm.rep!P222</f>
        <v>0.99999400000000005</v>
      </c>
      <c r="AL159">
        <v>2015</v>
      </c>
    </row>
    <row r="160" spans="1:53" x14ac:dyDescent="0.15">
      <c r="C160" s="25"/>
      <c r="D160">
        <f>pm.rep!A169</f>
        <v>2016</v>
      </c>
      <c r="E160">
        <f>pm.rep!B169</f>
        <v>1.3349400000000001E-4</v>
      </c>
      <c r="F160">
        <f>pm.rep!C169</f>
        <v>7.9802199999999997E-3</v>
      </c>
      <c r="G160">
        <f>pm.rep!D169</f>
        <v>0.18130399999999999</v>
      </c>
      <c r="H160">
        <f>pm.rep!E169</f>
        <v>0.44327800000000001</v>
      </c>
      <c r="I160">
        <f>pm.rep!F169</f>
        <v>0.67699900000000002</v>
      </c>
      <c r="J160">
        <f>pm.rep!G169</f>
        <v>1.19163</v>
      </c>
      <c r="K160">
        <f>pm.rep!H169</f>
        <v>1.17963</v>
      </c>
      <c r="L160">
        <f>pm.rep!I169</f>
        <v>1.1857599999999999</v>
      </c>
      <c r="M160">
        <f>pm.rep!J169</f>
        <v>1.1757299999999999</v>
      </c>
      <c r="N160">
        <f>pm.rep!K169</f>
        <v>1.4929300000000001</v>
      </c>
      <c r="O160">
        <f>pm.rep!L169</f>
        <v>1.4929300000000001</v>
      </c>
      <c r="P160">
        <f>pm.rep!M169</f>
        <v>1.4929300000000001</v>
      </c>
      <c r="Q160">
        <f>pm.rep!N169</f>
        <v>1.4929300000000001</v>
      </c>
      <c r="R160">
        <f>pm.rep!O169</f>
        <v>1.4929300000000001</v>
      </c>
      <c r="S160">
        <f>pm.rep!P169</f>
        <v>1.4929300000000001</v>
      </c>
      <c r="U160">
        <f>pm.rep!A223</f>
        <v>2016</v>
      </c>
      <c r="V160">
        <f>pm.rep!B223</f>
        <v>3.3969399999999997E-2</v>
      </c>
      <c r="W160">
        <f>pm.rep!C223</f>
        <v>2.0253400000000001E-2</v>
      </c>
      <c r="X160">
        <f>pm.rep!D223</f>
        <v>6.2653E-2</v>
      </c>
      <c r="Y160">
        <f>pm.rep!E223</f>
        <v>0.17771400000000001</v>
      </c>
      <c r="Z160">
        <f>pm.rep!F223</f>
        <v>0.411352</v>
      </c>
      <c r="AA160">
        <f>pm.rep!G223</f>
        <v>0.69320700000000002</v>
      </c>
      <c r="AB160">
        <f>pm.rep!H223</f>
        <v>0.87960400000000005</v>
      </c>
      <c r="AC160">
        <f>pm.rep!I223</f>
        <v>0.95938699999999999</v>
      </c>
      <c r="AD160">
        <f>pm.rep!J223</f>
        <v>0.98707699999999998</v>
      </c>
      <c r="AE160">
        <f>pm.rep!K223</f>
        <v>0.99596700000000005</v>
      </c>
      <c r="AF160">
        <f>pm.rep!L223</f>
        <v>0.998749</v>
      </c>
      <c r="AG160">
        <f>pm.rep!M223</f>
        <v>0.99961299999999997</v>
      </c>
      <c r="AH160">
        <f>pm.rep!N223</f>
        <v>0.99987999999999999</v>
      </c>
      <c r="AI160">
        <f>pm.rep!O223</f>
        <v>0.99996300000000005</v>
      </c>
      <c r="AJ160">
        <f>pm.rep!P223</f>
        <v>0.99998900000000002</v>
      </c>
      <c r="AL160">
        <v>2016</v>
      </c>
      <c r="AM160">
        <f>pm.rep!B276</f>
        <v>0</v>
      </c>
      <c r="AN160">
        <f>pm.rep!C276</f>
        <v>1.00617</v>
      </c>
      <c r="AO160">
        <f>pm.rep!D276</f>
        <v>1.2048700000000001</v>
      </c>
      <c r="AP160">
        <f>pm.rep!E276</f>
        <v>1.28284</v>
      </c>
      <c r="AQ160">
        <f>pm.rep!F276</f>
        <v>1.31125</v>
      </c>
      <c r="AR160">
        <f>pm.rep!G276</f>
        <v>1.10782</v>
      </c>
      <c r="AS160">
        <f>pm.rep!H276</f>
        <v>1.1216299999999999</v>
      </c>
      <c r="AT160">
        <f>pm.rep!I276</f>
        <v>0.94114500000000001</v>
      </c>
      <c r="AU160">
        <f>pm.rep!J276</f>
        <v>0.94114500000000001</v>
      </c>
      <c r="AV160">
        <f>pm.rep!K276</f>
        <v>0.94114500000000001</v>
      </c>
      <c r="AW160">
        <f>pm.rep!L276</f>
        <v>0.94114500000000001</v>
      </c>
      <c r="AX160">
        <f>pm.rep!M276</f>
        <v>0.94114500000000001</v>
      </c>
      <c r="AY160">
        <f>pm.rep!N276</f>
        <v>0.94114500000000001</v>
      </c>
      <c r="AZ160">
        <f>pm.rep!O276</f>
        <v>0.94114500000000001</v>
      </c>
      <c r="BA160">
        <f>pm.rep!P276</f>
        <v>0.94114500000000001</v>
      </c>
    </row>
    <row r="161" spans="3:27" x14ac:dyDescent="0.15">
      <c r="C161" s="25"/>
    </row>
    <row r="163" spans="3:27" x14ac:dyDescent="0.15">
      <c r="D163" t="str">
        <f>pm.rep!A170</f>
        <v>Future</v>
      </c>
      <c r="E163">
        <f>pm.rep!B170</f>
        <v>1.12378E-4</v>
      </c>
      <c r="F163">
        <f>pm.rep!C170</f>
        <v>7.3870100000000003E-3</v>
      </c>
      <c r="G163">
        <f>pm.rep!D170</f>
        <v>9.7611000000000003E-2</v>
      </c>
      <c r="H163">
        <f>pm.rep!E170</f>
        <v>0.32773000000000002</v>
      </c>
      <c r="I163">
        <f>pm.rep!F170</f>
        <v>0.65866100000000005</v>
      </c>
      <c r="J163">
        <f>pm.rep!G170</f>
        <v>1</v>
      </c>
      <c r="K163">
        <f>pm.rep!H170</f>
        <v>1.08914</v>
      </c>
      <c r="L163">
        <f>pm.rep!I170</f>
        <v>1.1137999999999999</v>
      </c>
      <c r="M163">
        <f>pm.rep!J170</f>
        <v>1.0904499999999999</v>
      </c>
      <c r="N163">
        <f>pm.rep!K170</f>
        <v>1.1895899999999999</v>
      </c>
      <c r="O163">
        <f>pm.rep!L170</f>
        <v>1.1895899999999999</v>
      </c>
      <c r="P163">
        <f>pm.rep!M170</f>
        <v>1.1895899999999999</v>
      </c>
      <c r="Q163">
        <f>pm.rep!N170</f>
        <v>1.1895899999999999</v>
      </c>
      <c r="R163">
        <f>pm.rep!O170</f>
        <v>1.1895899999999999</v>
      </c>
      <c r="S163">
        <f>pm.rep!P170</f>
        <v>1.1895899999999999</v>
      </c>
    </row>
    <row r="165" spans="3:27" x14ac:dyDescent="0.15">
      <c r="H165">
        <f>AVERAGE(H154:H157)</f>
        <v>0.43471024999999996</v>
      </c>
    </row>
    <row r="166" spans="3:27" x14ac:dyDescent="0.15">
      <c r="C166" s="25">
        <f>MAX(E166:S166)</f>
        <v>1.5254645454545455</v>
      </c>
      <c r="D166" s="37" t="s">
        <v>123</v>
      </c>
      <c r="E166" s="25">
        <f>AVERAGE(E145:E155)</f>
        <v>1.6469809090909093E-4</v>
      </c>
      <c r="F166" s="25">
        <f t="shared" ref="F166:S166" si="33">AVERAGE(F145:F155)</f>
        <v>1.0842807272727273E-2</v>
      </c>
      <c r="G166" s="25">
        <f t="shared" si="33"/>
        <v>0.12031550909090911</v>
      </c>
      <c r="H166" s="25">
        <f t="shared" si="33"/>
        <v>0.48659363636363645</v>
      </c>
      <c r="I166" s="25">
        <f t="shared" si="33"/>
        <v>1.0500294545454545</v>
      </c>
      <c r="J166" s="25">
        <f t="shared" si="33"/>
        <v>1.4962072727272728</v>
      </c>
      <c r="K166" s="25">
        <f t="shared" si="33"/>
        <v>1.5254645454545455</v>
      </c>
      <c r="L166" s="25">
        <f t="shared" si="33"/>
        <v>1.4709299999999998</v>
      </c>
      <c r="M166" s="25">
        <f t="shared" si="33"/>
        <v>1.3745718181818183</v>
      </c>
      <c r="N166" s="25">
        <f t="shared" si="33"/>
        <v>1.2441481818181819</v>
      </c>
      <c r="O166" s="25">
        <f t="shared" si="33"/>
        <v>1.2441481818181819</v>
      </c>
      <c r="P166" s="25">
        <f t="shared" si="33"/>
        <v>1.2441481818181819</v>
      </c>
      <c r="Q166" s="25">
        <f t="shared" si="33"/>
        <v>1.2441481818181819</v>
      </c>
      <c r="R166" s="25">
        <f t="shared" si="33"/>
        <v>1.2441481818181819</v>
      </c>
      <c r="S166" s="25">
        <f t="shared" si="33"/>
        <v>1.2441481818181819</v>
      </c>
      <c r="V166" t="s">
        <v>665</v>
      </c>
    </row>
    <row r="167" spans="3:27" ht="27" thickBot="1" x14ac:dyDescent="0.2">
      <c r="D167" s="9" t="s">
        <v>144</v>
      </c>
      <c r="E167" s="14">
        <v>1</v>
      </c>
      <c r="F167" s="14">
        <v>2</v>
      </c>
      <c r="G167" s="14">
        <v>3</v>
      </c>
      <c r="H167" s="14">
        <v>4</v>
      </c>
      <c r="I167" s="14">
        <v>5</v>
      </c>
      <c r="J167" s="14">
        <v>6</v>
      </c>
      <c r="K167" s="14">
        <v>7</v>
      </c>
      <c r="L167" s="14">
        <v>8</v>
      </c>
      <c r="M167" s="14">
        <v>9</v>
      </c>
      <c r="N167" s="14">
        <v>10</v>
      </c>
      <c r="O167" s="14">
        <v>11</v>
      </c>
      <c r="P167" s="14">
        <v>12</v>
      </c>
      <c r="Q167" s="14">
        <v>13</v>
      </c>
      <c r="R167" s="14">
        <v>14</v>
      </c>
      <c r="S167" s="14">
        <v>15</v>
      </c>
      <c r="W167">
        <v>1</v>
      </c>
      <c r="X167">
        <v>2</v>
      </c>
      <c r="Y167" t="s">
        <v>666</v>
      </c>
      <c r="Z167">
        <v>4</v>
      </c>
      <c r="AA167">
        <v>5</v>
      </c>
    </row>
    <row r="168" spans="3:27" x14ac:dyDescent="0.15">
      <c r="D168">
        <v>1964</v>
      </c>
      <c r="E168">
        <f t="shared" ref="E168:S168" si="34">E108/$C108</f>
        <v>1.2788116834236394E-2</v>
      </c>
      <c r="F168">
        <f t="shared" si="34"/>
        <v>8.2421947783831315E-2</v>
      </c>
      <c r="G168">
        <f t="shared" si="34"/>
        <v>0.27745075387745671</v>
      </c>
      <c r="H168">
        <f t="shared" si="34"/>
        <v>0.98961042832760682</v>
      </c>
      <c r="I168">
        <f t="shared" si="34"/>
        <v>1</v>
      </c>
      <c r="J168">
        <f t="shared" si="34"/>
        <v>0.99186125375448109</v>
      </c>
      <c r="K168">
        <f t="shared" si="34"/>
        <v>0.95554992435139696</v>
      </c>
      <c r="L168">
        <f t="shared" si="34"/>
        <v>0.91253083705365456</v>
      </c>
      <c r="M168">
        <f t="shared" si="34"/>
        <v>0.8754220297675388</v>
      </c>
      <c r="N168">
        <f t="shared" si="34"/>
        <v>0.84699604242284199</v>
      </c>
      <c r="O168">
        <f t="shared" si="34"/>
        <v>0.84699604242284199</v>
      </c>
      <c r="P168">
        <f t="shared" si="34"/>
        <v>0.84699604242284199</v>
      </c>
      <c r="Q168">
        <f t="shared" si="34"/>
        <v>0.84699604242284199</v>
      </c>
      <c r="R168">
        <f t="shared" si="34"/>
        <v>0.84699604242284199</v>
      </c>
      <c r="S168">
        <f t="shared" si="34"/>
        <v>0.84699604242284199</v>
      </c>
      <c r="V168">
        <v>1982</v>
      </c>
      <c r="W168">
        <v>5.3693200000000003E-2</v>
      </c>
      <c r="X168">
        <v>0.13322000000000001</v>
      </c>
      <c r="Y168">
        <v>0.232904</v>
      </c>
      <c r="Z168">
        <v>0.374915</v>
      </c>
      <c r="AA168">
        <v>0.54230199999999995</v>
      </c>
    </row>
    <row r="169" spans="3:27" x14ac:dyDescent="0.15">
      <c r="D169">
        <v>1965</v>
      </c>
      <c r="E169">
        <f t="shared" ref="E169:S169" si="35">E109/$C109</f>
        <v>1.2193744724017337E-2</v>
      </c>
      <c r="F169">
        <f t="shared" si="35"/>
        <v>8.2097482425214044E-2</v>
      </c>
      <c r="G169">
        <f t="shared" si="35"/>
        <v>0.31230270485000244</v>
      </c>
      <c r="H169">
        <f t="shared" si="35"/>
        <v>1</v>
      </c>
      <c r="I169">
        <f t="shared" si="35"/>
        <v>0.96602799196986555</v>
      </c>
      <c r="J169">
        <f t="shared" si="35"/>
        <v>0.92128056523065349</v>
      </c>
      <c r="K169">
        <f t="shared" si="35"/>
        <v>0.88215848874575264</v>
      </c>
      <c r="L169">
        <f t="shared" si="35"/>
        <v>0.84955557604863474</v>
      </c>
      <c r="M169">
        <f t="shared" si="35"/>
        <v>0.82156360618291957</v>
      </c>
      <c r="N169">
        <f t="shared" si="35"/>
        <v>0.79891323624342936</v>
      </c>
      <c r="O169">
        <f t="shared" si="35"/>
        <v>0.79891323624342936</v>
      </c>
      <c r="P169">
        <f t="shared" si="35"/>
        <v>0.79891323624342936</v>
      </c>
      <c r="Q169">
        <f t="shared" si="35"/>
        <v>0.79891323624342936</v>
      </c>
      <c r="R169">
        <f t="shared" si="35"/>
        <v>0.79891323624342936</v>
      </c>
      <c r="S169">
        <f t="shared" si="35"/>
        <v>0.79891323624342936</v>
      </c>
      <c r="V169">
        <v>1983</v>
      </c>
      <c r="W169">
        <v>1.36656E-2</v>
      </c>
      <c r="X169">
        <v>9.5851699999999998E-2</v>
      </c>
      <c r="Y169">
        <v>0.238653</v>
      </c>
      <c r="Z169">
        <v>0.48101699999999997</v>
      </c>
      <c r="AA169">
        <v>0.732657</v>
      </c>
    </row>
    <row r="170" spans="3:27" x14ac:dyDescent="0.15">
      <c r="D170">
        <v>1966</v>
      </c>
      <c r="E170">
        <f t="shared" ref="E170:S170" si="36">E110/$C110</f>
        <v>1.35058602291612E-2</v>
      </c>
      <c r="F170">
        <f t="shared" si="36"/>
        <v>9.5331496545088767E-2</v>
      </c>
      <c r="G170">
        <f t="shared" si="36"/>
        <v>0.37043864252602116</v>
      </c>
      <c r="H170">
        <f t="shared" si="36"/>
        <v>1</v>
      </c>
      <c r="I170">
        <f t="shared" si="36"/>
        <v>0.97406629930901767</v>
      </c>
      <c r="J170">
        <f t="shared" si="36"/>
        <v>0.9269730895944488</v>
      </c>
      <c r="K170">
        <f t="shared" si="36"/>
        <v>0.89399836729933801</v>
      </c>
      <c r="L170">
        <f t="shared" si="36"/>
        <v>0.86463891075541555</v>
      </c>
      <c r="M170">
        <f t="shared" si="36"/>
        <v>0.84234234234234229</v>
      </c>
      <c r="N170">
        <f t="shared" si="36"/>
        <v>0.8253301845534855</v>
      </c>
      <c r="O170">
        <f t="shared" si="36"/>
        <v>0.8253301845534855</v>
      </c>
      <c r="P170">
        <f t="shared" si="36"/>
        <v>0.8253301845534855</v>
      </c>
      <c r="Q170">
        <f t="shared" si="36"/>
        <v>0.8253301845534855</v>
      </c>
      <c r="R170">
        <f t="shared" si="36"/>
        <v>0.8253301845534855</v>
      </c>
      <c r="S170">
        <f t="shared" si="36"/>
        <v>0.8253301845534855</v>
      </c>
      <c r="V170">
        <v>1984</v>
      </c>
      <c r="W170">
        <v>3.0247400000000001E-2</v>
      </c>
      <c r="X170">
        <v>1.65264E-2</v>
      </c>
      <c r="Y170">
        <v>5.6137100000000002E-2</v>
      </c>
      <c r="Z170">
        <v>0.1739</v>
      </c>
      <c r="AA170">
        <v>0.426954</v>
      </c>
    </row>
    <row r="171" spans="3:27" x14ac:dyDescent="0.15">
      <c r="D171">
        <v>1967</v>
      </c>
      <c r="E171">
        <f t="shared" ref="E171:S171" si="37">E111/$C111</f>
        <v>1.6206175787248072E-2</v>
      </c>
      <c r="F171">
        <f t="shared" si="37"/>
        <v>0.11954192090940517</v>
      </c>
      <c r="G171">
        <f t="shared" si="37"/>
        <v>0.52636326363263641</v>
      </c>
      <c r="H171">
        <f t="shared" si="37"/>
        <v>0.99321483410912537</v>
      </c>
      <c r="I171">
        <f t="shared" si="37"/>
        <v>1</v>
      </c>
      <c r="J171">
        <f t="shared" si="37"/>
        <v>0.97580975809758097</v>
      </c>
      <c r="K171">
        <f t="shared" si="37"/>
        <v>0.96287453070609141</v>
      </c>
      <c r="L171">
        <f t="shared" si="37"/>
        <v>0.94973028161654172</v>
      </c>
      <c r="M171">
        <f t="shared" si="37"/>
        <v>0.93725329410156855</v>
      </c>
      <c r="N171">
        <f t="shared" si="37"/>
        <v>0.92965615930669121</v>
      </c>
      <c r="O171">
        <f t="shared" si="37"/>
        <v>0.92965615930669121</v>
      </c>
      <c r="P171">
        <f t="shared" si="37"/>
        <v>0.92965615930669121</v>
      </c>
      <c r="Q171">
        <f t="shared" si="37"/>
        <v>0.92965615930669121</v>
      </c>
      <c r="R171">
        <f t="shared" si="37"/>
        <v>0.92965615930669121</v>
      </c>
      <c r="S171">
        <f t="shared" si="37"/>
        <v>0.92965615930669121</v>
      </c>
      <c r="V171">
        <v>1985</v>
      </c>
      <c r="W171">
        <v>9.0862700000000005E-2</v>
      </c>
      <c r="X171">
        <v>5.3962000000000003E-2</v>
      </c>
      <c r="Y171">
        <v>0.146532</v>
      </c>
      <c r="Z171">
        <v>0.34071299999999999</v>
      </c>
      <c r="AA171">
        <v>0.60869399999999996</v>
      </c>
    </row>
    <row r="172" spans="3:27" x14ac:dyDescent="0.15">
      <c r="D172">
        <v>1968</v>
      </c>
      <c r="E172">
        <f t="shared" ref="E172:S172" si="38">E112/$C112</f>
        <v>1.8596212749664987E-2</v>
      </c>
      <c r="F172">
        <f t="shared" si="38"/>
        <v>0.13421925850296729</v>
      </c>
      <c r="G172">
        <f t="shared" si="38"/>
        <v>0.53391375789675199</v>
      </c>
      <c r="H172">
        <f t="shared" si="38"/>
        <v>1</v>
      </c>
      <c r="I172">
        <f t="shared" si="38"/>
        <v>0.97282400612596531</v>
      </c>
      <c r="J172">
        <f t="shared" si="38"/>
        <v>0.94433188692489323</v>
      </c>
      <c r="K172">
        <f t="shared" si="38"/>
        <v>0.93330036372918146</v>
      </c>
      <c r="L172">
        <f t="shared" si="38"/>
        <v>0.92966307191627851</v>
      </c>
      <c r="M172">
        <f t="shared" si="38"/>
        <v>0.92829908748644008</v>
      </c>
      <c r="N172">
        <f t="shared" si="38"/>
        <v>0.92827515793503923</v>
      </c>
      <c r="O172">
        <f t="shared" si="38"/>
        <v>0.92827515793503923</v>
      </c>
      <c r="P172">
        <f t="shared" si="38"/>
        <v>0.92827515793503923</v>
      </c>
      <c r="Q172">
        <f t="shared" si="38"/>
        <v>0.92827515793503923</v>
      </c>
      <c r="R172">
        <f t="shared" si="38"/>
        <v>0.92827515793503923</v>
      </c>
      <c r="S172">
        <f t="shared" si="38"/>
        <v>0.92827515793503923</v>
      </c>
      <c r="V172">
        <v>1986</v>
      </c>
      <c r="W172">
        <v>0.13242100000000001</v>
      </c>
      <c r="X172">
        <v>1.9881300000000001E-2</v>
      </c>
      <c r="Y172">
        <v>5.5020199999999998E-2</v>
      </c>
      <c r="Z172">
        <v>0.14319100000000001</v>
      </c>
      <c r="AA172">
        <v>0.324185</v>
      </c>
    </row>
    <row r="173" spans="3:27" x14ac:dyDescent="0.15">
      <c r="D173">
        <v>1969</v>
      </c>
      <c r="E173">
        <f t="shared" ref="E173:S173" si="39">E113/$C113</f>
        <v>2.2544645837505841E-2</v>
      </c>
      <c r="F173">
        <f t="shared" si="39"/>
        <v>0.15266289471927363</v>
      </c>
      <c r="G173">
        <f t="shared" si="39"/>
        <v>0.66275368849722938</v>
      </c>
      <c r="H173">
        <f t="shared" si="39"/>
        <v>0.96067828292943447</v>
      </c>
      <c r="I173">
        <f t="shared" si="39"/>
        <v>0.93871419987983185</v>
      </c>
      <c r="J173">
        <f t="shared" si="39"/>
        <v>0.92123139061352566</v>
      </c>
      <c r="K173">
        <f t="shared" si="39"/>
        <v>0.92008812337272172</v>
      </c>
      <c r="L173">
        <f t="shared" si="39"/>
        <v>0.9610704986981774</v>
      </c>
      <c r="M173">
        <f t="shared" si="39"/>
        <v>0.97780225649242281</v>
      </c>
      <c r="N173">
        <f t="shared" si="39"/>
        <v>1</v>
      </c>
      <c r="O173">
        <f t="shared" si="39"/>
        <v>1</v>
      </c>
      <c r="P173">
        <f t="shared" si="39"/>
        <v>1</v>
      </c>
      <c r="Q173">
        <f t="shared" si="39"/>
        <v>1</v>
      </c>
      <c r="R173">
        <f t="shared" si="39"/>
        <v>1</v>
      </c>
      <c r="S173">
        <f t="shared" si="39"/>
        <v>1</v>
      </c>
      <c r="V173">
        <v>1987</v>
      </c>
      <c r="W173">
        <v>5.5940400000000001E-2</v>
      </c>
      <c r="X173">
        <v>3.2398000000000003E-2</v>
      </c>
      <c r="Y173">
        <v>7.7496899999999994E-2</v>
      </c>
      <c r="Z173">
        <v>0.17408000000000001</v>
      </c>
      <c r="AA173">
        <v>0.34589900000000001</v>
      </c>
    </row>
    <row r="174" spans="3:27" x14ac:dyDescent="0.15">
      <c r="D174">
        <v>1970</v>
      </c>
      <c r="E174">
        <f t="shared" ref="E174:S174" si="40">E114/$C114</f>
        <v>2.5231156052715573E-2</v>
      </c>
      <c r="F174">
        <f t="shared" si="40"/>
        <v>0.16235958992083324</v>
      </c>
      <c r="G174">
        <f t="shared" si="40"/>
        <v>0.59542202813261413</v>
      </c>
      <c r="H174">
        <f t="shared" si="40"/>
        <v>0.70327487292060753</v>
      </c>
      <c r="I174">
        <f t="shared" si="40"/>
        <v>0.77229552478145469</v>
      </c>
      <c r="J174">
        <f t="shared" si="40"/>
        <v>0.7708476370628119</v>
      </c>
      <c r="K174">
        <f t="shared" si="40"/>
        <v>0.81248297175062079</v>
      </c>
      <c r="L174">
        <f t="shared" si="40"/>
        <v>0.89736344317040706</v>
      </c>
      <c r="M174">
        <f t="shared" si="40"/>
        <v>0.93724263017366871</v>
      </c>
      <c r="N174">
        <f t="shared" si="40"/>
        <v>1</v>
      </c>
      <c r="O174">
        <f t="shared" si="40"/>
        <v>1</v>
      </c>
      <c r="P174">
        <f t="shared" si="40"/>
        <v>1</v>
      </c>
      <c r="Q174">
        <f t="shared" si="40"/>
        <v>1</v>
      </c>
      <c r="R174">
        <f t="shared" si="40"/>
        <v>1</v>
      </c>
      <c r="S174">
        <f t="shared" si="40"/>
        <v>1</v>
      </c>
      <c r="V174">
        <v>1988</v>
      </c>
      <c r="W174">
        <v>7.1047399999999997E-2</v>
      </c>
      <c r="X174">
        <v>7.2409799999999996E-2</v>
      </c>
      <c r="Y174">
        <v>0.14693800000000001</v>
      </c>
      <c r="Z174">
        <v>0.27540100000000001</v>
      </c>
      <c r="AA174">
        <v>0.456123</v>
      </c>
    </row>
    <row r="175" spans="3:27" x14ac:dyDescent="0.15">
      <c r="D175">
        <v>1971</v>
      </c>
      <c r="E175">
        <f t="shared" ref="E175:S175" si="41">E115/$C115</f>
        <v>2.4380875312908858E-2</v>
      </c>
      <c r="F175">
        <f t="shared" si="41"/>
        <v>0.1592813873112148</v>
      </c>
      <c r="G175">
        <f t="shared" si="41"/>
        <v>0.52475591218132445</v>
      </c>
      <c r="H175">
        <f t="shared" si="41"/>
        <v>0.64411428830722928</v>
      </c>
      <c r="I175">
        <f t="shared" si="41"/>
        <v>0.74059533983225811</v>
      </c>
      <c r="J175">
        <f t="shared" si="41"/>
        <v>0.72929129451624852</v>
      </c>
      <c r="K175">
        <f t="shared" si="41"/>
        <v>0.74081239081276895</v>
      </c>
      <c r="L175">
        <f t="shared" si="41"/>
        <v>0.86218397150355064</v>
      </c>
      <c r="M175">
        <f t="shared" si="41"/>
        <v>0.91871554221149987</v>
      </c>
      <c r="N175">
        <f t="shared" si="41"/>
        <v>1</v>
      </c>
      <c r="O175">
        <f t="shared" si="41"/>
        <v>1</v>
      </c>
      <c r="P175">
        <f t="shared" si="41"/>
        <v>1</v>
      </c>
      <c r="Q175">
        <f t="shared" si="41"/>
        <v>1</v>
      </c>
      <c r="R175">
        <f t="shared" si="41"/>
        <v>1</v>
      </c>
      <c r="S175">
        <f t="shared" si="41"/>
        <v>1</v>
      </c>
      <c r="V175">
        <v>1989</v>
      </c>
      <c r="W175">
        <v>5.6134000000000003E-2</v>
      </c>
      <c r="X175">
        <v>7.8350600000000006E-2</v>
      </c>
      <c r="Y175">
        <v>0.16339200000000001</v>
      </c>
      <c r="Z175">
        <v>0.30971900000000002</v>
      </c>
      <c r="AA175">
        <v>0.50758300000000001</v>
      </c>
    </row>
    <row r="176" spans="3:27" x14ac:dyDescent="0.15">
      <c r="D176">
        <v>1972</v>
      </c>
      <c r="E176">
        <f t="shared" ref="E176:S176" si="42">E116/$C116</f>
        <v>2.0077173407717343E-2</v>
      </c>
      <c r="F176">
        <f t="shared" si="42"/>
        <v>0.20045947621261431</v>
      </c>
      <c r="G176">
        <f t="shared" si="42"/>
        <v>0.60811328064466141</v>
      </c>
      <c r="H176">
        <f t="shared" si="42"/>
        <v>0.72368123353479008</v>
      </c>
      <c r="I176">
        <f t="shared" si="42"/>
        <v>0.75224314272431425</v>
      </c>
      <c r="J176">
        <f t="shared" si="42"/>
        <v>0.75084689291802265</v>
      </c>
      <c r="K176">
        <f t="shared" si="42"/>
        <v>0.75841004184100425</v>
      </c>
      <c r="L176">
        <f t="shared" si="42"/>
        <v>0.86888269022160236</v>
      </c>
      <c r="M176">
        <f t="shared" si="42"/>
        <v>0.9398031923136525</v>
      </c>
      <c r="N176">
        <f t="shared" si="42"/>
        <v>1</v>
      </c>
      <c r="O176">
        <f t="shared" si="42"/>
        <v>1</v>
      </c>
      <c r="P176">
        <f t="shared" si="42"/>
        <v>1</v>
      </c>
      <c r="Q176">
        <f t="shared" si="42"/>
        <v>1</v>
      </c>
      <c r="R176">
        <f t="shared" si="42"/>
        <v>1</v>
      </c>
      <c r="S176">
        <f t="shared" si="42"/>
        <v>1</v>
      </c>
      <c r="V176">
        <v>1990</v>
      </c>
      <c r="W176">
        <v>2.6913200000000002E-2</v>
      </c>
      <c r="X176">
        <v>4.4014400000000002E-2</v>
      </c>
      <c r="Y176">
        <v>0.11536</v>
      </c>
      <c r="Z176">
        <v>0.26972299999999999</v>
      </c>
      <c r="AA176">
        <v>0.51126700000000003</v>
      </c>
    </row>
    <row r="177" spans="4:27" x14ac:dyDescent="0.15">
      <c r="D177">
        <v>1973</v>
      </c>
      <c r="E177">
        <f t="shared" ref="E177:S177" si="43">E117/$C117</f>
        <v>1.6230360619486753E-2</v>
      </c>
      <c r="F177">
        <f t="shared" si="43"/>
        <v>0.23116582407281291</v>
      </c>
      <c r="G177">
        <f t="shared" si="43"/>
        <v>0.67111598952032248</v>
      </c>
      <c r="H177">
        <f t="shared" si="43"/>
        <v>0.786350780768029</v>
      </c>
      <c r="I177">
        <f t="shared" si="43"/>
        <v>0.8120468220457806</v>
      </c>
      <c r="J177">
        <f t="shared" si="43"/>
        <v>0.81509938868547349</v>
      </c>
      <c r="K177">
        <f t="shared" si="43"/>
        <v>0.81348096752742105</v>
      </c>
      <c r="L177">
        <f t="shared" si="43"/>
        <v>0.90498585884483185</v>
      </c>
      <c r="M177">
        <f t="shared" si="43"/>
        <v>0.96750338506405587</v>
      </c>
      <c r="N177">
        <f t="shared" si="43"/>
        <v>1</v>
      </c>
      <c r="O177">
        <f t="shared" si="43"/>
        <v>1</v>
      </c>
      <c r="P177">
        <f t="shared" si="43"/>
        <v>1</v>
      </c>
      <c r="Q177">
        <f t="shared" si="43"/>
        <v>1</v>
      </c>
      <c r="R177">
        <f t="shared" si="43"/>
        <v>1</v>
      </c>
      <c r="S177">
        <f t="shared" si="43"/>
        <v>1</v>
      </c>
      <c r="V177">
        <v>1991</v>
      </c>
      <c r="W177">
        <v>7.3821399999999995E-2</v>
      </c>
      <c r="X177">
        <v>1.8862500000000001E-2</v>
      </c>
      <c r="Y177">
        <v>4.9643800000000002E-2</v>
      </c>
      <c r="Z177">
        <v>0.124293</v>
      </c>
      <c r="AA177">
        <v>0.27831899999999998</v>
      </c>
    </row>
    <row r="178" spans="4:27" x14ac:dyDescent="0.15">
      <c r="D178">
        <v>1974</v>
      </c>
      <c r="E178">
        <f t="shared" ref="E178:S178" si="44">E118/$C118</f>
        <v>1.3827059057862764E-2</v>
      </c>
      <c r="F178">
        <f t="shared" si="44"/>
        <v>0.27994057696776548</v>
      </c>
      <c r="G178">
        <f t="shared" si="44"/>
        <v>0.83596421339176052</v>
      </c>
      <c r="H178">
        <f t="shared" si="44"/>
        <v>0.84749194967300745</v>
      </c>
      <c r="I178">
        <f t="shared" si="44"/>
        <v>0.85286990007635366</v>
      </c>
      <c r="J178">
        <f t="shared" si="44"/>
        <v>0.85013112903761245</v>
      </c>
      <c r="K178">
        <f t="shared" si="44"/>
        <v>0.8495667762175082</v>
      </c>
      <c r="L178">
        <f t="shared" si="44"/>
        <v>0.92397835540948781</v>
      </c>
      <c r="M178">
        <f t="shared" si="44"/>
        <v>0.995194701722936</v>
      </c>
      <c r="N178">
        <f t="shared" si="44"/>
        <v>1</v>
      </c>
      <c r="O178">
        <f t="shared" si="44"/>
        <v>1</v>
      </c>
      <c r="P178">
        <f t="shared" si="44"/>
        <v>1</v>
      </c>
      <c r="Q178">
        <f t="shared" si="44"/>
        <v>1</v>
      </c>
      <c r="R178">
        <f t="shared" si="44"/>
        <v>1</v>
      </c>
      <c r="S178">
        <f t="shared" si="44"/>
        <v>1</v>
      </c>
      <c r="V178">
        <v>1992</v>
      </c>
      <c r="W178">
        <v>5.4140300000000002E-2</v>
      </c>
      <c r="X178">
        <v>2.96557E-2</v>
      </c>
      <c r="Y178">
        <v>8.4987699999999999E-2</v>
      </c>
      <c r="Z178">
        <v>0.220137</v>
      </c>
      <c r="AA178">
        <v>0.46174900000000002</v>
      </c>
    </row>
    <row r="179" spans="4:27" x14ac:dyDescent="0.15">
      <c r="D179">
        <v>1975</v>
      </c>
      <c r="E179">
        <f t="shared" ref="E179:S179" si="45">E119/$C119</f>
        <v>1.1255407263337916E-2</v>
      </c>
      <c r="F179">
        <f t="shared" si="45"/>
        <v>0.23090858790785018</v>
      </c>
      <c r="G179">
        <f t="shared" si="45"/>
        <v>0.93193554877435369</v>
      </c>
      <c r="H179">
        <f t="shared" si="45"/>
        <v>0.89920693471043911</v>
      </c>
      <c r="I179">
        <f t="shared" si="45"/>
        <v>0.87710003018007454</v>
      </c>
      <c r="J179">
        <f t="shared" si="45"/>
        <v>0.86672143791288025</v>
      </c>
      <c r="K179">
        <f t="shared" si="45"/>
        <v>0.86394654773481794</v>
      </c>
      <c r="L179">
        <f t="shared" si="45"/>
        <v>0.907431004996479</v>
      </c>
      <c r="M179">
        <f t="shared" si="45"/>
        <v>0.98654471681030154</v>
      </c>
      <c r="N179">
        <f t="shared" si="45"/>
        <v>1</v>
      </c>
      <c r="O179">
        <f t="shared" si="45"/>
        <v>1</v>
      </c>
      <c r="P179">
        <f t="shared" si="45"/>
        <v>1</v>
      </c>
      <c r="Q179">
        <f t="shared" si="45"/>
        <v>1</v>
      </c>
      <c r="R179">
        <f t="shared" si="45"/>
        <v>1</v>
      </c>
      <c r="S179">
        <f t="shared" si="45"/>
        <v>1</v>
      </c>
      <c r="V179">
        <v>1993</v>
      </c>
      <c r="W179">
        <v>3.1859199999999997E-2</v>
      </c>
      <c r="X179">
        <v>3.4022499999999997E-2</v>
      </c>
      <c r="Y179">
        <v>0.10521</v>
      </c>
      <c r="Z179">
        <v>0.28188299999999999</v>
      </c>
      <c r="AA179">
        <v>0.56717899999999999</v>
      </c>
    </row>
    <row r="180" spans="4:27" x14ac:dyDescent="0.15">
      <c r="D180">
        <v>1976</v>
      </c>
      <c r="E180">
        <f t="shared" ref="E180:S180" si="46">E120/$C120</f>
        <v>9.1942152246916094E-3</v>
      </c>
      <c r="F180">
        <f t="shared" si="46"/>
        <v>0.21213824060480266</v>
      </c>
      <c r="G180">
        <f t="shared" si="46"/>
        <v>0.85007340657115382</v>
      </c>
      <c r="H180">
        <f t="shared" si="46"/>
        <v>0.96211545925513431</v>
      </c>
      <c r="I180">
        <f t="shared" si="46"/>
        <v>0.9263234276649962</v>
      </c>
      <c r="J180">
        <f t="shared" si="46"/>
        <v>0.90472333316458264</v>
      </c>
      <c r="K180">
        <f t="shared" si="46"/>
        <v>0.8960073575321893</v>
      </c>
      <c r="L180">
        <f t="shared" si="46"/>
        <v>0.90928804063517776</v>
      </c>
      <c r="M180">
        <f t="shared" si="46"/>
        <v>0.98644931571575634</v>
      </c>
      <c r="N180">
        <f t="shared" si="46"/>
        <v>1</v>
      </c>
      <c r="O180">
        <f t="shared" si="46"/>
        <v>1</v>
      </c>
      <c r="P180">
        <f t="shared" si="46"/>
        <v>1</v>
      </c>
      <c r="Q180">
        <f t="shared" si="46"/>
        <v>1</v>
      </c>
      <c r="R180">
        <f t="shared" si="46"/>
        <v>1</v>
      </c>
      <c r="S180">
        <f t="shared" si="46"/>
        <v>1</v>
      </c>
      <c r="V180">
        <v>1994</v>
      </c>
      <c r="W180">
        <v>5.4716399999999998E-2</v>
      </c>
      <c r="X180">
        <v>1.83345E-2</v>
      </c>
      <c r="Y180">
        <v>5.9759899999999998E-2</v>
      </c>
      <c r="Z180">
        <v>0.17782800000000001</v>
      </c>
      <c r="AA180">
        <v>0.42397899999999999</v>
      </c>
    </row>
    <row r="181" spans="4:27" x14ac:dyDescent="0.15">
      <c r="D181">
        <v>1977</v>
      </c>
      <c r="E181">
        <f t="shared" ref="E181:S181" si="47">E121/$C121</f>
        <v>7.3940514883747994E-3</v>
      </c>
      <c r="F181">
        <f t="shared" si="47"/>
        <v>0.20923947829990275</v>
      </c>
      <c r="G181">
        <f t="shared" si="47"/>
        <v>0.72342164107764817</v>
      </c>
      <c r="H181">
        <f t="shared" si="47"/>
        <v>0.8885194390643314</v>
      </c>
      <c r="I181">
        <f t="shared" si="47"/>
        <v>0.93419729174806121</v>
      </c>
      <c r="J181">
        <f t="shared" si="47"/>
        <v>0.91735592149560674</v>
      </c>
      <c r="K181">
        <f t="shared" si="47"/>
        <v>0.90714802284308271</v>
      </c>
      <c r="L181">
        <f t="shared" si="47"/>
        <v>0.90526105786415523</v>
      </c>
      <c r="M181">
        <f t="shared" si="47"/>
        <v>0.9764170940739324</v>
      </c>
      <c r="N181">
        <f t="shared" si="47"/>
        <v>1</v>
      </c>
      <c r="O181">
        <f t="shared" si="47"/>
        <v>1</v>
      </c>
      <c r="P181">
        <f t="shared" si="47"/>
        <v>1</v>
      </c>
      <c r="Q181">
        <f t="shared" si="47"/>
        <v>1</v>
      </c>
      <c r="R181">
        <f t="shared" si="47"/>
        <v>1</v>
      </c>
      <c r="S181">
        <f t="shared" si="47"/>
        <v>1</v>
      </c>
      <c r="V181">
        <v>1995</v>
      </c>
      <c r="W181">
        <v>6.7067000000000002E-2</v>
      </c>
      <c r="X181">
        <v>1.6528399999999999E-2</v>
      </c>
      <c r="Y181">
        <v>4.8885199999999997E-2</v>
      </c>
      <c r="Z181">
        <v>0.13583600000000001</v>
      </c>
      <c r="AA181">
        <v>0.32465500000000003</v>
      </c>
    </row>
    <row r="182" spans="4:27" x14ac:dyDescent="0.15">
      <c r="D182">
        <v>1978</v>
      </c>
      <c r="E182">
        <f t="shared" ref="E182:S182" si="48">E122/$C122</f>
        <v>5.6083404352956596E-3</v>
      </c>
      <c r="F182">
        <f t="shared" si="48"/>
        <v>0.1736732988068703</v>
      </c>
      <c r="G182">
        <f t="shared" si="48"/>
        <v>0.66145027533761636</v>
      </c>
      <c r="H182">
        <f t="shared" si="48"/>
        <v>0.82261210174380484</v>
      </c>
      <c r="I182">
        <f t="shared" si="48"/>
        <v>0.9229546348498755</v>
      </c>
      <c r="J182">
        <f t="shared" si="48"/>
        <v>0.91086764127441977</v>
      </c>
      <c r="K182">
        <f t="shared" si="48"/>
        <v>0.91012193523010354</v>
      </c>
      <c r="L182">
        <f t="shared" si="48"/>
        <v>0.90895011144617799</v>
      </c>
      <c r="M182">
        <f t="shared" si="48"/>
        <v>0.97561295397928416</v>
      </c>
      <c r="N182">
        <f t="shared" si="48"/>
        <v>1</v>
      </c>
      <c r="O182">
        <f t="shared" si="48"/>
        <v>1</v>
      </c>
      <c r="P182">
        <f t="shared" si="48"/>
        <v>1</v>
      </c>
      <c r="Q182">
        <f t="shared" si="48"/>
        <v>1</v>
      </c>
      <c r="R182">
        <f t="shared" si="48"/>
        <v>1</v>
      </c>
      <c r="S182">
        <f t="shared" si="48"/>
        <v>1</v>
      </c>
      <c r="V182">
        <v>1996</v>
      </c>
      <c r="W182">
        <v>5.61848E-2</v>
      </c>
      <c r="X182">
        <v>1.1986500000000001E-2</v>
      </c>
      <c r="Y182">
        <v>3.0546500000000001E-2</v>
      </c>
      <c r="Z182">
        <v>7.5644799999999998E-2</v>
      </c>
      <c r="AA182">
        <v>0.175287</v>
      </c>
    </row>
    <row r="183" spans="4:27" x14ac:dyDescent="0.15">
      <c r="D183">
        <v>1979</v>
      </c>
      <c r="E183">
        <f t="shared" ref="E183:S183" si="49">E123/$C123</f>
        <v>4.362102483516127E-3</v>
      </c>
      <c r="F183">
        <f t="shared" si="49"/>
        <v>0.11094739741118149</v>
      </c>
      <c r="G183">
        <f t="shared" si="49"/>
        <v>0.52379833784243524</v>
      </c>
      <c r="H183">
        <f t="shared" si="49"/>
        <v>0.73538807977060283</v>
      </c>
      <c r="I183">
        <f t="shared" si="49"/>
        <v>0.9329871855103925</v>
      </c>
      <c r="J183">
        <f t="shared" si="49"/>
        <v>0.95783044696810149</v>
      </c>
      <c r="K183">
        <f t="shared" si="49"/>
        <v>0.94405203557600403</v>
      </c>
      <c r="L183">
        <f t="shared" si="49"/>
        <v>0.94329871855103919</v>
      </c>
      <c r="M183">
        <f t="shared" si="49"/>
        <v>0.99761044599607951</v>
      </c>
      <c r="N183">
        <f t="shared" si="49"/>
        <v>1</v>
      </c>
      <c r="O183">
        <f t="shared" si="49"/>
        <v>1</v>
      </c>
      <c r="P183">
        <f t="shared" si="49"/>
        <v>1</v>
      </c>
      <c r="Q183">
        <f t="shared" si="49"/>
        <v>1</v>
      </c>
      <c r="R183">
        <f t="shared" si="49"/>
        <v>1</v>
      </c>
      <c r="S183">
        <f t="shared" si="49"/>
        <v>1</v>
      </c>
      <c r="V183">
        <v>1997</v>
      </c>
      <c r="W183">
        <v>6.3691600000000001E-2</v>
      </c>
      <c r="X183">
        <v>1.8313699999999999E-2</v>
      </c>
      <c r="Y183">
        <v>4.2644799999999997E-2</v>
      </c>
      <c r="Z183">
        <v>9.6135700000000004E-2</v>
      </c>
      <c r="AA183">
        <v>0.20252800000000001</v>
      </c>
    </row>
    <row r="184" spans="4:27" x14ac:dyDescent="0.15">
      <c r="D184">
        <v>1980</v>
      </c>
      <c r="E184">
        <f t="shared" ref="E184:S184" si="50">E124/$C124</f>
        <v>3.3005522650872417E-3</v>
      </c>
      <c r="F184">
        <f t="shared" si="50"/>
        <v>6.1775652313110288E-2</v>
      </c>
      <c r="G184">
        <f t="shared" si="50"/>
        <v>0.36474147590843603</v>
      </c>
      <c r="H184">
        <f t="shared" si="50"/>
        <v>0.7220593885064831</v>
      </c>
      <c r="I184">
        <f t="shared" si="50"/>
        <v>0.9458139907155434</v>
      </c>
      <c r="J184">
        <f t="shared" si="50"/>
        <v>1</v>
      </c>
      <c r="K184">
        <f t="shared" si="50"/>
        <v>0.98433648151112529</v>
      </c>
      <c r="L184">
        <f t="shared" si="50"/>
        <v>0.97537217864574999</v>
      </c>
      <c r="M184">
        <f t="shared" si="50"/>
        <v>0.99302064991195771</v>
      </c>
      <c r="N184">
        <f t="shared" si="50"/>
        <v>0.99255642708500069</v>
      </c>
      <c r="O184">
        <f t="shared" si="50"/>
        <v>0.99255642708500069</v>
      </c>
      <c r="P184">
        <f t="shared" si="50"/>
        <v>0.99255642708500069</v>
      </c>
      <c r="Q184">
        <f t="shared" si="50"/>
        <v>0.99255642708500069</v>
      </c>
      <c r="R184">
        <f t="shared" si="50"/>
        <v>0.99255642708500069</v>
      </c>
      <c r="S184">
        <f t="shared" si="50"/>
        <v>0.99255642708500069</v>
      </c>
      <c r="V184">
        <v>1998</v>
      </c>
      <c r="W184">
        <v>4.5430600000000002E-2</v>
      </c>
      <c r="X184">
        <v>2.0024E-2</v>
      </c>
      <c r="Y184">
        <v>4.2841799999999999E-2</v>
      </c>
      <c r="Z184">
        <v>8.9291800000000005E-2</v>
      </c>
      <c r="AA184">
        <v>0.17680100000000001</v>
      </c>
    </row>
    <row r="185" spans="4:27" x14ac:dyDescent="0.15">
      <c r="D185">
        <v>1981</v>
      </c>
      <c r="E185">
        <f t="shared" ref="E185:S185" si="51">E125/$C125</f>
        <v>2.6069881788454382E-3</v>
      </c>
      <c r="F185">
        <f t="shared" si="51"/>
        <v>4.3874298292147992E-2</v>
      </c>
      <c r="G185">
        <f t="shared" si="51"/>
        <v>0.2493622277294357</v>
      </c>
      <c r="H185">
        <f t="shared" si="51"/>
        <v>0.64875018804582774</v>
      </c>
      <c r="I185">
        <f t="shared" si="51"/>
        <v>0.97469496987307902</v>
      </c>
      <c r="J185">
        <f t="shared" si="51"/>
        <v>0.99322243248165054</v>
      </c>
      <c r="K185">
        <f t="shared" si="51"/>
        <v>0.98779087720409509</v>
      </c>
      <c r="L185">
        <f t="shared" si="51"/>
        <v>0.98733164949841246</v>
      </c>
      <c r="M185">
        <f t="shared" si="51"/>
        <v>1</v>
      </c>
      <c r="N185">
        <f t="shared" si="51"/>
        <v>0.9981551714582062</v>
      </c>
      <c r="O185">
        <f t="shared" si="51"/>
        <v>0.9981551714582062</v>
      </c>
      <c r="P185">
        <f t="shared" si="51"/>
        <v>0.9981551714582062</v>
      </c>
      <c r="Q185">
        <f t="shared" si="51"/>
        <v>0.9981551714582062</v>
      </c>
      <c r="R185">
        <f t="shared" si="51"/>
        <v>0.9981551714582062</v>
      </c>
      <c r="S185">
        <f t="shared" si="51"/>
        <v>0.9981551714582062</v>
      </c>
      <c r="V185">
        <v>1999</v>
      </c>
      <c r="W185">
        <v>4.5850200000000001E-2</v>
      </c>
      <c r="X185">
        <v>2.9821899999999998E-2</v>
      </c>
      <c r="Y185">
        <v>6.1555199999999997E-2</v>
      </c>
      <c r="Z185">
        <v>0.122782</v>
      </c>
      <c r="AA185">
        <v>0.22998499999999999</v>
      </c>
    </row>
    <row r="186" spans="4:27" x14ac:dyDescent="0.15">
      <c r="D186">
        <v>1982</v>
      </c>
      <c r="E186">
        <f t="shared" ref="E186:S186" si="52">E126/$C126</f>
        <v>2.1149907141260874E-3</v>
      </c>
      <c r="F186">
        <f t="shared" si="52"/>
        <v>3.6082440065656134E-2</v>
      </c>
      <c r="G186">
        <f t="shared" si="52"/>
        <v>0.16998543543427835</v>
      </c>
      <c r="H186">
        <f t="shared" si="52"/>
        <v>0.55670702104541214</v>
      </c>
      <c r="I186">
        <f t="shared" si="52"/>
        <v>0.89906524771320895</v>
      </c>
      <c r="J186">
        <f t="shared" si="52"/>
        <v>0.9685821510861774</v>
      </c>
      <c r="K186">
        <f t="shared" si="52"/>
        <v>0.95998212180292364</v>
      </c>
      <c r="L186">
        <f t="shared" si="52"/>
        <v>0.97381460617876647</v>
      </c>
      <c r="M186">
        <f t="shared" si="52"/>
        <v>1</v>
      </c>
      <c r="N186">
        <f t="shared" si="52"/>
        <v>0.99880555148843686</v>
      </c>
      <c r="O186">
        <f t="shared" si="52"/>
        <v>0.99880555148843686</v>
      </c>
      <c r="P186">
        <f t="shared" si="52"/>
        <v>0.99880555148843686</v>
      </c>
      <c r="Q186">
        <f t="shared" si="52"/>
        <v>0.99880555148843686</v>
      </c>
      <c r="R186">
        <f t="shared" si="52"/>
        <v>0.99880555148843686</v>
      </c>
      <c r="S186">
        <f t="shared" si="52"/>
        <v>0.99880555148843686</v>
      </c>
      <c r="V186">
        <v>2000</v>
      </c>
      <c r="W186">
        <v>3.0983E-2</v>
      </c>
      <c r="X186">
        <v>2.9662299999999999E-2</v>
      </c>
      <c r="Y186">
        <v>6.5425800000000006E-2</v>
      </c>
      <c r="Z186">
        <v>0.13816899999999999</v>
      </c>
      <c r="AA186">
        <v>0.26855000000000001</v>
      </c>
    </row>
    <row r="187" spans="4:27" x14ac:dyDescent="0.15">
      <c r="D187">
        <v>1983</v>
      </c>
      <c r="E187">
        <f t="shared" ref="E187:S187" si="53">E127/$C127</f>
        <v>1.7067345137338386E-3</v>
      </c>
      <c r="F187">
        <f t="shared" si="53"/>
        <v>3.6230111339410891E-2</v>
      </c>
      <c r="G187">
        <f t="shared" si="53"/>
        <v>0.14283637334678406</v>
      </c>
      <c r="H187">
        <f t="shared" si="53"/>
        <v>0.43740737169264093</v>
      </c>
      <c r="I187">
        <f t="shared" si="53"/>
        <v>0.74361522998523888</v>
      </c>
      <c r="J187">
        <f t="shared" si="53"/>
        <v>0.92930207027512179</v>
      </c>
      <c r="K187">
        <f t="shared" si="53"/>
        <v>0.92358303724418256</v>
      </c>
      <c r="L187">
        <f t="shared" si="53"/>
        <v>0.93125292071239418</v>
      </c>
      <c r="M187">
        <f t="shared" si="53"/>
        <v>0.98059534317907027</v>
      </c>
      <c r="N187">
        <f t="shared" si="53"/>
        <v>1</v>
      </c>
      <c r="O187">
        <f t="shared" si="53"/>
        <v>1</v>
      </c>
      <c r="P187">
        <f t="shared" si="53"/>
        <v>1</v>
      </c>
      <c r="Q187">
        <f t="shared" si="53"/>
        <v>1</v>
      </c>
      <c r="R187">
        <f t="shared" si="53"/>
        <v>1</v>
      </c>
      <c r="S187">
        <f t="shared" si="53"/>
        <v>1</v>
      </c>
      <c r="V187">
        <v>2001</v>
      </c>
      <c r="W187">
        <v>4.26138E-2</v>
      </c>
      <c r="X187">
        <v>3.34454E-2</v>
      </c>
      <c r="Y187">
        <v>6.9883500000000001E-2</v>
      </c>
      <c r="Z187">
        <v>0.14025899999999999</v>
      </c>
      <c r="AA187">
        <v>0.26157599999999998</v>
      </c>
    </row>
    <row r="188" spans="4:27" x14ac:dyDescent="0.15">
      <c r="D188">
        <v>1984</v>
      </c>
      <c r="E188">
        <f t="shared" ref="E188:S188" si="54">E128/$C128</f>
        <v>1.4396926772818493E-3</v>
      </c>
      <c r="F188">
        <f t="shared" si="54"/>
        <v>2.8825786983461998E-2</v>
      </c>
      <c r="G188">
        <f t="shared" si="54"/>
        <v>0.13886943911406682</v>
      </c>
      <c r="H188">
        <f t="shared" si="54"/>
        <v>0.38446760513864675</v>
      </c>
      <c r="I188">
        <f t="shared" si="54"/>
        <v>0.75372434704908675</v>
      </c>
      <c r="J188">
        <f t="shared" si="54"/>
        <v>0.87834532057948944</v>
      </c>
      <c r="K188">
        <f t="shared" si="54"/>
        <v>0.91984414138602844</v>
      </c>
      <c r="L188">
        <f t="shared" si="54"/>
        <v>0.91549357669151998</v>
      </c>
      <c r="M188">
        <f t="shared" si="54"/>
        <v>0.96525407590783252</v>
      </c>
      <c r="N188">
        <f t="shared" si="54"/>
        <v>1</v>
      </c>
      <c r="O188">
        <f t="shared" si="54"/>
        <v>1</v>
      </c>
      <c r="P188">
        <f t="shared" si="54"/>
        <v>1</v>
      </c>
      <c r="Q188">
        <f t="shared" si="54"/>
        <v>1</v>
      </c>
      <c r="R188">
        <f t="shared" si="54"/>
        <v>1</v>
      </c>
      <c r="S188">
        <f t="shared" si="54"/>
        <v>1</v>
      </c>
      <c r="V188">
        <v>2002</v>
      </c>
      <c r="W188">
        <v>2.8662E-2</v>
      </c>
      <c r="X188">
        <v>2.3723299999999999E-2</v>
      </c>
      <c r="Y188">
        <v>6.0132699999999997E-2</v>
      </c>
      <c r="Z188">
        <v>0.14416999999999999</v>
      </c>
      <c r="AA188">
        <v>0.307257</v>
      </c>
    </row>
    <row r="189" spans="4:27" x14ac:dyDescent="0.15">
      <c r="D189">
        <v>1985</v>
      </c>
      <c r="E189">
        <f t="shared" ref="E189:S189" si="55">E129/$C129</f>
        <v>1.2139131437134377E-3</v>
      </c>
      <c r="F189">
        <f t="shared" si="55"/>
        <v>2.9055934987464338E-2</v>
      </c>
      <c r="G189">
        <f t="shared" si="55"/>
        <v>0.14673568485058067</v>
      </c>
      <c r="H189">
        <f t="shared" si="55"/>
        <v>0.33579147574997842</v>
      </c>
      <c r="I189">
        <f t="shared" si="55"/>
        <v>0.58774458949309827</v>
      </c>
      <c r="J189">
        <f t="shared" si="55"/>
        <v>0.92618368346733526</v>
      </c>
      <c r="K189">
        <f t="shared" si="55"/>
        <v>0.913640817267514</v>
      </c>
      <c r="L189">
        <f t="shared" si="55"/>
        <v>0.91363361286418254</v>
      </c>
      <c r="M189">
        <f t="shared" si="55"/>
        <v>0.95261663928993412</v>
      </c>
      <c r="N189">
        <f t="shared" si="55"/>
        <v>1</v>
      </c>
      <c r="O189">
        <f t="shared" si="55"/>
        <v>1</v>
      </c>
      <c r="P189">
        <f t="shared" si="55"/>
        <v>1</v>
      </c>
      <c r="Q189">
        <f t="shared" si="55"/>
        <v>1</v>
      </c>
      <c r="R189">
        <f t="shared" si="55"/>
        <v>1</v>
      </c>
      <c r="S189">
        <f t="shared" si="55"/>
        <v>1</v>
      </c>
      <c r="V189">
        <v>2003</v>
      </c>
      <c r="W189">
        <v>1.96052E-2</v>
      </c>
      <c r="X189">
        <v>1.06534E-2</v>
      </c>
      <c r="Y189">
        <v>3.8178999999999998E-2</v>
      </c>
      <c r="Z189">
        <v>0.12764800000000001</v>
      </c>
      <c r="AA189">
        <v>0.35039700000000001</v>
      </c>
    </row>
    <row r="190" spans="4:27" x14ac:dyDescent="0.15">
      <c r="D190">
        <v>1986</v>
      </c>
      <c r="E190">
        <f t="shared" ref="E190:S190" si="56">E130/$C130</f>
        <v>1.0496111115100939E-3</v>
      </c>
      <c r="F190">
        <f t="shared" si="56"/>
        <v>2.8061877437285897E-2</v>
      </c>
      <c r="G190">
        <f t="shared" si="56"/>
        <v>0.15737092708430583</v>
      </c>
      <c r="H190">
        <f t="shared" si="56"/>
        <v>0.38700688724029214</v>
      </c>
      <c r="I190">
        <f t="shared" si="56"/>
        <v>0.56601193596805588</v>
      </c>
      <c r="J190">
        <f t="shared" si="56"/>
        <v>0.88174629963445195</v>
      </c>
      <c r="K190">
        <f t="shared" si="56"/>
        <v>0.9181143755880008</v>
      </c>
      <c r="L190">
        <f t="shared" si="56"/>
        <v>0.85862844092701252</v>
      </c>
      <c r="M190">
        <f t="shared" si="56"/>
        <v>0.97456245556329579</v>
      </c>
      <c r="N190">
        <f t="shared" si="56"/>
        <v>1</v>
      </c>
      <c r="O190">
        <f t="shared" si="56"/>
        <v>1</v>
      </c>
      <c r="P190">
        <f t="shared" si="56"/>
        <v>1</v>
      </c>
      <c r="Q190">
        <f t="shared" si="56"/>
        <v>1</v>
      </c>
      <c r="R190">
        <f t="shared" si="56"/>
        <v>1</v>
      </c>
      <c r="S190">
        <f t="shared" si="56"/>
        <v>1</v>
      </c>
      <c r="V190">
        <v>2004</v>
      </c>
      <c r="W190">
        <v>4.2170300000000001E-2</v>
      </c>
      <c r="X190">
        <v>8.1999299999999994E-3</v>
      </c>
      <c r="Y190">
        <v>2.9364899999999999E-2</v>
      </c>
      <c r="Z190">
        <v>9.9669199999999999E-2</v>
      </c>
      <c r="AA190">
        <v>0.28829900000000003</v>
      </c>
    </row>
    <row r="191" spans="4:27" x14ac:dyDescent="0.15">
      <c r="D191">
        <v>1987</v>
      </c>
      <c r="E191">
        <f t="shared" ref="E191:S191" si="57">E131/$C131</f>
        <v>8.7498249936997729E-4</v>
      </c>
      <c r="F191">
        <f t="shared" si="57"/>
        <v>2.5506678240416653E-2</v>
      </c>
      <c r="G191">
        <f t="shared" si="57"/>
        <v>0.16915338952202277</v>
      </c>
      <c r="H191">
        <f t="shared" si="57"/>
        <v>0.34281284126228545</v>
      </c>
      <c r="I191">
        <f t="shared" si="57"/>
        <v>0.54752541091479301</v>
      </c>
      <c r="J191">
        <f t="shared" si="57"/>
        <v>0.78469324895696235</v>
      </c>
      <c r="K191">
        <f t="shared" si="57"/>
        <v>0.81823845658443706</v>
      </c>
      <c r="L191">
        <f t="shared" si="57"/>
        <v>0.9384817853442724</v>
      </c>
      <c r="M191">
        <f t="shared" si="57"/>
        <v>1</v>
      </c>
      <c r="N191">
        <f t="shared" si="57"/>
        <v>0.97884523842858351</v>
      </c>
      <c r="O191">
        <f t="shared" si="57"/>
        <v>0.97884523842858351</v>
      </c>
      <c r="P191">
        <f t="shared" si="57"/>
        <v>0.97884523842858351</v>
      </c>
      <c r="Q191">
        <f t="shared" si="57"/>
        <v>0.97884523842858351</v>
      </c>
      <c r="R191">
        <f t="shared" si="57"/>
        <v>0.97884523842858351</v>
      </c>
      <c r="S191">
        <f t="shared" si="57"/>
        <v>0.97884523842858351</v>
      </c>
      <c r="V191">
        <v>2005</v>
      </c>
      <c r="W191">
        <v>5.55516E-2</v>
      </c>
      <c r="X191">
        <v>1.25504E-2</v>
      </c>
      <c r="Y191">
        <v>4.6982500000000003E-2</v>
      </c>
      <c r="Z191">
        <v>0.160523</v>
      </c>
      <c r="AA191">
        <v>0.425844</v>
      </c>
    </row>
    <row r="192" spans="4:27" x14ac:dyDescent="0.15">
      <c r="D192">
        <v>1988</v>
      </c>
      <c r="E192">
        <f t="shared" ref="E192:S192" si="58">E132/$C132</f>
        <v>7.9914254777442865E-4</v>
      </c>
      <c r="F192">
        <f t="shared" si="58"/>
        <v>2.5729858652073397E-2</v>
      </c>
      <c r="G192">
        <f t="shared" si="58"/>
        <v>0.29738959936788506</v>
      </c>
      <c r="H192">
        <f t="shared" si="58"/>
        <v>0.38925404582833395</v>
      </c>
      <c r="I192">
        <f t="shared" si="58"/>
        <v>0.67707924848555789</v>
      </c>
      <c r="J192">
        <f t="shared" si="58"/>
        <v>0.79653800005852915</v>
      </c>
      <c r="K192">
        <f t="shared" si="58"/>
        <v>0.9886965555588072</v>
      </c>
      <c r="L192">
        <f t="shared" si="58"/>
        <v>0.9451435427701852</v>
      </c>
      <c r="M192">
        <f t="shared" si="58"/>
        <v>1</v>
      </c>
      <c r="N192">
        <f t="shared" si="58"/>
        <v>0.97560065552661612</v>
      </c>
      <c r="O192">
        <f t="shared" si="58"/>
        <v>0.97560065552661612</v>
      </c>
      <c r="P192">
        <f t="shared" si="58"/>
        <v>0.97560065552661612</v>
      </c>
      <c r="Q192">
        <f t="shared" si="58"/>
        <v>0.97560065552661612</v>
      </c>
      <c r="R192">
        <f t="shared" si="58"/>
        <v>0.97560065552661612</v>
      </c>
      <c r="S192">
        <f t="shared" si="58"/>
        <v>0.97560065552661612</v>
      </c>
      <c r="V192">
        <v>2006</v>
      </c>
      <c r="W192">
        <v>5.4839800000000001E-2</v>
      </c>
      <c r="X192">
        <v>5.6173000000000004E-3</v>
      </c>
      <c r="Y192">
        <v>2.0497100000000001E-2</v>
      </c>
      <c r="Z192">
        <v>7.1940900000000002E-2</v>
      </c>
      <c r="AA192">
        <v>0.22309200000000001</v>
      </c>
    </row>
    <row r="193" spans="4:27" x14ac:dyDescent="0.15">
      <c r="D193">
        <v>1989</v>
      </c>
      <c r="E193">
        <f t="shared" ref="E193:S193" si="59">E133/$C133</f>
        <v>6.2921189272322679E-4</v>
      </c>
      <c r="F193">
        <f t="shared" si="59"/>
        <v>2.2765895186699966E-2</v>
      </c>
      <c r="G193">
        <f t="shared" si="59"/>
        <v>0.19866754680258866</v>
      </c>
      <c r="H193">
        <f t="shared" si="59"/>
        <v>0.42596786596528002</v>
      </c>
      <c r="I193">
        <f t="shared" si="59"/>
        <v>0.63708820186870085</v>
      </c>
      <c r="J193">
        <f t="shared" si="59"/>
        <v>0.787522031752945</v>
      </c>
      <c r="K193">
        <f t="shared" si="59"/>
        <v>1</v>
      </c>
      <c r="L193">
        <f t="shared" si="59"/>
        <v>0.93962449046254759</v>
      </c>
      <c r="M193">
        <f t="shared" si="59"/>
        <v>0.8926415646457565</v>
      </c>
      <c r="N193">
        <f t="shared" si="59"/>
        <v>0.88380844794381641</v>
      </c>
      <c r="O193">
        <f t="shared" si="59"/>
        <v>0.88380844794381641</v>
      </c>
      <c r="P193">
        <f t="shared" si="59"/>
        <v>0.88380844794381641</v>
      </c>
      <c r="Q193">
        <f t="shared" si="59"/>
        <v>0.88380844794381641</v>
      </c>
      <c r="R193">
        <f t="shared" si="59"/>
        <v>0.88380844794381641</v>
      </c>
      <c r="S193">
        <f t="shared" si="59"/>
        <v>0.88380844794381641</v>
      </c>
      <c r="V193">
        <v>2007</v>
      </c>
      <c r="W193">
        <v>4.9539E-2</v>
      </c>
      <c r="X193">
        <v>7.8976600000000008E-3</v>
      </c>
      <c r="Y193">
        <v>3.9679100000000002E-2</v>
      </c>
      <c r="Z193">
        <v>0.176589</v>
      </c>
      <c r="AA193">
        <v>0.52677099999999999</v>
      </c>
    </row>
    <row r="194" spans="4:27" x14ac:dyDescent="0.15">
      <c r="D194">
        <v>1990</v>
      </c>
      <c r="E194">
        <f t="shared" ref="E194:S194" si="60">E134/$C134</f>
        <v>5.6167028967190735E-4</v>
      </c>
      <c r="F194">
        <f t="shared" si="60"/>
        <v>2.3504950638058165E-2</v>
      </c>
      <c r="G194">
        <f t="shared" si="60"/>
        <v>0.16054005647555011</v>
      </c>
      <c r="H194">
        <f t="shared" si="60"/>
        <v>0.48696656965197482</v>
      </c>
      <c r="I194">
        <f t="shared" si="60"/>
        <v>0.79917958791625443</v>
      </c>
      <c r="J194">
        <f t="shared" si="60"/>
        <v>0.87508214953743491</v>
      </c>
      <c r="K194">
        <f t="shared" si="60"/>
        <v>0.98180793979793013</v>
      </c>
      <c r="L194">
        <f t="shared" si="60"/>
        <v>1</v>
      </c>
      <c r="M194">
        <f t="shared" si="60"/>
        <v>0.96183206106870223</v>
      </c>
      <c r="N194">
        <f t="shared" si="60"/>
        <v>0.92390244607018279</v>
      </c>
      <c r="O194">
        <f t="shared" si="60"/>
        <v>0.92390244607018279</v>
      </c>
      <c r="P194">
        <f t="shared" si="60"/>
        <v>0.92390244607018279</v>
      </c>
      <c r="Q194">
        <f t="shared" si="60"/>
        <v>0.92390244607018279</v>
      </c>
      <c r="R194">
        <f t="shared" si="60"/>
        <v>0.92390244607018279</v>
      </c>
      <c r="S194">
        <f t="shared" si="60"/>
        <v>0.92390244607018279</v>
      </c>
      <c r="V194">
        <v>2008</v>
      </c>
      <c r="W194">
        <v>5.2405500000000001E-2</v>
      </c>
      <c r="X194">
        <v>2.26932E-3</v>
      </c>
      <c r="Y194">
        <v>1.56787E-2</v>
      </c>
      <c r="Z194">
        <v>0.100354</v>
      </c>
      <c r="AA194">
        <v>0.43857499999999999</v>
      </c>
    </row>
    <row r="195" spans="4:27" x14ac:dyDescent="0.15">
      <c r="D195">
        <v>1991</v>
      </c>
      <c r="E195">
        <f t="shared" ref="E195:S195" si="61">E135/$C135</f>
        <v>4.5215383407447594E-4</v>
      </c>
      <c r="F195">
        <f t="shared" si="61"/>
        <v>2.1420638262942635E-2</v>
      </c>
      <c r="G195">
        <f t="shared" si="61"/>
        <v>0.10989300423272116</v>
      </c>
      <c r="H195">
        <f t="shared" si="61"/>
        <v>0.34997751589947113</v>
      </c>
      <c r="I195">
        <f t="shared" si="61"/>
        <v>0.61805366205326229</v>
      </c>
      <c r="J195">
        <f t="shared" si="61"/>
        <v>0.7610903718085068</v>
      </c>
      <c r="K195">
        <f t="shared" si="61"/>
        <v>0.9890077730747544</v>
      </c>
      <c r="L195">
        <f t="shared" si="61"/>
        <v>0.88281144048137383</v>
      </c>
      <c r="M195">
        <f t="shared" si="61"/>
        <v>1</v>
      </c>
      <c r="N195">
        <f t="shared" si="61"/>
        <v>0.99566734951712721</v>
      </c>
      <c r="O195">
        <f t="shared" si="61"/>
        <v>0.99566734951712721</v>
      </c>
      <c r="P195">
        <f t="shared" si="61"/>
        <v>0.99566734951712721</v>
      </c>
      <c r="Q195">
        <f t="shared" si="61"/>
        <v>0.99566734951712721</v>
      </c>
      <c r="R195">
        <f t="shared" si="61"/>
        <v>0.99566734951712721</v>
      </c>
      <c r="S195">
        <f t="shared" si="61"/>
        <v>0.99566734951712721</v>
      </c>
      <c r="V195">
        <v>2009</v>
      </c>
      <c r="W195">
        <v>5.2405500000000001E-2</v>
      </c>
      <c r="X195">
        <v>2.26932E-3</v>
      </c>
      <c r="Y195">
        <v>1.56787E-2</v>
      </c>
      <c r="Z195">
        <v>0.100354</v>
      </c>
      <c r="AA195">
        <v>0.43857499999999999</v>
      </c>
    </row>
    <row r="196" spans="4:27" x14ac:dyDescent="0.15">
      <c r="D196">
        <v>1992</v>
      </c>
      <c r="E196">
        <f t="shared" ref="E196:S196" si="62">E136/$C136</f>
        <v>3.7340607572136202E-4</v>
      </c>
      <c r="F196">
        <f t="shared" si="62"/>
        <v>1.8510235893172609E-2</v>
      </c>
      <c r="G196">
        <f t="shared" si="62"/>
        <v>0.1432782569538259</v>
      </c>
      <c r="H196">
        <f t="shared" si="62"/>
        <v>0.26230073781565005</v>
      </c>
      <c r="I196">
        <f t="shared" si="62"/>
        <v>0.43652014271363748</v>
      </c>
      <c r="J196">
        <f t="shared" si="62"/>
        <v>0.70438186289791826</v>
      </c>
      <c r="K196">
        <f t="shared" si="62"/>
        <v>0.92886487235442872</v>
      </c>
      <c r="L196">
        <f t="shared" si="62"/>
        <v>0.99138868682670001</v>
      </c>
      <c r="M196">
        <f t="shared" si="62"/>
        <v>1</v>
      </c>
      <c r="N196">
        <f t="shared" si="62"/>
        <v>0.98435692265059416</v>
      </c>
      <c r="O196">
        <f t="shared" si="62"/>
        <v>0.98435692265059416</v>
      </c>
      <c r="P196">
        <f t="shared" si="62"/>
        <v>0.98435692265059416</v>
      </c>
      <c r="Q196">
        <f t="shared" si="62"/>
        <v>0.98435692265059416</v>
      </c>
      <c r="R196">
        <f t="shared" si="62"/>
        <v>0.98435692265059416</v>
      </c>
      <c r="S196">
        <f t="shared" si="62"/>
        <v>0.98435692265059416</v>
      </c>
    </row>
    <row r="197" spans="4:27" x14ac:dyDescent="0.15">
      <c r="D197">
        <v>1993</v>
      </c>
      <c r="E197">
        <f t="shared" ref="E197:S197" si="63">E137/$C137</f>
        <v>3.3439866024937375E-4</v>
      </c>
      <c r="F197">
        <f t="shared" si="63"/>
        <v>1.2291297250133695E-2</v>
      </c>
      <c r="G197">
        <f t="shared" si="63"/>
        <v>0.13590236145120888</v>
      </c>
      <c r="H197">
        <f t="shared" si="63"/>
        <v>0.5026612063384841</v>
      </c>
      <c r="I197">
        <f t="shared" si="63"/>
        <v>0.44426947001041406</v>
      </c>
      <c r="J197">
        <f t="shared" si="63"/>
        <v>0.71462748740465543</v>
      </c>
      <c r="K197">
        <f t="shared" si="63"/>
        <v>1</v>
      </c>
      <c r="L197">
        <f t="shared" si="63"/>
        <v>0.99849418784654786</v>
      </c>
      <c r="M197">
        <f t="shared" si="63"/>
        <v>0.99653803934813812</v>
      </c>
      <c r="N197">
        <f t="shared" si="63"/>
        <v>0.95827352303751867</v>
      </c>
      <c r="O197">
        <f t="shared" si="63"/>
        <v>0.95827352303751867</v>
      </c>
      <c r="P197">
        <f t="shared" si="63"/>
        <v>0.95827352303751867</v>
      </c>
      <c r="Q197">
        <f t="shared" si="63"/>
        <v>0.95827352303751867</v>
      </c>
      <c r="R197">
        <f t="shared" si="63"/>
        <v>0.95827352303751867</v>
      </c>
      <c r="S197">
        <f t="shared" si="63"/>
        <v>0.95827352303751867</v>
      </c>
    </row>
    <row r="198" spans="4:27" x14ac:dyDescent="0.15">
      <c r="D198">
        <v>1994</v>
      </c>
      <c r="E198">
        <f t="shared" ref="E198:S198" si="64">E138/$C138</f>
        <v>3.0569607590957159E-4</v>
      </c>
      <c r="F198">
        <f t="shared" si="64"/>
        <v>1.1627440052587958E-2</v>
      </c>
      <c r="G198">
        <f t="shared" si="64"/>
        <v>6.7725285089599588E-2</v>
      </c>
      <c r="H198">
        <f t="shared" si="64"/>
        <v>0.30567035353968391</v>
      </c>
      <c r="I198">
        <f t="shared" si="64"/>
        <v>0.80984023550258666</v>
      </c>
      <c r="J198">
        <f t="shared" si="64"/>
        <v>0.78279602160679074</v>
      </c>
      <c r="K198">
        <f t="shared" si="64"/>
        <v>1</v>
      </c>
      <c r="L198">
        <f t="shared" si="64"/>
        <v>0.99509845951584797</v>
      </c>
      <c r="M198">
        <f t="shared" si="64"/>
        <v>0.98318042813455664</v>
      </c>
      <c r="N198">
        <f t="shared" si="64"/>
        <v>0.96023750321529622</v>
      </c>
      <c r="O198">
        <f t="shared" si="64"/>
        <v>0.96023750321529622</v>
      </c>
      <c r="P198">
        <f t="shared" si="64"/>
        <v>0.96023750321529622</v>
      </c>
      <c r="Q198">
        <f t="shared" si="64"/>
        <v>0.96023750321529622</v>
      </c>
      <c r="R198">
        <f t="shared" si="64"/>
        <v>0.96023750321529622</v>
      </c>
      <c r="S198">
        <f t="shared" si="64"/>
        <v>0.96023750321529622</v>
      </c>
    </row>
    <row r="199" spans="4:27" x14ac:dyDescent="0.15">
      <c r="D199">
        <v>1995</v>
      </c>
      <c r="E199">
        <f t="shared" ref="E199:S199" si="65">E139/$C139</f>
        <v>2.398574115494103E-4</v>
      </c>
      <c r="F199">
        <f t="shared" si="65"/>
        <v>1.0978421106140706E-2</v>
      </c>
      <c r="G199">
        <f t="shared" si="65"/>
        <v>4.0275582045546966E-2</v>
      </c>
      <c r="H199">
        <f t="shared" si="65"/>
        <v>0.13199661956079706</v>
      </c>
      <c r="I199">
        <f t="shared" si="65"/>
        <v>0.48379295445302967</v>
      </c>
      <c r="J199">
        <f t="shared" si="65"/>
        <v>1</v>
      </c>
      <c r="K199">
        <f t="shared" si="65"/>
        <v>0.91771934729564852</v>
      </c>
      <c r="L199">
        <f t="shared" si="65"/>
        <v>0.9124135827572184</v>
      </c>
      <c r="M199">
        <f t="shared" si="65"/>
        <v>0.88537006913379412</v>
      </c>
      <c r="N199">
        <f t="shared" si="65"/>
        <v>0.85808509556730372</v>
      </c>
      <c r="O199">
        <f t="shared" si="65"/>
        <v>0.85808509556730372</v>
      </c>
      <c r="P199">
        <f t="shared" si="65"/>
        <v>0.85808509556730372</v>
      </c>
      <c r="Q199">
        <f t="shared" si="65"/>
        <v>0.85808509556730372</v>
      </c>
      <c r="R199">
        <f t="shared" si="65"/>
        <v>0.85808509556730372</v>
      </c>
      <c r="S199">
        <f t="shared" si="65"/>
        <v>0.85808509556730372</v>
      </c>
    </row>
    <row r="200" spans="4:27" x14ac:dyDescent="0.15">
      <c r="D200">
        <v>1996</v>
      </c>
      <c r="E200">
        <f t="shared" ref="E200:S200" si="66">E140/$C140</f>
        <v>1.8805325064035939E-4</v>
      </c>
      <c r="F200">
        <f t="shared" si="66"/>
        <v>1.2961669307616728E-2</v>
      </c>
      <c r="G200">
        <f t="shared" si="66"/>
        <v>4.0590834483424494E-2</v>
      </c>
      <c r="H200">
        <f t="shared" si="66"/>
        <v>5.7534090973630263E-2</v>
      </c>
      <c r="I200">
        <f t="shared" si="66"/>
        <v>0.21132655205511353</v>
      </c>
      <c r="J200">
        <f t="shared" si="66"/>
        <v>0.63299881299233851</v>
      </c>
      <c r="K200">
        <f t="shared" si="66"/>
        <v>1</v>
      </c>
      <c r="L200">
        <f t="shared" si="66"/>
        <v>0.97986630545285192</v>
      </c>
      <c r="M200">
        <f t="shared" si="66"/>
        <v>0.86883281366251497</v>
      </c>
      <c r="N200">
        <f t="shared" si="66"/>
        <v>0.78581611036331522</v>
      </c>
      <c r="O200">
        <f t="shared" si="66"/>
        <v>0.78581611036331522</v>
      </c>
      <c r="P200">
        <f t="shared" si="66"/>
        <v>0.78581611036331522</v>
      </c>
      <c r="Q200">
        <f t="shared" si="66"/>
        <v>0.78581611036331522</v>
      </c>
      <c r="R200">
        <f t="shared" si="66"/>
        <v>0.78581611036331522</v>
      </c>
      <c r="S200">
        <f t="shared" si="66"/>
        <v>0.78581611036331522</v>
      </c>
    </row>
    <row r="201" spans="4:27" x14ac:dyDescent="0.15">
      <c r="D201">
        <v>1997</v>
      </c>
      <c r="E201">
        <f t="shared" ref="E201:S201" si="67">E141/$C141</f>
        <v>1.8743078489310457E-4</v>
      </c>
      <c r="F201">
        <f t="shared" si="67"/>
        <v>1.9140304918928316E-2</v>
      </c>
      <c r="G201">
        <f t="shared" si="67"/>
        <v>5.2066831375859761E-2</v>
      </c>
      <c r="H201">
        <f t="shared" si="67"/>
        <v>0.10662106125692151</v>
      </c>
      <c r="I201">
        <f t="shared" si="67"/>
        <v>0.23710240111240782</v>
      </c>
      <c r="J201">
        <f t="shared" si="67"/>
        <v>0.49054142974201081</v>
      </c>
      <c r="K201">
        <f t="shared" si="67"/>
        <v>0.82565242221835977</v>
      </c>
      <c r="L201">
        <f t="shared" si="67"/>
        <v>0.94868149877088881</v>
      </c>
      <c r="M201">
        <f t="shared" si="67"/>
        <v>1</v>
      </c>
      <c r="N201">
        <f t="shared" si="67"/>
        <v>0.93857547240086414</v>
      </c>
      <c r="O201">
        <f t="shared" si="67"/>
        <v>0.93857547240086414</v>
      </c>
      <c r="P201">
        <f t="shared" si="67"/>
        <v>0.93857547240086414</v>
      </c>
      <c r="Q201">
        <f t="shared" si="67"/>
        <v>0.93857547240086414</v>
      </c>
      <c r="R201">
        <f t="shared" si="67"/>
        <v>0.93857547240086414</v>
      </c>
      <c r="S201">
        <f t="shared" si="67"/>
        <v>0.93857547240086414</v>
      </c>
    </row>
    <row r="202" spans="4:27" x14ac:dyDescent="0.15">
      <c r="D202">
        <v>1998</v>
      </c>
      <c r="E202">
        <f t="shared" ref="E202:S202" si="68">E142/$C142</f>
        <v>1.6923215651643957E-4</v>
      </c>
      <c r="F202">
        <f t="shared" si="68"/>
        <v>1.4727458162573615E-2</v>
      </c>
      <c r="G202">
        <f t="shared" si="68"/>
        <v>7.3416210098195919E-2</v>
      </c>
      <c r="H202">
        <f t="shared" si="68"/>
        <v>0.15183798608217611</v>
      </c>
      <c r="I202">
        <f t="shared" si="68"/>
        <v>0.28736015323287789</v>
      </c>
      <c r="J202">
        <f t="shared" si="68"/>
        <v>0.62075484605195241</v>
      </c>
      <c r="K202">
        <f t="shared" si="68"/>
        <v>0.66406925330066358</v>
      </c>
      <c r="L202">
        <f t="shared" si="68"/>
        <v>0.90663615276024412</v>
      </c>
      <c r="M202">
        <f t="shared" si="68"/>
        <v>1</v>
      </c>
      <c r="N202">
        <f t="shared" si="68"/>
        <v>0.93488846462397623</v>
      </c>
      <c r="O202">
        <f t="shared" si="68"/>
        <v>0.93488846462397623</v>
      </c>
      <c r="P202">
        <f t="shared" si="68"/>
        <v>0.93488846462397623</v>
      </c>
      <c r="Q202">
        <f t="shared" si="68"/>
        <v>0.93488846462397623</v>
      </c>
      <c r="R202">
        <f t="shared" si="68"/>
        <v>0.93488846462397623</v>
      </c>
      <c r="S202">
        <f t="shared" si="68"/>
        <v>0.93488846462397623</v>
      </c>
    </row>
    <row r="203" spans="4:27" x14ac:dyDescent="0.15">
      <c r="D203">
        <v>1999</v>
      </c>
      <c r="E203">
        <f t="shared" ref="E203:S203" si="69">E143/$C143</f>
        <v>1.6038199094445507E-4</v>
      </c>
      <c r="F203">
        <f t="shared" si="69"/>
        <v>1.1316880301001211E-2</v>
      </c>
      <c r="G203">
        <f t="shared" si="69"/>
        <v>0.180981442510044</v>
      </c>
      <c r="H203">
        <f t="shared" si="69"/>
        <v>0.27958102161851922</v>
      </c>
      <c r="I203">
        <f t="shared" si="69"/>
        <v>0.39524966519992344</v>
      </c>
      <c r="J203">
        <f t="shared" si="69"/>
        <v>0.58693960844333903</v>
      </c>
      <c r="K203">
        <f t="shared" si="69"/>
        <v>1</v>
      </c>
      <c r="L203">
        <f t="shared" si="69"/>
        <v>0.9560678528155091</v>
      </c>
      <c r="M203">
        <f t="shared" si="69"/>
        <v>0.92402907977807536</v>
      </c>
      <c r="N203">
        <f t="shared" si="69"/>
        <v>0.87189592500478286</v>
      </c>
      <c r="O203">
        <f t="shared" si="69"/>
        <v>0.87189592500478286</v>
      </c>
      <c r="P203">
        <f t="shared" si="69"/>
        <v>0.87189592500478286</v>
      </c>
      <c r="Q203">
        <f t="shared" si="69"/>
        <v>0.87189592500478286</v>
      </c>
      <c r="R203">
        <f t="shared" si="69"/>
        <v>0.87189592500478286</v>
      </c>
      <c r="S203">
        <f t="shared" si="69"/>
        <v>0.87189592500478286</v>
      </c>
    </row>
    <row r="204" spans="4:27" x14ac:dyDescent="0.15">
      <c r="D204">
        <v>2000</v>
      </c>
      <c r="E204">
        <f t="shared" ref="E204:S204" si="70">E144/$C144</f>
        <v>1.2172900135078231E-4</v>
      </c>
      <c r="F204">
        <f t="shared" si="70"/>
        <v>8.382397173747792E-3</v>
      </c>
      <c r="G204">
        <f t="shared" si="70"/>
        <v>8.255029886742099E-2</v>
      </c>
      <c r="H204">
        <f t="shared" si="70"/>
        <v>0.30495906637427062</v>
      </c>
      <c r="I204">
        <f t="shared" si="70"/>
        <v>0.4918876499122265</v>
      </c>
      <c r="J204">
        <f t="shared" si="70"/>
        <v>0.48803327190099366</v>
      </c>
      <c r="K204">
        <f t="shared" si="70"/>
        <v>0.78441623782518588</v>
      </c>
      <c r="L204">
        <f t="shared" si="70"/>
        <v>1</v>
      </c>
      <c r="M204">
        <f t="shared" si="70"/>
        <v>0.79902874924121026</v>
      </c>
      <c r="N204">
        <f t="shared" si="70"/>
        <v>0.70729039632062218</v>
      </c>
      <c r="O204">
        <f t="shared" si="70"/>
        <v>0.70729039632062218</v>
      </c>
      <c r="P204">
        <f t="shared" si="70"/>
        <v>0.70729039632062218</v>
      </c>
      <c r="Q204">
        <f t="shared" si="70"/>
        <v>0.70729039632062218</v>
      </c>
      <c r="R204">
        <f t="shared" si="70"/>
        <v>0.70729039632062218</v>
      </c>
      <c r="S204">
        <f t="shared" si="70"/>
        <v>0.70729039632062218</v>
      </c>
    </row>
    <row r="205" spans="4:27" x14ac:dyDescent="0.15">
      <c r="D205">
        <v>2001</v>
      </c>
      <c r="E205">
        <f t="shared" ref="E205:S205" si="71">E145/$C145</f>
        <v>1.3162181606964879E-4</v>
      </c>
      <c r="F205">
        <f t="shared" si="71"/>
        <v>7.4483013537685718E-3</v>
      </c>
      <c r="G205">
        <f t="shared" si="71"/>
        <v>6.335267288436533E-2</v>
      </c>
      <c r="H205">
        <f t="shared" si="71"/>
        <v>0.25059041735147158</v>
      </c>
      <c r="I205">
        <f t="shared" si="71"/>
        <v>0.68429008006442116</v>
      </c>
      <c r="J205">
        <f t="shared" si="71"/>
        <v>1</v>
      </c>
      <c r="K205">
        <f t="shared" si="71"/>
        <v>0.98141950984468951</v>
      </c>
      <c r="L205">
        <f t="shared" si="71"/>
        <v>0.97755159963829097</v>
      </c>
      <c r="M205">
        <f t="shared" si="71"/>
        <v>0.89874127905057988</v>
      </c>
      <c r="N205">
        <f t="shared" si="71"/>
        <v>0.83954773172808461</v>
      </c>
      <c r="O205">
        <f t="shared" si="71"/>
        <v>0.83954773172808461</v>
      </c>
      <c r="P205">
        <f t="shared" si="71"/>
        <v>0.83954773172808461</v>
      </c>
      <c r="Q205">
        <f t="shared" si="71"/>
        <v>0.83954773172808461</v>
      </c>
      <c r="R205">
        <f t="shared" si="71"/>
        <v>0.83954773172808461</v>
      </c>
      <c r="S205">
        <f t="shared" si="71"/>
        <v>0.83954773172808461</v>
      </c>
    </row>
    <row r="206" spans="4:27" x14ac:dyDescent="0.15">
      <c r="D206">
        <v>2002</v>
      </c>
      <c r="E206">
        <f t="shared" ref="E206:S206" si="72">E146/$C146</f>
        <v>1.1675569094027945E-4</v>
      </c>
      <c r="F206">
        <f t="shared" si="72"/>
        <v>1.0032048738500606E-2</v>
      </c>
      <c r="G206">
        <f t="shared" si="72"/>
        <v>6.0521997643654658E-2</v>
      </c>
      <c r="H206">
        <f t="shared" si="72"/>
        <v>0.22973451435478257</v>
      </c>
      <c r="I206">
        <f t="shared" si="72"/>
        <v>0.51405321921947589</v>
      </c>
      <c r="J206">
        <f t="shared" si="72"/>
        <v>1</v>
      </c>
      <c r="K206">
        <f t="shared" si="72"/>
        <v>0.98602675001373508</v>
      </c>
      <c r="L206">
        <f t="shared" si="72"/>
        <v>0.97176658751136957</v>
      </c>
      <c r="M206">
        <f t="shared" si="72"/>
        <v>0.88766459316415669</v>
      </c>
      <c r="N206">
        <f t="shared" si="72"/>
        <v>0.74947653727115671</v>
      </c>
      <c r="O206">
        <f t="shared" si="72"/>
        <v>0.74947653727115671</v>
      </c>
      <c r="P206">
        <f t="shared" si="72"/>
        <v>0.74947653727115671</v>
      </c>
      <c r="Q206">
        <f t="shared" si="72"/>
        <v>0.74947653727115671</v>
      </c>
      <c r="R206">
        <f t="shared" si="72"/>
        <v>0.74947653727115671</v>
      </c>
      <c r="S206">
        <f t="shared" si="72"/>
        <v>0.74947653727115671</v>
      </c>
    </row>
    <row r="207" spans="4:27" x14ac:dyDescent="0.15">
      <c r="D207">
        <v>2003</v>
      </c>
      <c r="E207">
        <f t="shared" ref="E207:S207" si="73">E147/$C147</f>
        <v>1.0839752745322999E-4</v>
      </c>
      <c r="F207">
        <f t="shared" si="73"/>
        <v>6.5282493151326421E-3</v>
      </c>
      <c r="G207">
        <f t="shared" si="73"/>
        <v>0.12430284015078788</v>
      </c>
      <c r="H207">
        <f t="shared" si="73"/>
        <v>0.21847737010934462</v>
      </c>
      <c r="I207">
        <f t="shared" si="73"/>
        <v>0.56586667915427658</v>
      </c>
      <c r="J207">
        <f t="shared" si="73"/>
        <v>0.86535039453042673</v>
      </c>
      <c r="K207">
        <f t="shared" si="73"/>
        <v>1</v>
      </c>
      <c r="L207">
        <f t="shared" si="73"/>
        <v>0.9770540167177878</v>
      </c>
      <c r="M207">
        <f t="shared" si="73"/>
        <v>0.85312229272518669</v>
      </c>
      <c r="N207">
        <f t="shared" si="73"/>
        <v>0.69492378655552689</v>
      </c>
      <c r="O207">
        <f t="shared" si="73"/>
        <v>0.69492378655552689</v>
      </c>
      <c r="P207">
        <f t="shared" si="73"/>
        <v>0.69492378655552689</v>
      </c>
      <c r="Q207">
        <f t="shared" si="73"/>
        <v>0.69492378655552689</v>
      </c>
      <c r="R207">
        <f t="shared" si="73"/>
        <v>0.69492378655552689</v>
      </c>
      <c r="S207">
        <f t="shared" si="73"/>
        <v>0.69492378655552689</v>
      </c>
    </row>
    <row r="208" spans="4:27" x14ac:dyDescent="0.15">
      <c r="D208">
        <v>2004</v>
      </c>
      <c r="E208">
        <f t="shared" ref="E208:S208" si="74">E148/$C148</f>
        <v>1.0516562856443299E-4</v>
      </c>
      <c r="F208">
        <f t="shared" si="74"/>
        <v>5.3009262300466398E-3</v>
      </c>
      <c r="G208">
        <f t="shared" si="74"/>
        <v>6.1306754731178296E-2</v>
      </c>
      <c r="H208">
        <f t="shared" si="74"/>
        <v>0.47226565066018528</v>
      </c>
      <c r="I208">
        <f t="shared" si="74"/>
        <v>0.57102948289967925</v>
      </c>
      <c r="J208">
        <f t="shared" si="74"/>
        <v>0.76561781514813099</v>
      </c>
      <c r="K208">
        <f t="shared" si="74"/>
        <v>1</v>
      </c>
      <c r="L208">
        <f t="shared" si="74"/>
        <v>0.97327011161340782</v>
      </c>
      <c r="M208">
        <f t="shared" si="74"/>
        <v>0.84564026920986779</v>
      </c>
      <c r="N208">
        <f t="shared" si="74"/>
        <v>0.71053370199399235</v>
      </c>
      <c r="O208">
        <f t="shared" si="74"/>
        <v>0.71053370199399235</v>
      </c>
      <c r="P208">
        <f t="shared" si="74"/>
        <v>0.71053370199399235</v>
      </c>
      <c r="Q208">
        <f t="shared" si="74"/>
        <v>0.71053370199399235</v>
      </c>
      <c r="R208">
        <f t="shared" si="74"/>
        <v>0.71053370199399235</v>
      </c>
      <c r="S208">
        <f t="shared" si="74"/>
        <v>0.71053370199399235</v>
      </c>
    </row>
    <row r="209" spans="4:19" x14ac:dyDescent="0.15">
      <c r="D209">
        <v>2005</v>
      </c>
      <c r="E209">
        <f t="shared" ref="E209:S209" si="75">E149/$C149</f>
        <v>1.0039276789651624E-4</v>
      </c>
      <c r="F209">
        <f t="shared" si="75"/>
        <v>5.8751844774364249E-3</v>
      </c>
      <c r="G209">
        <f t="shared" si="75"/>
        <v>6.2815228575628393E-2</v>
      </c>
      <c r="H209">
        <f t="shared" si="75"/>
        <v>0.33859179773629283</v>
      </c>
      <c r="I209">
        <f t="shared" si="75"/>
        <v>0.88356313391150965</v>
      </c>
      <c r="J209">
        <f t="shared" si="75"/>
        <v>1</v>
      </c>
      <c r="K209">
        <f t="shared" si="75"/>
        <v>0.90034396589739829</v>
      </c>
      <c r="L209">
        <f t="shared" si="75"/>
        <v>0.82382478318388941</v>
      </c>
      <c r="M209">
        <f t="shared" si="75"/>
        <v>0.77582831103924743</v>
      </c>
      <c r="N209">
        <f t="shared" si="75"/>
        <v>0.67145083051594878</v>
      </c>
      <c r="O209">
        <f t="shared" si="75"/>
        <v>0.67145083051594878</v>
      </c>
      <c r="P209">
        <f t="shared" si="75"/>
        <v>0.67145083051594878</v>
      </c>
      <c r="Q209">
        <f t="shared" si="75"/>
        <v>0.67145083051594878</v>
      </c>
      <c r="R209">
        <f t="shared" si="75"/>
        <v>0.67145083051594878</v>
      </c>
      <c r="S209">
        <f t="shared" si="75"/>
        <v>0.67145083051594878</v>
      </c>
    </row>
    <row r="210" spans="4:19" x14ac:dyDescent="0.15">
      <c r="D210">
        <v>2006</v>
      </c>
      <c r="E210">
        <f t="shared" ref="E210:S210" si="76">E150/$C150</f>
        <v>1.0349580082122788E-4</v>
      </c>
      <c r="F210">
        <f t="shared" si="76"/>
        <v>7.9100246864571844E-3</v>
      </c>
      <c r="G210">
        <f t="shared" si="76"/>
        <v>0.12411643572217192</v>
      </c>
      <c r="H210">
        <f t="shared" si="76"/>
        <v>0.34623190383446428</v>
      </c>
      <c r="I210">
        <f t="shared" si="76"/>
        <v>0.73241865254121641</v>
      </c>
      <c r="J210">
        <f t="shared" si="76"/>
        <v>1</v>
      </c>
      <c r="K210">
        <f t="shared" si="76"/>
        <v>0.95249407649080153</v>
      </c>
      <c r="L210">
        <f t="shared" si="76"/>
        <v>0.90637133889915777</v>
      </c>
      <c r="M210">
        <f t="shared" si="76"/>
        <v>0.81681780402178361</v>
      </c>
      <c r="N210">
        <f t="shared" si="76"/>
        <v>0.73624567366736549</v>
      </c>
      <c r="O210">
        <f t="shared" si="76"/>
        <v>0.73624567366736549</v>
      </c>
      <c r="P210">
        <f t="shared" si="76"/>
        <v>0.73624567366736549</v>
      </c>
      <c r="Q210">
        <f t="shared" si="76"/>
        <v>0.73624567366736549</v>
      </c>
      <c r="R210">
        <f t="shared" si="76"/>
        <v>0.73624567366736549</v>
      </c>
      <c r="S210">
        <f t="shared" si="76"/>
        <v>0.73624567366736549</v>
      </c>
    </row>
    <row r="211" spans="4:19" x14ac:dyDescent="0.15">
      <c r="D211">
        <v>2007</v>
      </c>
      <c r="E211">
        <f t="shared" ref="E211:S211" si="77">E151/$C151</f>
        <v>9.3104697782609209E-5</v>
      </c>
      <c r="F211">
        <f t="shared" si="77"/>
        <v>7.9836004254772008E-3</v>
      </c>
      <c r="G211">
        <f t="shared" si="77"/>
        <v>0.10947504997019322</v>
      </c>
      <c r="H211">
        <f t="shared" si="77"/>
        <v>0.30424834309359328</v>
      </c>
      <c r="I211">
        <f t="shared" si="77"/>
        <v>0.6553634674054073</v>
      </c>
      <c r="J211">
        <f t="shared" si="77"/>
        <v>1</v>
      </c>
      <c r="K211">
        <f t="shared" si="77"/>
        <v>0.89201762691260178</v>
      </c>
      <c r="L211">
        <f t="shared" si="77"/>
        <v>0.80659489661137806</v>
      </c>
      <c r="M211">
        <f t="shared" si="77"/>
        <v>0.7545908288623161</v>
      </c>
      <c r="N211">
        <f t="shared" si="77"/>
        <v>0.70605837453682607</v>
      </c>
      <c r="O211">
        <f t="shared" si="77"/>
        <v>0.70605837453682607</v>
      </c>
      <c r="P211">
        <f t="shared" si="77"/>
        <v>0.70605837453682607</v>
      </c>
      <c r="Q211">
        <f t="shared" si="77"/>
        <v>0.70605837453682607</v>
      </c>
      <c r="R211">
        <f t="shared" si="77"/>
        <v>0.70605837453682607</v>
      </c>
      <c r="S211">
        <f t="shared" si="77"/>
        <v>0.70605837453682607</v>
      </c>
    </row>
    <row r="212" spans="4:19" x14ac:dyDescent="0.15">
      <c r="D212">
        <v>2008</v>
      </c>
      <c r="E212">
        <f t="shared" ref="E212:S212" si="78">E152/$C152</f>
        <v>8.80917093191405E-5</v>
      </c>
      <c r="F212">
        <f t="shared" si="78"/>
        <v>6.5475197561458559E-3</v>
      </c>
      <c r="G212">
        <f t="shared" si="78"/>
        <v>5.8991461504767272E-2</v>
      </c>
      <c r="H212">
        <f t="shared" si="78"/>
        <v>0.26622104082036757</v>
      </c>
      <c r="I212">
        <f t="shared" si="78"/>
        <v>0.58107910258795004</v>
      </c>
      <c r="J212">
        <f t="shared" si="78"/>
        <v>1</v>
      </c>
      <c r="K212">
        <f t="shared" si="78"/>
        <v>0.93921047420750403</v>
      </c>
      <c r="L212">
        <f t="shared" si="78"/>
        <v>0.83595048512813741</v>
      </c>
      <c r="M212">
        <f t="shared" si="78"/>
        <v>0.8223716975584584</v>
      </c>
      <c r="N212">
        <f t="shared" si="78"/>
        <v>0.74834540403343386</v>
      </c>
      <c r="O212">
        <f t="shared" si="78"/>
        <v>0.74834540403343386</v>
      </c>
      <c r="P212">
        <f t="shared" si="78"/>
        <v>0.74834540403343386</v>
      </c>
      <c r="Q212">
        <f t="shared" si="78"/>
        <v>0.74834540403343386</v>
      </c>
      <c r="R212">
        <f t="shared" si="78"/>
        <v>0.74834540403343386</v>
      </c>
      <c r="S212">
        <f t="shared" si="78"/>
        <v>0.74834540403343386</v>
      </c>
    </row>
    <row r="213" spans="4:19" x14ac:dyDescent="0.15">
      <c r="D213">
        <v>2009</v>
      </c>
      <c r="E213">
        <f t="shared" ref="E213:S213" si="79">E153/$C153</f>
        <v>9.7459342401381448E-5</v>
      </c>
      <c r="F213">
        <f t="shared" si="79"/>
        <v>5.3531726373299742E-3</v>
      </c>
      <c r="G213">
        <f t="shared" si="79"/>
        <v>7.0434105674371209E-2</v>
      </c>
      <c r="H213">
        <f t="shared" si="79"/>
        <v>0.29665963680627311</v>
      </c>
      <c r="I213">
        <f t="shared" si="79"/>
        <v>0.50332903992866351</v>
      </c>
      <c r="J213">
        <f t="shared" si="79"/>
        <v>0.88450269635249323</v>
      </c>
      <c r="K213">
        <f t="shared" si="79"/>
        <v>0.99944799082815527</v>
      </c>
      <c r="L213">
        <f t="shared" si="79"/>
        <v>0.97477035003043133</v>
      </c>
      <c r="M213">
        <f t="shared" si="79"/>
        <v>1</v>
      </c>
      <c r="N213">
        <f t="shared" si="79"/>
        <v>0.98016305501691414</v>
      </c>
      <c r="O213">
        <f t="shared" si="79"/>
        <v>0.98016305501691414</v>
      </c>
      <c r="P213">
        <f t="shared" si="79"/>
        <v>0.98016305501691414</v>
      </c>
      <c r="Q213">
        <f t="shared" si="79"/>
        <v>0.98016305501691414</v>
      </c>
      <c r="R213">
        <f t="shared" si="79"/>
        <v>0.98016305501691414</v>
      </c>
      <c r="S213">
        <f t="shared" si="79"/>
        <v>0.98016305501691414</v>
      </c>
    </row>
    <row r="214" spans="4:19" x14ac:dyDescent="0.15">
      <c r="D214">
        <v>2010</v>
      </c>
      <c r="E214">
        <f t="shared" ref="E214:S214" si="80">E154/$C154</f>
        <v>9.9359562779794089E-5</v>
      </c>
      <c r="F214">
        <f t="shared" si="80"/>
        <v>5.7240400502746756E-3</v>
      </c>
      <c r="G214">
        <f t="shared" si="80"/>
        <v>4.357232633347926E-2</v>
      </c>
      <c r="H214">
        <f t="shared" si="80"/>
        <v>0.4853843329426219</v>
      </c>
      <c r="I214">
        <f t="shared" si="80"/>
        <v>0.65275522164635436</v>
      </c>
      <c r="J214">
        <f t="shared" si="80"/>
        <v>0.76630749459829683</v>
      </c>
      <c r="K214">
        <f t="shared" si="80"/>
        <v>0.91733628955953173</v>
      </c>
      <c r="L214">
        <f t="shared" si="80"/>
        <v>1</v>
      </c>
      <c r="M214">
        <f t="shared" si="80"/>
        <v>0.97801895185776211</v>
      </c>
      <c r="N214">
        <f t="shared" si="80"/>
        <v>0.95706175594187337</v>
      </c>
      <c r="O214">
        <f t="shared" si="80"/>
        <v>0.95706175594187337</v>
      </c>
      <c r="P214">
        <f t="shared" si="80"/>
        <v>0.95706175594187337</v>
      </c>
      <c r="Q214">
        <f t="shared" si="80"/>
        <v>0.95706175594187337</v>
      </c>
      <c r="R214">
        <f t="shared" si="80"/>
        <v>0.95706175594187337</v>
      </c>
      <c r="S214">
        <f t="shared" si="80"/>
        <v>0.95706175594187337</v>
      </c>
    </row>
    <row r="215" spans="4:19" x14ac:dyDescent="0.15">
      <c r="D215">
        <v>2011</v>
      </c>
      <c r="E215">
        <f t="shared" ref="E215:S215" si="81">E155/$C155</f>
        <v>9.056612467908631E-5</v>
      </c>
      <c r="F215">
        <f t="shared" si="81"/>
        <v>5.6190902508063993E-3</v>
      </c>
      <c r="G215">
        <f t="shared" si="81"/>
        <v>3.9191824106378781E-2</v>
      </c>
      <c r="H215">
        <f t="shared" si="81"/>
        <v>0.14980712263840432</v>
      </c>
      <c r="I215">
        <f t="shared" si="81"/>
        <v>0.88187742742413278</v>
      </c>
      <c r="J215">
        <f t="shared" si="81"/>
        <v>1</v>
      </c>
      <c r="K215">
        <f t="shared" si="81"/>
        <v>0.93825291290895929</v>
      </c>
      <c r="L215">
        <f t="shared" si="81"/>
        <v>0.90787308274636314</v>
      </c>
      <c r="M215">
        <f t="shared" si="81"/>
        <v>0.87875715884405248</v>
      </c>
      <c r="N215">
        <f t="shared" si="81"/>
        <v>0.84546771114475694</v>
      </c>
      <c r="O215">
        <f t="shared" si="81"/>
        <v>0.84546771114475694</v>
      </c>
      <c r="P215">
        <f t="shared" si="81"/>
        <v>0.84546771114475694</v>
      </c>
      <c r="Q215">
        <f t="shared" si="81"/>
        <v>0.84546771114475694</v>
      </c>
      <c r="R215">
        <f t="shared" si="81"/>
        <v>0.84546771114475694</v>
      </c>
      <c r="S215">
        <f t="shared" si="81"/>
        <v>0.84546771114475694</v>
      </c>
    </row>
    <row r="216" spans="4:19" x14ac:dyDescent="0.15">
      <c r="D216">
        <v>2012</v>
      </c>
      <c r="E216">
        <f t="shared" ref="E216:S216" si="82">E156/$C156</f>
        <v>9.2439890107686438E-5</v>
      </c>
      <c r="F216">
        <f t="shared" si="82"/>
        <v>7.8218728484435261E-3</v>
      </c>
      <c r="G216">
        <f t="shared" si="82"/>
        <v>5.9399803477249484E-2</v>
      </c>
      <c r="H216">
        <f t="shared" si="82"/>
        <v>0.27357771672649245</v>
      </c>
      <c r="I216">
        <f t="shared" si="82"/>
        <v>0.31253133334670224</v>
      </c>
      <c r="J216">
        <f t="shared" si="82"/>
        <v>0.98774072365826426</v>
      </c>
      <c r="K216">
        <f t="shared" si="82"/>
        <v>1</v>
      </c>
      <c r="L216">
        <f t="shared" si="82"/>
        <v>0.98998669794988003</v>
      </c>
      <c r="M216">
        <f t="shared" si="82"/>
        <v>0.93565551032412886</v>
      </c>
      <c r="N216">
        <f t="shared" si="82"/>
        <v>0.90998054825836716</v>
      </c>
      <c r="O216">
        <f t="shared" si="82"/>
        <v>0.90998054825836716</v>
      </c>
      <c r="P216">
        <f t="shared" si="82"/>
        <v>0.90998054825836716</v>
      </c>
      <c r="Q216">
        <f t="shared" si="82"/>
        <v>0.90998054825836716</v>
      </c>
      <c r="R216">
        <f t="shared" si="82"/>
        <v>0.90998054825836716</v>
      </c>
      <c r="S216">
        <f t="shared" si="82"/>
        <v>0.90998054825836716</v>
      </c>
    </row>
    <row r="217" spans="4:19" x14ac:dyDescent="0.15">
      <c r="D217">
        <v>2013</v>
      </c>
      <c r="E217">
        <f t="shared" ref="E217:S217" si="83">E157/$C157</f>
        <v>8.9539578347883051E-5</v>
      </c>
      <c r="F217">
        <f t="shared" si="83"/>
        <v>5.5613427627972892E-3</v>
      </c>
      <c r="G217">
        <f t="shared" si="83"/>
        <v>6.2785190037566344E-2</v>
      </c>
      <c r="H217">
        <f t="shared" si="83"/>
        <v>0.27712396893089664</v>
      </c>
      <c r="I217">
        <f t="shared" si="83"/>
        <v>0.46627785724789778</v>
      </c>
      <c r="J217">
        <f t="shared" si="83"/>
        <v>0.51878317134797669</v>
      </c>
      <c r="K217">
        <f t="shared" si="83"/>
        <v>0.7843143808237858</v>
      </c>
      <c r="L217">
        <f t="shared" si="83"/>
        <v>1</v>
      </c>
      <c r="M217">
        <f t="shared" si="83"/>
        <v>0.9899733960775926</v>
      </c>
      <c r="N217">
        <f t="shared" si="83"/>
        <v>0.9869453616930256</v>
      </c>
      <c r="O217">
        <f t="shared" si="83"/>
        <v>0.9869453616930256</v>
      </c>
      <c r="P217">
        <f t="shared" si="83"/>
        <v>0.9869453616930256</v>
      </c>
      <c r="Q217">
        <f t="shared" si="83"/>
        <v>0.9869453616930256</v>
      </c>
      <c r="R217">
        <f t="shared" si="83"/>
        <v>0.9869453616930256</v>
      </c>
      <c r="S217">
        <f t="shared" si="83"/>
        <v>0.9869453616930256</v>
      </c>
    </row>
    <row r="223" spans="4:19" x14ac:dyDescent="0.15">
      <c r="E223">
        <f>AVERAGE(E208:E211)</f>
        <v>1.0053972376619659E-4</v>
      </c>
      <c r="F223">
        <f t="shared" ref="F223:S223" si="84">AVERAGE(F208:F211)</f>
        <v>6.767433954854362E-3</v>
      </c>
      <c r="G223">
        <f t="shared" si="84"/>
        <v>8.9428367249792945E-2</v>
      </c>
      <c r="H223">
        <f t="shared" si="84"/>
        <v>0.3653344238311339</v>
      </c>
      <c r="I223">
        <f t="shared" si="84"/>
        <v>0.71059368418945312</v>
      </c>
      <c r="J223">
        <f t="shared" si="84"/>
        <v>0.94140445378703275</v>
      </c>
      <c r="K223">
        <f t="shared" si="84"/>
        <v>0.93621391732520043</v>
      </c>
      <c r="L223">
        <f t="shared" si="84"/>
        <v>0.87751528257695821</v>
      </c>
      <c r="M223">
        <f t="shared" si="84"/>
        <v>0.7982193032833037</v>
      </c>
      <c r="N223">
        <f t="shared" si="84"/>
        <v>0.70607214517853323</v>
      </c>
      <c r="O223">
        <f t="shared" si="84"/>
        <v>0.70607214517853323</v>
      </c>
      <c r="P223">
        <f t="shared" si="84"/>
        <v>0.70607214517853323</v>
      </c>
      <c r="Q223">
        <f t="shared" si="84"/>
        <v>0.70607214517853323</v>
      </c>
      <c r="R223">
        <f t="shared" si="84"/>
        <v>0.70607214517853323</v>
      </c>
      <c r="S223">
        <f t="shared" si="84"/>
        <v>0.70607214517853323</v>
      </c>
    </row>
    <row r="225" spans="4:22" ht="14" thickBot="1" x14ac:dyDescent="0.2">
      <c r="D225" s="9" t="s">
        <v>247</v>
      </c>
      <c r="E225" s="14">
        <v>1</v>
      </c>
      <c r="F225" s="14">
        <v>2</v>
      </c>
      <c r="G225" s="14">
        <v>3</v>
      </c>
      <c r="H225" s="14">
        <v>4</v>
      </c>
      <c r="I225" s="14">
        <v>5</v>
      </c>
      <c r="J225" s="14">
        <v>6</v>
      </c>
      <c r="K225" s="14">
        <v>7</v>
      </c>
      <c r="L225" s="14">
        <v>8</v>
      </c>
      <c r="M225" s="14">
        <v>9</v>
      </c>
      <c r="N225" s="14">
        <v>10</v>
      </c>
      <c r="O225" s="14">
        <v>11</v>
      </c>
      <c r="P225" s="14">
        <v>12</v>
      </c>
      <c r="Q225" s="14">
        <v>13</v>
      </c>
      <c r="R225" s="14">
        <v>14</v>
      </c>
      <c r="S225" s="14">
        <v>15</v>
      </c>
      <c r="U225" t="s">
        <v>349</v>
      </c>
      <c r="V225" t="s">
        <v>80</v>
      </c>
    </row>
    <row r="226" spans="4:22" x14ac:dyDescent="0.15">
      <c r="D226" s="25">
        <v>1964</v>
      </c>
      <c r="E226" s="31" t="e">
        <f>[4]PM2015.dat!B18</f>
        <v>#REF!</v>
      </c>
      <c r="F226" s="31" t="e">
        <f>[4]PM2015.dat!C18</f>
        <v>#REF!</v>
      </c>
      <c r="G226" s="31" t="e">
        <f>[4]PM2015.dat!D18</f>
        <v>#REF!</v>
      </c>
      <c r="H226" s="31" t="e">
        <f>[4]PM2015.dat!E18</f>
        <v>#REF!</v>
      </c>
      <c r="I226" s="31" t="e">
        <f>[4]PM2015.dat!F18</f>
        <v>#REF!</v>
      </c>
      <c r="J226" s="31" t="e">
        <f>[4]PM2015.dat!G18</f>
        <v>#REF!</v>
      </c>
      <c r="K226" s="31" t="e">
        <f>[4]PM2015.dat!H18</f>
        <v>#REF!</v>
      </c>
      <c r="L226" s="31" t="e">
        <f>[4]PM2015.dat!I18</f>
        <v>#REF!</v>
      </c>
      <c r="M226" s="31" t="e">
        <f>[4]PM2015.dat!J18</f>
        <v>#REF!</v>
      </c>
      <c r="N226" s="31" t="e">
        <f>[4]PM2015.dat!K18</f>
        <v>#REF!</v>
      </c>
      <c r="O226" s="31" t="e">
        <f>[4]PM2015.dat!L18</f>
        <v>#REF!</v>
      </c>
      <c r="P226" s="31" t="e">
        <f>[4]PM2015.dat!M18</f>
        <v>#REF!</v>
      </c>
      <c r="Q226" s="31" t="e">
        <f>[4]PM2015.dat!N18</f>
        <v>#REF!</v>
      </c>
      <c r="R226" s="31" t="e">
        <f>[4]PM2015.dat!O18</f>
        <v>#REF!</v>
      </c>
      <c r="S226" s="31" t="e">
        <f>[4]PM2015.dat!P18</f>
        <v>#REF!</v>
      </c>
      <c r="T226">
        <v>1964</v>
      </c>
      <c r="U226" s="27" t="e">
        <f>SUMPRODUCT(E226:S226,pm.rep!B63:P63)</f>
        <v>#REF!</v>
      </c>
      <c r="V226" s="27">
        <f>Stdev!D250</f>
        <v>-0.11656</v>
      </c>
    </row>
    <row r="227" spans="4:22" x14ac:dyDescent="0.15">
      <c r="D227" s="25">
        <v>1965</v>
      </c>
      <c r="E227" s="31" t="e">
        <f>[4]PM2015.dat!B19</f>
        <v>#REF!</v>
      </c>
      <c r="F227" s="31" t="e">
        <f>[4]PM2015.dat!C19</f>
        <v>#REF!</v>
      </c>
      <c r="G227" s="31" t="e">
        <f>[4]PM2015.dat!D19</f>
        <v>#REF!</v>
      </c>
      <c r="H227" s="31" t="e">
        <f>[4]PM2015.dat!E19</f>
        <v>#REF!</v>
      </c>
      <c r="I227" s="31" t="e">
        <f>[4]PM2015.dat!F19</f>
        <v>#REF!</v>
      </c>
      <c r="J227" s="31" t="e">
        <f>[4]PM2015.dat!G19</f>
        <v>#REF!</v>
      </c>
      <c r="K227" s="31" t="e">
        <f>[4]PM2015.dat!H19</f>
        <v>#REF!</v>
      </c>
      <c r="L227" s="31" t="e">
        <f>[4]PM2015.dat!I19</f>
        <v>#REF!</v>
      </c>
      <c r="M227" s="31" t="e">
        <f>[4]PM2015.dat!J19</f>
        <v>#REF!</v>
      </c>
      <c r="N227" s="31" t="e">
        <f>[4]PM2015.dat!K19</f>
        <v>#REF!</v>
      </c>
      <c r="O227" s="31" t="e">
        <f>[4]PM2015.dat!L19</f>
        <v>#REF!</v>
      </c>
      <c r="P227" s="31" t="e">
        <f>[4]PM2015.dat!M19</f>
        <v>#REF!</v>
      </c>
      <c r="Q227" s="31" t="e">
        <f>[4]PM2015.dat!N19</f>
        <v>#REF!</v>
      </c>
      <c r="R227" s="31" t="e">
        <f>[4]PM2015.dat!O19</f>
        <v>#REF!</v>
      </c>
      <c r="S227" s="31" t="e">
        <f>[4]PM2015.dat!P19</f>
        <v>#REF!</v>
      </c>
      <c r="T227">
        <v>1965</v>
      </c>
      <c r="U227" s="27" t="e">
        <f>SUMPRODUCT(E227:S227,pm.rep!B64:P64)</f>
        <v>#REF!</v>
      </c>
      <c r="V227" s="27">
        <f>Stdev!D251</f>
        <v>-0.25459999999999999</v>
      </c>
    </row>
    <row r="228" spans="4:22" x14ac:dyDescent="0.15">
      <c r="D228" s="25">
        <v>1966</v>
      </c>
      <c r="E228" s="31" t="e">
        <f>[4]PM2015.dat!B20</f>
        <v>#REF!</v>
      </c>
      <c r="F228" s="31" t="e">
        <f>[4]PM2015.dat!C20</f>
        <v>#REF!</v>
      </c>
      <c r="G228" s="31" t="e">
        <f>[4]PM2015.dat!D20</f>
        <v>#REF!</v>
      </c>
      <c r="H228" s="31" t="e">
        <f>[4]PM2015.dat!E20</f>
        <v>#REF!</v>
      </c>
      <c r="I228" s="31" t="e">
        <f>[4]PM2015.dat!F20</f>
        <v>#REF!</v>
      </c>
      <c r="J228" s="31" t="e">
        <f>[4]PM2015.dat!G20</f>
        <v>#REF!</v>
      </c>
      <c r="K228" s="31" t="e">
        <f>[4]PM2015.dat!H20</f>
        <v>#REF!</v>
      </c>
      <c r="L228" s="31" t="e">
        <f>[4]PM2015.dat!I20</f>
        <v>#REF!</v>
      </c>
      <c r="M228" s="31" t="e">
        <f>[4]PM2015.dat!J20</f>
        <v>#REF!</v>
      </c>
      <c r="N228" s="31" t="e">
        <f>[4]PM2015.dat!K20</f>
        <v>#REF!</v>
      </c>
      <c r="O228" s="31" t="e">
        <f>[4]PM2015.dat!L20</f>
        <v>#REF!</v>
      </c>
      <c r="P228" s="31" t="e">
        <f>[4]PM2015.dat!M20</f>
        <v>#REF!</v>
      </c>
      <c r="Q228" s="31" t="e">
        <f>[4]PM2015.dat!N20</f>
        <v>#REF!</v>
      </c>
      <c r="R228" s="31" t="e">
        <f>[4]PM2015.dat!O20</f>
        <v>#REF!</v>
      </c>
      <c r="S228" s="31" t="e">
        <f>[4]PM2015.dat!P20</f>
        <v>#REF!</v>
      </c>
      <c r="T228">
        <v>1966</v>
      </c>
      <c r="U228" s="27" t="e">
        <f>SUMPRODUCT(E228:S228,pm.rep!B65:P65)</f>
        <v>#REF!</v>
      </c>
      <c r="V228" s="27">
        <f>Stdev!D252</f>
        <v>-0.56218999999999997</v>
      </c>
    </row>
    <row r="229" spans="4:22" x14ac:dyDescent="0.15">
      <c r="D229" s="25">
        <v>1967</v>
      </c>
      <c r="E229" s="31" t="e">
        <f>[4]PM2015.dat!B21</f>
        <v>#REF!</v>
      </c>
      <c r="F229" s="31" t="e">
        <f>[4]PM2015.dat!C21</f>
        <v>#REF!</v>
      </c>
      <c r="G229" s="31" t="e">
        <f>[4]PM2015.dat!D21</f>
        <v>#REF!</v>
      </c>
      <c r="H229" s="31" t="e">
        <f>[4]PM2015.dat!E21</f>
        <v>#REF!</v>
      </c>
      <c r="I229" s="31" t="e">
        <f>[4]PM2015.dat!F21</f>
        <v>#REF!</v>
      </c>
      <c r="J229" s="31" t="e">
        <f>[4]PM2015.dat!G21</f>
        <v>#REF!</v>
      </c>
      <c r="K229" s="31" t="e">
        <f>[4]PM2015.dat!H21</f>
        <v>#REF!</v>
      </c>
      <c r="L229" s="31" t="e">
        <f>[4]PM2015.dat!I21</f>
        <v>#REF!</v>
      </c>
      <c r="M229" s="31" t="e">
        <f>[4]PM2015.dat!J21</f>
        <v>#REF!</v>
      </c>
      <c r="N229" s="31" t="e">
        <f>[4]PM2015.dat!K21</f>
        <v>#REF!</v>
      </c>
      <c r="O229" s="31" t="e">
        <f>[4]PM2015.dat!L21</f>
        <v>#REF!</v>
      </c>
      <c r="P229" s="31" t="e">
        <f>[4]PM2015.dat!M21</f>
        <v>#REF!</v>
      </c>
      <c r="Q229" s="31" t="e">
        <f>[4]PM2015.dat!N21</f>
        <v>#REF!</v>
      </c>
      <c r="R229" s="31" t="e">
        <f>[4]PM2015.dat!O21</f>
        <v>#REF!</v>
      </c>
      <c r="S229" s="31" t="e">
        <f>[4]PM2015.dat!P21</f>
        <v>#REF!</v>
      </c>
      <c r="T229">
        <v>1967</v>
      </c>
      <c r="U229" s="27" t="e">
        <f>SUMPRODUCT(E229:S229,pm.rep!B66:P66)</f>
        <v>#REF!</v>
      </c>
      <c r="V229" s="27">
        <f>Stdev!D253</f>
        <v>-0.49657000000000001</v>
      </c>
    </row>
    <row r="230" spans="4:22" x14ac:dyDescent="0.15">
      <c r="D230" s="25">
        <v>1968</v>
      </c>
      <c r="E230" s="31" t="e">
        <f>[4]PM2015.dat!B22</f>
        <v>#REF!</v>
      </c>
      <c r="F230" s="31" t="e">
        <f>[4]PM2015.dat!C22</f>
        <v>#REF!</v>
      </c>
      <c r="G230" s="31" t="e">
        <f>[4]PM2015.dat!D22</f>
        <v>#REF!</v>
      </c>
      <c r="H230" s="31" t="e">
        <f>[4]PM2015.dat!E22</f>
        <v>#REF!</v>
      </c>
      <c r="I230" s="31" t="e">
        <f>[4]PM2015.dat!F22</f>
        <v>#REF!</v>
      </c>
      <c r="J230" s="31" t="e">
        <f>[4]PM2015.dat!G22</f>
        <v>#REF!</v>
      </c>
      <c r="K230" s="31" t="e">
        <f>[4]PM2015.dat!H22</f>
        <v>#REF!</v>
      </c>
      <c r="L230" s="31" t="e">
        <f>[4]PM2015.dat!I22</f>
        <v>#REF!</v>
      </c>
      <c r="M230" s="31" t="e">
        <f>[4]PM2015.dat!J22</f>
        <v>#REF!</v>
      </c>
      <c r="N230" s="31" t="e">
        <f>[4]PM2015.dat!K22</f>
        <v>#REF!</v>
      </c>
      <c r="O230" s="31" t="e">
        <f>[4]PM2015.dat!L22</f>
        <v>#REF!</v>
      </c>
      <c r="P230" s="31" t="e">
        <f>[4]PM2015.dat!M22</f>
        <v>#REF!</v>
      </c>
      <c r="Q230" s="31" t="e">
        <f>[4]PM2015.dat!N22</f>
        <v>#REF!</v>
      </c>
      <c r="R230" s="31" t="e">
        <f>[4]PM2015.dat!O22</f>
        <v>#REF!</v>
      </c>
      <c r="S230" s="31" t="e">
        <f>[4]PM2015.dat!P22</f>
        <v>#REF!</v>
      </c>
      <c r="T230">
        <v>1968</v>
      </c>
      <c r="U230" s="27" t="e">
        <f>SUMPRODUCT(E230:S230,pm.rep!B67:P67)</f>
        <v>#REF!</v>
      </c>
      <c r="V230" s="27">
        <f>Stdev!D254</f>
        <v>-0.45038</v>
      </c>
    </row>
    <row r="231" spans="4:22" x14ac:dyDescent="0.15">
      <c r="D231" s="25">
        <v>1969</v>
      </c>
      <c r="E231" s="31" t="e">
        <f>[4]PM2015.dat!B23</f>
        <v>#REF!</v>
      </c>
      <c r="F231" s="31" t="e">
        <f>[4]PM2015.dat!C23</f>
        <v>#REF!</v>
      </c>
      <c r="G231" s="31" t="e">
        <f>[4]PM2015.dat!D23</f>
        <v>#REF!</v>
      </c>
      <c r="H231" s="31" t="e">
        <f>[4]PM2015.dat!E23</f>
        <v>#REF!</v>
      </c>
      <c r="I231" s="31" t="e">
        <f>[4]PM2015.dat!F23</f>
        <v>#REF!</v>
      </c>
      <c r="J231" s="31" t="e">
        <f>[4]PM2015.dat!G23</f>
        <v>#REF!</v>
      </c>
      <c r="K231" s="31" t="e">
        <f>[4]PM2015.dat!H23</f>
        <v>#REF!</v>
      </c>
      <c r="L231" s="31" t="e">
        <f>[4]PM2015.dat!I23</f>
        <v>#REF!</v>
      </c>
      <c r="M231" s="31" t="e">
        <f>[4]PM2015.dat!J23</f>
        <v>#REF!</v>
      </c>
      <c r="N231" s="31" t="e">
        <f>[4]PM2015.dat!K23</f>
        <v>#REF!</v>
      </c>
      <c r="O231" s="31" t="e">
        <f>[4]PM2015.dat!L23</f>
        <v>#REF!</v>
      </c>
      <c r="P231" s="31" t="e">
        <f>[4]PM2015.dat!M23</f>
        <v>#REF!</v>
      </c>
      <c r="Q231" s="31" t="e">
        <f>[4]PM2015.dat!N23</f>
        <v>#REF!</v>
      </c>
      <c r="R231" s="31" t="e">
        <f>[4]PM2015.dat!O23</f>
        <v>#REF!</v>
      </c>
      <c r="S231" s="31" t="e">
        <f>[4]PM2015.dat!P23</f>
        <v>#REF!</v>
      </c>
      <c r="T231">
        <v>1969</v>
      </c>
      <c r="U231" s="27" t="e">
        <f>SUMPRODUCT(E231:S231,pm.rep!B68:P68)</f>
        <v>#REF!</v>
      </c>
      <c r="V231" s="27">
        <f>Stdev!D255</f>
        <v>-0.13657</v>
      </c>
    </row>
    <row r="232" spans="4:22" x14ac:dyDescent="0.15">
      <c r="D232" s="25">
        <v>1970</v>
      </c>
      <c r="E232" s="31" t="e">
        <f>[4]PM2015.dat!B24</f>
        <v>#REF!</v>
      </c>
      <c r="F232" s="31" t="e">
        <f>[4]PM2015.dat!C24</f>
        <v>#REF!</v>
      </c>
      <c r="G232" s="31" t="e">
        <f>[4]PM2015.dat!D24</f>
        <v>#REF!</v>
      </c>
      <c r="H232" s="31" t="e">
        <f>[4]PM2015.dat!E24</f>
        <v>#REF!</v>
      </c>
      <c r="I232" s="31" t="e">
        <f>[4]PM2015.dat!F24</f>
        <v>#REF!</v>
      </c>
      <c r="J232" s="31" t="e">
        <f>[4]PM2015.dat!G24</f>
        <v>#REF!</v>
      </c>
      <c r="K232" s="31" t="e">
        <f>[4]PM2015.dat!H24</f>
        <v>#REF!</v>
      </c>
      <c r="L232" s="31" t="e">
        <f>[4]PM2015.dat!I24</f>
        <v>#REF!</v>
      </c>
      <c r="M232" s="31" t="e">
        <f>[4]PM2015.dat!J24</f>
        <v>#REF!</v>
      </c>
      <c r="N232" s="31" t="e">
        <f>[4]PM2015.dat!K24</f>
        <v>#REF!</v>
      </c>
      <c r="O232" s="31" t="e">
        <f>[4]PM2015.dat!L24</f>
        <v>#REF!</v>
      </c>
      <c r="P232" s="31" t="e">
        <f>[4]PM2015.dat!M24</f>
        <v>#REF!</v>
      </c>
      <c r="Q232" s="31" t="e">
        <f>[4]PM2015.dat!N24</f>
        <v>#REF!</v>
      </c>
      <c r="R232" s="31" t="e">
        <f>[4]PM2015.dat!O24</f>
        <v>#REF!</v>
      </c>
      <c r="S232" s="31" t="e">
        <f>[4]PM2015.dat!P24</f>
        <v>#REF!</v>
      </c>
      <c r="T232">
        <v>1970</v>
      </c>
      <c r="U232" s="27" t="e">
        <f>SUMPRODUCT(E232:S232,pm.rep!B69:P69)</f>
        <v>#REF!</v>
      </c>
      <c r="V232" s="27">
        <f>Stdev!D256</f>
        <v>6.4784999999999999E-3</v>
      </c>
    </row>
    <row r="233" spans="4:22" x14ac:dyDescent="0.15">
      <c r="D233" s="25">
        <v>1971</v>
      </c>
      <c r="E233" s="31" t="e">
        <f>[4]PM2015.dat!B25</f>
        <v>#REF!</v>
      </c>
      <c r="F233" s="31" t="e">
        <f>[4]PM2015.dat!C25</f>
        <v>#REF!</v>
      </c>
      <c r="G233" s="31" t="e">
        <f>[4]PM2015.dat!D25</f>
        <v>#REF!</v>
      </c>
      <c r="H233" s="31" t="e">
        <f>[4]PM2015.dat!E25</f>
        <v>#REF!</v>
      </c>
      <c r="I233" s="31" t="e">
        <f>[4]PM2015.dat!F25</f>
        <v>#REF!</v>
      </c>
      <c r="J233" s="31" t="e">
        <f>[4]PM2015.dat!G25</f>
        <v>#REF!</v>
      </c>
      <c r="K233" s="31" t="e">
        <f>[4]PM2015.dat!H25</f>
        <v>#REF!</v>
      </c>
      <c r="L233" s="31" t="e">
        <f>[4]PM2015.dat!I25</f>
        <v>#REF!</v>
      </c>
      <c r="M233" s="31" t="e">
        <f>[4]PM2015.dat!J25</f>
        <v>#REF!</v>
      </c>
      <c r="N233" s="31" t="e">
        <f>[4]PM2015.dat!K25</f>
        <v>#REF!</v>
      </c>
      <c r="O233" s="31" t="e">
        <f>[4]PM2015.dat!L25</f>
        <v>#REF!</v>
      </c>
      <c r="P233" s="31" t="e">
        <f>[4]PM2015.dat!M25</f>
        <v>#REF!</v>
      </c>
      <c r="Q233" s="31" t="e">
        <f>[4]PM2015.dat!N25</f>
        <v>#REF!</v>
      </c>
      <c r="R233" s="31" t="e">
        <f>[4]PM2015.dat!O25</f>
        <v>#REF!</v>
      </c>
      <c r="S233" s="31" t="e">
        <f>[4]PM2015.dat!P25</f>
        <v>#REF!</v>
      </c>
      <c r="T233">
        <v>1971</v>
      </c>
      <c r="U233" s="27" t="e">
        <f>SUMPRODUCT(E233:S233,pm.rep!B70:P70)</f>
        <v>#REF!</v>
      </c>
      <c r="V233" s="27">
        <f>Stdev!D257</f>
        <v>0.34118999999999999</v>
      </c>
    </row>
    <row r="234" spans="4:22" x14ac:dyDescent="0.15">
      <c r="D234" s="25">
        <v>1972</v>
      </c>
      <c r="E234" s="31" t="e">
        <f>[4]PM2015.dat!B26</f>
        <v>#REF!</v>
      </c>
      <c r="F234" s="31" t="e">
        <f>[4]PM2015.dat!C26</f>
        <v>#REF!</v>
      </c>
      <c r="G234" s="31" t="e">
        <f>[4]PM2015.dat!D26</f>
        <v>#REF!</v>
      </c>
      <c r="H234" s="31" t="e">
        <f>[4]PM2015.dat!E26</f>
        <v>#REF!</v>
      </c>
      <c r="I234" s="31" t="e">
        <f>[4]PM2015.dat!F26</f>
        <v>#REF!</v>
      </c>
      <c r="J234" s="31" t="e">
        <f>[4]PM2015.dat!G26</f>
        <v>#REF!</v>
      </c>
      <c r="K234" s="31" t="e">
        <f>[4]PM2015.dat!H26</f>
        <v>#REF!</v>
      </c>
      <c r="L234" s="31" t="e">
        <f>[4]PM2015.dat!I26</f>
        <v>#REF!</v>
      </c>
      <c r="M234" s="31" t="e">
        <f>[4]PM2015.dat!J26</f>
        <v>#REF!</v>
      </c>
      <c r="N234" s="31" t="e">
        <f>[4]PM2015.dat!K26</f>
        <v>#REF!</v>
      </c>
      <c r="O234" s="31" t="e">
        <f>[4]PM2015.dat!L26</f>
        <v>#REF!</v>
      </c>
      <c r="P234" s="31" t="e">
        <f>[4]PM2015.dat!M26</f>
        <v>#REF!</v>
      </c>
      <c r="Q234" s="31" t="e">
        <f>[4]PM2015.dat!N26</f>
        <v>#REF!</v>
      </c>
      <c r="R234" s="31" t="e">
        <f>[4]PM2015.dat!O26</f>
        <v>#REF!</v>
      </c>
      <c r="S234" s="31" t="e">
        <f>[4]PM2015.dat!P26</f>
        <v>#REF!</v>
      </c>
      <c r="T234">
        <v>1972</v>
      </c>
      <c r="U234" s="27" t="e">
        <f>SUMPRODUCT(E234:S234,pm.rep!B71:P71)</f>
        <v>#REF!</v>
      </c>
      <c r="V234" s="27">
        <f>Stdev!D258</f>
        <v>-0.17519000000000001</v>
      </c>
    </row>
    <row r="235" spans="4:22" x14ac:dyDescent="0.15">
      <c r="D235" s="25">
        <v>1973</v>
      </c>
      <c r="E235" s="31" t="e">
        <f>[4]PM2015.dat!B27</f>
        <v>#REF!</v>
      </c>
      <c r="F235" s="31" t="e">
        <f>[4]PM2015.dat!C27</f>
        <v>#REF!</v>
      </c>
      <c r="G235" s="31" t="e">
        <f>[4]PM2015.dat!D27</f>
        <v>#REF!</v>
      </c>
      <c r="H235" s="31" t="e">
        <f>[4]PM2015.dat!E27</f>
        <v>#REF!</v>
      </c>
      <c r="I235" s="31" t="e">
        <f>[4]PM2015.dat!F27</f>
        <v>#REF!</v>
      </c>
      <c r="J235" s="31" t="e">
        <f>[4]PM2015.dat!G27</f>
        <v>#REF!</v>
      </c>
      <c r="K235" s="31" t="e">
        <f>[4]PM2015.dat!H27</f>
        <v>#REF!</v>
      </c>
      <c r="L235" s="31" t="e">
        <f>[4]PM2015.dat!I27</f>
        <v>#REF!</v>
      </c>
      <c r="M235" s="31" t="e">
        <f>[4]PM2015.dat!J27</f>
        <v>#REF!</v>
      </c>
      <c r="N235" s="31" t="e">
        <f>[4]PM2015.dat!K27</f>
        <v>#REF!</v>
      </c>
      <c r="O235" s="31" t="e">
        <f>[4]PM2015.dat!L27</f>
        <v>#REF!</v>
      </c>
      <c r="P235" s="31" t="e">
        <f>[4]PM2015.dat!M27</f>
        <v>#REF!</v>
      </c>
      <c r="Q235" s="31" t="e">
        <f>[4]PM2015.dat!N27</f>
        <v>#REF!</v>
      </c>
      <c r="R235" s="31" t="e">
        <f>[4]PM2015.dat!O27</f>
        <v>#REF!</v>
      </c>
      <c r="S235" s="31" t="e">
        <f>[4]PM2015.dat!P27</f>
        <v>#REF!</v>
      </c>
      <c r="T235">
        <v>1973</v>
      </c>
      <c r="U235" s="27" t="e">
        <f>SUMPRODUCT(E235:S235,pm.rep!B72:P72)</f>
        <v>#REF!</v>
      </c>
      <c r="V235" s="27">
        <f>Stdev!D259</f>
        <v>-0.36015000000000003</v>
      </c>
    </row>
    <row r="236" spans="4:22" x14ac:dyDescent="0.15">
      <c r="D236" s="25">
        <v>1974</v>
      </c>
      <c r="E236" s="31" t="e">
        <f>[4]PM2015.dat!B28</f>
        <v>#REF!</v>
      </c>
      <c r="F236" s="31" t="e">
        <f>[4]PM2015.dat!C28</f>
        <v>#REF!</v>
      </c>
      <c r="G236" s="31" t="e">
        <f>[4]PM2015.dat!D28</f>
        <v>#REF!</v>
      </c>
      <c r="H236" s="31" t="e">
        <f>[4]PM2015.dat!E28</f>
        <v>#REF!</v>
      </c>
      <c r="I236" s="31" t="e">
        <f>[4]PM2015.dat!F28</f>
        <v>#REF!</v>
      </c>
      <c r="J236" s="31" t="e">
        <f>[4]PM2015.dat!G28</f>
        <v>#REF!</v>
      </c>
      <c r="K236" s="31" t="e">
        <f>[4]PM2015.dat!H28</f>
        <v>#REF!</v>
      </c>
      <c r="L236" s="31" t="e">
        <f>[4]PM2015.dat!I28</f>
        <v>#REF!</v>
      </c>
      <c r="M236" s="31" t="e">
        <f>[4]PM2015.dat!J28</f>
        <v>#REF!</v>
      </c>
      <c r="N236" s="31" t="e">
        <f>[4]PM2015.dat!K28</f>
        <v>#REF!</v>
      </c>
      <c r="O236" s="31" t="e">
        <f>[4]PM2015.dat!L28</f>
        <v>#REF!</v>
      </c>
      <c r="P236" s="31" t="e">
        <f>[4]PM2015.dat!M28</f>
        <v>#REF!</v>
      </c>
      <c r="Q236" s="31" t="e">
        <f>[4]PM2015.dat!N28</f>
        <v>#REF!</v>
      </c>
      <c r="R236" s="31" t="e">
        <f>[4]PM2015.dat!O28</f>
        <v>#REF!</v>
      </c>
      <c r="S236" s="31" t="e">
        <f>[4]PM2015.dat!P28</f>
        <v>#REF!</v>
      </c>
      <c r="T236">
        <v>1974</v>
      </c>
      <c r="U236" s="27" t="e">
        <f>SUMPRODUCT(E236:S236,pm.rep!B73:P73)</f>
        <v>#REF!</v>
      </c>
      <c r="V236" s="27">
        <f>Stdev!D260</f>
        <v>-0.28355000000000002</v>
      </c>
    </row>
    <row r="237" spans="4:22" x14ac:dyDescent="0.15">
      <c r="D237" s="25">
        <v>1975</v>
      </c>
      <c r="E237" s="31" t="e">
        <f>[4]PM2015.dat!B29</f>
        <v>#REF!</v>
      </c>
      <c r="F237" s="31" t="e">
        <f>[4]PM2015.dat!C29</f>
        <v>#REF!</v>
      </c>
      <c r="G237" s="31" t="e">
        <f>[4]PM2015.dat!D29</f>
        <v>#REF!</v>
      </c>
      <c r="H237" s="31" t="e">
        <f>[4]PM2015.dat!E29</f>
        <v>#REF!</v>
      </c>
      <c r="I237" s="31" t="e">
        <f>[4]PM2015.dat!F29</f>
        <v>#REF!</v>
      </c>
      <c r="J237" s="31" t="e">
        <f>[4]PM2015.dat!G29</f>
        <v>#REF!</v>
      </c>
      <c r="K237" s="31" t="e">
        <f>[4]PM2015.dat!H29</f>
        <v>#REF!</v>
      </c>
      <c r="L237" s="31" t="e">
        <f>[4]PM2015.dat!I29</f>
        <v>#REF!</v>
      </c>
      <c r="M237" s="31" t="e">
        <f>[4]PM2015.dat!J29</f>
        <v>#REF!</v>
      </c>
      <c r="N237" s="31" t="e">
        <f>[4]PM2015.dat!K29</f>
        <v>#REF!</v>
      </c>
      <c r="O237" s="31" t="e">
        <f>[4]PM2015.dat!L29</f>
        <v>#REF!</v>
      </c>
      <c r="P237" s="31" t="e">
        <f>[4]PM2015.dat!M29</f>
        <v>#REF!</v>
      </c>
      <c r="Q237" s="31" t="e">
        <f>[4]PM2015.dat!N29</f>
        <v>#REF!</v>
      </c>
      <c r="R237" s="31" t="e">
        <f>[4]PM2015.dat!O29</f>
        <v>#REF!</v>
      </c>
      <c r="S237" s="31" t="e">
        <f>[4]PM2015.dat!P29</f>
        <v>#REF!</v>
      </c>
      <c r="T237">
        <v>1975</v>
      </c>
      <c r="U237" s="27" t="e">
        <f>SUMPRODUCT(E237:S237,pm.rep!B74:P74)</f>
        <v>#REF!</v>
      </c>
      <c r="V237" s="27">
        <f>Stdev!D261</f>
        <v>-3.7546000000000003E-2</v>
      </c>
    </row>
    <row r="238" spans="4:22" x14ac:dyDescent="0.15">
      <c r="D238" s="25">
        <v>1976</v>
      </c>
      <c r="E238" s="31" t="e">
        <f>[4]PM2015.dat!B30</f>
        <v>#REF!</v>
      </c>
      <c r="F238" s="31" t="e">
        <f>[4]PM2015.dat!C30</f>
        <v>#REF!</v>
      </c>
      <c r="G238" s="31" t="e">
        <f>[4]PM2015.dat!D30</f>
        <v>#REF!</v>
      </c>
      <c r="H238" s="31" t="e">
        <f>[4]PM2015.dat!E30</f>
        <v>#REF!</v>
      </c>
      <c r="I238" s="31" t="e">
        <f>[4]PM2015.dat!F30</f>
        <v>#REF!</v>
      </c>
      <c r="J238" s="31" t="e">
        <f>[4]PM2015.dat!G30</f>
        <v>#REF!</v>
      </c>
      <c r="K238" s="31" t="e">
        <f>[4]PM2015.dat!H30</f>
        <v>#REF!</v>
      </c>
      <c r="L238" s="31" t="e">
        <f>[4]PM2015.dat!I30</f>
        <v>#REF!</v>
      </c>
      <c r="M238" s="31" t="e">
        <f>[4]PM2015.dat!J30</f>
        <v>#REF!</v>
      </c>
      <c r="N238" s="31" t="e">
        <f>[4]PM2015.dat!K30</f>
        <v>#REF!</v>
      </c>
      <c r="O238" s="31" t="e">
        <f>[4]PM2015.dat!L30</f>
        <v>#REF!</v>
      </c>
      <c r="P238" s="31" t="e">
        <f>[4]PM2015.dat!M30</f>
        <v>#REF!</v>
      </c>
      <c r="Q238" s="31" t="e">
        <f>[4]PM2015.dat!N30</f>
        <v>#REF!</v>
      </c>
      <c r="R238" s="31" t="e">
        <f>[4]PM2015.dat!O30</f>
        <v>#REF!</v>
      </c>
      <c r="S238" s="31" t="e">
        <f>[4]PM2015.dat!P30</f>
        <v>#REF!</v>
      </c>
      <c r="T238">
        <v>1976</v>
      </c>
      <c r="U238" s="27" t="e">
        <f>SUMPRODUCT(E238:S238,pm.rep!B75:P75)</f>
        <v>#REF!</v>
      </c>
      <c r="V238" s="27">
        <f>Stdev!D262</f>
        <v>-4.1903999999999997E-2</v>
      </c>
    </row>
    <row r="239" spans="4:22" x14ac:dyDescent="0.15">
      <c r="D239" s="25">
        <v>1977</v>
      </c>
      <c r="E239" s="31" t="e">
        <f>[4]PM2015.dat!B31</f>
        <v>#REF!</v>
      </c>
      <c r="F239" s="31" t="e">
        <f>[4]PM2015.dat!C31</f>
        <v>#REF!</v>
      </c>
      <c r="G239" s="31" t="e">
        <f>[4]PM2015.dat!D31</f>
        <v>#REF!</v>
      </c>
      <c r="H239" s="31" t="e">
        <f>[4]PM2015.dat!E31</f>
        <v>#REF!</v>
      </c>
      <c r="I239" s="31" t="e">
        <f>[4]PM2015.dat!F31</f>
        <v>#REF!</v>
      </c>
      <c r="J239" s="31" t="e">
        <f>[4]PM2015.dat!G31</f>
        <v>#REF!</v>
      </c>
      <c r="K239" s="31" t="e">
        <f>[4]PM2015.dat!H31</f>
        <v>#REF!</v>
      </c>
      <c r="L239" s="31" t="e">
        <f>[4]PM2015.dat!I31</f>
        <v>#REF!</v>
      </c>
      <c r="M239" s="31" t="e">
        <f>[4]PM2015.dat!J31</f>
        <v>#REF!</v>
      </c>
      <c r="N239" s="31" t="e">
        <f>[4]PM2015.dat!K31</f>
        <v>#REF!</v>
      </c>
      <c r="O239" s="31" t="e">
        <f>[4]PM2015.dat!L31</f>
        <v>#REF!</v>
      </c>
      <c r="P239" s="31" t="e">
        <f>[4]PM2015.dat!M31</f>
        <v>#REF!</v>
      </c>
      <c r="Q239" s="31" t="e">
        <f>[4]PM2015.dat!N31</f>
        <v>#REF!</v>
      </c>
      <c r="R239" s="31" t="e">
        <f>[4]PM2015.dat!O31</f>
        <v>#REF!</v>
      </c>
      <c r="S239" s="31" t="e">
        <f>[4]PM2015.dat!P31</f>
        <v>#REF!</v>
      </c>
      <c r="T239">
        <v>1977</v>
      </c>
      <c r="U239" s="27" t="e">
        <f>SUMPRODUCT(E239:S239,pm.rep!B76:P76)</f>
        <v>#REF!</v>
      </c>
      <c r="V239" s="27">
        <f>Stdev!D263</f>
        <v>-0.14237</v>
      </c>
    </row>
    <row r="240" spans="4:22" x14ac:dyDescent="0.15">
      <c r="D240" s="25">
        <v>1978</v>
      </c>
      <c r="E240" s="31" t="e">
        <f>[4]PM2015.dat!B32</f>
        <v>#REF!</v>
      </c>
      <c r="F240" s="31" t="e">
        <f>[4]PM2015.dat!C32</f>
        <v>#REF!</v>
      </c>
      <c r="G240" s="31" t="e">
        <f>[4]PM2015.dat!D32</f>
        <v>#REF!</v>
      </c>
      <c r="H240" s="31" t="e">
        <f>[4]PM2015.dat!E32</f>
        <v>#REF!</v>
      </c>
      <c r="I240" s="31" t="e">
        <f>[4]PM2015.dat!F32</f>
        <v>#REF!</v>
      </c>
      <c r="J240" s="31" t="e">
        <f>[4]PM2015.dat!G32</f>
        <v>#REF!</v>
      </c>
      <c r="K240" s="31" t="e">
        <f>[4]PM2015.dat!H32</f>
        <v>#REF!</v>
      </c>
      <c r="L240" s="31" t="e">
        <f>[4]PM2015.dat!I32</f>
        <v>#REF!</v>
      </c>
      <c r="M240" s="31" t="e">
        <f>[4]PM2015.dat!J32</f>
        <v>#REF!</v>
      </c>
      <c r="N240" s="31" t="e">
        <f>[4]PM2015.dat!K32</f>
        <v>#REF!</v>
      </c>
      <c r="O240" s="31" t="e">
        <f>[4]PM2015.dat!L32</f>
        <v>#REF!</v>
      </c>
      <c r="P240" s="31" t="e">
        <f>[4]PM2015.dat!M32</f>
        <v>#REF!</v>
      </c>
      <c r="Q240" s="31" t="e">
        <f>[4]PM2015.dat!N32</f>
        <v>#REF!</v>
      </c>
      <c r="R240" s="31" t="e">
        <f>[4]PM2015.dat!O32</f>
        <v>#REF!</v>
      </c>
      <c r="S240" s="31" t="e">
        <f>[4]PM2015.dat!P32</f>
        <v>#REF!</v>
      </c>
      <c r="T240">
        <v>1978</v>
      </c>
      <c r="U240" s="27" t="e">
        <f>SUMPRODUCT(E240:S240,pm.rep!B77:P77)</f>
        <v>#REF!</v>
      </c>
      <c r="V240" s="27">
        <f>Stdev!D264</f>
        <v>-0.51102000000000003</v>
      </c>
    </row>
    <row r="241" spans="4:22" x14ac:dyDescent="0.15">
      <c r="D241" s="25">
        <v>1979</v>
      </c>
      <c r="E241" s="31" t="e">
        <f>[4]PM2015.dat!B33</f>
        <v>#REF!</v>
      </c>
      <c r="F241" s="31" t="e">
        <f>[4]PM2015.dat!C33</f>
        <v>#REF!</v>
      </c>
      <c r="G241" s="31" t="e">
        <f>[4]PM2015.dat!D33</f>
        <v>#REF!</v>
      </c>
      <c r="H241" s="31" t="e">
        <f>[4]PM2015.dat!E33</f>
        <v>#REF!</v>
      </c>
      <c r="I241" s="31" t="e">
        <f>[4]PM2015.dat!F33</f>
        <v>#REF!</v>
      </c>
      <c r="J241" s="31" t="e">
        <f>[4]PM2015.dat!G33</f>
        <v>#REF!</v>
      </c>
      <c r="K241" s="31" t="e">
        <f>[4]PM2015.dat!H33</f>
        <v>#REF!</v>
      </c>
      <c r="L241" s="31" t="e">
        <f>[4]PM2015.dat!I33</f>
        <v>#REF!</v>
      </c>
      <c r="M241" s="31" t="e">
        <f>[4]PM2015.dat!J33</f>
        <v>#REF!</v>
      </c>
      <c r="N241" s="31" t="e">
        <f>[4]PM2015.dat!K33</f>
        <v>#REF!</v>
      </c>
      <c r="O241" s="31" t="e">
        <f>[4]PM2015.dat!L33</f>
        <v>#REF!</v>
      </c>
      <c r="P241" s="31" t="e">
        <f>[4]PM2015.dat!M33</f>
        <v>#REF!</v>
      </c>
      <c r="Q241" s="31" t="e">
        <f>[4]PM2015.dat!N33</f>
        <v>#REF!</v>
      </c>
      <c r="R241" s="31" t="e">
        <f>[4]PM2015.dat!O33</f>
        <v>#REF!</v>
      </c>
      <c r="S241" s="31" t="e">
        <f>[4]PM2015.dat!P33</f>
        <v>#REF!</v>
      </c>
      <c r="T241">
        <v>1979</v>
      </c>
      <c r="U241" s="27" t="e">
        <f>SUMPRODUCT(E241:S241,pm.rep!B78:P78)</f>
        <v>#REF!</v>
      </c>
      <c r="V241" s="27">
        <f>Stdev!D265</f>
        <v>-0.36832999999999999</v>
      </c>
    </row>
    <row r="242" spans="4:22" x14ac:dyDescent="0.15">
      <c r="D242" s="25">
        <v>1980</v>
      </c>
      <c r="E242" s="31" t="e">
        <f>[4]PM2015.dat!B34</f>
        <v>#REF!</v>
      </c>
      <c r="F242" s="31" t="e">
        <f>[4]PM2015.dat!C34</f>
        <v>#REF!</v>
      </c>
      <c r="G242" s="31" t="e">
        <f>[4]PM2015.dat!D34</f>
        <v>#REF!</v>
      </c>
      <c r="H242" s="31" t="e">
        <f>[4]PM2015.dat!E34</f>
        <v>#REF!</v>
      </c>
      <c r="I242" s="31" t="e">
        <f>[4]PM2015.dat!F34</f>
        <v>#REF!</v>
      </c>
      <c r="J242" s="31" t="e">
        <f>[4]PM2015.dat!G34</f>
        <v>#REF!</v>
      </c>
      <c r="K242" s="31" t="e">
        <f>[4]PM2015.dat!H34</f>
        <v>#REF!</v>
      </c>
      <c r="L242" s="31" t="e">
        <f>[4]PM2015.dat!I34</f>
        <v>#REF!</v>
      </c>
      <c r="M242" s="31" t="e">
        <f>[4]PM2015.dat!J34</f>
        <v>#REF!</v>
      </c>
      <c r="N242" s="31" t="e">
        <f>[4]PM2015.dat!K34</f>
        <v>#REF!</v>
      </c>
      <c r="O242" s="31" t="e">
        <f>[4]PM2015.dat!L34</f>
        <v>#REF!</v>
      </c>
      <c r="P242" s="31" t="e">
        <f>[4]PM2015.dat!M34</f>
        <v>#REF!</v>
      </c>
      <c r="Q242" s="31" t="e">
        <f>[4]PM2015.dat!N34</f>
        <v>#REF!</v>
      </c>
      <c r="R242" s="31" t="e">
        <f>[4]PM2015.dat!O34</f>
        <v>#REF!</v>
      </c>
      <c r="S242" s="31" t="e">
        <f>[4]PM2015.dat!P34</f>
        <v>#REF!</v>
      </c>
      <c r="T242">
        <v>1980</v>
      </c>
      <c r="U242" s="27" t="e">
        <f>SUMPRODUCT(E242:S242,pm.rep!B79:P79)</f>
        <v>#REF!</v>
      </c>
      <c r="V242" s="27">
        <f>Stdev!D266</f>
        <v>-0.21093999999999999</v>
      </c>
    </row>
    <row r="243" spans="4:22" x14ac:dyDescent="0.15">
      <c r="D243" s="25">
        <v>1981</v>
      </c>
      <c r="E243" s="31" t="e">
        <f>[4]PM2015.dat!B35</f>
        <v>#REF!</v>
      </c>
      <c r="F243" s="31" t="e">
        <f>[4]PM2015.dat!C35</f>
        <v>#REF!</v>
      </c>
      <c r="G243" s="31" t="e">
        <f>[4]PM2015.dat!D35</f>
        <v>#REF!</v>
      </c>
      <c r="H243" s="31" t="e">
        <f>[4]PM2015.dat!E35</f>
        <v>#REF!</v>
      </c>
      <c r="I243" s="31" t="e">
        <f>[4]PM2015.dat!F35</f>
        <v>#REF!</v>
      </c>
      <c r="J243" s="31" t="e">
        <f>[4]PM2015.dat!G35</f>
        <v>#REF!</v>
      </c>
      <c r="K243" s="31" t="e">
        <f>[4]PM2015.dat!H35</f>
        <v>#REF!</v>
      </c>
      <c r="L243" s="31" t="e">
        <f>[4]PM2015.dat!I35</f>
        <v>#REF!</v>
      </c>
      <c r="M243" s="31" t="e">
        <f>[4]PM2015.dat!J35</f>
        <v>#REF!</v>
      </c>
      <c r="N243" s="31" t="e">
        <f>[4]PM2015.dat!K35</f>
        <v>#REF!</v>
      </c>
      <c r="O243" s="31" t="e">
        <f>[4]PM2015.dat!L35</f>
        <v>#REF!</v>
      </c>
      <c r="P243" s="31" t="e">
        <f>[4]PM2015.dat!M35</f>
        <v>#REF!</v>
      </c>
      <c r="Q243" s="31" t="e">
        <f>[4]PM2015.dat!N35</f>
        <v>#REF!</v>
      </c>
      <c r="R243" s="31" t="e">
        <f>[4]PM2015.dat!O35</f>
        <v>#REF!</v>
      </c>
      <c r="S243" s="31" t="e">
        <f>[4]PM2015.dat!P35</f>
        <v>#REF!</v>
      </c>
      <c r="T243">
        <v>1981</v>
      </c>
      <c r="U243" s="27" t="e">
        <f>SUMPRODUCT(E243:S243,pm.rep!B80:P80)</f>
        <v>#REF!</v>
      </c>
      <c r="V243" s="27">
        <f>Stdev!D267</f>
        <v>-6.8848999999999994E-2</v>
      </c>
    </row>
    <row r="244" spans="4:22" x14ac:dyDescent="0.15">
      <c r="D244" s="25">
        <v>1982</v>
      </c>
      <c r="E244" s="31" t="e">
        <f>[4]PM2015.dat!B36</f>
        <v>#REF!</v>
      </c>
      <c r="F244" s="31" t="e">
        <f>[4]PM2015.dat!C36</f>
        <v>#REF!</v>
      </c>
      <c r="G244" s="31" t="e">
        <f>[4]PM2015.dat!D36</f>
        <v>#REF!</v>
      </c>
      <c r="H244" s="31" t="e">
        <f>[4]PM2015.dat!E36</f>
        <v>#REF!</v>
      </c>
      <c r="I244" s="31" t="e">
        <f>[4]PM2015.dat!F36</f>
        <v>#REF!</v>
      </c>
      <c r="J244" s="31" t="e">
        <f>[4]PM2015.dat!G36</f>
        <v>#REF!</v>
      </c>
      <c r="K244" s="31" t="e">
        <f>[4]PM2015.dat!H36</f>
        <v>#REF!</v>
      </c>
      <c r="L244" s="31" t="e">
        <f>[4]PM2015.dat!I36</f>
        <v>#REF!</v>
      </c>
      <c r="M244" s="31" t="e">
        <f>[4]PM2015.dat!J36</f>
        <v>#REF!</v>
      </c>
      <c r="N244" s="31" t="e">
        <f>[4]PM2015.dat!K36</f>
        <v>#REF!</v>
      </c>
      <c r="O244" s="31" t="e">
        <f>[4]PM2015.dat!L36</f>
        <v>#REF!</v>
      </c>
      <c r="P244" s="31" t="e">
        <f>[4]PM2015.dat!M36</f>
        <v>#REF!</v>
      </c>
      <c r="Q244" s="31" t="e">
        <f>[4]PM2015.dat!N36</f>
        <v>#REF!</v>
      </c>
      <c r="R244" s="31" t="e">
        <f>[4]PM2015.dat!O36</f>
        <v>#REF!</v>
      </c>
      <c r="S244" s="31" t="e">
        <f>[4]PM2015.dat!P36</f>
        <v>#REF!</v>
      </c>
      <c r="T244">
        <v>1982</v>
      </c>
      <c r="U244" s="27" t="e">
        <f>SUMPRODUCT(E244:S244,pm.rep!B81:P81)</f>
        <v>#REF!</v>
      </c>
      <c r="V244" s="27">
        <f>Stdev!D268</f>
        <v>-6.4016000000000003E-2</v>
      </c>
    </row>
    <row r="245" spans="4:22" x14ac:dyDescent="0.15">
      <c r="D245" s="25">
        <v>1983</v>
      </c>
      <c r="E245" s="31" t="e">
        <f>[4]PM2015.dat!B37</f>
        <v>#REF!</v>
      </c>
      <c r="F245" s="31" t="e">
        <f>[4]PM2015.dat!C37</f>
        <v>#REF!</v>
      </c>
      <c r="G245" s="31" t="e">
        <f>[4]PM2015.dat!D37</f>
        <v>#REF!</v>
      </c>
      <c r="H245" s="31" t="e">
        <f>[4]PM2015.dat!E37</f>
        <v>#REF!</v>
      </c>
      <c r="I245" s="31" t="e">
        <f>[4]PM2015.dat!F37</f>
        <v>#REF!</v>
      </c>
      <c r="J245" s="31" t="e">
        <f>[4]PM2015.dat!G37</f>
        <v>#REF!</v>
      </c>
      <c r="K245" s="31" t="e">
        <f>[4]PM2015.dat!H37</f>
        <v>#REF!</v>
      </c>
      <c r="L245" s="31" t="e">
        <f>[4]PM2015.dat!I37</f>
        <v>#REF!</v>
      </c>
      <c r="M245" s="31" t="e">
        <f>[4]PM2015.dat!J37</f>
        <v>#REF!</v>
      </c>
      <c r="N245" s="31" t="e">
        <f>[4]PM2015.dat!K37</f>
        <v>#REF!</v>
      </c>
      <c r="O245" s="31" t="e">
        <f>[4]PM2015.dat!L37</f>
        <v>#REF!</v>
      </c>
      <c r="P245" s="31" t="e">
        <f>[4]PM2015.dat!M37</f>
        <v>#REF!</v>
      </c>
      <c r="Q245" s="31" t="e">
        <f>[4]PM2015.dat!N37</f>
        <v>#REF!</v>
      </c>
      <c r="R245" s="31" t="e">
        <f>[4]PM2015.dat!O37</f>
        <v>#REF!</v>
      </c>
      <c r="S245" s="31" t="e">
        <f>[4]PM2015.dat!P37</f>
        <v>#REF!</v>
      </c>
      <c r="T245">
        <v>1983</v>
      </c>
      <c r="U245" s="27" t="e">
        <f>SUMPRODUCT(E245:S245,pm.rep!B82:P82)</f>
        <v>#REF!</v>
      </c>
      <c r="V245" s="27">
        <f>Stdev!D269</f>
        <v>-0.12517</v>
      </c>
    </row>
    <row r="246" spans="4:22" x14ac:dyDescent="0.15">
      <c r="D246" s="25">
        <v>1984</v>
      </c>
      <c r="E246" s="31" t="e">
        <f>[4]PM2015.dat!B38</f>
        <v>#REF!</v>
      </c>
      <c r="F246" s="31" t="e">
        <f>[4]PM2015.dat!C38</f>
        <v>#REF!</v>
      </c>
      <c r="G246" s="31" t="e">
        <f>[4]PM2015.dat!D38</f>
        <v>#REF!</v>
      </c>
      <c r="H246" s="31" t="e">
        <f>[4]PM2015.dat!E38</f>
        <v>#REF!</v>
      </c>
      <c r="I246" s="31" t="e">
        <f>[4]PM2015.dat!F38</f>
        <v>#REF!</v>
      </c>
      <c r="J246" s="31" t="e">
        <f>[4]PM2015.dat!G38</f>
        <v>#REF!</v>
      </c>
      <c r="K246" s="31" t="e">
        <f>[4]PM2015.dat!H38</f>
        <v>#REF!</v>
      </c>
      <c r="L246" s="31" t="e">
        <f>[4]PM2015.dat!I38</f>
        <v>#REF!</v>
      </c>
      <c r="M246" s="31" t="e">
        <f>[4]PM2015.dat!J38</f>
        <v>#REF!</v>
      </c>
      <c r="N246" s="31" t="e">
        <f>[4]PM2015.dat!K38</f>
        <v>#REF!</v>
      </c>
      <c r="O246" s="31" t="e">
        <f>[4]PM2015.dat!L38</f>
        <v>#REF!</v>
      </c>
      <c r="P246" s="31" t="e">
        <f>[4]PM2015.dat!M38</f>
        <v>#REF!</v>
      </c>
      <c r="Q246" s="31" t="e">
        <f>[4]PM2015.dat!N38</f>
        <v>#REF!</v>
      </c>
      <c r="R246" s="31" t="e">
        <f>[4]PM2015.dat!O38</f>
        <v>#REF!</v>
      </c>
      <c r="S246" s="31" t="e">
        <f>[4]PM2015.dat!P38</f>
        <v>#REF!</v>
      </c>
      <c r="T246">
        <v>1984</v>
      </c>
      <c r="U246" s="27" t="e">
        <f>SUMPRODUCT(E246:S246,pm.rep!B83:P83)</f>
        <v>#REF!</v>
      </c>
      <c r="V246" s="27">
        <f>Stdev!D270</f>
        <v>-0.22727</v>
      </c>
    </row>
    <row r="247" spans="4:22" x14ac:dyDescent="0.15">
      <c r="D247" s="25">
        <v>1985</v>
      </c>
      <c r="E247" s="31" t="e">
        <f>[4]PM2015.dat!B39</f>
        <v>#REF!</v>
      </c>
      <c r="F247" s="31" t="e">
        <f>[4]PM2015.dat!C39</f>
        <v>#REF!</v>
      </c>
      <c r="G247" s="31" t="e">
        <f>[4]PM2015.dat!D39</f>
        <v>#REF!</v>
      </c>
      <c r="H247" s="31" t="e">
        <f>[4]PM2015.dat!E39</f>
        <v>#REF!</v>
      </c>
      <c r="I247" s="31" t="e">
        <f>[4]PM2015.dat!F39</f>
        <v>#REF!</v>
      </c>
      <c r="J247" s="31" t="e">
        <f>[4]PM2015.dat!G39</f>
        <v>#REF!</v>
      </c>
      <c r="K247" s="31" t="e">
        <f>[4]PM2015.dat!H39</f>
        <v>#REF!</v>
      </c>
      <c r="L247" s="31" t="e">
        <f>[4]PM2015.dat!I39</f>
        <v>#REF!</v>
      </c>
      <c r="M247" s="31" t="e">
        <f>[4]PM2015.dat!J39</f>
        <v>#REF!</v>
      </c>
      <c r="N247" s="31" t="e">
        <f>[4]PM2015.dat!K39</f>
        <v>#REF!</v>
      </c>
      <c r="O247" s="31" t="e">
        <f>[4]PM2015.dat!L39</f>
        <v>#REF!</v>
      </c>
      <c r="P247" s="31" t="e">
        <f>[4]PM2015.dat!M39</f>
        <v>#REF!</v>
      </c>
      <c r="Q247" s="31" t="e">
        <f>[4]PM2015.dat!N39</f>
        <v>#REF!</v>
      </c>
      <c r="R247" s="31" t="e">
        <f>[4]PM2015.dat!O39</f>
        <v>#REF!</v>
      </c>
      <c r="S247" s="31" t="e">
        <f>[4]PM2015.dat!P39</f>
        <v>#REF!</v>
      </c>
      <c r="T247">
        <v>1985</v>
      </c>
      <c r="U247" s="27" t="e">
        <f>SUMPRODUCT(E247:S247,pm.rep!B84:P84)</f>
        <v>#REF!</v>
      </c>
      <c r="V247" s="27">
        <f>Stdev!D271</f>
        <v>-5.7662E-3</v>
      </c>
    </row>
    <row r="248" spans="4:22" x14ac:dyDescent="0.15">
      <c r="D248" s="25">
        <v>1986</v>
      </c>
      <c r="E248" s="31" t="e">
        <f>[4]PM2015.dat!B40</f>
        <v>#REF!</v>
      </c>
      <c r="F248" s="31" t="e">
        <f>[4]PM2015.dat!C40</f>
        <v>#REF!</v>
      </c>
      <c r="G248" s="31" t="e">
        <f>[4]PM2015.dat!D40</f>
        <v>#REF!</v>
      </c>
      <c r="H248" s="31" t="e">
        <f>[4]PM2015.dat!E40</f>
        <v>#REF!</v>
      </c>
      <c r="I248" s="31" t="e">
        <f>[4]PM2015.dat!F40</f>
        <v>#REF!</v>
      </c>
      <c r="J248" s="31" t="e">
        <f>[4]PM2015.dat!G40</f>
        <v>#REF!</v>
      </c>
      <c r="K248" s="31" t="e">
        <f>[4]PM2015.dat!H40</f>
        <v>#REF!</v>
      </c>
      <c r="L248" s="31" t="e">
        <f>[4]PM2015.dat!I40</f>
        <v>#REF!</v>
      </c>
      <c r="M248" s="31" t="e">
        <f>[4]PM2015.dat!J40</f>
        <v>#REF!</v>
      </c>
      <c r="N248" s="31" t="e">
        <f>[4]PM2015.dat!K40</f>
        <v>#REF!</v>
      </c>
      <c r="O248" s="31" t="e">
        <f>[4]PM2015.dat!L40</f>
        <v>#REF!</v>
      </c>
      <c r="P248" s="31" t="e">
        <f>[4]PM2015.dat!M40</f>
        <v>#REF!</v>
      </c>
      <c r="Q248" s="31" t="e">
        <f>[4]PM2015.dat!N40</f>
        <v>#REF!</v>
      </c>
      <c r="R248" s="31" t="e">
        <f>[4]PM2015.dat!O40</f>
        <v>#REF!</v>
      </c>
      <c r="S248" s="31" t="e">
        <f>[4]PM2015.dat!P40</f>
        <v>#REF!</v>
      </c>
      <c r="T248">
        <v>1986</v>
      </c>
      <c r="U248" s="27" t="e">
        <f>SUMPRODUCT(E248:S248,pm.rep!B85:P85)</f>
        <v>#REF!</v>
      </c>
      <c r="V248" s="27">
        <f>Stdev!D272</f>
        <v>5.5912000000000003E-2</v>
      </c>
    </row>
    <row r="249" spans="4:22" x14ac:dyDescent="0.15">
      <c r="D249" s="25">
        <v>1987</v>
      </c>
      <c r="E249" s="31" t="e">
        <f>[4]PM2015.dat!B41</f>
        <v>#REF!</v>
      </c>
      <c r="F249" s="31" t="e">
        <f>[4]PM2015.dat!C41</f>
        <v>#REF!</v>
      </c>
      <c r="G249" s="31" t="e">
        <f>[4]PM2015.dat!D41</f>
        <v>#REF!</v>
      </c>
      <c r="H249" s="31" t="e">
        <f>[4]PM2015.dat!E41</f>
        <v>#REF!</v>
      </c>
      <c r="I249" s="31" t="e">
        <f>[4]PM2015.dat!F41</f>
        <v>#REF!</v>
      </c>
      <c r="J249" s="31" t="e">
        <f>[4]PM2015.dat!G41</f>
        <v>#REF!</v>
      </c>
      <c r="K249" s="31" t="e">
        <f>[4]PM2015.dat!H41</f>
        <v>#REF!</v>
      </c>
      <c r="L249" s="31" t="e">
        <f>[4]PM2015.dat!I41</f>
        <v>#REF!</v>
      </c>
      <c r="M249" s="31" t="e">
        <f>[4]PM2015.dat!J41</f>
        <v>#REF!</v>
      </c>
      <c r="N249" s="31" t="e">
        <f>[4]PM2015.dat!K41</f>
        <v>#REF!</v>
      </c>
      <c r="O249" s="31" t="e">
        <f>[4]PM2015.dat!L41</f>
        <v>#REF!</v>
      </c>
      <c r="P249" s="31" t="e">
        <f>[4]PM2015.dat!M41</f>
        <v>#REF!</v>
      </c>
      <c r="Q249" s="31" t="e">
        <f>[4]PM2015.dat!N41</f>
        <v>#REF!</v>
      </c>
      <c r="R249" s="31" t="e">
        <f>[4]PM2015.dat!O41</f>
        <v>#REF!</v>
      </c>
      <c r="S249" s="31" t="e">
        <f>[4]PM2015.dat!P41</f>
        <v>#REF!</v>
      </c>
      <c r="T249">
        <v>1987</v>
      </c>
      <c r="U249" s="27" t="e">
        <f>SUMPRODUCT(E249:S249,pm.rep!B86:P86)</f>
        <v>#REF!</v>
      </c>
      <c r="V249" s="27">
        <f>Stdev!D273</f>
        <v>0.14022999999999999</v>
      </c>
    </row>
    <row r="250" spans="4:22" x14ac:dyDescent="0.15">
      <c r="D250" s="25">
        <v>1988</v>
      </c>
      <c r="E250" s="31" t="e">
        <f>[4]PM2015.dat!B42</f>
        <v>#REF!</v>
      </c>
      <c r="F250" s="31" t="e">
        <f>[4]PM2015.dat!C42</f>
        <v>#REF!</v>
      </c>
      <c r="G250" s="31" t="e">
        <f>[4]PM2015.dat!D42</f>
        <v>#REF!</v>
      </c>
      <c r="H250" s="31" t="e">
        <f>[4]PM2015.dat!E42</f>
        <v>#REF!</v>
      </c>
      <c r="I250" s="31" t="e">
        <f>[4]PM2015.dat!F42</f>
        <v>#REF!</v>
      </c>
      <c r="J250" s="31" t="e">
        <f>[4]PM2015.dat!G42</f>
        <v>#REF!</v>
      </c>
      <c r="K250" s="31" t="e">
        <f>[4]PM2015.dat!H42</f>
        <v>#REF!</v>
      </c>
      <c r="L250" s="31" t="e">
        <f>[4]PM2015.dat!I42</f>
        <v>#REF!</v>
      </c>
      <c r="M250" s="31" t="e">
        <f>[4]PM2015.dat!J42</f>
        <v>#REF!</v>
      </c>
      <c r="N250" s="31" t="e">
        <f>[4]PM2015.dat!K42</f>
        <v>#REF!</v>
      </c>
      <c r="O250" s="31" t="e">
        <f>[4]PM2015.dat!L42</f>
        <v>#REF!</v>
      </c>
      <c r="P250" s="31" t="e">
        <f>[4]PM2015.dat!M42</f>
        <v>#REF!</v>
      </c>
      <c r="Q250" s="31" t="e">
        <f>[4]PM2015.dat!N42</f>
        <v>#REF!</v>
      </c>
      <c r="R250" s="31" t="e">
        <f>[4]PM2015.dat!O42</f>
        <v>#REF!</v>
      </c>
      <c r="S250" s="31" t="e">
        <f>[4]PM2015.dat!P42</f>
        <v>#REF!</v>
      </c>
      <c r="T250">
        <v>1988</v>
      </c>
      <c r="U250" s="27" t="e">
        <f>SUMPRODUCT(E250:S250,pm.rep!B87:P87)</f>
        <v>#REF!</v>
      </c>
      <c r="V250" s="27">
        <f>Stdev!D274</f>
        <v>0.14204</v>
      </c>
    </row>
    <row r="251" spans="4:22" x14ac:dyDescent="0.15">
      <c r="D251" s="25">
        <v>1989</v>
      </c>
      <c r="E251" s="31" t="e">
        <f>[4]PM2015.dat!B43</f>
        <v>#REF!</v>
      </c>
      <c r="F251" s="31" t="e">
        <f>[4]PM2015.dat!C43</f>
        <v>#REF!</v>
      </c>
      <c r="G251" s="31" t="e">
        <f>[4]PM2015.dat!D43</f>
        <v>#REF!</v>
      </c>
      <c r="H251" s="31" t="e">
        <f>[4]PM2015.dat!E43</f>
        <v>#REF!</v>
      </c>
      <c r="I251" s="31" t="e">
        <f>[4]PM2015.dat!F43</f>
        <v>#REF!</v>
      </c>
      <c r="J251" s="31" t="e">
        <f>[4]PM2015.dat!G43</f>
        <v>#REF!</v>
      </c>
      <c r="K251" s="31" t="e">
        <f>[4]PM2015.dat!H43</f>
        <v>#REF!</v>
      </c>
      <c r="L251" s="31" t="e">
        <f>[4]PM2015.dat!I43</f>
        <v>#REF!</v>
      </c>
      <c r="M251" s="31" t="e">
        <f>[4]PM2015.dat!J43</f>
        <v>#REF!</v>
      </c>
      <c r="N251" s="31" t="e">
        <f>[4]PM2015.dat!K43</f>
        <v>#REF!</v>
      </c>
      <c r="O251" s="31" t="e">
        <f>[4]PM2015.dat!L43</f>
        <v>#REF!</v>
      </c>
      <c r="P251" s="31" t="e">
        <f>[4]PM2015.dat!M43</f>
        <v>#REF!</v>
      </c>
      <c r="Q251" s="31" t="e">
        <f>[4]PM2015.dat!N43</f>
        <v>#REF!</v>
      </c>
      <c r="R251" s="31" t="e">
        <f>[4]PM2015.dat!O43</f>
        <v>#REF!</v>
      </c>
      <c r="S251" s="31" t="e">
        <f>[4]PM2015.dat!P43</f>
        <v>#REF!</v>
      </c>
      <c r="T251">
        <v>1989</v>
      </c>
      <c r="U251" s="27" t="e">
        <f>SUMPRODUCT(E251:S251,pm.rep!B88:P88)</f>
        <v>#REF!</v>
      </c>
      <c r="V251" s="27">
        <f>Stdev!D275</f>
        <v>-3.7775000000000003E-2</v>
      </c>
    </row>
    <row r="252" spans="4:22" x14ac:dyDescent="0.15">
      <c r="D252" s="25">
        <v>1990</v>
      </c>
      <c r="E252" s="31" t="e">
        <f>[4]PM2015.dat!B44</f>
        <v>#REF!</v>
      </c>
      <c r="F252" s="31" t="e">
        <f>[4]PM2015.dat!C44</f>
        <v>#REF!</v>
      </c>
      <c r="G252" s="31" t="e">
        <f>[4]PM2015.dat!D44</f>
        <v>#REF!</v>
      </c>
      <c r="H252" s="31" t="e">
        <f>[4]PM2015.dat!E44</f>
        <v>#REF!</v>
      </c>
      <c r="I252" s="31" t="e">
        <f>[4]PM2015.dat!F44</f>
        <v>#REF!</v>
      </c>
      <c r="J252" s="31" t="e">
        <f>[4]PM2015.dat!G44</f>
        <v>#REF!</v>
      </c>
      <c r="K252" s="31" t="e">
        <f>[4]PM2015.dat!H44</f>
        <v>#REF!</v>
      </c>
      <c r="L252" s="31" t="e">
        <f>[4]PM2015.dat!I44</f>
        <v>#REF!</v>
      </c>
      <c r="M252" s="31" t="e">
        <f>[4]PM2015.dat!J44</f>
        <v>#REF!</v>
      </c>
      <c r="N252" s="31" t="e">
        <f>[4]PM2015.dat!K44</f>
        <v>#REF!</v>
      </c>
      <c r="O252" s="31" t="e">
        <f>[4]PM2015.dat!L44</f>
        <v>#REF!</v>
      </c>
      <c r="P252" s="31" t="e">
        <f>[4]PM2015.dat!M44</f>
        <v>#REF!</v>
      </c>
      <c r="Q252" s="31" t="e">
        <f>[4]PM2015.dat!N44</f>
        <v>#REF!</v>
      </c>
      <c r="R252" s="31" t="e">
        <f>[4]PM2015.dat!O44</f>
        <v>#REF!</v>
      </c>
      <c r="S252" s="31" t="e">
        <f>[4]PM2015.dat!P44</f>
        <v>#REF!</v>
      </c>
      <c r="T252">
        <v>1990</v>
      </c>
      <c r="U252" s="27" t="e">
        <f>SUMPRODUCT(E252:S252,pm.rep!B89:P89)</f>
        <v>#REF!</v>
      </c>
      <c r="V252" s="27">
        <f>Stdev!D280</f>
        <v>0.39066000000000001</v>
      </c>
    </row>
    <row r="253" spans="4:22" x14ac:dyDescent="0.15">
      <c r="D253" s="25">
        <v>1991</v>
      </c>
      <c r="E253" s="31" t="e">
        <f>[4]PM2015.dat!B45</f>
        <v>#REF!</v>
      </c>
      <c r="F253" s="31" t="e">
        <f>[4]PM2015.dat!C45</f>
        <v>#REF!</v>
      </c>
      <c r="G253" s="31" t="e">
        <f>[4]PM2015.dat!D45</f>
        <v>#REF!</v>
      </c>
      <c r="H253" s="31" t="e">
        <f>[4]PM2015.dat!E45</f>
        <v>#REF!</v>
      </c>
      <c r="I253" s="31" t="e">
        <f>[4]PM2015.dat!F45</f>
        <v>#REF!</v>
      </c>
      <c r="J253" s="31" t="e">
        <f>[4]PM2015.dat!G45</f>
        <v>#REF!</v>
      </c>
      <c r="K253" s="31" t="e">
        <f>[4]PM2015.dat!H45</f>
        <v>#REF!</v>
      </c>
      <c r="L253" s="31" t="e">
        <f>[4]PM2015.dat!I45</f>
        <v>#REF!</v>
      </c>
      <c r="M253" s="31" t="e">
        <f>[4]PM2015.dat!J45</f>
        <v>#REF!</v>
      </c>
      <c r="N253" s="31" t="e">
        <f>[4]PM2015.dat!K45</f>
        <v>#REF!</v>
      </c>
      <c r="O253" s="31" t="e">
        <f>[4]PM2015.dat!L45</f>
        <v>#REF!</v>
      </c>
      <c r="P253" s="31" t="e">
        <f>[4]PM2015.dat!M45</f>
        <v>#REF!</v>
      </c>
      <c r="Q253" s="31" t="e">
        <f>[4]PM2015.dat!N45</f>
        <v>#REF!</v>
      </c>
      <c r="R253" s="31" t="e">
        <f>[4]PM2015.dat!O45</f>
        <v>#REF!</v>
      </c>
      <c r="S253" s="31" t="e">
        <f>[4]PM2015.dat!P45</f>
        <v>#REF!</v>
      </c>
      <c r="T253">
        <v>1991</v>
      </c>
      <c r="U253" s="27" t="e">
        <f>SUMPRODUCT(E253:S253,pm.rep!B90:P90)</f>
        <v>#REF!</v>
      </c>
      <c r="V253" s="27">
        <f>Stdev!D281</f>
        <v>-1.0304</v>
      </c>
    </row>
    <row r="254" spans="4:22" x14ac:dyDescent="0.15">
      <c r="D254" s="25">
        <v>1992</v>
      </c>
      <c r="E254" s="31" t="e">
        <f>[4]PM2015.dat!B46</f>
        <v>#REF!</v>
      </c>
      <c r="F254" s="31" t="e">
        <f>[4]PM2015.dat!C46</f>
        <v>#REF!</v>
      </c>
      <c r="G254" s="31" t="e">
        <f>[4]PM2015.dat!D46</f>
        <v>#REF!</v>
      </c>
      <c r="H254" s="31" t="e">
        <f>[4]PM2015.dat!E46</f>
        <v>#REF!</v>
      </c>
      <c r="I254" s="31" t="e">
        <f>[4]PM2015.dat!F46</f>
        <v>#REF!</v>
      </c>
      <c r="J254" s="31" t="e">
        <f>[4]PM2015.dat!G46</f>
        <v>#REF!</v>
      </c>
      <c r="K254" s="31" t="e">
        <f>[4]PM2015.dat!H46</f>
        <v>#REF!</v>
      </c>
      <c r="L254" s="31" t="e">
        <f>[4]PM2015.dat!I46</f>
        <v>#REF!</v>
      </c>
      <c r="M254" s="31" t="e">
        <f>[4]PM2015.dat!J46</f>
        <v>#REF!</v>
      </c>
      <c r="N254" s="31" t="e">
        <f>[4]PM2015.dat!K46</f>
        <v>#REF!</v>
      </c>
      <c r="O254" s="31" t="e">
        <f>[4]PM2015.dat!L46</f>
        <v>#REF!</v>
      </c>
      <c r="P254" s="31" t="e">
        <f>[4]PM2015.dat!M46</f>
        <v>#REF!</v>
      </c>
      <c r="Q254" s="31" t="e">
        <f>[4]PM2015.dat!N46</f>
        <v>#REF!</v>
      </c>
      <c r="R254" s="31" t="e">
        <f>[4]PM2015.dat!O46</f>
        <v>#REF!</v>
      </c>
      <c r="S254" s="31" t="e">
        <f>[4]PM2015.dat!P46</f>
        <v>#REF!</v>
      </c>
      <c r="T254">
        <v>1992</v>
      </c>
      <c r="U254" s="27" t="e">
        <f>SUMPRODUCT(E254:S254,pm.rep!B91:P91)</f>
        <v>#REF!</v>
      </c>
      <c r="V254" s="27">
        <f>Stdev!D282</f>
        <v>2244.9</v>
      </c>
    </row>
    <row r="255" spans="4:22" x14ac:dyDescent="0.15">
      <c r="D255" s="25">
        <v>1993</v>
      </c>
      <c r="E255" s="31" t="e">
        <f>[4]PM2015.dat!B47</f>
        <v>#REF!</v>
      </c>
      <c r="F255" s="31" t="e">
        <f>[4]PM2015.dat!C47</f>
        <v>#REF!</v>
      </c>
      <c r="G255" s="31" t="e">
        <f>[4]PM2015.dat!D47</f>
        <v>#REF!</v>
      </c>
      <c r="H255" s="31" t="e">
        <f>[4]PM2015.dat!E47</f>
        <v>#REF!</v>
      </c>
      <c r="I255" s="31" t="e">
        <f>[4]PM2015.dat!F47</f>
        <v>#REF!</v>
      </c>
      <c r="J255" s="31" t="e">
        <f>[4]PM2015.dat!G47</f>
        <v>#REF!</v>
      </c>
      <c r="K255" s="31" t="e">
        <f>[4]PM2015.dat!H47</f>
        <v>#REF!</v>
      </c>
      <c r="L255" s="31" t="e">
        <f>[4]PM2015.dat!I47</f>
        <v>#REF!</v>
      </c>
      <c r="M255" s="31" t="e">
        <f>[4]PM2015.dat!J47</f>
        <v>#REF!</v>
      </c>
      <c r="N255" s="31" t="e">
        <f>[4]PM2015.dat!K47</f>
        <v>#REF!</v>
      </c>
      <c r="O255" s="31" t="e">
        <f>[4]PM2015.dat!L47</f>
        <v>#REF!</v>
      </c>
      <c r="P255" s="31" t="e">
        <f>[4]PM2015.dat!M47</f>
        <v>#REF!</v>
      </c>
      <c r="Q255" s="31" t="e">
        <f>[4]PM2015.dat!N47</f>
        <v>#REF!</v>
      </c>
      <c r="R255" s="31" t="e">
        <f>[4]PM2015.dat!O47</f>
        <v>#REF!</v>
      </c>
      <c r="S255" s="31" t="e">
        <f>[4]PM2015.dat!P47</f>
        <v>#REF!</v>
      </c>
      <c r="T255">
        <v>1993</v>
      </c>
      <c r="U255" s="27" t="e">
        <f>SUMPRODUCT(E255:S255,pm.rep!B92:P92)</f>
        <v>#REF!</v>
      </c>
      <c r="V255" s="27">
        <f>Stdev!D283</f>
        <v>5.9927999999999999</v>
      </c>
    </row>
    <row r="256" spans="4:22" x14ac:dyDescent="0.15">
      <c r="D256" s="25">
        <v>1994</v>
      </c>
      <c r="E256" s="31" t="e">
        <f>[4]PM2015.dat!B48</f>
        <v>#REF!</v>
      </c>
      <c r="F256" s="31" t="e">
        <f>[4]PM2015.dat!C48</f>
        <v>#REF!</v>
      </c>
      <c r="G256" s="31" t="e">
        <f>[4]PM2015.dat!D48</f>
        <v>#REF!</v>
      </c>
      <c r="H256" s="31" t="e">
        <f>[4]PM2015.dat!E48</f>
        <v>#REF!</v>
      </c>
      <c r="I256" s="31" t="e">
        <f>[4]PM2015.dat!F48</f>
        <v>#REF!</v>
      </c>
      <c r="J256" s="31" t="e">
        <f>[4]PM2015.dat!G48</f>
        <v>#REF!</v>
      </c>
      <c r="K256" s="31" t="e">
        <f>[4]PM2015.dat!H48</f>
        <v>#REF!</v>
      </c>
      <c r="L256" s="31" t="e">
        <f>[4]PM2015.dat!I48</f>
        <v>#REF!</v>
      </c>
      <c r="M256" s="31" t="e">
        <f>[4]PM2015.dat!J48</f>
        <v>#REF!</v>
      </c>
      <c r="N256" s="31" t="e">
        <f>[4]PM2015.dat!K48</f>
        <v>#REF!</v>
      </c>
      <c r="O256" s="31" t="e">
        <f>[4]PM2015.dat!L48</f>
        <v>#REF!</v>
      </c>
      <c r="P256" s="31" t="e">
        <f>[4]PM2015.dat!M48</f>
        <v>#REF!</v>
      </c>
      <c r="Q256" s="31" t="e">
        <f>[4]PM2015.dat!N48</f>
        <v>#REF!</v>
      </c>
      <c r="R256" s="31" t="e">
        <f>[4]PM2015.dat!O48</f>
        <v>#REF!</v>
      </c>
      <c r="S256" s="31" t="e">
        <f>[4]PM2015.dat!P48</f>
        <v>#REF!</v>
      </c>
      <c r="T256">
        <v>1994</v>
      </c>
      <c r="U256" s="27" t="e">
        <f>SUMPRODUCT(E256:S256,pm.rep!B93:P93)</f>
        <v>#REF!</v>
      </c>
      <c r="V256" s="27">
        <f>Stdev!D284</f>
        <v>5.9927999999999999</v>
      </c>
    </row>
    <row r="257" spans="4:22" x14ac:dyDescent="0.15">
      <c r="D257" s="25">
        <v>1995</v>
      </c>
      <c r="E257" s="31" t="e">
        <f>[4]PM2015.dat!B49</f>
        <v>#REF!</v>
      </c>
      <c r="F257" s="31" t="e">
        <f>[4]PM2015.dat!C49</f>
        <v>#REF!</v>
      </c>
      <c r="G257" s="31" t="e">
        <f>[4]PM2015.dat!D49</f>
        <v>#REF!</v>
      </c>
      <c r="H257" s="31" t="e">
        <f>[4]PM2015.dat!E49</f>
        <v>#REF!</v>
      </c>
      <c r="I257" s="31" t="e">
        <f>[4]PM2015.dat!F49</f>
        <v>#REF!</v>
      </c>
      <c r="J257" s="31" t="e">
        <f>[4]PM2015.dat!G49</f>
        <v>#REF!</v>
      </c>
      <c r="K257" s="31" t="e">
        <f>[4]PM2015.dat!H49</f>
        <v>#REF!</v>
      </c>
      <c r="L257" s="31" t="e">
        <f>[4]PM2015.dat!I49</f>
        <v>#REF!</v>
      </c>
      <c r="M257" s="31" t="e">
        <f>[4]PM2015.dat!J49</f>
        <v>#REF!</v>
      </c>
      <c r="N257" s="31" t="e">
        <f>[4]PM2015.dat!K49</f>
        <v>#REF!</v>
      </c>
      <c r="O257" s="31" t="e">
        <f>[4]PM2015.dat!L49</f>
        <v>#REF!</v>
      </c>
      <c r="P257" s="31" t="e">
        <f>[4]PM2015.dat!M49</f>
        <v>#REF!</v>
      </c>
      <c r="Q257" s="31" t="e">
        <f>[4]PM2015.dat!N49</f>
        <v>#REF!</v>
      </c>
      <c r="R257" s="31" t="e">
        <f>[4]PM2015.dat!O49</f>
        <v>#REF!</v>
      </c>
      <c r="S257" s="31" t="e">
        <f>[4]PM2015.dat!P49</f>
        <v>#REF!</v>
      </c>
      <c r="T257">
        <v>1995</v>
      </c>
      <c r="U257" s="27" t="e">
        <f>SUMPRODUCT(E257:S257,pm.rep!B94:P94)</f>
        <v>#REF!</v>
      </c>
      <c r="V257" s="27">
        <f>Stdev!D285</f>
        <v>2649.5</v>
      </c>
    </row>
    <row r="258" spans="4:22" x14ac:dyDescent="0.15">
      <c r="D258" s="25">
        <v>1996</v>
      </c>
      <c r="E258" s="31" t="e">
        <f>[4]PM2015.dat!B50</f>
        <v>#REF!</v>
      </c>
      <c r="F258" s="31" t="e">
        <f>[4]PM2015.dat!C50</f>
        <v>#REF!</v>
      </c>
      <c r="G258" s="31" t="e">
        <f>[4]PM2015.dat!D50</f>
        <v>#REF!</v>
      </c>
      <c r="H258" s="31" t="e">
        <f>[4]PM2015.dat!E50</f>
        <v>#REF!</v>
      </c>
      <c r="I258" s="31" t="e">
        <f>[4]PM2015.dat!F50</f>
        <v>#REF!</v>
      </c>
      <c r="J258" s="31" t="e">
        <f>[4]PM2015.dat!G50</f>
        <v>#REF!</v>
      </c>
      <c r="K258" s="31" t="e">
        <f>[4]PM2015.dat!H50</f>
        <v>#REF!</v>
      </c>
      <c r="L258" s="31" t="e">
        <f>[4]PM2015.dat!I50</f>
        <v>#REF!</v>
      </c>
      <c r="M258" s="31" t="e">
        <f>[4]PM2015.dat!J50</f>
        <v>#REF!</v>
      </c>
      <c r="N258" s="31" t="e">
        <f>[4]PM2015.dat!K50</f>
        <v>#REF!</v>
      </c>
      <c r="O258" s="31" t="e">
        <f>[4]PM2015.dat!L50</f>
        <v>#REF!</v>
      </c>
      <c r="P258" s="31" t="e">
        <f>[4]PM2015.dat!M50</f>
        <v>#REF!</v>
      </c>
      <c r="Q258" s="31" t="e">
        <f>[4]PM2015.dat!N50</f>
        <v>#REF!</v>
      </c>
      <c r="R258" s="31" t="e">
        <f>[4]PM2015.dat!O50</f>
        <v>#REF!</v>
      </c>
      <c r="S258" s="31" t="e">
        <f>[4]PM2015.dat!P50</f>
        <v>#REF!</v>
      </c>
      <c r="T258">
        <v>1996</v>
      </c>
      <c r="U258" s="27" t="e">
        <f>SUMPRODUCT(E258:S258,pm.rep!B95:P95)</f>
        <v>#REF!</v>
      </c>
      <c r="V258" s="27">
        <f>Stdev!D286</f>
        <v>1868.9</v>
      </c>
    </row>
    <row r="259" spans="4:22" x14ac:dyDescent="0.15">
      <c r="D259" s="25">
        <v>1997</v>
      </c>
      <c r="E259" s="31" t="e">
        <f>[4]PM2015.dat!B51</f>
        <v>#REF!</v>
      </c>
      <c r="F259" s="31" t="e">
        <f>[4]PM2015.dat!C51</f>
        <v>#REF!</v>
      </c>
      <c r="G259" s="31" t="e">
        <f>[4]PM2015.dat!D51</f>
        <v>#REF!</v>
      </c>
      <c r="H259" s="31" t="e">
        <f>[4]PM2015.dat!E51</f>
        <v>#REF!</v>
      </c>
      <c r="I259" s="31" t="e">
        <f>[4]PM2015.dat!F51</f>
        <v>#REF!</v>
      </c>
      <c r="J259" s="31" t="e">
        <f>[4]PM2015.dat!G51</f>
        <v>#REF!</v>
      </c>
      <c r="K259" s="31" t="e">
        <f>[4]PM2015.dat!H51</f>
        <v>#REF!</v>
      </c>
      <c r="L259" s="31" t="e">
        <f>[4]PM2015.dat!I51</f>
        <v>#REF!</v>
      </c>
      <c r="M259" s="31" t="e">
        <f>[4]PM2015.dat!J51</f>
        <v>#REF!</v>
      </c>
      <c r="N259" s="31" t="e">
        <f>[4]PM2015.dat!K51</f>
        <v>#REF!</v>
      </c>
      <c r="O259" s="31" t="e">
        <f>[4]PM2015.dat!L51</f>
        <v>#REF!</v>
      </c>
      <c r="P259" s="31" t="e">
        <f>[4]PM2015.dat!M51</f>
        <v>#REF!</v>
      </c>
      <c r="Q259" s="31" t="e">
        <f>[4]PM2015.dat!N51</f>
        <v>#REF!</v>
      </c>
      <c r="R259" s="31" t="e">
        <f>[4]PM2015.dat!O51</f>
        <v>#REF!</v>
      </c>
      <c r="S259" s="31" t="e">
        <f>[4]PM2015.dat!P51</f>
        <v>#REF!</v>
      </c>
      <c r="T259">
        <v>1997</v>
      </c>
      <c r="U259" s="27" t="e">
        <f>SUMPRODUCT(E259:S259,pm.rep!B96:P96)</f>
        <v>#REF!</v>
      </c>
      <c r="V259" s="27">
        <f>Stdev!D287</f>
        <v>2323.6999999999998</v>
      </c>
    </row>
    <row r="260" spans="4:22" x14ac:dyDescent="0.15">
      <c r="D260" s="25">
        <v>1998</v>
      </c>
      <c r="E260" s="31" t="e">
        <f>[4]PM2015.dat!B52</f>
        <v>#REF!</v>
      </c>
      <c r="F260" s="31" t="e">
        <f>[4]PM2015.dat!C52</f>
        <v>#REF!</v>
      </c>
      <c r="G260" s="31" t="e">
        <f>[4]PM2015.dat!D52</f>
        <v>#REF!</v>
      </c>
      <c r="H260" s="31" t="e">
        <f>[4]PM2015.dat!E52</f>
        <v>#REF!</v>
      </c>
      <c r="I260" s="31" t="e">
        <f>[4]PM2015.dat!F52</f>
        <v>#REF!</v>
      </c>
      <c r="J260" s="31" t="e">
        <f>[4]PM2015.dat!G52</f>
        <v>#REF!</v>
      </c>
      <c r="K260" s="31" t="e">
        <f>[4]PM2015.dat!H52</f>
        <v>#REF!</v>
      </c>
      <c r="L260" s="31" t="e">
        <f>[4]PM2015.dat!I52</f>
        <v>#REF!</v>
      </c>
      <c r="M260" s="31" t="e">
        <f>[4]PM2015.dat!J52</f>
        <v>#REF!</v>
      </c>
      <c r="N260" s="31" t="e">
        <f>[4]PM2015.dat!K52</f>
        <v>#REF!</v>
      </c>
      <c r="O260" s="31" t="e">
        <f>[4]PM2015.dat!L52</f>
        <v>#REF!</v>
      </c>
      <c r="P260" s="31" t="e">
        <f>[4]PM2015.dat!M52</f>
        <v>#REF!</v>
      </c>
      <c r="Q260" s="31" t="e">
        <f>[4]PM2015.dat!N52</f>
        <v>#REF!</v>
      </c>
      <c r="R260" s="31" t="e">
        <f>[4]PM2015.dat!O52</f>
        <v>#REF!</v>
      </c>
      <c r="S260" s="31" t="e">
        <f>[4]PM2015.dat!P52</f>
        <v>#REF!</v>
      </c>
      <c r="T260">
        <v>1998</v>
      </c>
      <c r="U260" s="27" t="e">
        <f>SUMPRODUCT(E260:S260,pm.rep!B97:P97)</f>
        <v>#REF!</v>
      </c>
      <c r="V260" s="27">
        <f>Stdev!D288</f>
        <v>2562.9</v>
      </c>
    </row>
    <row r="261" spans="4:22" x14ac:dyDescent="0.15">
      <c r="D261" s="25">
        <v>1999</v>
      </c>
      <c r="E261" s="31" t="e">
        <f>[4]PM2015.dat!B53</f>
        <v>#REF!</v>
      </c>
      <c r="F261" s="31" t="e">
        <f>[4]PM2015.dat!C53</f>
        <v>#REF!</v>
      </c>
      <c r="G261" s="31" t="e">
        <f>[4]PM2015.dat!D53</f>
        <v>#REF!</v>
      </c>
      <c r="H261" s="31" t="e">
        <f>[4]PM2015.dat!E53</f>
        <v>#REF!</v>
      </c>
      <c r="I261" s="31" t="e">
        <f>[4]PM2015.dat!F53</f>
        <v>#REF!</v>
      </c>
      <c r="J261" s="31" t="e">
        <f>[4]PM2015.dat!G53</f>
        <v>#REF!</v>
      </c>
      <c r="K261" s="31" t="e">
        <f>[4]PM2015.dat!H53</f>
        <v>#REF!</v>
      </c>
      <c r="L261" s="31" t="e">
        <f>[4]PM2015.dat!I53</f>
        <v>#REF!</v>
      </c>
      <c r="M261" s="31" t="e">
        <f>[4]PM2015.dat!J53</f>
        <v>#REF!</v>
      </c>
      <c r="N261" s="31" t="e">
        <f>[4]PM2015.dat!K53</f>
        <v>#REF!</v>
      </c>
      <c r="O261" s="31" t="e">
        <f>[4]PM2015.dat!L53</f>
        <v>#REF!</v>
      </c>
      <c r="P261" s="31" t="e">
        <f>[4]PM2015.dat!M53</f>
        <v>#REF!</v>
      </c>
      <c r="Q261" s="31" t="e">
        <f>[4]PM2015.dat!N53</f>
        <v>#REF!</v>
      </c>
      <c r="R261" s="31" t="e">
        <f>[4]PM2015.dat!O53</f>
        <v>#REF!</v>
      </c>
      <c r="S261" s="31" t="e">
        <f>[4]PM2015.dat!P53</f>
        <v>#REF!</v>
      </c>
      <c r="T261">
        <v>1999</v>
      </c>
      <c r="U261" s="27" t="e">
        <f>SUMPRODUCT(E261:S261,pm.rep!B98:P98)</f>
        <v>#REF!</v>
      </c>
      <c r="V261" s="27">
        <f>Stdev!D289</f>
        <v>3888.1</v>
      </c>
    </row>
    <row r="262" spans="4:22" x14ac:dyDescent="0.15">
      <c r="D262" s="25">
        <v>2000</v>
      </c>
      <c r="E262" s="31" t="e">
        <f>[4]PM2015.dat!B54</f>
        <v>#REF!</v>
      </c>
      <c r="F262" s="31" t="e">
        <f>[4]PM2015.dat!C54</f>
        <v>#REF!</v>
      </c>
      <c r="G262" s="31" t="e">
        <f>[4]PM2015.dat!D54</f>
        <v>#REF!</v>
      </c>
      <c r="H262" s="31" t="e">
        <f>[4]PM2015.dat!E54</f>
        <v>#REF!</v>
      </c>
      <c r="I262" s="31" t="e">
        <f>[4]PM2015.dat!F54</f>
        <v>#REF!</v>
      </c>
      <c r="J262" s="31" t="e">
        <f>[4]PM2015.dat!G54</f>
        <v>#REF!</v>
      </c>
      <c r="K262" s="31" t="e">
        <f>[4]PM2015.dat!H54</f>
        <v>#REF!</v>
      </c>
      <c r="L262" s="31" t="e">
        <f>[4]PM2015.dat!I54</f>
        <v>#REF!</v>
      </c>
      <c r="M262" s="31" t="e">
        <f>[4]PM2015.dat!J54</f>
        <v>#REF!</v>
      </c>
      <c r="N262" s="31" t="e">
        <f>[4]PM2015.dat!K54</f>
        <v>#REF!</v>
      </c>
      <c r="O262" s="31" t="e">
        <f>[4]PM2015.dat!L54</f>
        <v>#REF!</v>
      </c>
      <c r="P262" s="31" t="e">
        <f>[4]PM2015.dat!M54</f>
        <v>#REF!</v>
      </c>
      <c r="Q262" s="31" t="e">
        <f>[4]PM2015.dat!N54</f>
        <v>#REF!</v>
      </c>
      <c r="R262" s="31" t="e">
        <f>[4]PM2015.dat!O54</f>
        <v>#REF!</v>
      </c>
      <c r="S262" s="31" t="e">
        <f>[4]PM2015.dat!P54</f>
        <v>#REF!</v>
      </c>
      <c r="T262">
        <v>2000</v>
      </c>
      <c r="U262" s="27" t="e">
        <f>SUMPRODUCT(E262:S262,pm.rep!B99:P99)</f>
        <v>#REF!</v>
      </c>
      <c r="V262" s="27">
        <f>Stdev!D290</f>
        <v>4495</v>
      </c>
    </row>
    <row r="263" spans="4:22" x14ac:dyDescent="0.15">
      <c r="D263" s="68">
        <v>2001</v>
      </c>
      <c r="E263" s="31" t="e">
        <f>[4]PM2015.dat!B55</f>
        <v>#REF!</v>
      </c>
      <c r="F263" s="31" t="e">
        <f>[4]PM2015.dat!C55</f>
        <v>#REF!</v>
      </c>
      <c r="G263" s="31" t="e">
        <f>[4]PM2015.dat!D55</f>
        <v>#REF!</v>
      </c>
      <c r="H263" s="31" t="e">
        <f>[4]PM2015.dat!E55</f>
        <v>#REF!</v>
      </c>
      <c r="I263" s="31" t="e">
        <f>[4]PM2015.dat!F55</f>
        <v>#REF!</v>
      </c>
      <c r="J263" s="31" t="e">
        <f>[4]PM2015.dat!G55</f>
        <v>#REF!</v>
      </c>
      <c r="K263" s="31" t="e">
        <f>[4]PM2015.dat!H55</f>
        <v>#REF!</v>
      </c>
      <c r="L263" s="31" t="e">
        <f>[4]PM2015.dat!I55</f>
        <v>#REF!</v>
      </c>
      <c r="M263" s="31" t="e">
        <f>[4]PM2015.dat!J55</f>
        <v>#REF!</v>
      </c>
      <c r="N263" s="31" t="e">
        <f>[4]PM2015.dat!K55</f>
        <v>#REF!</v>
      </c>
      <c r="O263" s="31" t="e">
        <f>[4]PM2015.dat!L55</f>
        <v>#REF!</v>
      </c>
      <c r="P263" s="31" t="e">
        <f>[4]PM2015.dat!M55</f>
        <v>#REF!</v>
      </c>
      <c r="Q263" s="31" t="e">
        <f>[4]PM2015.dat!N55</f>
        <v>#REF!</v>
      </c>
      <c r="R263" s="31" t="e">
        <f>[4]PM2015.dat!O55</f>
        <v>#REF!</v>
      </c>
      <c r="S263" s="31" t="e">
        <f>[4]PM2015.dat!P55</f>
        <v>#REF!</v>
      </c>
      <c r="T263">
        <v>2001</v>
      </c>
      <c r="U263" s="27" t="e">
        <f>SUMPRODUCT(E263:S263,pm.rep!B100:P100)</f>
        <v>#REF!</v>
      </c>
      <c r="V263" s="27">
        <f>Stdev!D291</f>
        <v>5690</v>
      </c>
    </row>
    <row r="264" spans="4:22" x14ac:dyDescent="0.15">
      <c r="D264" s="25">
        <v>2002</v>
      </c>
      <c r="E264" s="31" t="e">
        <f>[4]PM2015.dat!B56</f>
        <v>#REF!</v>
      </c>
      <c r="F264" s="31" t="e">
        <f>[4]PM2015.dat!C56</f>
        <v>#REF!</v>
      </c>
      <c r="G264" s="31" t="e">
        <f>[4]PM2015.dat!D56</f>
        <v>#REF!</v>
      </c>
      <c r="H264" s="31" t="e">
        <f>[4]PM2015.dat!E56</f>
        <v>#REF!</v>
      </c>
      <c r="I264" s="31" t="e">
        <f>[4]PM2015.dat!F56</f>
        <v>#REF!</v>
      </c>
      <c r="J264" s="31" t="e">
        <f>[4]PM2015.dat!G56</f>
        <v>#REF!</v>
      </c>
      <c r="K264" s="31" t="e">
        <f>[4]PM2015.dat!H56</f>
        <v>#REF!</v>
      </c>
      <c r="L264" s="31" t="e">
        <f>[4]PM2015.dat!I56</f>
        <v>#REF!</v>
      </c>
      <c r="M264" s="31" t="e">
        <f>[4]PM2015.dat!J56</f>
        <v>#REF!</v>
      </c>
      <c r="N264" s="31" t="e">
        <f>[4]PM2015.dat!K56</f>
        <v>#REF!</v>
      </c>
      <c r="O264" s="31" t="e">
        <f>[4]PM2015.dat!L56</f>
        <v>#REF!</v>
      </c>
      <c r="P264" s="31" t="e">
        <f>[4]PM2015.dat!M56</f>
        <v>#REF!</v>
      </c>
      <c r="Q264" s="31" t="e">
        <f>[4]PM2015.dat!N56</f>
        <v>#REF!</v>
      </c>
      <c r="R264" s="31" t="e">
        <f>[4]PM2015.dat!O56</f>
        <v>#REF!</v>
      </c>
      <c r="S264" s="31" t="e">
        <f>[4]PM2015.dat!P56</f>
        <v>#REF!</v>
      </c>
      <c r="T264">
        <v>2002</v>
      </c>
      <c r="U264" s="27" t="e">
        <f>SUMPRODUCT(E264:S264,pm.rep!B101:P101)</f>
        <v>#REF!</v>
      </c>
      <c r="V264" s="27">
        <f>Stdev!D292</f>
        <v>6423.9</v>
      </c>
    </row>
    <row r="265" spans="4:22" x14ac:dyDescent="0.15">
      <c r="D265" s="25">
        <v>2003</v>
      </c>
      <c r="E265" s="31" t="e">
        <f>[4]PM2015.dat!B57</f>
        <v>#REF!</v>
      </c>
      <c r="F265" s="31" t="e">
        <f>[4]PM2015.dat!C57</f>
        <v>#REF!</v>
      </c>
      <c r="G265" s="31" t="e">
        <f>[4]PM2015.dat!D57</f>
        <v>#REF!</v>
      </c>
      <c r="H265" s="31" t="e">
        <f>[4]PM2015.dat!E57</f>
        <v>#REF!</v>
      </c>
      <c r="I265" s="31" t="e">
        <f>[4]PM2015.dat!F57</f>
        <v>#REF!</v>
      </c>
      <c r="J265" s="31" t="e">
        <f>[4]PM2015.dat!G57</f>
        <v>#REF!</v>
      </c>
      <c r="K265" s="31" t="e">
        <f>[4]PM2015.dat!H57</f>
        <v>#REF!</v>
      </c>
      <c r="L265" s="31" t="e">
        <f>[4]PM2015.dat!I57</f>
        <v>#REF!</v>
      </c>
      <c r="M265" s="31" t="e">
        <f>[4]PM2015.dat!J57</f>
        <v>#REF!</v>
      </c>
      <c r="N265" s="31" t="e">
        <f>[4]PM2015.dat!K57</f>
        <v>#REF!</v>
      </c>
      <c r="O265" s="31" t="e">
        <f>[4]PM2015.dat!L57</f>
        <v>#REF!</v>
      </c>
      <c r="P265" s="31" t="e">
        <f>[4]PM2015.dat!M57</f>
        <v>#REF!</v>
      </c>
      <c r="Q265" s="31" t="e">
        <f>[4]PM2015.dat!N57</f>
        <v>#REF!</v>
      </c>
      <c r="R265" s="31" t="e">
        <f>[4]PM2015.dat!O57</f>
        <v>#REF!</v>
      </c>
      <c r="S265" s="31" t="e">
        <f>[4]PM2015.dat!P57</f>
        <v>#REF!</v>
      </c>
      <c r="T265">
        <v>2003</v>
      </c>
      <c r="U265" s="27" t="e">
        <f>SUMPRODUCT(E265:S265,pm.rep!B102:P102)</f>
        <v>#REF!</v>
      </c>
      <c r="V265" s="27">
        <f>Stdev!D293</f>
        <v>6858.4</v>
      </c>
    </row>
    <row r="266" spans="4:22" x14ac:dyDescent="0.15">
      <c r="D266" s="25">
        <v>2004</v>
      </c>
      <c r="E266" s="31" t="e">
        <f>[4]PM2015.dat!B58</f>
        <v>#REF!</v>
      </c>
      <c r="F266" s="31" t="e">
        <f>[4]PM2015.dat!C58</f>
        <v>#REF!</v>
      </c>
      <c r="G266" s="31" t="e">
        <f>[4]PM2015.dat!D58</f>
        <v>#REF!</v>
      </c>
      <c r="H266" s="31" t="e">
        <f>[4]PM2015.dat!E58</f>
        <v>#REF!</v>
      </c>
      <c r="I266" s="31" t="e">
        <f>[4]PM2015.dat!F58</f>
        <v>#REF!</v>
      </c>
      <c r="J266" s="31" t="e">
        <f>[4]PM2015.dat!G58</f>
        <v>#REF!</v>
      </c>
      <c r="K266" s="31" t="e">
        <f>[4]PM2015.dat!H58</f>
        <v>#REF!</v>
      </c>
      <c r="L266" s="31" t="e">
        <f>[4]PM2015.dat!I58</f>
        <v>#REF!</v>
      </c>
      <c r="M266" s="31" t="e">
        <f>[4]PM2015.dat!J58</f>
        <v>#REF!</v>
      </c>
      <c r="N266" s="31" t="e">
        <f>[4]PM2015.dat!K58</f>
        <v>#REF!</v>
      </c>
      <c r="O266" s="31" t="e">
        <f>[4]PM2015.dat!L58</f>
        <v>#REF!</v>
      </c>
      <c r="P266" s="31" t="e">
        <f>[4]PM2015.dat!M58</f>
        <v>#REF!</v>
      </c>
      <c r="Q266" s="31" t="e">
        <f>[4]PM2015.dat!N58</f>
        <v>#REF!</v>
      </c>
      <c r="R266" s="31" t="e">
        <f>[4]PM2015.dat!O58</f>
        <v>#REF!</v>
      </c>
      <c r="S266" s="31" t="e">
        <f>[4]PM2015.dat!P58</f>
        <v>#REF!</v>
      </c>
      <c r="T266">
        <v>2004</v>
      </c>
      <c r="U266" s="27" t="e">
        <f>SUMPRODUCT(E266:S266,pm.rep!B103:P103)</f>
        <v>#REF!</v>
      </c>
      <c r="V266" s="27">
        <f>Stdev!D294</f>
        <v>6430.6</v>
      </c>
    </row>
    <row r="267" spans="4:22" x14ac:dyDescent="0.15">
      <c r="D267" s="25">
        <v>2005</v>
      </c>
      <c r="E267" s="31" t="e">
        <f>[4]PM2015.dat!B59</f>
        <v>#REF!</v>
      </c>
      <c r="F267" s="31" t="e">
        <f>[4]PM2015.dat!C59</f>
        <v>#REF!</v>
      </c>
      <c r="G267" s="31" t="e">
        <f>[4]PM2015.dat!D59</f>
        <v>#REF!</v>
      </c>
      <c r="H267" s="31" t="e">
        <f>[4]PM2015.dat!E59</f>
        <v>#REF!</v>
      </c>
      <c r="I267" s="31" t="e">
        <f>[4]PM2015.dat!F59</f>
        <v>#REF!</v>
      </c>
      <c r="J267" s="31" t="e">
        <f>[4]PM2015.dat!G59</f>
        <v>#REF!</v>
      </c>
      <c r="K267" s="31" t="e">
        <f>[4]PM2015.dat!H59</f>
        <v>#REF!</v>
      </c>
      <c r="L267" s="31" t="e">
        <f>[4]PM2015.dat!I59</f>
        <v>#REF!</v>
      </c>
      <c r="M267" s="31" t="e">
        <f>[4]PM2015.dat!J59</f>
        <v>#REF!</v>
      </c>
      <c r="N267" s="31" t="e">
        <f>[4]PM2015.dat!K59</f>
        <v>#REF!</v>
      </c>
      <c r="O267" s="31" t="e">
        <f>[4]PM2015.dat!L59</f>
        <v>#REF!</v>
      </c>
      <c r="P267" s="31" t="e">
        <f>[4]PM2015.dat!M59</f>
        <v>#REF!</v>
      </c>
      <c r="Q267" s="31" t="e">
        <f>[4]PM2015.dat!N59</f>
        <v>#REF!</v>
      </c>
      <c r="R267" s="31" t="e">
        <f>[4]PM2015.dat!O59</f>
        <v>#REF!</v>
      </c>
      <c r="S267" s="31" t="e">
        <f>[4]PM2015.dat!P59</f>
        <v>#REF!</v>
      </c>
      <c r="T267">
        <v>2005</v>
      </c>
      <c r="U267" s="27" t="e">
        <f>SUMPRODUCT(E267:S267,pm.rep!B104:P104)</f>
        <v>#REF!</v>
      </c>
      <c r="V267" s="27">
        <f>Stdev!D295</f>
        <v>5161.2</v>
      </c>
    </row>
    <row r="268" spans="4:22" x14ac:dyDescent="0.15">
      <c r="D268" s="25">
        <v>2006</v>
      </c>
      <c r="E268" s="31" t="e">
        <f>[4]PM2015.dat!B60</f>
        <v>#REF!</v>
      </c>
      <c r="F268" s="31" t="e">
        <f>[4]PM2015.dat!C60</f>
        <v>#REF!</v>
      </c>
      <c r="G268" s="31" t="e">
        <f>[4]PM2015.dat!D60</f>
        <v>#REF!</v>
      </c>
      <c r="H268" s="31" t="e">
        <f>[4]PM2015.dat!E60</f>
        <v>#REF!</v>
      </c>
      <c r="I268" s="31" t="e">
        <f>[4]PM2015.dat!F60</f>
        <v>#REF!</v>
      </c>
      <c r="J268" s="31" t="e">
        <f>[4]PM2015.dat!G60</f>
        <v>#REF!</v>
      </c>
      <c r="K268" s="31" t="e">
        <f>[4]PM2015.dat!H60</f>
        <v>#REF!</v>
      </c>
      <c r="L268" s="31" t="e">
        <f>[4]PM2015.dat!I60</f>
        <v>#REF!</v>
      </c>
      <c r="M268" s="31" t="e">
        <f>[4]PM2015.dat!J60</f>
        <v>#REF!</v>
      </c>
      <c r="N268" s="31" t="e">
        <f>[4]PM2015.dat!K60</f>
        <v>#REF!</v>
      </c>
      <c r="O268" s="31" t="e">
        <f>[4]PM2015.dat!L60</f>
        <v>#REF!</v>
      </c>
      <c r="P268" s="31" t="e">
        <f>[4]PM2015.dat!M60</f>
        <v>#REF!</v>
      </c>
      <c r="Q268" s="31" t="e">
        <f>[4]PM2015.dat!N60</f>
        <v>#REF!</v>
      </c>
      <c r="R268" s="31" t="e">
        <f>[4]PM2015.dat!O60</f>
        <v>#REF!</v>
      </c>
      <c r="S268" s="31" t="e">
        <f>[4]PM2015.dat!P60</f>
        <v>#REF!</v>
      </c>
      <c r="T268">
        <v>2006</v>
      </c>
      <c r="U268" s="27" t="e">
        <f>SUMPRODUCT(E268:S268,pm.rep!B105:P105)</f>
        <v>#REF!</v>
      </c>
      <c r="V268" s="27">
        <f>Stdev!D296</f>
        <v>3845.8</v>
      </c>
    </row>
    <row r="269" spans="4:22" x14ac:dyDescent="0.15">
      <c r="D269" s="25">
        <v>2007</v>
      </c>
      <c r="E269" s="31" t="e">
        <f>[4]PM2015.dat!B61</f>
        <v>#REF!</v>
      </c>
      <c r="F269" s="31" t="e">
        <f>[4]PM2015.dat!C61</f>
        <v>#REF!</v>
      </c>
      <c r="G269" s="31" t="e">
        <f>[4]PM2015.dat!D61</f>
        <v>#REF!</v>
      </c>
      <c r="H269" s="31" t="e">
        <f>[4]PM2015.dat!E61</f>
        <v>#REF!</v>
      </c>
      <c r="I269" s="31" t="e">
        <f>[4]PM2015.dat!F61</f>
        <v>#REF!</v>
      </c>
      <c r="J269" s="31" t="e">
        <f>[4]PM2015.dat!G61</f>
        <v>#REF!</v>
      </c>
      <c r="K269" s="31" t="e">
        <f>[4]PM2015.dat!H61</f>
        <v>#REF!</v>
      </c>
      <c r="L269" s="31" t="e">
        <f>[4]PM2015.dat!I61</f>
        <v>#REF!</v>
      </c>
      <c r="M269" s="31" t="e">
        <f>[4]PM2015.dat!J61</f>
        <v>#REF!</v>
      </c>
      <c r="N269" s="31" t="e">
        <f>[4]PM2015.dat!K61</f>
        <v>#REF!</v>
      </c>
      <c r="O269" s="31" t="e">
        <f>[4]PM2015.dat!L61</f>
        <v>#REF!</v>
      </c>
      <c r="P269" s="31" t="e">
        <f>[4]PM2015.dat!M61</f>
        <v>#REF!</v>
      </c>
      <c r="Q269" s="31" t="e">
        <f>[4]PM2015.dat!N61</f>
        <v>#REF!</v>
      </c>
      <c r="R269" s="31" t="e">
        <f>[4]PM2015.dat!O61</f>
        <v>#REF!</v>
      </c>
      <c r="S269" s="31" t="e">
        <f>[4]PM2015.dat!P61</f>
        <v>#REF!</v>
      </c>
      <c r="T269">
        <v>2006</v>
      </c>
      <c r="U269" s="27" t="e">
        <f>SUMPRODUCT(E269:S269,pm.rep!B106:P106)</f>
        <v>#REF!</v>
      </c>
      <c r="V269" s="27">
        <f>Stdev!D297</f>
        <v>3868.4</v>
      </c>
    </row>
    <row r="270" spans="4:22" x14ac:dyDescent="0.15">
      <c r="D270" s="25">
        <v>2008</v>
      </c>
      <c r="E270" s="31" t="e">
        <f>[4]PM2015.dat!B62</f>
        <v>#REF!</v>
      </c>
      <c r="F270" s="31" t="e">
        <f>[4]PM2015.dat!C62</f>
        <v>#REF!</v>
      </c>
      <c r="G270" s="31" t="e">
        <f>[4]PM2015.dat!D62</f>
        <v>#REF!</v>
      </c>
      <c r="H270" s="31" t="e">
        <f>[4]PM2015.dat!E62</f>
        <v>#REF!</v>
      </c>
      <c r="I270" s="31" t="e">
        <f>[4]PM2015.dat!F62</f>
        <v>#REF!</v>
      </c>
      <c r="J270" s="31" t="e">
        <f>[4]PM2015.dat!G62</f>
        <v>#REF!</v>
      </c>
      <c r="K270" s="31" t="e">
        <f>[4]PM2015.dat!H62</f>
        <v>#REF!</v>
      </c>
      <c r="L270" s="31" t="e">
        <f>[4]PM2015.dat!I62</f>
        <v>#REF!</v>
      </c>
      <c r="M270" s="31" t="e">
        <f>[4]PM2015.dat!J62</f>
        <v>#REF!</v>
      </c>
      <c r="N270" s="31" t="e">
        <f>[4]PM2015.dat!K62</f>
        <v>#REF!</v>
      </c>
      <c r="O270" s="31" t="e">
        <f>[4]PM2015.dat!L62</f>
        <v>#REF!</v>
      </c>
      <c r="P270" s="31" t="e">
        <f>[4]PM2015.dat!M62</f>
        <v>#REF!</v>
      </c>
      <c r="Q270" s="31" t="e">
        <f>[4]PM2015.dat!N62</f>
        <v>#REF!</v>
      </c>
      <c r="R270" s="31" t="e">
        <f>[4]PM2015.dat!O62</f>
        <v>#REF!</v>
      </c>
      <c r="S270" s="31" t="e">
        <f>[4]PM2015.dat!P62</f>
        <v>#REF!</v>
      </c>
      <c r="T270">
        <v>2007</v>
      </c>
      <c r="U270" s="27" t="e">
        <f>SUMPRODUCT(E270:S270,pm.rep!B107:P107)</f>
        <v>#REF!</v>
      </c>
      <c r="V270" s="27">
        <f>Stdev!D298</f>
        <v>3871.5</v>
      </c>
    </row>
    <row r="271" spans="4:22" x14ac:dyDescent="0.15">
      <c r="D271" s="25">
        <v>2009</v>
      </c>
      <c r="E271" s="31" t="e">
        <f>[4]PM2015.dat!B63</f>
        <v>#REF!</v>
      </c>
      <c r="F271" s="31" t="e">
        <f>[4]PM2015.dat!C63</f>
        <v>#REF!</v>
      </c>
      <c r="G271" s="31" t="e">
        <f>[4]PM2015.dat!D63</f>
        <v>#REF!</v>
      </c>
      <c r="H271" s="31" t="e">
        <f>[4]PM2015.dat!E63</f>
        <v>#REF!</v>
      </c>
      <c r="I271" s="31" t="e">
        <f>[4]PM2015.dat!F63</f>
        <v>#REF!</v>
      </c>
      <c r="J271" s="31" t="e">
        <f>[4]PM2015.dat!G63</f>
        <v>#REF!</v>
      </c>
      <c r="K271" s="31" t="e">
        <f>[4]PM2015.dat!H63</f>
        <v>#REF!</v>
      </c>
      <c r="L271" s="31" t="e">
        <f>[4]PM2015.dat!I63</f>
        <v>#REF!</v>
      </c>
      <c r="M271" s="31" t="e">
        <f>[4]PM2015.dat!J63</f>
        <v>#REF!</v>
      </c>
      <c r="N271" s="31" t="e">
        <f>[4]PM2015.dat!K63</f>
        <v>#REF!</v>
      </c>
      <c r="O271" s="31" t="e">
        <f>[4]PM2015.dat!L63</f>
        <v>#REF!</v>
      </c>
      <c r="P271" s="31" t="e">
        <f>[4]PM2015.dat!M63</f>
        <v>#REF!</v>
      </c>
      <c r="Q271" s="31" t="e">
        <f>[4]PM2015.dat!N63</f>
        <v>#REF!</v>
      </c>
      <c r="R271" s="31" t="e">
        <f>[4]PM2015.dat!O63</f>
        <v>#REF!</v>
      </c>
      <c r="S271" s="31" t="e">
        <f>[4]PM2015.dat!P63</f>
        <v>#REF!</v>
      </c>
      <c r="T271">
        <v>2008</v>
      </c>
      <c r="U271" s="27" t="e">
        <f>SUMPRODUCT(E271:S271,pm.rep!B108:P108)</f>
        <v>#REF!</v>
      </c>
      <c r="V271" s="27">
        <f>Stdev!D299</f>
        <v>3939.3</v>
      </c>
    </row>
    <row r="272" spans="4:22" x14ac:dyDescent="0.15">
      <c r="D272" s="25">
        <v>2010</v>
      </c>
      <c r="E272" s="121" t="e">
        <f>[4]PM2015.dat!B64</f>
        <v>#REF!</v>
      </c>
      <c r="F272" s="121" t="e">
        <f>[4]PM2015.dat!C64</f>
        <v>#REF!</v>
      </c>
      <c r="G272" s="121" t="e">
        <f>[4]PM2015.dat!D64</f>
        <v>#REF!</v>
      </c>
      <c r="H272" s="121" t="e">
        <f>[4]PM2015.dat!E64</f>
        <v>#REF!</v>
      </c>
      <c r="I272" s="121" t="e">
        <f>[4]PM2015.dat!F64</f>
        <v>#REF!</v>
      </c>
      <c r="J272" s="121" t="e">
        <f>[4]PM2015.dat!G64</f>
        <v>#REF!</v>
      </c>
      <c r="K272" s="121" t="e">
        <f>[4]PM2015.dat!H64</f>
        <v>#REF!</v>
      </c>
      <c r="L272" s="121" t="e">
        <f>[4]PM2015.dat!I64</f>
        <v>#REF!</v>
      </c>
      <c r="M272" s="121" t="e">
        <f>[4]PM2015.dat!J64</f>
        <v>#REF!</v>
      </c>
      <c r="N272" s="121" t="e">
        <f>[4]PM2015.dat!K64</f>
        <v>#REF!</v>
      </c>
      <c r="O272" s="121" t="e">
        <f>[4]PM2015.dat!L64</f>
        <v>#REF!</v>
      </c>
      <c r="P272" s="121" t="e">
        <f>[4]PM2015.dat!M64</f>
        <v>#REF!</v>
      </c>
      <c r="Q272" s="121" t="e">
        <f>[4]PM2015.dat!N64</f>
        <v>#REF!</v>
      </c>
      <c r="R272" s="121" t="e">
        <f>[4]PM2015.dat!O64</f>
        <v>#REF!</v>
      </c>
      <c r="S272" s="121" t="e">
        <f>[4]PM2015.dat!P64</f>
        <v>#REF!</v>
      </c>
      <c r="T272">
        <v>2009</v>
      </c>
      <c r="U272" s="27" t="e">
        <f>SUMPRODUCT(E272:S272,pm.rep!B109:P109)</f>
        <v>#REF!</v>
      </c>
      <c r="V272" s="27">
        <f>Stdev!D300</f>
        <v>3888.3</v>
      </c>
    </row>
    <row r="273" spans="1:35" x14ac:dyDescent="0.15">
      <c r="D273" s="25">
        <v>2011</v>
      </c>
      <c r="E273" s="121" t="e">
        <f>[4]PM2015.dat!B65</f>
        <v>#REF!</v>
      </c>
      <c r="F273" s="121" t="e">
        <f>[4]PM2015.dat!C65</f>
        <v>#REF!</v>
      </c>
      <c r="G273" s="121" t="e">
        <f>[4]PM2015.dat!D65</f>
        <v>#REF!</v>
      </c>
      <c r="H273" s="121" t="e">
        <f>[4]PM2015.dat!E65</f>
        <v>#REF!</v>
      </c>
      <c r="I273" s="121" t="e">
        <f>[4]PM2015.dat!F65</f>
        <v>#REF!</v>
      </c>
      <c r="J273" s="121" t="e">
        <f>[4]PM2015.dat!G65</f>
        <v>#REF!</v>
      </c>
      <c r="K273" s="121" t="e">
        <f>[4]PM2015.dat!H65</f>
        <v>#REF!</v>
      </c>
      <c r="L273" s="121" t="e">
        <f>[4]PM2015.dat!I65</f>
        <v>#REF!</v>
      </c>
      <c r="M273" s="121" t="e">
        <f>[4]PM2015.dat!J65</f>
        <v>#REF!</v>
      </c>
      <c r="N273" s="121" t="e">
        <f>[4]PM2015.dat!K65</f>
        <v>#REF!</v>
      </c>
      <c r="O273" s="121" t="e">
        <f>[4]PM2015.dat!L65</f>
        <v>#REF!</v>
      </c>
      <c r="P273" s="121" t="e">
        <f>[4]PM2015.dat!M65</f>
        <v>#REF!</v>
      </c>
      <c r="Q273" s="121" t="e">
        <f>[4]PM2015.dat!N65</f>
        <v>#REF!</v>
      </c>
      <c r="R273" s="121" t="e">
        <f>[4]PM2015.dat!O65</f>
        <v>#REF!</v>
      </c>
      <c r="S273" s="121" t="e">
        <f>[4]PM2015.dat!P65</f>
        <v>#REF!</v>
      </c>
      <c r="T273">
        <v>2010</v>
      </c>
      <c r="U273" s="27" t="e">
        <f>SUMPRODUCT(E273:S273,pm.rep!B110:P110)</f>
        <v>#REF!</v>
      </c>
      <c r="V273" s="27">
        <f>Stdev!D301</f>
        <v>3859.2</v>
      </c>
    </row>
    <row r="274" spans="1:35" x14ac:dyDescent="0.15">
      <c r="D274" s="25">
        <v>2012</v>
      </c>
      <c r="E274" s="121" t="e">
        <f>[4]PM2015.dat!B66</f>
        <v>#REF!</v>
      </c>
      <c r="F274" s="121" t="e">
        <f>[4]PM2015.dat!C66</f>
        <v>#REF!</v>
      </c>
      <c r="G274" s="121" t="e">
        <f>[4]PM2015.dat!D66</f>
        <v>#REF!</v>
      </c>
      <c r="H274" s="121" t="e">
        <f>[4]PM2015.dat!E66</f>
        <v>#REF!</v>
      </c>
      <c r="I274" s="121" t="e">
        <f>[4]PM2015.dat!F66</f>
        <v>#REF!</v>
      </c>
      <c r="J274" s="121" t="e">
        <f>[4]PM2015.dat!G66</f>
        <v>#REF!</v>
      </c>
      <c r="K274" s="121" t="e">
        <f>[4]PM2015.dat!H66</f>
        <v>#REF!</v>
      </c>
      <c r="L274" s="121" t="e">
        <f>[4]PM2015.dat!I66</f>
        <v>#REF!</v>
      </c>
      <c r="M274" s="121" t="e">
        <f>[4]PM2015.dat!J66</f>
        <v>#REF!</v>
      </c>
      <c r="N274" s="121" t="e">
        <f>[4]PM2015.dat!K66</f>
        <v>#REF!</v>
      </c>
      <c r="O274" s="121" t="e">
        <f>[4]PM2015.dat!L66</f>
        <v>#REF!</v>
      </c>
      <c r="P274" s="121" t="e">
        <f>[4]PM2015.dat!M66</f>
        <v>#REF!</v>
      </c>
      <c r="Q274" s="121" t="e">
        <f>[4]PM2015.dat!N66</f>
        <v>#REF!</v>
      </c>
      <c r="R274" s="121" t="e">
        <f>[4]PM2015.dat!O66</f>
        <v>#REF!</v>
      </c>
      <c r="S274" s="121" t="e">
        <f>[4]PM2015.dat!P66</f>
        <v>#REF!</v>
      </c>
      <c r="T274">
        <v>2011</v>
      </c>
      <c r="U274" s="27" t="e">
        <f>SUMPRODUCT(E274:S274,pm.rep!B111:P111)</f>
        <v>#REF!</v>
      </c>
      <c r="V274" s="27">
        <f>Stdev!D302</f>
        <v>4887.3</v>
      </c>
    </row>
    <row r="275" spans="1:35" x14ac:dyDescent="0.15">
      <c r="D275" s="25">
        <v>2013</v>
      </c>
      <c r="E275" s="121" t="e">
        <f>[4]PM2015.dat!B67</f>
        <v>#REF!</v>
      </c>
      <c r="F275" s="121" t="e">
        <f>[4]PM2015.dat!C67</f>
        <v>#REF!</v>
      </c>
      <c r="G275" s="121" t="e">
        <f>[4]PM2015.dat!D67</f>
        <v>#REF!</v>
      </c>
      <c r="H275" s="121" t="e">
        <f>[4]PM2015.dat!E67</f>
        <v>#REF!</v>
      </c>
      <c r="I275" s="121" t="e">
        <f>[4]PM2015.dat!F67</f>
        <v>#REF!</v>
      </c>
      <c r="J275" s="121" t="e">
        <f>[4]PM2015.dat!G67</f>
        <v>#REF!</v>
      </c>
      <c r="K275" s="121" t="e">
        <f>[4]PM2015.dat!H67</f>
        <v>#REF!</v>
      </c>
      <c r="L275" s="121" t="e">
        <f>[4]PM2015.dat!I67</f>
        <v>#REF!</v>
      </c>
      <c r="M275" s="121" t="e">
        <f>[4]PM2015.dat!J67</f>
        <v>#REF!</v>
      </c>
      <c r="N275" s="121" t="e">
        <f>[4]PM2015.dat!K67</f>
        <v>#REF!</v>
      </c>
      <c r="O275" s="121" t="e">
        <f>[4]PM2015.dat!L67</f>
        <v>#REF!</v>
      </c>
      <c r="P275" s="121" t="e">
        <f>[4]PM2015.dat!M67</f>
        <v>#REF!</v>
      </c>
      <c r="Q275" s="121" t="e">
        <f>[4]PM2015.dat!N67</f>
        <v>#REF!</v>
      </c>
      <c r="R275" s="121" t="e">
        <f>[4]PM2015.dat!O67</f>
        <v>#REF!</v>
      </c>
      <c r="S275" s="121" t="e">
        <f>[4]PM2015.dat!P67</f>
        <v>#REF!</v>
      </c>
      <c r="T275">
        <v>2012</v>
      </c>
      <c r="U275" s="27" t="e">
        <f>SUMPRODUCT(E275:S275,pm.rep!B112:P112)</f>
        <v>#REF!</v>
      </c>
      <c r="V275" s="27">
        <f>Stdev!D303</f>
        <v>9054.2999999999993</v>
      </c>
    </row>
    <row r="276" spans="1:35" x14ac:dyDescent="0.15">
      <c r="D276" s="25">
        <v>2014</v>
      </c>
      <c r="E276" s="240" t="e">
        <f>[4]PM2015.dat!B68</f>
        <v>#REF!</v>
      </c>
      <c r="F276" s="240" t="e">
        <f>[4]PM2015.dat!C68</f>
        <v>#REF!</v>
      </c>
      <c r="G276" s="240" t="e">
        <f>[4]PM2015.dat!D68</f>
        <v>#REF!</v>
      </c>
      <c r="H276" s="240" t="e">
        <f>[4]PM2015.dat!E68</f>
        <v>#REF!</v>
      </c>
      <c r="I276" s="240" t="e">
        <f>[4]PM2015.dat!F68</f>
        <v>#REF!</v>
      </c>
      <c r="J276" s="240" t="e">
        <f>[4]PM2015.dat!G68</f>
        <v>#REF!</v>
      </c>
      <c r="K276" s="240" t="e">
        <f>[4]PM2015.dat!H68</f>
        <v>#REF!</v>
      </c>
      <c r="L276" s="240" t="e">
        <f>[4]PM2015.dat!I68</f>
        <v>#REF!</v>
      </c>
      <c r="M276" s="240" t="e">
        <f>[4]PM2015.dat!J68</f>
        <v>#REF!</v>
      </c>
      <c r="N276" s="240" t="e">
        <f>[4]PM2015.dat!K68</f>
        <v>#REF!</v>
      </c>
      <c r="O276" s="240" t="e">
        <f>[4]PM2015.dat!L68</f>
        <v>#REF!</v>
      </c>
      <c r="P276" s="240" t="e">
        <f>[4]PM2015.dat!M68</f>
        <v>#REF!</v>
      </c>
      <c r="Q276" s="240" t="e">
        <f>[4]PM2015.dat!N68</f>
        <v>#REF!</v>
      </c>
      <c r="R276" s="240" t="e">
        <f>[4]PM2015.dat!O68</f>
        <v>#REF!</v>
      </c>
      <c r="S276" s="240" t="e">
        <f>[4]PM2015.dat!P68</f>
        <v>#REF!</v>
      </c>
      <c r="T276">
        <v>2013</v>
      </c>
      <c r="U276" s="27" t="e">
        <f>SUMPRODUCT(E276:S276,pm.rep!B113:P113)</f>
        <v>#REF!</v>
      </c>
      <c r="V276" s="27">
        <f>Stdev!D304</f>
        <v>10289</v>
      </c>
    </row>
    <row r="277" spans="1:35" x14ac:dyDescent="0.15">
      <c r="D277" s="25">
        <v>2015</v>
      </c>
      <c r="E277" s="240" t="e">
        <f>[4]PM2015.dat!B69</f>
        <v>#REF!</v>
      </c>
      <c r="F277" s="240" t="e">
        <f>[4]PM2015.dat!C69</f>
        <v>#REF!</v>
      </c>
      <c r="G277" s="240" t="e">
        <f>[4]PM2015.dat!D69</f>
        <v>#REF!</v>
      </c>
      <c r="H277" s="240" t="e">
        <f>[4]PM2015.dat!E69</f>
        <v>#REF!</v>
      </c>
      <c r="I277" s="240" t="e">
        <f>[4]PM2015.dat!F69</f>
        <v>#REF!</v>
      </c>
      <c r="J277" s="240" t="e">
        <f>[4]PM2015.dat!G69</f>
        <v>#REF!</v>
      </c>
      <c r="K277" s="240" t="e">
        <f>[4]PM2015.dat!H69</f>
        <v>#REF!</v>
      </c>
      <c r="L277" s="240" t="e">
        <f>[4]PM2015.dat!I69</f>
        <v>#REF!</v>
      </c>
      <c r="M277" s="240" t="e">
        <f>[4]PM2015.dat!J69</f>
        <v>#REF!</v>
      </c>
      <c r="N277" s="240" t="e">
        <f>[4]PM2015.dat!K69</f>
        <v>#REF!</v>
      </c>
      <c r="O277" s="240" t="e">
        <f>[4]PM2015.dat!L69</f>
        <v>#REF!</v>
      </c>
      <c r="P277" s="240" t="e">
        <f>[4]PM2015.dat!M69</f>
        <v>#REF!</v>
      </c>
      <c r="Q277" s="240" t="e">
        <f>[4]PM2015.dat!N69</f>
        <v>#REF!</v>
      </c>
      <c r="R277" s="240" t="e">
        <f>[4]PM2015.dat!O69</f>
        <v>#REF!</v>
      </c>
      <c r="S277" s="240" t="e">
        <f>[4]PM2015.dat!P69</f>
        <v>#REF!</v>
      </c>
      <c r="T277">
        <v>2014</v>
      </c>
      <c r="U277" s="27" t="e">
        <f>SUMPRODUCT(E277:S277,pm.rep!B114:P114)</f>
        <v>#REF!</v>
      </c>
      <c r="V277" s="27">
        <f>Stdev!D305</f>
        <v>11383</v>
      </c>
    </row>
    <row r="278" spans="1:35" x14ac:dyDescent="0.15">
      <c r="D278" s="25"/>
      <c r="E278" s="240"/>
      <c r="F278" s="240"/>
      <c r="G278" s="240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240"/>
      <c r="U278" s="27"/>
      <c r="V278" s="27"/>
    </row>
    <row r="279" spans="1:35" x14ac:dyDescent="0.15">
      <c r="D279" s="25"/>
      <c r="E279" s="240"/>
      <c r="F279" s="240"/>
      <c r="G279" s="240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240"/>
      <c r="U279" s="27"/>
      <c r="V279" s="27"/>
    </row>
    <row r="280" spans="1:35" x14ac:dyDescent="0.15">
      <c r="G280">
        <f>pm.rep!C49*pm.rep!C103</f>
        <v>3784.6238919400002</v>
      </c>
      <c r="H280">
        <f>pm.rep!D49*pm.rep!D103</f>
        <v>4494.9664020600003</v>
      </c>
      <c r="I280">
        <f>pm.rep!E49*pm.rep!E103</f>
        <v>4148.9076239599999</v>
      </c>
      <c r="J280">
        <f>pm.rep!F49*pm.rep!F103</f>
        <v>2019.99671068</v>
      </c>
      <c r="K280">
        <f>pm.rep!G49*pm.rep!G103</f>
        <v>737.66124989999992</v>
      </c>
      <c r="L280">
        <f>pm.rep!H49*pm.rep!H103</f>
        <v>346.15056318700005</v>
      </c>
      <c r="M280">
        <f>pm.rep!I49*pm.rep!I103</f>
        <v>329.872993366</v>
      </c>
      <c r="N280">
        <f>pm.rep!J49*pm.rep!J103</f>
        <v>156.62887626599999</v>
      </c>
      <c r="O280">
        <f>pm.rep!K49*pm.rep!K103</f>
        <v>57.405710924999994</v>
      </c>
      <c r="P280">
        <f>pm.rep!L49*pm.rep!L103</f>
        <v>55.511487436000003</v>
      </c>
      <c r="Q280">
        <f>pm.rep!M49*pm.rep!M103</f>
        <v>93.846898850000002</v>
      </c>
      <c r="R280">
        <f>pm.rep!N49*pm.rep!N103</f>
        <v>29.717532536</v>
      </c>
      <c r="S280">
        <f>pm.rep!O49*pm.rep!O103+pm.rep!P49*pm.rep!P103</f>
        <v>28.379131692999998</v>
      </c>
    </row>
    <row r="283" spans="1:35" ht="14" thickBot="1" x14ac:dyDescent="0.2">
      <c r="A283" s="21" t="s">
        <v>251</v>
      </c>
      <c r="B283" s="21" t="s">
        <v>155</v>
      </c>
      <c r="C283" t="s">
        <v>252</v>
      </c>
      <c r="D283" s="9" t="s">
        <v>160</v>
      </c>
      <c r="E283" s="14">
        <v>1</v>
      </c>
      <c r="F283" s="14">
        <v>2</v>
      </c>
      <c r="G283" s="14">
        <v>3</v>
      </c>
      <c r="H283" s="14">
        <v>4</v>
      </c>
      <c r="I283" s="14">
        <v>5</v>
      </c>
      <c r="J283" s="14">
        <v>6</v>
      </c>
      <c r="K283" s="14">
        <v>7</v>
      </c>
      <c r="L283" s="14">
        <v>8</v>
      </c>
      <c r="M283" s="14">
        <v>9</v>
      </c>
      <c r="N283" s="14">
        <v>10</v>
      </c>
      <c r="O283" s="14">
        <v>11</v>
      </c>
      <c r="P283" s="14">
        <v>12</v>
      </c>
      <c r="Q283" s="14">
        <v>13</v>
      </c>
      <c r="R283" s="14">
        <v>14</v>
      </c>
      <c r="S283" s="14">
        <v>15</v>
      </c>
    </row>
    <row r="284" spans="1:35" x14ac:dyDescent="0.15">
      <c r="A284">
        <f t="shared" ref="A284:A330" si="85">C284*C108</f>
        <v>0.16288199681000001</v>
      </c>
      <c r="B284" s="26" t="e">
        <f t="shared" ref="B284:B330" si="86">SUMPRODUCT(E226:S226,U284:AI284)</f>
        <v>#REF!</v>
      </c>
      <c r="C284" s="20">
        <f t="array" ref="C284:C333">TRANSPOSE(pm.rep!B522:AY522)</f>
        <v>0.121397</v>
      </c>
      <c r="D284">
        <v>1964</v>
      </c>
      <c r="E284">
        <f>pm.rep!B63</f>
        <v>6669.66</v>
      </c>
      <c r="F284">
        <f>pm.rep!C63</f>
        <v>3534.24</v>
      </c>
      <c r="G284">
        <f>pm.rep!D63</f>
        <v>2242.08</v>
      </c>
      <c r="H284">
        <f>pm.rep!E63</f>
        <v>482.50599999999997</v>
      </c>
      <c r="I284">
        <f>pm.rep!F63</f>
        <v>208.66399999999999</v>
      </c>
      <c r="J284">
        <f>pm.rep!G63</f>
        <v>406.18900000000002</v>
      </c>
      <c r="K284">
        <f>pm.rep!H63</f>
        <v>183.488</v>
      </c>
      <c r="L284">
        <f>pm.rep!I63</f>
        <v>59.002600000000001</v>
      </c>
      <c r="M284">
        <f>pm.rep!J63</f>
        <v>37.4255</v>
      </c>
      <c r="N284">
        <f>pm.rep!K63</f>
        <v>37.698599999999999</v>
      </c>
      <c r="O284">
        <f>pm.rep!L63</f>
        <v>37.605200000000004</v>
      </c>
      <c r="P284">
        <f>pm.rep!M63</f>
        <v>37.5319</v>
      </c>
      <c r="Q284">
        <f>pm.rep!N63</f>
        <v>37.474200000000003</v>
      </c>
      <c r="R284">
        <f>pm.rep!O63</f>
        <v>37.416800000000002</v>
      </c>
      <c r="S284">
        <f>pm.rep!P63</f>
        <v>37.348599999999998</v>
      </c>
      <c r="U284" t="e">
        <f>#REF!</f>
        <v>#REF!</v>
      </c>
      <c r="V284" t="e">
        <f>#REF!</f>
        <v>#REF!</v>
      </c>
      <c r="W284" t="e">
        <f>#REF!</f>
        <v>#REF!</v>
      </c>
      <c r="X284" t="e">
        <f>#REF!</f>
        <v>#REF!</v>
      </c>
      <c r="Y284" t="e">
        <f>#REF!</f>
        <v>#REF!</v>
      </c>
      <c r="Z284" t="e">
        <f>#REF!</f>
        <v>#REF!</v>
      </c>
      <c r="AA284" t="e">
        <f>#REF!</f>
        <v>#REF!</v>
      </c>
      <c r="AB284" t="e">
        <f>#REF!</f>
        <v>#REF!</v>
      </c>
      <c r="AC284" t="e">
        <f>#REF!</f>
        <v>#REF!</v>
      </c>
      <c r="AD284" t="e">
        <f>#REF!</f>
        <v>#REF!</v>
      </c>
      <c r="AE284" t="e">
        <f>#REF!</f>
        <v>#REF!</v>
      </c>
      <c r="AF284" t="e">
        <f>#REF!</f>
        <v>#REF!</v>
      </c>
      <c r="AG284" t="e">
        <f>#REF!</f>
        <v>#REF!</v>
      </c>
      <c r="AH284" t="e">
        <f>#REF!</f>
        <v>#REF!</v>
      </c>
      <c r="AI284" t="e">
        <f>#REF!</f>
        <v>#REF!</v>
      </c>
    </row>
    <row r="285" spans="1:35" x14ac:dyDescent="0.15">
      <c r="A285">
        <f t="shared" si="85"/>
        <v>0.16849742632</v>
      </c>
      <c r="B285" s="26" t="e">
        <f t="shared" si="86"/>
        <v>#REF!</v>
      </c>
      <c r="C285" s="20">
        <v>0.119528</v>
      </c>
      <c r="D285">
        <v>1965</v>
      </c>
      <c r="E285">
        <f>pm.rep!B64</f>
        <v>21534.799999999999</v>
      </c>
      <c r="F285">
        <f>pm.rep!C64</f>
        <v>2706.04</v>
      </c>
      <c r="G285">
        <f>pm.rep!D64</f>
        <v>2223.48</v>
      </c>
      <c r="H285">
        <f>pm.rep!E64</f>
        <v>1587.58</v>
      </c>
      <c r="I285">
        <f>pm.rep!F64</f>
        <v>304.23599999999999</v>
      </c>
      <c r="J285">
        <f>pm.rep!G64</f>
        <v>131.34700000000001</v>
      </c>
      <c r="K285">
        <f>pm.rep!H64</f>
        <v>256.02199999999999</v>
      </c>
      <c r="L285">
        <f>pm.rep!I64</f>
        <v>116.339</v>
      </c>
      <c r="M285">
        <f>pm.rep!J64</f>
        <v>37.673099999999998</v>
      </c>
      <c r="N285">
        <f>pm.rep!K64</f>
        <v>24.041</v>
      </c>
      <c r="O285">
        <f>pm.rep!L64</f>
        <v>24.328800000000001</v>
      </c>
      <c r="P285">
        <f>pm.rep!M64</f>
        <v>24.268599999999999</v>
      </c>
      <c r="Q285">
        <f>pm.rep!N64</f>
        <v>24.2212</v>
      </c>
      <c r="R285">
        <f>pm.rep!O64</f>
        <v>24.184100000000001</v>
      </c>
      <c r="S285">
        <f>pm.rep!P64</f>
        <v>48.25</v>
      </c>
      <c r="U285" t="e">
        <f>#REF!</f>
        <v>#REF!</v>
      </c>
      <c r="V285" t="e">
        <f>#REF!</f>
        <v>#REF!</v>
      </c>
      <c r="W285" t="e">
        <f>#REF!</f>
        <v>#REF!</v>
      </c>
      <c r="X285" t="e">
        <f>#REF!</f>
        <v>#REF!</v>
      </c>
      <c r="Y285" t="e">
        <f>#REF!</f>
        <v>#REF!</v>
      </c>
      <c r="Z285" t="e">
        <f>#REF!</f>
        <v>#REF!</v>
      </c>
      <c r="AA285" t="e">
        <f>#REF!</f>
        <v>#REF!</v>
      </c>
      <c r="AB285" t="e">
        <f>#REF!</f>
        <v>#REF!</v>
      </c>
      <c r="AC285" t="e">
        <f>#REF!</f>
        <v>#REF!</v>
      </c>
      <c r="AD285" t="e">
        <f>#REF!</f>
        <v>#REF!</v>
      </c>
      <c r="AE285" t="e">
        <f>#REF!</f>
        <v>#REF!</v>
      </c>
      <c r="AF285" t="e">
        <f>#REF!</f>
        <v>#REF!</v>
      </c>
      <c r="AG285" t="e">
        <f>#REF!</f>
        <v>#REF!</v>
      </c>
      <c r="AH285" t="e">
        <f>#REF!</f>
        <v>#REF!</v>
      </c>
      <c r="AI285" t="e">
        <f>#REF!</f>
        <v>#REF!</v>
      </c>
    </row>
    <row r="286" spans="1:35" x14ac:dyDescent="0.15">
      <c r="A286">
        <f t="shared" si="85"/>
        <v>0.15264975744000001</v>
      </c>
      <c r="B286" s="26" t="e">
        <f t="shared" si="86"/>
        <v>#REF!</v>
      </c>
      <c r="C286" s="20">
        <v>0.111264</v>
      </c>
      <c r="D286">
        <v>1966</v>
      </c>
      <c r="E286">
        <f>pm.rep!B65</f>
        <v>15436.5</v>
      </c>
      <c r="F286">
        <f>pm.rep!C65</f>
        <v>8737.42</v>
      </c>
      <c r="G286">
        <f>pm.rep!D65</f>
        <v>1701.74</v>
      </c>
      <c r="H286">
        <f>pm.rep!E65</f>
        <v>1562.76</v>
      </c>
      <c r="I286">
        <f>pm.rep!F65</f>
        <v>993.73400000000004</v>
      </c>
      <c r="J286">
        <f>pm.rep!G65</f>
        <v>191.52699999999999</v>
      </c>
      <c r="K286">
        <f>pm.rep!H65</f>
        <v>83.313400000000001</v>
      </c>
      <c r="L286">
        <f>pm.rep!I65</f>
        <v>163.46799999999999</v>
      </c>
      <c r="M286">
        <f>pm.rep!J65</f>
        <v>74.691000000000003</v>
      </c>
      <c r="N286">
        <f>pm.rep!K65</f>
        <v>24.300899999999999</v>
      </c>
      <c r="O286">
        <f>pm.rep!L65</f>
        <v>15.5669</v>
      </c>
      <c r="P286">
        <f>pm.rep!M65</f>
        <v>15.753299999999999</v>
      </c>
      <c r="Q286">
        <f>pm.rep!N65</f>
        <v>15.7143</v>
      </c>
      <c r="R286">
        <f>pm.rep!O65</f>
        <v>15.6836</v>
      </c>
      <c r="S286">
        <f>pm.rep!P65</f>
        <v>46.902099999999997</v>
      </c>
      <c r="U286" t="e">
        <f>#REF!</f>
        <v>#REF!</v>
      </c>
      <c r="V286" t="e">
        <f>#REF!</f>
        <v>#REF!</v>
      </c>
      <c r="W286" t="e">
        <f>#REF!</f>
        <v>#REF!</v>
      </c>
      <c r="X286" t="e">
        <f>#REF!</f>
        <v>#REF!</v>
      </c>
      <c r="Y286" t="e">
        <f>#REF!</f>
        <v>#REF!</v>
      </c>
      <c r="Z286" t="e">
        <f>#REF!</f>
        <v>#REF!</v>
      </c>
      <c r="AA286" t="e">
        <f>#REF!</f>
        <v>#REF!</v>
      </c>
      <c r="AB286" t="e">
        <f>#REF!</f>
        <v>#REF!</v>
      </c>
      <c r="AC286" t="e">
        <f>#REF!</f>
        <v>#REF!</v>
      </c>
      <c r="AD286" t="e">
        <f>#REF!</f>
        <v>#REF!</v>
      </c>
      <c r="AE286" t="e">
        <f>#REF!</f>
        <v>#REF!</v>
      </c>
      <c r="AF286" t="e">
        <f>#REF!</f>
        <v>#REF!</v>
      </c>
      <c r="AG286" t="e">
        <f>#REF!</f>
        <v>#REF!</v>
      </c>
      <c r="AH286" t="e">
        <f>#REF!</f>
        <v>#REF!</v>
      </c>
      <c r="AI286" t="e">
        <f>#REF!</f>
        <v>#REF!</v>
      </c>
    </row>
    <row r="287" spans="1:35" x14ac:dyDescent="0.15">
      <c r="A287">
        <f t="shared" si="85"/>
        <v>0.23571839888999999</v>
      </c>
      <c r="B287" s="26" t="e">
        <f t="shared" si="86"/>
        <v>#REF!</v>
      </c>
      <c r="C287" s="20">
        <v>0.189501</v>
      </c>
      <c r="D287">
        <v>1967</v>
      </c>
      <c r="E287">
        <f>pm.rep!B66</f>
        <v>25796</v>
      </c>
      <c r="F287">
        <f>pm.rep!C66</f>
        <v>6263.08</v>
      </c>
      <c r="G287">
        <f>pm.rep!D66</f>
        <v>5490.74</v>
      </c>
      <c r="H287">
        <f>pm.rep!E66</f>
        <v>1191.3699999999999</v>
      </c>
      <c r="I287">
        <f>pm.rep!F66</f>
        <v>993.82</v>
      </c>
      <c r="J287">
        <f>pm.rep!G66</f>
        <v>634.46299999999997</v>
      </c>
      <c r="K287">
        <f>pm.rep!H66</f>
        <v>123.16500000000001</v>
      </c>
      <c r="L287">
        <f>pm.rep!I66</f>
        <v>53.846600000000002</v>
      </c>
      <c r="M287">
        <f>pm.rep!J66</f>
        <v>106.127</v>
      </c>
      <c r="N287">
        <f>pm.rep!K66</f>
        <v>48.655999999999999</v>
      </c>
      <c r="O287">
        <f>pm.rep!L66</f>
        <v>15.871600000000001</v>
      </c>
      <c r="P287">
        <f>pm.rep!M66</f>
        <v>10.1671</v>
      </c>
      <c r="Q287">
        <f>pm.rep!N66</f>
        <v>10.2889</v>
      </c>
      <c r="R287">
        <f>pm.rep!O66</f>
        <v>10.263400000000001</v>
      </c>
      <c r="S287">
        <f>pm.rep!P66</f>
        <v>40.876300000000001</v>
      </c>
      <c r="U287" t="e">
        <f>#REF!</f>
        <v>#REF!</v>
      </c>
      <c r="V287" t="e">
        <f>#REF!</f>
        <v>#REF!</v>
      </c>
      <c r="W287" t="e">
        <f>#REF!</f>
        <v>#REF!</v>
      </c>
      <c r="X287" t="e">
        <f>#REF!</f>
        <v>#REF!</v>
      </c>
      <c r="Y287" t="e">
        <f>#REF!</f>
        <v>#REF!</v>
      </c>
      <c r="Z287" t="e">
        <f>#REF!</f>
        <v>#REF!</v>
      </c>
      <c r="AA287" t="e">
        <f>#REF!</f>
        <v>#REF!</v>
      </c>
      <c r="AB287" t="e">
        <f>#REF!</f>
        <v>#REF!</v>
      </c>
      <c r="AC287" t="e">
        <f>#REF!</f>
        <v>#REF!</v>
      </c>
      <c r="AD287" t="e">
        <f>#REF!</f>
        <v>#REF!</v>
      </c>
      <c r="AE287" t="e">
        <f>#REF!</f>
        <v>#REF!</v>
      </c>
      <c r="AF287" t="e">
        <f>#REF!</f>
        <v>#REF!</v>
      </c>
      <c r="AG287" t="e">
        <f>#REF!</f>
        <v>#REF!</v>
      </c>
      <c r="AH287" t="e">
        <f>#REF!</f>
        <v>#REF!</v>
      </c>
      <c r="AI287" t="e">
        <f>#REF!</f>
        <v>#REF!</v>
      </c>
    </row>
    <row r="288" spans="1:35" x14ac:dyDescent="0.15">
      <c r="A288">
        <f t="shared" si="85"/>
        <v>0.23547119231999997</v>
      </c>
      <c r="B288" s="26" t="e">
        <f t="shared" si="86"/>
        <v>#REF!</v>
      </c>
      <c r="C288" s="20">
        <v>0.18782399999999999</v>
      </c>
      <c r="D288">
        <v>1968</v>
      </c>
      <c r="E288">
        <f>pm.rep!B67</f>
        <v>22271.4</v>
      </c>
      <c r="F288">
        <f>pm.rep!C67</f>
        <v>10447.9</v>
      </c>
      <c r="G288">
        <f>pm.rep!D67</f>
        <v>3882.56</v>
      </c>
      <c r="H288">
        <f>pm.rep!E67</f>
        <v>3593.01</v>
      </c>
      <c r="I288">
        <f>pm.rep!F67</f>
        <v>698.36500000000001</v>
      </c>
      <c r="J288">
        <f>pm.rep!G67</f>
        <v>581.63199999999995</v>
      </c>
      <c r="K288">
        <f>pm.rep!H67</f>
        <v>373.44200000000001</v>
      </c>
      <c r="L288">
        <f>pm.rep!I67</f>
        <v>72.715800000000002</v>
      </c>
      <c r="M288">
        <f>pm.rep!J67</f>
        <v>31.889299999999999</v>
      </c>
      <c r="N288">
        <f>pm.rep!K67</f>
        <v>63.036000000000001</v>
      </c>
      <c r="O288">
        <f>pm.rep!L67</f>
        <v>28.952000000000002</v>
      </c>
      <c r="P288">
        <f>pm.rep!M67</f>
        <v>9.4441100000000002</v>
      </c>
      <c r="Q288">
        <f>pm.rep!N67</f>
        <v>6.0497899999999998</v>
      </c>
      <c r="R288">
        <f>pm.rep!O67</f>
        <v>6.1222200000000004</v>
      </c>
      <c r="S288">
        <f>pm.rep!P67</f>
        <v>30.4298</v>
      </c>
      <c r="U288" t="e">
        <f>#REF!</f>
        <v>#REF!</v>
      </c>
      <c r="V288" t="e">
        <f>#REF!</f>
        <v>#REF!</v>
      </c>
      <c r="W288" t="e">
        <f>#REF!</f>
        <v>#REF!</v>
      </c>
      <c r="X288" t="e">
        <f>#REF!</f>
        <v>#REF!</v>
      </c>
      <c r="Y288" t="e">
        <f>#REF!</f>
        <v>#REF!</v>
      </c>
      <c r="Z288" t="e">
        <f>#REF!</f>
        <v>#REF!</v>
      </c>
      <c r="AA288" t="e">
        <f>#REF!</f>
        <v>#REF!</v>
      </c>
      <c r="AB288" t="e">
        <f>#REF!</f>
        <v>#REF!</v>
      </c>
      <c r="AC288" t="e">
        <f>#REF!</f>
        <v>#REF!</v>
      </c>
      <c r="AD288" t="e">
        <f>#REF!</f>
        <v>#REF!</v>
      </c>
      <c r="AE288" t="e">
        <f>#REF!</f>
        <v>#REF!</v>
      </c>
      <c r="AF288" t="e">
        <f>#REF!</f>
        <v>#REF!</v>
      </c>
      <c r="AG288" t="e">
        <f>#REF!</f>
        <v>#REF!</v>
      </c>
      <c r="AH288" t="e">
        <f>#REF!</f>
        <v>#REF!</v>
      </c>
      <c r="AI288" t="e">
        <f>#REF!</f>
        <v>#REF!</v>
      </c>
    </row>
    <row r="289" spans="1:35" x14ac:dyDescent="0.15">
      <c r="A289">
        <f t="shared" si="85"/>
        <v>0.23440217688000001</v>
      </c>
      <c r="B289" s="26" t="e">
        <f t="shared" si="86"/>
        <v>#REF!</v>
      </c>
      <c r="C289" s="20">
        <v>0.19560900000000001</v>
      </c>
      <c r="D289">
        <v>1969</v>
      </c>
      <c r="E289">
        <f>pm.rep!B68</f>
        <v>26141.1</v>
      </c>
      <c r="F289">
        <f>pm.rep!C68</f>
        <v>9015.31</v>
      </c>
      <c r="G289">
        <f>pm.rep!D68</f>
        <v>6454.6</v>
      </c>
      <c r="H289">
        <f>pm.rep!E68</f>
        <v>2536.4699999999998</v>
      </c>
      <c r="I289">
        <f>pm.rep!F68</f>
        <v>2103.33</v>
      </c>
      <c r="J289">
        <f>pm.rep!G68</f>
        <v>411.44299999999998</v>
      </c>
      <c r="K289">
        <f>pm.rep!H68</f>
        <v>344.976</v>
      </c>
      <c r="L289">
        <f>pm.rep!I68</f>
        <v>222.071</v>
      </c>
      <c r="M289">
        <f>pm.rep!J68</f>
        <v>43.278199999999998</v>
      </c>
      <c r="N289">
        <f>pm.rep!K68</f>
        <v>18.985700000000001</v>
      </c>
      <c r="O289">
        <f>pm.rep!L68</f>
        <v>37.529400000000003</v>
      </c>
      <c r="P289">
        <f>pm.rep!M68</f>
        <v>17.236999999999998</v>
      </c>
      <c r="Q289">
        <f>pm.rep!N68</f>
        <v>5.6226900000000004</v>
      </c>
      <c r="R289">
        <f>pm.rep!O68</f>
        <v>3.6018300000000001</v>
      </c>
      <c r="S289">
        <f>pm.rep!P68</f>
        <v>21.761800000000001</v>
      </c>
      <c r="U289" t="e">
        <f>#REF!</f>
        <v>#REF!</v>
      </c>
      <c r="V289" t="e">
        <f>#REF!</f>
        <v>#REF!</v>
      </c>
      <c r="W289" t="e">
        <f>#REF!</f>
        <v>#REF!</v>
      </c>
      <c r="X289" t="e">
        <f>#REF!</f>
        <v>#REF!</v>
      </c>
      <c r="Y289" t="e">
        <f>#REF!</f>
        <v>#REF!</v>
      </c>
      <c r="Z289" t="e">
        <f>#REF!</f>
        <v>#REF!</v>
      </c>
      <c r="AA289" t="e">
        <f>#REF!</f>
        <v>#REF!</v>
      </c>
      <c r="AB289" t="e">
        <f>#REF!</f>
        <v>#REF!</v>
      </c>
      <c r="AC289" t="e">
        <f>#REF!</f>
        <v>#REF!</v>
      </c>
      <c r="AD289" t="e">
        <f>#REF!</f>
        <v>#REF!</v>
      </c>
      <c r="AE289" t="e">
        <f>#REF!</f>
        <v>#REF!</v>
      </c>
      <c r="AF289" t="e">
        <f>#REF!</f>
        <v>#REF!</v>
      </c>
      <c r="AG289" t="e">
        <f>#REF!</f>
        <v>#REF!</v>
      </c>
      <c r="AH289" t="e">
        <f>#REF!</f>
        <v>#REF!</v>
      </c>
      <c r="AI289" t="e">
        <f>#REF!</f>
        <v>#REF!</v>
      </c>
    </row>
    <row r="290" spans="1:35" x14ac:dyDescent="0.15">
      <c r="A290">
        <f t="shared" si="85"/>
        <v>0.36187127859000001</v>
      </c>
      <c r="B290" s="26" t="e">
        <f t="shared" si="86"/>
        <v>#REF!</v>
      </c>
      <c r="C290" s="20">
        <v>0.28169300000000003</v>
      </c>
      <c r="D290">
        <v>1970</v>
      </c>
      <c r="E290">
        <f>pm.rep!B69</f>
        <v>23500.1</v>
      </c>
      <c r="F290">
        <f>pm.rep!C69</f>
        <v>10572.2</v>
      </c>
      <c r="G290">
        <f>pm.rep!D69</f>
        <v>5546.35</v>
      </c>
      <c r="H290">
        <f>pm.rep!E69</f>
        <v>4093.67</v>
      </c>
      <c r="I290">
        <f>pm.rep!F69</f>
        <v>1500.18</v>
      </c>
      <c r="J290">
        <f>pm.rep!G69</f>
        <v>1250.42</v>
      </c>
      <c r="K290">
        <f>pm.rep!H69</f>
        <v>245.607</v>
      </c>
      <c r="L290">
        <f>pm.rep!I69</f>
        <v>205.98500000000001</v>
      </c>
      <c r="M290">
        <f>pm.rep!J69</f>
        <v>131.33099999999999</v>
      </c>
      <c r="N290">
        <f>pm.rep!K69</f>
        <v>25.494199999999999</v>
      </c>
      <c r="O290">
        <f>pm.rep!L69</f>
        <v>11.125999999999999</v>
      </c>
      <c r="P290">
        <f>pm.rep!M69</f>
        <v>21.992999999999999</v>
      </c>
      <c r="Q290">
        <f>pm.rep!N69</f>
        <v>10.1012</v>
      </c>
      <c r="R290">
        <f>pm.rep!O69</f>
        <v>3.29501</v>
      </c>
      <c r="S290">
        <f>pm.rep!P69</f>
        <v>14.8636</v>
      </c>
      <c r="U290" t="e">
        <f>#REF!</f>
        <v>#REF!</v>
      </c>
      <c r="V290" t="e">
        <f>#REF!</f>
        <v>#REF!</v>
      </c>
      <c r="W290" t="e">
        <f>#REF!</f>
        <v>#REF!</v>
      </c>
      <c r="X290" t="e">
        <f>#REF!</f>
        <v>#REF!</v>
      </c>
      <c r="Y290" t="e">
        <f>#REF!</f>
        <v>#REF!</v>
      </c>
      <c r="Z290" t="e">
        <f>#REF!</f>
        <v>#REF!</v>
      </c>
      <c r="AA290" t="e">
        <f>#REF!</f>
        <v>#REF!</v>
      </c>
      <c r="AB290" t="e">
        <f>#REF!</f>
        <v>#REF!</v>
      </c>
      <c r="AC290" t="e">
        <f>#REF!</f>
        <v>#REF!</v>
      </c>
      <c r="AD290" t="e">
        <f>#REF!</f>
        <v>#REF!</v>
      </c>
      <c r="AE290" t="e">
        <f>#REF!</f>
        <v>#REF!</v>
      </c>
      <c r="AF290" t="e">
        <f>#REF!</f>
        <v>#REF!</v>
      </c>
      <c r="AG290" t="e">
        <f>#REF!</f>
        <v>#REF!</v>
      </c>
      <c r="AH290" t="e">
        <f>#REF!</f>
        <v>#REF!</v>
      </c>
      <c r="AI290" t="e">
        <f>#REF!</f>
        <v>#REF!</v>
      </c>
    </row>
    <row r="291" spans="1:35" x14ac:dyDescent="0.15">
      <c r="A291">
        <f t="shared" si="85"/>
        <v>0.5277232460800001</v>
      </c>
      <c r="B291" s="26" t="e">
        <f t="shared" si="86"/>
        <v>#REF!</v>
      </c>
      <c r="C291" s="20">
        <v>0.39910400000000001</v>
      </c>
      <c r="D291">
        <v>1971</v>
      </c>
      <c r="E291">
        <f>pm.rep!B70</f>
        <v>14578.3</v>
      </c>
      <c r="F291">
        <f>pm.rep!C70</f>
        <v>9467.61</v>
      </c>
      <c r="G291">
        <f>pm.rep!D70</f>
        <v>6356.46</v>
      </c>
      <c r="H291">
        <f>pm.rep!E70</f>
        <v>3312.4</v>
      </c>
      <c r="I291">
        <f>pm.rep!F70</f>
        <v>2351.25</v>
      </c>
      <c r="J291">
        <f>pm.rep!G70</f>
        <v>840.39400000000001</v>
      </c>
      <c r="K291">
        <f>pm.rep!H70</f>
        <v>700.84799999999996</v>
      </c>
      <c r="L291">
        <f>pm.rep!I70</f>
        <v>135.601</v>
      </c>
      <c r="M291">
        <f>pm.rep!J70</f>
        <v>110.286</v>
      </c>
      <c r="N291">
        <f>pm.rep!K70</f>
        <v>69.308000000000007</v>
      </c>
      <c r="O291">
        <f>pm.rep!L70</f>
        <v>13.152100000000001</v>
      </c>
      <c r="P291">
        <f>pm.rep!M70</f>
        <v>5.7397299999999998</v>
      </c>
      <c r="Q291">
        <f>pm.rep!N70</f>
        <v>11.345800000000001</v>
      </c>
      <c r="R291">
        <f>pm.rep!O70</f>
        <v>5.2110700000000003</v>
      </c>
      <c r="S291">
        <f>pm.rep!P70</f>
        <v>9.3677499999999991</v>
      </c>
      <c r="U291" t="e">
        <f>#REF!</f>
        <v>#REF!</v>
      </c>
      <c r="V291" t="e">
        <f>#REF!</f>
        <v>#REF!</v>
      </c>
      <c r="W291" t="e">
        <f>#REF!</f>
        <v>#REF!</v>
      </c>
      <c r="X291" t="e">
        <f>#REF!</f>
        <v>#REF!</v>
      </c>
      <c r="Y291" t="e">
        <f>#REF!</f>
        <v>#REF!</v>
      </c>
      <c r="Z291" t="e">
        <f>#REF!</f>
        <v>#REF!</v>
      </c>
      <c r="AA291" t="e">
        <f>#REF!</f>
        <v>#REF!</v>
      </c>
      <c r="AB291" t="e">
        <f>#REF!</f>
        <v>#REF!</v>
      </c>
      <c r="AC291" t="e">
        <f>#REF!</f>
        <v>#REF!</v>
      </c>
      <c r="AD291" t="e">
        <f>#REF!</f>
        <v>#REF!</v>
      </c>
      <c r="AE291" t="e">
        <f>#REF!</f>
        <v>#REF!</v>
      </c>
      <c r="AF291" t="e">
        <f>#REF!</f>
        <v>#REF!</v>
      </c>
      <c r="AG291" t="e">
        <f>#REF!</f>
        <v>#REF!</v>
      </c>
      <c r="AH291" t="e">
        <f>#REF!</f>
        <v>#REF!</v>
      </c>
      <c r="AI291" t="e">
        <f>#REF!</f>
        <v>#REF!</v>
      </c>
    </row>
    <row r="292" spans="1:35" x14ac:dyDescent="0.15">
      <c r="A292">
        <f t="shared" si="85"/>
        <v>0.57550564260000003</v>
      </c>
      <c r="B292" s="26" t="e">
        <f t="shared" si="86"/>
        <v>#REF!</v>
      </c>
      <c r="C292" s="20">
        <v>0.44592100000000001</v>
      </c>
      <c r="D292">
        <v>1972</v>
      </c>
      <c r="E292">
        <f>pm.rep!B71</f>
        <v>11964.4</v>
      </c>
      <c r="F292">
        <f>pm.rep!C71</f>
        <v>5851.31</v>
      </c>
      <c r="G292">
        <f>pm.rep!D71</f>
        <v>5550.12</v>
      </c>
      <c r="H292">
        <f>pm.rep!E71</f>
        <v>3569.93</v>
      </c>
      <c r="I292">
        <f>pm.rep!F71</f>
        <v>1746.76</v>
      </c>
      <c r="J292">
        <f>pm.rep!G71</f>
        <v>1178.3499999999999</v>
      </c>
      <c r="K292">
        <f>pm.rep!H71</f>
        <v>423.69200000000001</v>
      </c>
      <c r="L292">
        <f>pm.rep!I71</f>
        <v>351.197</v>
      </c>
      <c r="M292">
        <f>pm.rep!J71</f>
        <v>63.734400000000001</v>
      </c>
      <c r="N292">
        <f>pm.rep!K71</f>
        <v>50.312199999999997</v>
      </c>
      <c r="O292">
        <f>pm.rep!L71</f>
        <v>30.290600000000001</v>
      </c>
      <c r="P292">
        <f>pm.rep!M71</f>
        <v>5.7480399999999996</v>
      </c>
      <c r="Q292">
        <f>pm.rep!N71</f>
        <v>2.5085099999999998</v>
      </c>
      <c r="R292">
        <f>pm.rep!O71</f>
        <v>4.9586300000000003</v>
      </c>
      <c r="S292">
        <f>pm.rep!P71</f>
        <v>6.3715799999999998</v>
      </c>
      <c r="U292" t="e">
        <f>#REF!</f>
        <v>#REF!</v>
      </c>
      <c r="V292" t="e">
        <f>#REF!</f>
        <v>#REF!</v>
      </c>
      <c r="W292" t="e">
        <f>#REF!</f>
        <v>#REF!</v>
      </c>
      <c r="X292" t="e">
        <f>#REF!</f>
        <v>#REF!</v>
      </c>
      <c r="Y292" t="e">
        <f>#REF!</f>
        <v>#REF!</v>
      </c>
      <c r="Z292" t="e">
        <f>#REF!</f>
        <v>#REF!</v>
      </c>
      <c r="AA292" t="e">
        <f>#REF!</f>
        <v>#REF!</v>
      </c>
      <c r="AB292" t="e">
        <f>#REF!</f>
        <v>#REF!</v>
      </c>
      <c r="AC292" t="e">
        <f>#REF!</f>
        <v>#REF!</v>
      </c>
      <c r="AD292" t="e">
        <f>#REF!</f>
        <v>#REF!</v>
      </c>
      <c r="AE292" t="e">
        <f>#REF!</f>
        <v>#REF!</v>
      </c>
      <c r="AF292" t="e">
        <f>#REF!</f>
        <v>#REF!</v>
      </c>
      <c r="AG292" t="e">
        <f>#REF!</f>
        <v>#REF!</v>
      </c>
      <c r="AH292" t="e">
        <f>#REF!</f>
        <v>#REF!</v>
      </c>
      <c r="AI292" t="e">
        <f>#REF!</f>
        <v>#REF!</v>
      </c>
    </row>
    <row r="293" spans="1:35" x14ac:dyDescent="0.15">
      <c r="A293">
        <f t="shared" si="85"/>
        <v>0.63171728503000002</v>
      </c>
      <c r="B293" s="26" t="e">
        <f t="shared" si="86"/>
        <v>#REF!</v>
      </c>
      <c r="C293" s="20">
        <v>0.506131</v>
      </c>
      <c r="D293">
        <v>1973</v>
      </c>
      <c r="E293">
        <f>pm.rep!B72</f>
        <v>26909</v>
      </c>
      <c r="F293">
        <f>pm.rep!C72</f>
        <v>4808.49</v>
      </c>
      <c r="G293">
        <f>pm.rep!D72</f>
        <v>3324.44</v>
      </c>
      <c r="H293">
        <f>pm.rep!E72</f>
        <v>2897.5</v>
      </c>
      <c r="I293">
        <f>pm.rep!F72</f>
        <v>1743.8</v>
      </c>
      <c r="J293">
        <f>pm.rep!G72</f>
        <v>839.32299999999998</v>
      </c>
      <c r="K293">
        <f>pm.rep!H72</f>
        <v>566.65800000000002</v>
      </c>
      <c r="L293">
        <f>pm.rep!I72</f>
        <v>202.86500000000001</v>
      </c>
      <c r="M293">
        <f>pm.rep!J72</f>
        <v>157.79499999999999</v>
      </c>
      <c r="N293">
        <f>pm.rep!K72</f>
        <v>27.491099999999999</v>
      </c>
      <c r="O293">
        <f>pm.rep!L72</f>
        <v>20.962700000000002</v>
      </c>
      <c r="P293">
        <f>pm.rep!M72</f>
        <v>12.620699999999999</v>
      </c>
      <c r="Q293">
        <f>pm.rep!N72</f>
        <v>2.39493</v>
      </c>
      <c r="R293">
        <f>pm.rep!O72</f>
        <v>1.04518</v>
      </c>
      <c r="S293">
        <f>pm.rep!P72</f>
        <v>4.7207600000000003</v>
      </c>
      <c r="U293" t="e">
        <f>#REF!</f>
        <v>#REF!</v>
      </c>
      <c r="V293" t="e">
        <f>#REF!</f>
        <v>#REF!</v>
      </c>
      <c r="W293" t="e">
        <f>#REF!</f>
        <v>#REF!</v>
      </c>
      <c r="X293" t="e">
        <f>#REF!</f>
        <v>#REF!</v>
      </c>
      <c r="Y293" t="e">
        <f>#REF!</f>
        <v>#REF!</v>
      </c>
      <c r="Z293" t="e">
        <f>#REF!</f>
        <v>#REF!</v>
      </c>
      <c r="AA293" t="e">
        <f>#REF!</f>
        <v>#REF!</v>
      </c>
      <c r="AB293" t="e">
        <f>#REF!</f>
        <v>#REF!</v>
      </c>
      <c r="AC293" t="e">
        <f>#REF!</f>
        <v>#REF!</v>
      </c>
      <c r="AD293" t="e">
        <f>#REF!</f>
        <v>#REF!</v>
      </c>
      <c r="AE293" t="e">
        <f>#REF!</f>
        <v>#REF!</v>
      </c>
      <c r="AF293" t="e">
        <f>#REF!</f>
        <v>#REF!</v>
      </c>
      <c r="AG293" t="e">
        <f>#REF!</f>
        <v>#REF!</v>
      </c>
      <c r="AH293" t="e">
        <f>#REF!</f>
        <v>#REF!</v>
      </c>
      <c r="AI293" t="e">
        <f>#REF!</f>
        <v>#REF!</v>
      </c>
    </row>
    <row r="294" spans="1:35" x14ac:dyDescent="0.15">
      <c r="A294">
        <f t="shared" si="85"/>
        <v>0.64545998004000005</v>
      </c>
      <c r="B294" s="26" t="e">
        <f t="shared" si="86"/>
        <v>#REF!</v>
      </c>
      <c r="C294" s="20">
        <v>0.53568700000000002</v>
      </c>
      <c r="D294">
        <v>1974</v>
      </c>
      <c r="E294">
        <f>pm.rep!B73</f>
        <v>19909.099999999999</v>
      </c>
      <c r="F294">
        <f>pm.rep!C73</f>
        <v>10828.8</v>
      </c>
      <c r="G294">
        <f>pm.rep!D73</f>
        <v>2649.45</v>
      </c>
      <c r="H294">
        <f>pm.rep!E73</f>
        <v>1611.79</v>
      </c>
      <c r="I294">
        <f>pm.rep!F73</f>
        <v>1306.17</v>
      </c>
      <c r="J294">
        <f>pm.rep!G73</f>
        <v>773.43200000000002</v>
      </c>
      <c r="K294">
        <f>pm.rep!H73</f>
        <v>371.54899999999998</v>
      </c>
      <c r="L294">
        <f>pm.rep!I73</f>
        <v>251.10400000000001</v>
      </c>
      <c r="M294">
        <f>pm.rep!J73</f>
        <v>84.846400000000003</v>
      </c>
      <c r="N294">
        <f>pm.rep!K73</f>
        <v>63.440899999999999</v>
      </c>
      <c r="O294">
        <f>pm.rep!L73</f>
        <v>10.828099999999999</v>
      </c>
      <c r="P294">
        <f>pm.rep!M73</f>
        <v>8.25671</v>
      </c>
      <c r="Q294">
        <f>pm.rep!N73</f>
        <v>4.97098</v>
      </c>
      <c r="R294">
        <f>pm.rep!O73</f>
        <v>0.94330800000000004</v>
      </c>
      <c r="S294">
        <f>pm.rep!P73</f>
        <v>2.2710699999999999</v>
      </c>
      <c r="U294" t="e">
        <f>#REF!</f>
        <v>#REF!</v>
      </c>
      <c r="V294" t="e">
        <f>#REF!</f>
        <v>#REF!</v>
      </c>
      <c r="W294" t="e">
        <f>#REF!</f>
        <v>#REF!</v>
      </c>
      <c r="X294" t="e">
        <f>#REF!</f>
        <v>#REF!</v>
      </c>
      <c r="Y294" t="e">
        <f>#REF!</f>
        <v>#REF!</v>
      </c>
      <c r="Z294" t="e">
        <f>#REF!</f>
        <v>#REF!</v>
      </c>
      <c r="AA294" t="e">
        <f>#REF!</f>
        <v>#REF!</v>
      </c>
      <c r="AB294" t="e">
        <f>#REF!</f>
        <v>#REF!</v>
      </c>
      <c r="AC294" t="e">
        <f>#REF!</f>
        <v>#REF!</v>
      </c>
      <c r="AD294" t="e">
        <f>#REF!</f>
        <v>#REF!</v>
      </c>
      <c r="AE294" t="e">
        <f>#REF!</f>
        <v>#REF!</v>
      </c>
      <c r="AF294" t="e">
        <f>#REF!</f>
        <v>#REF!</v>
      </c>
      <c r="AG294" t="e">
        <f>#REF!</f>
        <v>#REF!</v>
      </c>
      <c r="AH294" t="e">
        <f>#REF!</f>
        <v>#REF!</v>
      </c>
      <c r="AI294" t="e">
        <f>#REF!</f>
        <v>#REF!</v>
      </c>
    </row>
    <row r="295" spans="1:35" x14ac:dyDescent="0.15">
      <c r="A295">
        <f t="shared" si="85"/>
        <v>0.52796768375999992</v>
      </c>
      <c r="B295" s="26" t="e">
        <f t="shared" si="86"/>
        <v>#REF!</v>
      </c>
      <c r="C295" s="20">
        <v>0.44261400000000001</v>
      </c>
      <c r="D295">
        <v>1975</v>
      </c>
      <c r="E295">
        <f>pm.rep!B74</f>
        <v>17094.099999999999</v>
      </c>
      <c r="F295">
        <f>pm.rep!C74</f>
        <v>8022.51</v>
      </c>
      <c r="G295">
        <f>pm.rep!D74</f>
        <v>5763.34</v>
      </c>
      <c r="H295">
        <f>pm.rep!E74</f>
        <v>1144.27</v>
      </c>
      <c r="I295">
        <f>pm.rep!F74</f>
        <v>690.95799999999997</v>
      </c>
      <c r="J295">
        <f>pm.rep!G74</f>
        <v>558</v>
      </c>
      <c r="K295">
        <f>pm.rep!H74</f>
        <v>330.99700000000001</v>
      </c>
      <c r="L295">
        <f>pm.rep!I74</f>
        <v>159.066</v>
      </c>
      <c r="M295">
        <f>pm.rep!J74</f>
        <v>102.46</v>
      </c>
      <c r="N295">
        <f>pm.rep!K74</f>
        <v>33.065300000000001</v>
      </c>
      <c r="O295">
        <f>pm.rep!L74</f>
        <v>24.646799999999999</v>
      </c>
      <c r="P295">
        <f>pm.rep!M74</f>
        <v>4.2067300000000003</v>
      </c>
      <c r="Q295">
        <f>pm.rep!N74</f>
        <v>3.2077399999999998</v>
      </c>
      <c r="R295">
        <f>pm.rep!O74</f>
        <v>1.93123</v>
      </c>
      <c r="S295">
        <f>pm.rep!P74</f>
        <v>1.2487900000000001</v>
      </c>
      <c r="U295" t="e">
        <f>#REF!</f>
        <v>#REF!</v>
      </c>
      <c r="V295" t="e">
        <f>#REF!</f>
        <v>#REF!</v>
      </c>
      <c r="W295" t="e">
        <f>#REF!</f>
        <v>#REF!</v>
      </c>
      <c r="X295" t="e">
        <f>#REF!</f>
        <v>#REF!</v>
      </c>
      <c r="Y295" t="e">
        <f>#REF!</f>
        <v>#REF!</v>
      </c>
      <c r="Z295" t="e">
        <f>#REF!</f>
        <v>#REF!</v>
      </c>
      <c r="AA295" t="e">
        <f>#REF!</f>
        <v>#REF!</v>
      </c>
      <c r="AB295" t="e">
        <f>#REF!</f>
        <v>#REF!</v>
      </c>
      <c r="AC295" t="e">
        <f>#REF!</f>
        <v>#REF!</v>
      </c>
      <c r="AD295" t="e">
        <f>#REF!</f>
        <v>#REF!</v>
      </c>
      <c r="AE295" t="e">
        <f>#REF!</f>
        <v>#REF!</v>
      </c>
      <c r="AF295" t="e">
        <f>#REF!</f>
        <v>#REF!</v>
      </c>
      <c r="AG295" t="e">
        <f>#REF!</f>
        <v>#REF!</v>
      </c>
      <c r="AH295" t="e">
        <f>#REF!</f>
        <v>#REF!</v>
      </c>
      <c r="AI295" t="e">
        <f>#REF!</f>
        <v>#REF!</v>
      </c>
    </row>
    <row r="296" spans="1:35" x14ac:dyDescent="0.15">
      <c r="A296">
        <f t="shared" si="85"/>
        <v>0.46670847665999998</v>
      </c>
      <c r="B296" s="26" t="e">
        <f t="shared" si="86"/>
        <v>#REF!</v>
      </c>
      <c r="C296" s="20">
        <v>0.393787</v>
      </c>
      <c r="D296">
        <v>1976</v>
      </c>
      <c r="E296">
        <f>pm.rep!B75</f>
        <v>13137.6</v>
      </c>
      <c r="F296">
        <f>pm.rep!C75</f>
        <v>6908.76</v>
      </c>
      <c r="G296">
        <f>pm.rep!D75</f>
        <v>4528.26</v>
      </c>
      <c r="H296">
        <f>pm.rep!E75</f>
        <v>2610.36</v>
      </c>
      <c r="I296">
        <f>pm.rep!F75</f>
        <v>527.30100000000004</v>
      </c>
      <c r="J296">
        <f>pm.rep!G75</f>
        <v>322.14400000000001</v>
      </c>
      <c r="K296">
        <f>pm.rep!H75</f>
        <v>261.58499999999998</v>
      </c>
      <c r="L296">
        <f>pm.rep!I75</f>
        <v>155.39599999999999</v>
      </c>
      <c r="M296">
        <f>pm.rep!J75</f>
        <v>72.983000000000004</v>
      </c>
      <c r="N296">
        <f>pm.rep!K75</f>
        <v>45.087699999999998</v>
      </c>
      <c r="O296">
        <f>pm.rep!L75</f>
        <v>14.4474</v>
      </c>
      <c r="P296">
        <f>pm.rep!M75</f>
        <v>10.7691</v>
      </c>
      <c r="Q296">
        <f>pm.rep!N75</f>
        <v>1.8380799999999999</v>
      </c>
      <c r="R296">
        <f>pm.rep!O75</f>
        <v>1.40158</v>
      </c>
      <c r="S296">
        <f>pm.rep!P75</f>
        <v>1.38947</v>
      </c>
      <c r="U296" t="e">
        <f>#REF!</f>
        <v>#REF!</v>
      </c>
      <c r="V296" t="e">
        <f>#REF!</f>
        <v>#REF!</v>
      </c>
      <c r="W296" t="e">
        <f>#REF!</f>
        <v>#REF!</v>
      </c>
      <c r="X296" t="e">
        <f>#REF!</f>
        <v>#REF!</v>
      </c>
      <c r="Y296" t="e">
        <f>#REF!</f>
        <v>#REF!</v>
      </c>
      <c r="Z296" t="e">
        <f>#REF!</f>
        <v>#REF!</v>
      </c>
      <c r="AA296" t="e">
        <f>#REF!</f>
        <v>#REF!</v>
      </c>
      <c r="AB296" t="e">
        <f>#REF!</f>
        <v>#REF!</v>
      </c>
      <c r="AC296" t="e">
        <f>#REF!</f>
        <v>#REF!</v>
      </c>
      <c r="AD296" t="e">
        <f>#REF!</f>
        <v>#REF!</v>
      </c>
      <c r="AE296" t="e">
        <f>#REF!</f>
        <v>#REF!</v>
      </c>
      <c r="AF296" t="e">
        <f>#REF!</f>
        <v>#REF!</v>
      </c>
      <c r="AG296" t="e">
        <f>#REF!</f>
        <v>#REF!</v>
      </c>
      <c r="AH296" t="e">
        <f>#REF!</f>
        <v>#REF!</v>
      </c>
      <c r="AI296" t="e">
        <f>#REF!</f>
        <v>#REF!</v>
      </c>
    </row>
    <row r="297" spans="1:35" x14ac:dyDescent="0.15">
      <c r="A297">
        <f t="shared" si="85"/>
        <v>0.41720174395999998</v>
      </c>
      <c r="B297" s="26" t="e">
        <f t="shared" si="86"/>
        <v>#REF!</v>
      </c>
      <c r="C297" s="20">
        <v>0.346804</v>
      </c>
      <c r="D297">
        <v>1977</v>
      </c>
      <c r="E297">
        <f>pm.rep!B76</f>
        <v>13755.3</v>
      </c>
      <c r="F297">
        <f>pm.rep!C76</f>
        <v>5318.47</v>
      </c>
      <c r="G297">
        <f>pm.rep!D76</f>
        <v>3989.97</v>
      </c>
      <c r="H297">
        <f>pm.rep!E76</f>
        <v>2256.02</v>
      </c>
      <c r="I297">
        <f>pm.rep!F76</f>
        <v>1234.25</v>
      </c>
      <c r="J297">
        <f>pm.rep!G76</f>
        <v>253.52199999999999</v>
      </c>
      <c r="K297">
        <f>pm.rep!H76</f>
        <v>156.45400000000001</v>
      </c>
      <c r="L297">
        <f>pm.rep!I76</f>
        <v>127.56</v>
      </c>
      <c r="M297">
        <f>pm.rep!J76</f>
        <v>75.309100000000001</v>
      </c>
      <c r="N297">
        <f>pm.rep!K76</f>
        <v>34.118600000000001</v>
      </c>
      <c r="O297">
        <f>pm.rep!L76</f>
        <v>20.945</v>
      </c>
      <c r="P297">
        <f>pm.rep!M76</f>
        <v>6.7114099999999999</v>
      </c>
      <c r="Q297">
        <f>pm.rep!N76</f>
        <v>5.0026799999999998</v>
      </c>
      <c r="R297">
        <f>pm.rep!O76</f>
        <v>0.85385999999999995</v>
      </c>
      <c r="S297">
        <f>pm.rep!P76</f>
        <v>1.2965500000000001</v>
      </c>
      <c r="U297" t="e">
        <f>#REF!</f>
        <v>#REF!</v>
      </c>
      <c r="V297" t="e">
        <f>#REF!</f>
        <v>#REF!</v>
      </c>
      <c r="W297" t="e">
        <f>#REF!</f>
        <v>#REF!</v>
      </c>
      <c r="X297" t="e">
        <f>#REF!</f>
        <v>#REF!</v>
      </c>
      <c r="Y297" t="e">
        <f>#REF!</f>
        <v>#REF!</v>
      </c>
      <c r="Z297" t="e">
        <f>#REF!</f>
        <v>#REF!</v>
      </c>
      <c r="AA297" t="e">
        <f>#REF!</f>
        <v>#REF!</v>
      </c>
      <c r="AB297" t="e">
        <f>#REF!</f>
        <v>#REF!</v>
      </c>
      <c r="AC297" t="e">
        <f>#REF!</f>
        <v>#REF!</v>
      </c>
      <c r="AD297" t="e">
        <f>#REF!</f>
        <v>#REF!</v>
      </c>
      <c r="AE297" t="e">
        <f>#REF!</f>
        <v>#REF!</v>
      </c>
      <c r="AF297" t="e">
        <f>#REF!</f>
        <v>#REF!</v>
      </c>
      <c r="AG297" t="e">
        <f>#REF!</f>
        <v>#REF!</v>
      </c>
      <c r="AH297" t="e">
        <f>#REF!</f>
        <v>#REF!</v>
      </c>
      <c r="AI297" t="e">
        <f>#REF!</f>
        <v>#REF!</v>
      </c>
    </row>
    <row r="298" spans="1:35" x14ac:dyDescent="0.15">
      <c r="A298">
        <f t="shared" si="85"/>
        <v>0.45838880160000006</v>
      </c>
      <c r="B298" s="26" t="e">
        <f t="shared" si="86"/>
        <v>#REF!</v>
      </c>
      <c r="C298" s="20">
        <v>0.37563000000000002</v>
      </c>
      <c r="D298">
        <v>1978</v>
      </c>
      <c r="E298">
        <f>pm.rep!B77</f>
        <v>25352.3</v>
      </c>
      <c r="F298">
        <f>pm.rep!C77</f>
        <v>5575.28</v>
      </c>
      <c r="G298">
        <f>pm.rep!D77</f>
        <v>3107.72</v>
      </c>
      <c r="H298">
        <f>pm.rep!E77</f>
        <v>2185.7800000000002</v>
      </c>
      <c r="I298">
        <f>pm.rep!F77</f>
        <v>1153.6300000000001</v>
      </c>
      <c r="J298">
        <f>pm.rep!G77</f>
        <v>619.22400000000005</v>
      </c>
      <c r="K298">
        <f>pm.rep!H77</f>
        <v>128.09</v>
      </c>
      <c r="L298">
        <f>pm.rep!I77</f>
        <v>79.384</v>
      </c>
      <c r="M298">
        <f>pm.rep!J77</f>
        <v>64.774100000000004</v>
      </c>
      <c r="N298">
        <f>pm.rep!K77</f>
        <v>37.122999999999998</v>
      </c>
      <c r="O298">
        <f>pm.rep!L77</f>
        <v>16.6539</v>
      </c>
      <c r="P298">
        <f>pm.rep!M77</f>
        <v>10.223599999999999</v>
      </c>
      <c r="Q298">
        <f>pm.rep!N77</f>
        <v>3.27596</v>
      </c>
      <c r="R298">
        <f>pm.rep!O77</f>
        <v>2.4419</v>
      </c>
      <c r="S298">
        <f>pm.rep!P77</f>
        <v>1.04965</v>
      </c>
      <c r="U298" t="e">
        <f>#REF!</f>
        <v>#REF!</v>
      </c>
      <c r="V298" t="e">
        <f>#REF!</f>
        <v>#REF!</v>
      </c>
      <c r="W298" t="e">
        <f>#REF!</f>
        <v>#REF!</v>
      </c>
      <c r="X298" t="e">
        <f>#REF!</f>
        <v>#REF!</v>
      </c>
      <c r="Y298" t="e">
        <f>#REF!</f>
        <v>#REF!</v>
      </c>
      <c r="Z298" t="e">
        <f>#REF!</f>
        <v>#REF!</v>
      </c>
      <c r="AA298" t="e">
        <f>#REF!</f>
        <v>#REF!</v>
      </c>
      <c r="AB298" t="e">
        <f>#REF!</f>
        <v>#REF!</v>
      </c>
      <c r="AC298" t="e">
        <f>#REF!</f>
        <v>#REF!</v>
      </c>
      <c r="AD298" t="e">
        <f>#REF!</f>
        <v>#REF!</v>
      </c>
      <c r="AE298" t="e">
        <f>#REF!</f>
        <v>#REF!</v>
      </c>
      <c r="AF298" t="e">
        <f>#REF!</f>
        <v>#REF!</v>
      </c>
      <c r="AG298" t="e">
        <f>#REF!</f>
        <v>#REF!</v>
      </c>
      <c r="AH298" t="e">
        <f>#REF!</f>
        <v>#REF!</v>
      </c>
      <c r="AI298" t="e">
        <f>#REF!</f>
        <v>#REF!</v>
      </c>
    </row>
    <row r="299" spans="1:35" x14ac:dyDescent="0.15">
      <c r="A299">
        <f t="shared" si="85"/>
        <v>0.48005458262</v>
      </c>
      <c r="B299" s="26" t="e">
        <f t="shared" si="86"/>
        <v>#REF!</v>
      </c>
      <c r="C299" s="20">
        <v>0.388853</v>
      </c>
      <c r="D299">
        <v>1979</v>
      </c>
      <c r="E299">
        <f>pm.rep!B78</f>
        <v>61942.6</v>
      </c>
      <c r="F299">
        <f>pm.rep!C78</f>
        <v>10281</v>
      </c>
      <c r="G299">
        <f>pm.rep!D78</f>
        <v>3282.92</v>
      </c>
      <c r="H299">
        <f>pm.rep!E78</f>
        <v>1700.1</v>
      </c>
      <c r="I299">
        <f>pm.rep!F78</f>
        <v>1110.5899999999999</v>
      </c>
      <c r="J299">
        <f>pm.rep!G78</f>
        <v>559.80700000000002</v>
      </c>
      <c r="K299">
        <f>pm.rep!H78</f>
        <v>302.154</v>
      </c>
      <c r="L299">
        <f>pm.rep!I78</f>
        <v>62.523200000000003</v>
      </c>
      <c r="M299">
        <f>pm.rep!J78</f>
        <v>38.7699</v>
      </c>
      <c r="N299">
        <f>pm.rep!K78</f>
        <v>30.682600000000001</v>
      </c>
      <c r="O299">
        <f>pm.rep!L78</f>
        <v>17.389199999999999</v>
      </c>
      <c r="P299">
        <f>pm.rep!M78</f>
        <v>7.8010099999999998</v>
      </c>
      <c r="Q299">
        <f>pm.rep!N78</f>
        <v>4.7889600000000003</v>
      </c>
      <c r="R299">
        <f>pm.rep!O78</f>
        <v>1.5345299999999999</v>
      </c>
      <c r="S299">
        <f>pm.rep!P78</f>
        <v>1.63551</v>
      </c>
      <c r="U299" t="e">
        <f>#REF!</f>
        <v>#REF!</v>
      </c>
      <c r="V299" t="e">
        <f>#REF!</f>
        <v>#REF!</v>
      </c>
      <c r="W299" t="e">
        <f>#REF!</f>
        <v>#REF!</v>
      </c>
      <c r="X299" t="e">
        <f>#REF!</f>
        <v>#REF!</v>
      </c>
      <c r="Y299" t="e">
        <f>#REF!</f>
        <v>#REF!</v>
      </c>
      <c r="Z299" t="e">
        <f>#REF!</f>
        <v>#REF!</v>
      </c>
      <c r="AA299" t="e">
        <f>#REF!</f>
        <v>#REF!</v>
      </c>
      <c r="AB299" t="e">
        <f>#REF!</f>
        <v>#REF!</v>
      </c>
      <c r="AC299" t="e">
        <f>#REF!</f>
        <v>#REF!</v>
      </c>
      <c r="AD299" t="e">
        <f>#REF!</f>
        <v>#REF!</v>
      </c>
      <c r="AE299" t="e">
        <f>#REF!</f>
        <v>#REF!</v>
      </c>
      <c r="AF299" t="e">
        <f>#REF!</f>
        <v>#REF!</v>
      </c>
      <c r="AG299" t="e">
        <f>#REF!</f>
        <v>#REF!</v>
      </c>
      <c r="AH299" t="e">
        <f>#REF!</f>
        <v>#REF!</v>
      </c>
      <c r="AI299" t="e">
        <f>#REF!</f>
        <v>#REF!</v>
      </c>
    </row>
    <row r="300" spans="1:35" x14ac:dyDescent="0.15">
      <c r="A300">
        <f t="shared" si="85"/>
        <v>0.44966780579999999</v>
      </c>
      <c r="B300" s="26" t="e">
        <f t="shared" si="86"/>
        <v>#REF!</v>
      </c>
      <c r="C300" s="20">
        <v>0.35990699999999998</v>
      </c>
      <c r="D300">
        <v>1980</v>
      </c>
      <c r="E300">
        <f>pm.rep!B79</f>
        <v>27184.1</v>
      </c>
      <c r="F300">
        <f>pm.rep!C79</f>
        <v>25131.3</v>
      </c>
      <c r="G300">
        <f>pm.rep!D79</f>
        <v>6215.44</v>
      </c>
      <c r="H300">
        <f>pm.rep!E79</f>
        <v>1891.33</v>
      </c>
      <c r="I300">
        <f>pm.rep!F79</f>
        <v>884.84900000000005</v>
      </c>
      <c r="J300">
        <f>pm.rep!G79</f>
        <v>525.71699999999998</v>
      </c>
      <c r="K300">
        <f>pm.rep!H79</f>
        <v>261.85300000000001</v>
      </c>
      <c r="L300">
        <f>pm.rep!I79</f>
        <v>142.27199999999999</v>
      </c>
      <c r="M300">
        <f>pm.rep!J79</f>
        <v>29.450299999999999</v>
      </c>
      <c r="N300">
        <f>pm.rep!K79</f>
        <v>17.791799999999999</v>
      </c>
      <c r="O300">
        <f>pm.rep!L79</f>
        <v>14.064299999999999</v>
      </c>
      <c r="P300">
        <f>pm.rep!M79</f>
        <v>7.9708800000000002</v>
      </c>
      <c r="Q300">
        <f>pm.rep!N79</f>
        <v>3.5758399999999999</v>
      </c>
      <c r="R300">
        <f>pm.rep!O79</f>
        <v>2.1951700000000001</v>
      </c>
      <c r="S300">
        <f>pm.rep!P79</f>
        <v>1.45309</v>
      </c>
      <c r="U300" t="e">
        <f>#REF!</f>
        <v>#REF!</v>
      </c>
      <c r="V300" t="e">
        <f>#REF!</f>
        <v>#REF!</v>
      </c>
      <c r="W300" t="e">
        <f>#REF!</f>
        <v>#REF!</v>
      </c>
      <c r="X300" t="e">
        <f>#REF!</f>
        <v>#REF!</v>
      </c>
      <c r="Y300" t="e">
        <f>#REF!</f>
        <v>#REF!</v>
      </c>
      <c r="Z300" t="e">
        <f>#REF!</f>
        <v>#REF!</v>
      </c>
      <c r="AA300" t="e">
        <f>#REF!</f>
        <v>#REF!</v>
      </c>
      <c r="AB300" t="e">
        <f>#REF!</f>
        <v>#REF!</v>
      </c>
      <c r="AC300" t="e">
        <f>#REF!</f>
        <v>#REF!</v>
      </c>
      <c r="AD300" t="e">
        <f>#REF!</f>
        <v>#REF!</v>
      </c>
      <c r="AE300" t="e">
        <f>#REF!</f>
        <v>#REF!</v>
      </c>
      <c r="AF300" t="e">
        <f>#REF!</f>
        <v>#REF!</v>
      </c>
      <c r="AG300" t="e">
        <f>#REF!</f>
        <v>#REF!</v>
      </c>
      <c r="AH300" t="e">
        <f>#REF!</f>
        <v>#REF!</v>
      </c>
      <c r="AI300" t="e">
        <f>#REF!</f>
        <v>#REF!</v>
      </c>
    </row>
    <row r="301" spans="1:35" x14ac:dyDescent="0.15">
      <c r="A301">
        <f t="shared" si="85"/>
        <v>0.33558654692000001</v>
      </c>
      <c r="B301" s="26" t="e">
        <f t="shared" si="86"/>
        <v>#REF!</v>
      </c>
      <c r="C301" s="20">
        <v>0.265708</v>
      </c>
      <c r="D301">
        <v>1981</v>
      </c>
      <c r="E301">
        <f>pm.rep!B80</f>
        <v>30738.1</v>
      </c>
      <c r="F301">
        <f>pm.rep!C80</f>
        <v>11035.8</v>
      </c>
      <c r="G301">
        <f>pm.rep!D80</f>
        <v>15585.4</v>
      </c>
      <c r="H301">
        <f>pm.rep!E80</f>
        <v>3907.99</v>
      </c>
      <c r="I301">
        <f>pm.rep!F80</f>
        <v>1012.67</v>
      </c>
      <c r="J301">
        <f>pm.rep!G80</f>
        <v>428.42500000000001</v>
      </c>
      <c r="K301">
        <f>pm.rep!H80</f>
        <v>248.41300000000001</v>
      </c>
      <c r="L301">
        <f>pm.rep!I80</f>
        <v>124.60599999999999</v>
      </c>
      <c r="M301">
        <f>pm.rep!J80</f>
        <v>67.975300000000004</v>
      </c>
      <c r="N301">
        <f>pm.rep!K80</f>
        <v>13.9597</v>
      </c>
      <c r="O301">
        <f>pm.rep!L80</f>
        <v>8.4352099999999997</v>
      </c>
      <c r="P301">
        <f>pm.rep!M80</f>
        <v>6.6680000000000001</v>
      </c>
      <c r="Q301">
        <f>pm.rep!N80</f>
        <v>3.7790499999999998</v>
      </c>
      <c r="R301">
        <f>pm.rep!O80</f>
        <v>1.69533</v>
      </c>
      <c r="S301">
        <f>pm.rep!P80</f>
        <v>1.72966</v>
      </c>
      <c r="U301" t="e">
        <f>#REF!</f>
        <v>#REF!</v>
      </c>
      <c r="V301" t="e">
        <f>#REF!</f>
        <v>#REF!</v>
      </c>
      <c r="W301" t="e">
        <f>#REF!</f>
        <v>#REF!</v>
      </c>
      <c r="X301" t="e">
        <f>#REF!</f>
        <v>#REF!</v>
      </c>
      <c r="Y301" t="e">
        <f>#REF!</f>
        <v>#REF!</v>
      </c>
      <c r="Z301" t="e">
        <f>#REF!</f>
        <v>#REF!</v>
      </c>
      <c r="AA301" t="e">
        <f>#REF!</f>
        <v>#REF!</v>
      </c>
      <c r="AB301" t="e">
        <f>#REF!</f>
        <v>#REF!</v>
      </c>
      <c r="AC301" t="e">
        <f>#REF!</f>
        <v>#REF!</v>
      </c>
      <c r="AD301" t="e">
        <f>#REF!</f>
        <v>#REF!</v>
      </c>
      <c r="AE301" t="e">
        <f>#REF!</f>
        <v>#REF!</v>
      </c>
      <c r="AF301" t="e">
        <f>#REF!</f>
        <v>#REF!</v>
      </c>
      <c r="AG301" t="e">
        <f>#REF!</f>
        <v>#REF!</v>
      </c>
      <c r="AH301" t="e">
        <f>#REF!</f>
        <v>#REF!</v>
      </c>
      <c r="AI301" t="e">
        <f>#REF!</f>
        <v>#REF!</v>
      </c>
    </row>
    <row r="302" spans="1:35" x14ac:dyDescent="0.15">
      <c r="A302">
        <f t="shared" si="85"/>
        <v>0.23222323718000001</v>
      </c>
      <c r="B302" s="26" t="e">
        <f t="shared" si="86"/>
        <v>#REF!</v>
      </c>
      <c r="C302" s="20">
        <v>0.178954</v>
      </c>
      <c r="D302">
        <v>1982</v>
      </c>
      <c r="E302">
        <f>pm.rep!B81</f>
        <v>16305.4</v>
      </c>
      <c r="F302">
        <f>pm.rep!C81</f>
        <v>12486.2</v>
      </c>
      <c r="G302">
        <f>pm.rep!D81</f>
        <v>6933.92</v>
      </c>
      <c r="H302">
        <f>pm.rep!E81</f>
        <v>10619.1</v>
      </c>
      <c r="I302">
        <f>pm.rep!F81</f>
        <v>2328.6999999999998</v>
      </c>
      <c r="J302">
        <f>pm.rep!G81</f>
        <v>540.91099999999994</v>
      </c>
      <c r="K302">
        <f>pm.rep!H81</f>
        <v>227.42099999999999</v>
      </c>
      <c r="L302">
        <f>pm.rep!I81</f>
        <v>132.10599999999999</v>
      </c>
      <c r="M302">
        <f>pm.rep!J81</f>
        <v>66.275700000000001</v>
      </c>
      <c r="N302">
        <f>pm.rep!K81</f>
        <v>36.001399999999997</v>
      </c>
      <c r="O302">
        <f>pm.rep!L81</f>
        <v>7.3979600000000003</v>
      </c>
      <c r="P302">
        <f>pm.rep!M81</f>
        <v>4.4702599999999997</v>
      </c>
      <c r="Q302">
        <f>pm.rep!N81</f>
        <v>3.5337200000000002</v>
      </c>
      <c r="R302">
        <f>pm.rep!O81</f>
        <v>2.0027200000000001</v>
      </c>
      <c r="S302">
        <f>pm.rep!P81</f>
        <v>1.81508</v>
      </c>
      <c r="U302" t="e">
        <f>#REF!</f>
        <v>#REF!</v>
      </c>
      <c r="V302" t="e">
        <f>#REF!</f>
        <v>#REF!</v>
      </c>
      <c r="W302" t="e">
        <f>#REF!</f>
        <v>#REF!</v>
      </c>
      <c r="X302" t="e">
        <f>#REF!</f>
        <v>#REF!</v>
      </c>
      <c r="Y302" t="e">
        <f>#REF!</f>
        <v>#REF!</v>
      </c>
      <c r="Z302" t="e">
        <f>#REF!</f>
        <v>#REF!</v>
      </c>
      <c r="AA302" t="e">
        <f>#REF!</f>
        <v>#REF!</v>
      </c>
      <c r="AB302" t="e">
        <f>#REF!</f>
        <v>#REF!</v>
      </c>
      <c r="AC302" t="e">
        <f>#REF!</f>
        <v>#REF!</v>
      </c>
      <c r="AD302" t="e">
        <f>#REF!</f>
        <v>#REF!</v>
      </c>
      <c r="AE302" t="e">
        <f>#REF!</f>
        <v>#REF!</v>
      </c>
      <c r="AF302" t="e">
        <f>#REF!</f>
        <v>#REF!</v>
      </c>
      <c r="AG302" t="e">
        <f>#REF!</f>
        <v>#REF!</v>
      </c>
      <c r="AH302" t="e">
        <f>#REF!</f>
        <v>#REF!</v>
      </c>
      <c r="AI302" t="e">
        <f>#REF!</f>
        <v>#REF!</v>
      </c>
    </row>
    <row r="303" spans="1:35" x14ac:dyDescent="0.15">
      <c r="A303">
        <f t="shared" si="85"/>
        <v>0.20807577672000002</v>
      </c>
      <c r="B303" s="26" t="e">
        <f t="shared" si="86"/>
        <v>#REF!</v>
      </c>
      <c r="C303" s="20">
        <v>0.15434400000000001</v>
      </c>
      <c r="D303">
        <v>1983</v>
      </c>
      <c r="E303">
        <f>pm.rep!B82</f>
        <v>52162.3</v>
      </c>
      <c r="F303">
        <f>pm.rep!C82</f>
        <v>6626.01</v>
      </c>
      <c r="G303">
        <f>pm.rep!D82</f>
        <v>7895.15</v>
      </c>
      <c r="H303">
        <f>pm.rep!E82</f>
        <v>4937.95</v>
      </c>
      <c r="I303">
        <f>pm.rep!F82</f>
        <v>6912.79</v>
      </c>
      <c r="J303">
        <f>pm.rep!G82</f>
        <v>1400.08</v>
      </c>
      <c r="K303">
        <f>pm.rep!H82</f>
        <v>320.00200000000001</v>
      </c>
      <c r="L303">
        <f>pm.rep!I82</f>
        <v>134.81100000000001</v>
      </c>
      <c r="M303">
        <f>pm.rep!J82</f>
        <v>78.058700000000002</v>
      </c>
      <c r="N303">
        <f>pm.rep!K82</f>
        <v>38.923499999999997</v>
      </c>
      <c r="O303">
        <f>pm.rep!L82</f>
        <v>21.1494</v>
      </c>
      <c r="P303">
        <f>pm.rep!M82</f>
        <v>4.3460099999999997</v>
      </c>
      <c r="Q303">
        <f>pm.rep!N82</f>
        <v>2.6261000000000001</v>
      </c>
      <c r="R303">
        <f>pm.rep!O82</f>
        <v>2.07592</v>
      </c>
      <c r="S303">
        <f>pm.rep!P82</f>
        <v>2.24281</v>
      </c>
      <c r="U303" t="e">
        <f>#REF!</f>
        <v>#REF!</v>
      </c>
      <c r="V303" t="e">
        <f>#REF!</f>
        <v>#REF!</v>
      </c>
      <c r="W303" t="e">
        <f>#REF!</f>
        <v>#REF!</v>
      </c>
      <c r="X303" t="e">
        <f>#REF!</f>
        <v>#REF!</v>
      </c>
      <c r="Y303" t="e">
        <f>#REF!</f>
        <v>#REF!</v>
      </c>
      <c r="Z303" t="e">
        <f>#REF!</f>
        <v>#REF!</v>
      </c>
      <c r="AA303" t="e">
        <f>#REF!</f>
        <v>#REF!</v>
      </c>
      <c r="AB303" t="e">
        <f>#REF!</f>
        <v>#REF!</v>
      </c>
      <c r="AC303" t="e">
        <f>#REF!</f>
        <v>#REF!</v>
      </c>
      <c r="AD303" t="e">
        <f>#REF!</f>
        <v>#REF!</v>
      </c>
      <c r="AE303" t="e">
        <f>#REF!</f>
        <v>#REF!</v>
      </c>
      <c r="AF303" t="e">
        <f>#REF!</f>
        <v>#REF!</v>
      </c>
      <c r="AG303" t="e">
        <f>#REF!</f>
        <v>#REF!</v>
      </c>
      <c r="AH303" t="e">
        <f>#REF!</f>
        <v>#REF!</v>
      </c>
      <c r="AI303" t="e">
        <f>#REF!</f>
        <v>#REF!</v>
      </c>
    </row>
    <row r="304" spans="1:35" x14ac:dyDescent="0.15">
      <c r="A304">
        <f t="shared" si="85"/>
        <v>0.20952234572</v>
      </c>
      <c r="B304" s="26" t="e">
        <f t="shared" si="86"/>
        <v>#REF!</v>
      </c>
      <c r="C304" s="20">
        <v>0.15345800000000001</v>
      </c>
      <c r="D304">
        <v>1984</v>
      </c>
      <c r="E304">
        <f>pm.rep!B83</f>
        <v>13572.8</v>
      </c>
      <c r="F304">
        <f>pm.rep!C83</f>
        <v>21200.1</v>
      </c>
      <c r="G304">
        <f>pm.rep!D83</f>
        <v>4193.2</v>
      </c>
      <c r="H304">
        <f>pm.rep!E83</f>
        <v>5677.6</v>
      </c>
      <c r="I304">
        <f>pm.rep!F83</f>
        <v>3339.89</v>
      </c>
      <c r="J304">
        <f>pm.rep!G83</f>
        <v>4387</v>
      </c>
      <c r="K304">
        <f>pm.rep!H83</f>
        <v>854.84199999999998</v>
      </c>
      <c r="L304">
        <f>pm.rep!I83</f>
        <v>195.61600000000001</v>
      </c>
      <c r="M304">
        <f>pm.rep!J83</f>
        <v>82.277699999999996</v>
      </c>
      <c r="N304">
        <f>pm.rep!K83</f>
        <v>47.154200000000003</v>
      </c>
      <c r="O304">
        <f>pm.rep!L83</f>
        <v>23.418399999999998</v>
      </c>
      <c r="P304">
        <f>pm.rep!M83</f>
        <v>12.724600000000001</v>
      </c>
      <c r="Q304">
        <f>pm.rep!N83</f>
        <v>2.6147900000000002</v>
      </c>
      <c r="R304">
        <f>pm.rep!O83</f>
        <v>1.58</v>
      </c>
      <c r="S304">
        <f>pm.rep!P83</f>
        <v>2.5983700000000001</v>
      </c>
      <c r="U304" t="e">
        <f>#REF!</f>
        <v>#REF!</v>
      </c>
      <c r="V304" t="e">
        <f>#REF!</f>
        <v>#REF!</v>
      </c>
      <c r="W304" t="e">
        <f>#REF!</f>
        <v>#REF!</v>
      </c>
      <c r="X304" t="e">
        <f>#REF!</f>
        <v>#REF!</v>
      </c>
      <c r="Y304" t="e">
        <f>#REF!</f>
        <v>#REF!</v>
      </c>
      <c r="Z304" t="e">
        <f>#REF!</f>
        <v>#REF!</v>
      </c>
      <c r="AA304" t="e">
        <f>#REF!</f>
        <v>#REF!</v>
      </c>
      <c r="AB304" t="e">
        <f>#REF!</f>
        <v>#REF!</v>
      </c>
      <c r="AC304" t="e">
        <f>#REF!</f>
        <v>#REF!</v>
      </c>
      <c r="AD304" t="e">
        <f>#REF!</f>
        <v>#REF!</v>
      </c>
      <c r="AE304" t="e">
        <f>#REF!</f>
        <v>#REF!</v>
      </c>
      <c r="AF304" t="e">
        <f>#REF!</f>
        <v>#REF!</v>
      </c>
      <c r="AG304" t="e">
        <f>#REF!</f>
        <v>#REF!</v>
      </c>
      <c r="AH304" t="e">
        <f>#REF!</f>
        <v>#REF!</v>
      </c>
      <c r="AI304" t="e">
        <f>#REF!</f>
        <v>#REF!</v>
      </c>
    </row>
    <row r="305" spans="1:35" x14ac:dyDescent="0.15">
      <c r="A305">
        <f t="shared" si="85"/>
        <v>0.21559176083999998</v>
      </c>
      <c r="B305" s="26" t="e">
        <f t="shared" si="86"/>
        <v>#REF!</v>
      </c>
      <c r="C305" s="20">
        <v>0.15532099999999999</v>
      </c>
      <c r="D305">
        <v>1985</v>
      </c>
      <c r="E305">
        <f>pm.rep!B84</f>
        <v>34631.9</v>
      </c>
      <c r="F305">
        <f>pm.rep!C84</f>
        <v>5516.6</v>
      </c>
      <c r="G305">
        <f>pm.rep!D84</f>
        <v>13436.4</v>
      </c>
      <c r="H305">
        <f>pm.rep!E84</f>
        <v>3017.32</v>
      </c>
      <c r="I305">
        <f>pm.rep!F84</f>
        <v>3880.54</v>
      </c>
      <c r="J305">
        <f>pm.rep!G84</f>
        <v>2112.8000000000002</v>
      </c>
      <c r="K305">
        <f>pm.rep!H84</f>
        <v>2703.67</v>
      </c>
      <c r="L305">
        <f>pm.rep!I84</f>
        <v>522.27200000000005</v>
      </c>
      <c r="M305">
        <f>pm.rep!J84</f>
        <v>119.622</v>
      </c>
      <c r="N305">
        <f>pm.rep!K84</f>
        <v>49.792200000000001</v>
      </c>
      <c r="O305">
        <f>pm.rep!L84</f>
        <v>28.3294</v>
      </c>
      <c r="P305">
        <f>pm.rep!M84</f>
        <v>14.0694</v>
      </c>
      <c r="Q305">
        <f>pm.rep!N84</f>
        <v>7.6447099999999999</v>
      </c>
      <c r="R305">
        <f>pm.rep!O84</f>
        <v>1.5709200000000001</v>
      </c>
      <c r="S305">
        <f>pm.rep!P84</f>
        <v>2.5102899999999999</v>
      </c>
      <c r="U305" t="e">
        <f>#REF!</f>
        <v>#REF!</v>
      </c>
      <c r="V305" t="e">
        <f>#REF!</f>
        <v>#REF!</v>
      </c>
      <c r="W305" t="e">
        <f>#REF!</f>
        <v>#REF!</v>
      </c>
      <c r="X305" t="e">
        <f>#REF!</f>
        <v>#REF!</v>
      </c>
      <c r="Y305" t="e">
        <f>#REF!</f>
        <v>#REF!</v>
      </c>
      <c r="Z305" t="e">
        <f>#REF!</f>
        <v>#REF!</v>
      </c>
      <c r="AA305" t="e">
        <f>#REF!</f>
        <v>#REF!</v>
      </c>
      <c r="AB305" t="e">
        <f>#REF!</f>
        <v>#REF!</v>
      </c>
      <c r="AC305" t="e">
        <f>#REF!</f>
        <v>#REF!</v>
      </c>
      <c r="AD305" t="e">
        <f>#REF!</f>
        <v>#REF!</v>
      </c>
      <c r="AE305" t="e">
        <f>#REF!</f>
        <v>#REF!</v>
      </c>
      <c r="AF305" t="e">
        <f>#REF!</f>
        <v>#REF!</v>
      </c>
      <c r="AG305" t="e">
        <f>#REF!</f>
        <v>#REF!</v>
      </c>
      <c r="AH305" t="e">
        <f>#REF!</f>
        <v>#REF!</v>
      </c>
      <c r="AI305" t="e">
        <f>#REF!</f>
        <v>#REF!</v>
      </c>
    </row>
    <row r="306" spans="1:35" x14ac:dyDescent="0.15">
      <c r="A306">
        <f t="shared" si="85"/>
        <v>0.20072017693000002</v>
      </c>
      <c r="B306" s="26" t="e">
        <f t="shared" si="86"/>
        <v>#REF!</v>
      </c>
      <c r="C306" s="20">
        <v>0.144151</v>
      </c>
      <c r="D306">
        <v>1986</v>
      </c>
      <c r="E306">
        <f>pm.rep!B85</f>
        <v>14545.4</v>
      </c>
      <c r="F306">
        <f>pm.rep!C85</f>
        <v>14076.6</v>
      </c>
      <c r="G306">
        <f>pm.rep!D85</f>
        <v>3495.58</v>
      </c>
      <c r="H306">
        <f>pm.rep!E85</f>
        <v>9643.9500000000007</v>
      </c>
      <c r="I306">
        <f>pm.rep!F85</f>
        <v>2079.1799999999998</v>
      </c>
      <c r="J306">
        <f>pm.rep!G85</f>
        <v>2532.64</v>
      </c>
      <c r="K306">
        <f>pm.rep!H85</f>
        <v>1281.8900000000001</v>
      </c>
      <c r="L306">
        <f>pm.rep!I85</f>
        <v>1644.83</v>
      </c>
      <c r="M306">
        <f>pm.rep!J85</f>
        <v>317.73500000000001</v>
      </c>
      <c r="N306">
        <f>pm.rep!K85</f>
        <v>72.165400000000005</v>
      </c>
      <c r="O306">
        <f>pm.rep!L85</f>
        <v>29.7333</v>
      </c>
      <c r="P306">
        <f>pm.rep!M85</f>
        <v>16.916799999999999</v>
      </c>
      <c r="Q306">
        <f>pm.rep!N85</f>
        <v>8.4014900000000008</v>
      </c>
      <c r="R306">
        <f>pm.rep!O85</f>
        <v>4.5650199999999996</v>
      </c>
      <c r="S306">
        <f>pm.rep!P85</f>
        <v>2.4370799999999999</v>
      </c>
      <c r="U306" t="e">
        <f>#REF!</f>
        <v>#REF!</v>
      </c>
      <c r="V306" t="e">
        <f>#REF!</f>
        <v>#REF!</v>
      </c>
      <c r="W306" t="e">
        <f>#REF!</f>
        <v>#REF!</v>
      </c>
      <c r="X306" t="e">
        <f>#REF!</f>
        <v>#REF!</v>
      </c>
      <c r="Y306" t="e">
        <f>#REF!</f>
        <v>#REF!</v>
      </c>
      <c r="Z306" t="e">
        <f>#REF!</f>
        <v>#REF!</v>
      </c>
      <c r="AA306" t="e">
        <f>#REF!</f>
        <v>#REF!</v>
      </c>
      <c r="AB306" t="e">
        <f>#REF!</f>
        <v>#REF!</v>
      </c>
      <c r="AC306" t="e">
        <f>#REF!</f>
        <v>#REF!</v>
      </c>
      <c r="AD306" t="e">
        <f>#REF!</f>
        <v>#REF!</v>
      </c>
      <c r="AE306" t="e">
        <f>#REF!</f>
        <v>#REF!</v>
      </c>
      <c r="AF306" t="e">
        <f>#REF!</f>
        <v>#REF!</v>
      </c>
      <c r="AG306" t="e">
        <f>#REF!</f>
        <v>#REF!</v>
      </c>
      <c r="AH306" t="e">
        <f>#REF!</f>
        <v>#REF!</v>
      </c>
      <c r="AI306" t="e">
        <f>#REF!</f>
        <v>#REF!</v>
      </c>
    </row>
    <row r="307" spans="1:35" x14ac:dyDescent="0.15">
      <c r="A307">
        <f t="shared" si="85"/>
        <v>0.15041744192000001</v>
      </c>
      <c r="B307" s="26" t="e">
        <f t="shared" si="86"/>
        <v>#REF!</v>
      </c>
      <c r="C307" s="20">
        <v>0.105296</v>
      </c>
      <c r="D307">
        <v>1987</v>
      </c>
      <c r="E307">
        <f>pm.rep!B86</f>
        <v>7835.33</v>
      </c>
      <c r="F307">
        <f>pm.rep!C86</f>
        <v>5912.49</v>
      </c>
      <c r="G307">
        <f>pm.rep!D86</f>
        <v>8925.2199999999993</v>
      </c>
      <c r="H307">
        <f>pm.rep!E86</f>
        <v>2509.0700000000002</v>
      </c>
      <c r="I307">
        <f>pm.rep!F86</f>
        <v>6610.44</v>
      </c>
      <c r="J307">
        <f>pm.rep!G86</f>
        <v>1374.88</v>
      </c>
      <c r="K307">
        <f>pm.rep!H86</f>
        <v>1571.89</v>
      </c>
      <c r="L307">
        <f>pm.rep!I86</f>
        <v>789.82299999999998</v>
      </c>
      <c r="M307">
        <f>pm.rep!J86</f>
        <v>1025.6199999999999</v>
      </c>
      <c r="N307">
        <f>pm.rep!K86</f>
        <v>193.56299999999999</v>
      </c>
      <c r="O307">
        <f>pm.rep!L86</f>
        <v>43.738999999999997</v>
      </c>
      <c r="P307">
        <f>pm.rep!M86</f>
        <v>18.0212</v>
      </c>
      <c r="Q307">
        <f>pm.rep!N86</f>
        <v>10.2532</v>
      </c>
      <c r="R307">
        <f>pm.rep!O86</f>
        <v>5.0921000000000003</v>
      </c>
      <c r="S307">
        <f>pm.rep!P86</f>
        <v>4.2439299999999998</v>
      </c>
      <c r="U307" t="e">
        <f>#REF!</f>
        <v>#REF!</v>
      </c>
      <c r="V307" t="e">
        <f>#REF!</f>
        <v>#REF!</v>
      </c>
      <c r="W307" t="e">
        <f>#REF!</f>
        <v>#REF!</v>
      </c>
      <c r="X307" t="e">
        <f>#REF!</f>
        <v>#REF!</v>
      </c>
      <c r="Y307" t="e">
        <f>#REF!</f>
        <v>#REF!</v>
      </c>
      <c r="Z307" t="e">
        <f>#REF!</f>
        <v>#REF!</v>
      </c>
      <c r="AA307" t="e">
        <f>#REF!</f>
        <v>#REF!</v>
      </c>
      <c r="AB307" t="e">
        <f>#REF!</f>
        <v>#REF!</v>
      </c>
      <c r="AC307" t="e">
        <f>#REF!</f>
        <v>#REF!</v>
      </c>
      <c r="AD307" t="e">
        <f>#REF!</f>
        <v>#REF!</v>
      </c>
      <c r="AE307" t="e">
        <f>#REF!</f>
        <v>#REF!</v>
      </c>
      <c r="AF307" t="e">
        <f>#REF!</f>
        <v>#REF!</v>
      </c>
      <c r="AG307" t="e">
        <f>#REF!</f>
        <v>#REF!</v>
      </c>
      <c r="AH307" t="e">
        <f>#REF!</f>
        <v>#REF!</v>
      </c>
      <c r="AI307" t="e">
        <f>#REF!</f>
        <v>#REF!</v>
      </c>
    </row>
    <row r="308" spans="1:35" x14ac:dyDescent="0.15">
      <c r="A308">
        <f t="shared" si="85"/>
        <v>0.19172664680000001</v>
      </c>
      <c r="B308" s="26" t="e">
        <f t="shared" si="86"/>
        <v>#REF!</v>
      </c>
      <c r="C308" s="20">
        <v>0.14027000000000001</v>
      </c>
      <c r="D308">
        <v>1988</v>
      </c>
      <c r="E308">
        <f>pm.rep!B87</f>
        <v>5561.46</v>
      </c>
      <c r="F308">
        <f>pm.rep!C87</f>
        <v>3185.19</v>
      </c>
      <c r="G308">
        <f>pm.rep!D87</f>
        <v>3755.53</v>
      </c>
      <c r="H308">
        <f>pm.rep!E87</f>
        <v>6445.86</v>
      </c>
      <c r="I308">
        <f>pm.rep!F87</f>
        <v>1765.34</v>
      </c>
      <c r="J308">
        <f>pm.rep!G87</f>
        <v>4509.9799999999996</v>
      </c>
      <c r="K308">
        <f>pm.rep!H87</f>
        <v>905.13900000000001</v>
      </c>
      <c r="L308">
        <f>pm.rep!I87</f>
        <v>1029.6300000000001</v>
      </c>
      <c r="M308">
        <f>pm.rep!J87</f>
        <v>508.08300000000003</v>
      </c>
      <c r="N308">
        <f>pm.rep!K87</f>
        <v>653.68799999999999</v>
      </c>
      <c r="O308">
        <f>pm.rep!L87</f>
        <v>123.76300000000001</v>
      </c>
      <c r="P308">
        <f>pm.rep!M87</f>
        <v>27.9664</v>
      </c>
      <c r="Q308">
        <f>pm.rep!N87</f>
        <v>11.522600000000001</v>
      </c>
      <c r="R308">
        <f>pm.rep!O87</f>
        <v>6.5558199999999998</v>
      </c>
      <c r="S308">
        <f>pm.rep!P87</f>
        <v>5.9693899999999998</v>
      </c>
      <c r="U308" t="e">
        <f>#REF!</f>
        <v>#REF!</v>
      </c>
      <c r="V308" t="e">
        <f>#REF!</f>
        <v>#REF!</v>
      </c>
      <c r="W308" t="e">
        <f>#REF!</f>
        <v>#REF!</v>
      </c>
      <c r="X308" t="e">
        <f>#REF!</f>
        <v>#REF!</v>
      </c>
      <c r="Y308" t="e">
        <f>#REF!</f>
        <v>#REF!</v>
      </c>
      <c r="Z308" t="e">
        <f>#REF!</f>
        <v>#REF!</v>
      </c>
      <c r="AA308" t="e">
        <f>#REF!</f>
        <v>#REF!</v>
      </c>
      <c r="AB308" t="e">
        <f>#REF!</f>
        <v>#REF!</v>
      </c>
      <c r="AC308" t="e">
        <f>#REF!</f>
        <v>#REF!</v>
      </c>
      <c r="AD308" t="e">
        <f>#REF!</f>
        <v>#REF!</v>
      </c>
      <c r="AE308" t="e">
        <f>#REF!</f>
        <v>#REF!</v>
      </c>
      <c r="AF308" t="e">
        <f>#REF!</f>
        <v>#REF!</v>
      </c>
      <c r="AG308" t="e">
        <f>#REF!</f>
        <v>#REF!</v>
      </c>
      <c r="AH308" t="e">
        <f>#REF!</f>
        <v>#REF!</v>
      </c>
      <c r="AI308" t="e">
        <f>#REF!</f>
        <v>#REF!</v>
      </c>
    </row>
    <row r="309" spans="1:35" x14ac:dyDescent="0.15">
      <c r="A309">
        <f t="shared" si="85"/>
        <v>0.20974039204</v>
      </c>
      <c r="B309" s="26" t="e">
        <f t="shared" si="86"/>
        <v>#REF!</v>
      </c>
      <c r="C309" s="20">
        <v>0.142732</v>
      </c>
      <c r="D309">
        <v>1989</v>
      </c>
      <c r="E309">
        <f>pm.rep!B88</f>
        <v>11102.8</v>
      </c>
      <c r="F309">
        <f>pm.rep!C88</f>
        <v>2260.7800000000002</v>
      </c>
      <c r="G309">
        <f>pm.rep!D88</f>
        <v>2020.97</v>
      </c>
      <c r="H309">
        <f>pm.rep!E88</f>
        <v>2627.97</v>
      </c>
      <c r="I309">
        <f>pm.rep!F88</f>
        <v>4431.8100000000004</v>
      </c>
      <c r="J309">
        <f>pm.rep!G88</f>
        <v>1148.5899999999999</v>
      </c>
      <c r="K309">
        <f>pm.rep!H88</f>
        <v>2867.89</v>
      </c>
      <c r="L309">
        <f>pm.rep!I88</f>
        <v>554.75699999999995</v>
      </c>
      <c r="M309">
        <f>pm.rep!J88</f>
        <v>636.34799999999996</v>
      </c>
      <c r="N309">
        <f>pm.rep!K88</f>
        <v>310.72800000000001</v>
      </c>
      <c r="O309">
        <f>pm.rep!L88</f>
        <v>401.65100000000001</v>
      </c>
      <c r="P309">
        <f>pm.rep!M88</f>
        <v>76.044600000000003</v>
      </c>
      <c r="Q309">
        <f>pm.rep!N88</f>
        <v>17.183599999999998</v>
      </c>
      <c r="R309">
        <f>pm.rep!O88</f>
        <v>7.0799300000000001</v>
      </c>
      <c r="S309">
        <f>pm.rep!P88</f>
        <v>7.6959600000000004</v>
      </c>
      <c r="U309" t="e">
        <f>#REF!</f>
        <v>#REF!</v>
      </c>
      <c r="V309" t="e">
        <f>#REF!</f>
        <v>#REF!</v>
      </c>
      <c r="W309" t="e">
        <f>#REF!</f>
        <v>#REF!</v>
      </c>
      <c r="X309" t="e">
        <f>#REF!</f>
        <v>#REF!</v>
      </c>
      <c r="Y309" t="e">
        <f>#REF!</f>
        <v>#REF!</v>
      </c>
      <c r="Z309" t="e">
        <f>#REF!</f>
        <v>#REF!</v>
      </c>
      <c r="AA309" t="e">
        <f>#REF!</f>
        <v>#REF!</v>
      </c>
      <c r="AB309" t="e">
        <f>#REF!</f>
        <v>#REF!</v>
      </c>
      <c r="AC309" t="e">
        <f>#REF!</f>
        <v>#REF!</v>
      </c>
      <c r="AD309" t="e">
        <f>#REF!</f>
        <v>#REF!</v>
      </c>
      <c r="AE309" t="e">
        <f>#REF!</f>
        <v>#REF!</v>
      </c>
      <c r="AF309" t="e">
        <f>#REF!</f>
        <v>#REF!</v>
      </c>
      <c r="AG309" t="e">
        <f>#REF!</f>
        <v>#REF!</v>
      </c>
      <c r="AH309" t="e">
        <f>#REF!</f>
        <v>#REF!</v>
      </c>
      <c r="AI309" t="e">
        <f>#REF!</f>
        <v>#REF!</v>
      </c>
    </row>
    <row r="310" spans="1:35" x14ac:dyDescent="0.15">
      <c r="A310">
        <f t="shared" si="85"/>
        <v>0.28533617756000001</v>
      </c>
      <c r="B310" s="26" t="e">
        <f t="shared" si="86"/>
        <v>#REF!</v>
      </c>
      <c r="C310" s="20">
        <v>0.206068</v>
      </c>
      <c r="D310">
        <v>1990</v>
      </c>
      <c r="E310">
        <f>pm.rep!B89</f>
        <v>48848.1</v>
      </c>
      <c r="F310">
        <f>pm.rep!C89</f>
        <v>4513.45</v>
      </c>
      <c r="G310">
        <f>pm.rep!D89</f>
        <v>1434.67</v>
      </c>
      <c r="H310">
        <f>pm.rep!E89</f>
        <v>1436.07</v>
      </c>
      <c r="I310">
        <f>pm.rep!F89</f>
        <v>1780.46</v>
      </c>
      <c r="J310">
        <f>pm.rep!G89</f>
        <v>2872.5</v>
      </c>
      <c r="K310">
        <f>pm.rep!H89</f>
        <v>721.34100000000001</v>
      </c>
      <c r="L310">
        <f>pm.rep!I89</f>
        <v>1722.6</v>
      </c>
      <c r="M310">
        <f>pm.rep!J89</f>
        <v>337.46199999999999</v>
      </c>
      <c r="N310">
        <f>pm.rep!K89</f>
        <v>390.92700000000002</v>
      </c>
      <c r="O310">
        <f>pm.rep!L89</f>
        <v>191.24299999999999</v>
      </c>
      <c r="P310">
        <f>pm.rep!M89</f>
        <v>247.203</v>
      </c>
      <c r="Q310">
        <f>pm.rep!N89</f>
        <v>46.803100000000001</v>
      </c>
      <c r="R310">
        <f>pm.rep!O89</f>
        <v>10.576000000000001</v>
      </c>
      <c r="S310">
        <f>pm.rep!P89</f>
        <v>9.0940999999999992</v>
      </c>
      <c r="U310" t="e">
        <f>#REF!</f>
        <v>#REF!</v>
      </c>
      <c r="V310" t="e">
        <f>#REF!</f>
        <v>#REF!</v>
      </c>
      <c r="W310" t="e">
        <f>#REF!</f>
        <v>#REF!</v>
      </c>
      <c r="X310" t="e">
        <f>#REF!</f>
        <v>#REF!</v>
      </c>
      <c r="Y310" t="e">
        <f>#REF!</f>
        <v>#REF!</v>
      </c>
      <c r="Z310" t="e">
        <f>#REF!</f>
        <v>#REF!</v>
      </c>
      <c r="AA310" t="e">
        <f>#REF!</f>
        <v>#REF!</v>
      </c>
      <c r="AB310" t="e">
        <f>#REF!</f>
        <v>#REF!</v>
      </c>
      <c r="AC310" t="e">
        <f>#REF!</f>
        <v>#REF!</v>
      </c>
      <c r="AD310" t="e">
        <f>#REF!</f>
        <v>#REF!</v>
      </c>
      <c r="AE310" t="e">
        <f>#REF!</f>
        <v>#REF!</v>
      </c>
      <c r="AF310" t="e">
        <f>#REF!</f>
        <v>#REF!</v>
      </c>
      <c r="AG310" t="e">
        <f>#REF!</f>
        <v>#REF!</v>
      </c>
      <c r="AH310" t="e">
        <f>#REF!</f>
        <v>#REF!</v>
      </c>
      <c r="AI310" t="e">
        <f>#REF!</f>
        <v>#REF!</v>
      </c>
    </row>
    <row r="311" spans="1:35" x14ac:dyDescent="0.15">
      <c r="A311">
        <f t="shared" si="85"/>
        <v>0.33236526364000002</v>
      </c>
      <c r="B311" s="26" t="e">
        <f t="shared" si="86"/>
        <v>#REF!</v>
      </c>
      <c r="C311" s="20">
        <v>0.237236</v>
      </c>
      <c r="D311">
        <v>1991</v>
      </c>
      <c r="E311">
        <f>pm.rep!B90</f>
        <v>25581.3</v>
      </c>
      <c r="F311">
        <f>pm.rep!C90</f>
        <v>19857</v>
      </c>
      <c r="G311">
        <f>pm.rep!D90</f>
        <v>2858.66</v>
      </c>
      <c r="H311">
        <f>pm.rep!E90</f>
        <v>1015.24</v>
      </c>
      <c r="I311">
        <f>pm.rep!F90</f>
        <v>925.85299999999995</v>
      </c>
      <c r="J311">
        <f>pm.rep!G90</f>
        <v>1050.05</v>
      </c>
      <c r="K311">
        <f>pm.rep!H90</f>
        <v>1657.8</v>
      </c>
      <c r="L311">
        <f>pm.rep!I90</f>
        <v>403.81900000000002</v>
      </c>
      <c r="M311">
        <f>pm.rep!J90</f>
        <v>959.34799999999996</v>
      </c>
      <c r="N311">
        <f>pm.rep!K90</f>
        <v>189.99700000000001</v>
      </c>
      <c r="O311">
        <f>pm.rep!L90</f>
        <v>222.494</v>
      </c>
      <c r="P311">
        <f>pm.rep!M90</f>
        <v>108.845</v>
      </c>
      <c r="Q311">
        <f>pm.rep!N90</f>
        <v>140.69399999999999</v>
      </c>
      <c r="R311">
        <f>pm.rep!O90</f>
        <v>26.637599999999999</v>
      </c>
      <c r="S311">
        <f>pm.rep!P90</f>
        <v>11.1951</v>
      </c>
      <c r="U311" t="e">
        <f>#REF!</f>
        <v>#REF!</v>
      </c>
      <c r="V311" t="e">
        <f>#REF!</f>
        <v>#REF!</v>
      </c>
      <c r="W311" t="e">
        <f>#REF!</f>
        <v>#REF!</v>
      </c>
      <c r="X311" t="e">
        <f>#REF!</f>
        <v>#REF!</v>
      </c>
      <c r="Y311" t="e">
        <f>#REF!</f>
        <v>#REF!</v>
      </c>
      <c r="Z311" t="e">
        <f>#REF!</f>
        <v>#REF!</v>
      </c>
      <c r="AA311" t="e">
        <f>#REF!</f>
        <v>#REF!</v>
      </c>
      <c r="AB311" t="e">
        <f>#REF!</f>
        <v>#REF!</v>
      </c>
      <c r="AC311" t="e">
        <f>#REF!</f>
        <v>#REF!</v>
      </c>
      <c r="AD311" t="e">
        <f>#REF!</f>
        <v>#REF!</v>
      </c>
      <c r="AE311" t="e">
        <f>#REF!</f>
        <v>#REF!</v>
      </c>
      <c r="AF311" t="e">
        <f>#REF!</f>
        <v>#REF!</v>
      </c>
      <c r="AG311" t="e">
        <f>#REF!</f>
        <v>#REF!</v>
      </c>
      <c r="AH311" t="e">
        <f>#REF!</f>
        <v>#REF!</v>
      </c>
      <c r="AI311" t="e">
        <f>#REF!</f>
        <v>#REF!</v>
      </c>
    </row>
    <row r="312" spans="1:35" x14ac:dyDescent="0.15">
      <c r="A312">
        <f t="shared" si="85"/>
        <v>0.45726475169999997</v>
      </c>
      <c r="B312" s="26" t="e">
        <f t="shared" si="86"/>
        <v>#REF!</v>
      </c>
      <c r="C312" s="20">
        <v>0.31678600000000001</v>
      </c>
      <c r="D312">
        <v>1992</v>
      </c>
      <c r="E312">
        <f>pm.rep!B91</f>
        <v>22780.799999999999</v>
      </c>
      <c r="F312">
        <f>pm.rep!C91</f>
        <v>10399</v>
      </c>
      <c r="G312">
        <f>pm.rep!D91</f>
        <v>12571.5</v>
      </c>
      <c r="H312">
        <f>pm.rep!E91</f>
        <v>2041.8</v>
      </c>
      <c r="I312">
        <f>pm.rep!F91</f>
        <v>669.51900000000001</v>
      </c>
      <c r="J312">
        <f>pm.rep!G91</f>
        <v>558.52300000000002</v>
      </c>
      <c r="K312">
        <f>pm.rep!H91</f>
        <v>604.03499999999997</v>
      </c>
      <c r="L312">
        <f>pm.rep!I91</f>
        <v>884.06799999999998</v>
      </c>
      <c r="M312">
        <f>pm.rep!J91</f>
        <v>223.084</v>
      </c>
      <c r="N312">
        <f>pm.rep!K91</f>
        <v>509.733</v>
      </c>
      <c r="O312">
        <f>pm.rep!L91</f>
        <v>101.09699999999999</v>
      </c>
      <c r="P312">
        <f>pm.rep!M91</f>
        <v>118.389</v>
      </c>
      <c r="Q312">
        <f>pm.rep!N91</f>
        <v>57.916200000000003</v>
      </c>
      <c r="R312">
        <f>pm.rep!O91</f>
        <v>74.863200000000006</v>
      </c>
      <c r="S312">
        <f>pm.rep!P91</f>
        <v>20.130700000000001</v>
      </c>
      <c r="U312" t="e">
        <f>#REF!</f>
        <v>#REF!</v>
      </c>
      <c r="V312" t="e">
        <f>#REF!</f>
        <v>#REF!</v>
      </c>
      <c r="W312" t="e">
        <f>#REF!</f>
        <v>#REF!</v>
      </c>
      <c r="X312" t="e">
        <f>#REF!</f>
        <v>#REF!</v>
      </c>
      <c r="Y312" t="e">
        <f>#REF!</f>
        <v>#REF!</v>
      </c>
      <c r="Z312" t="e">
        <f>#REF!</f>
        <v>#REF!</v>
      </c>
      <c r="AA312" t="e">
        <f>#REF!</f>
        <v>#REF!</v>
      </c>
      <c r="AB312" t="e">
        <f>#REF!</f>
        <v>#REF!</v>
      </c>
      <c r="AC312" t="e">
        <f>#REF!</f>
        <v>#REF!</v>
      </c>
      <c r="AD312" t="e">
        <f>#REF!</f>
        <v>#REF!</v>
      </c>
      <c r="AE312" t="e">
        <f>#REF!</f>
        <v>#REF!</v>
      </c>
      <c r="AF312" t="e">
        <f>#REF!</f>
        <v>#REF!</v>
      </c>
      <c r="AG312" t="e">
        <f>#REF!</f>
        <v>#REF!</v>
      </c>
      <c r="AH312" t="e">
        <f>#REF!</f>
        <v>#REF!</v>
      </c>
      <c r="AI312" t="e">
        <f>#REF!</f>
        <v>#REF!</v>
      </c>
    </row>
    <row r="313" spans="1:35" x14ac:dyDescent="0.15">
      <c r="A313">
        <f t="shared" si="85"/>
        <v>0.30252801384</v>
      </c>
      <c r="B313" s="26" t="e">
        <f t="shared" si="86"/>
        <v>#REF!</v>
      </c>
      <c r="C313" s="20">
        <v>0.21287400000000001</v>
      </c>
      <c r="D313">
        <v>1993</v>
      </c>
      <c r="E313">
        <f>pm.rep!B92</f>
        <v>46863.199999999997</v>
      </c>
      <c r="F313">
        <f>pm.rep!C92</f>
        <v>9260.4</v>
      </c>
      <c r="G313">
        <f>pm.rep!D92</f>
        <v>6574.82</v>
      </c>
      <c r="H313">
        <f>pm.rep!E92</f>
        <v>8722.6200000000008</v>
      </c>
      <c r="I313">
        <f>pm.rep!F92</f>
        <v>1341.63</v>
      </c>
      <c r="J313">
        <f>pm.rep!G92</f>
        <v>406.24400000000003</v>
      </c>
      <c r="K313">
        <f>pm.rep!H92</f>
        <v>299.82799999999997</v>
      </c>
      <c r="L313">
        <f>pm.rep!I92</f>
        <v>292.62599999999998</v>
      </c>
      <c r="M313">
        <f>pm.rep!J92</f>
        <v>416.21800000000002</v>
      </c>
      <c r="N313">
        <f>pm.rep!K92</f>
        <v>104.61499999999999</v>
      </c>
      <c r="O313">
        <f>pm.rep!L92</f>
        <v>240.75299999999999</v>
      </c>
      <c r="P313">
        <f>pm.rep!M92</f>
        <v>47.749400000000001</v>
      </c>
      <c r="Q313">
        <f>pm.rep!N92</f>
        <v>55.916499999999999</v>
      </c>
      <c r="R313">
        <f>pm.rep!O92</f>
        <v>27.354600000000001</v>
      </c>
      <c r="S313">
        <f>pm.rep!P92</f>
        <v>44.866799999999998</v>
      </c>
      <c r="U313" t="e">
        <f>#REF!</f>
        <v>#REF!</v>
      </c>
      <c r="V313" t="e">
        <f>#REF!</f>
        <v>#REF!</v>
      </c>
      <c r="W313" t="e">
        <f>#REF!</f>
        <v>#REF!</v>
      </c>
      <c r="X313" t="e">
        <f>#REF!</f>
        <v>#REF!</v>
      </c>
      <c r="Y313" t="e">
        <f>#REF!</f>
        <v>#REF!</v>
      </c>
      <c r="Z313" t="e">
        <f>#REF!</f>
        <v>#REF!</v>
      </c>
      <c r="AA313" t="e">
        <f>#REF!</f>
        <v>#REF!</v>
      </c>
      <c r="AB313" t="e">
        <f>#REF!</f>
        <v>#REF!</v>
      </c>
      <c r="AC313" t="e">
        <f>#REF!</f>
        <v>#REF!</v>
      </c>
      <c r="AD313" t="e">
        <f>#REF!</f>
        <v>#REF!</v>
      </c>
      <c r="AE313" t="e">
        <f>#REF!</f>
        <v>#REF!</v>
      </c>
      <c r="AF313" t="e">
        <f>#REF!</f>
        <v>#REF!</v>
      </c>
      <c r="AG313" t="e">
        <f>#REF!</f>
        <v>#REF!</v>
      </c>
      <c r="AH313" t="e">
        <f>#REF!</f>
        <v>#REF!</v>
      </c>
      <c r="AI313" t="e">
        <f>#REF!</f>
        <v>#REF!</v>
      </c>
    </row>
    <row r="314" spans="1:35" x14ac:dyDescent="0.15">
      <c r="A314">
        <f t="shared" si="85"/>
        <v>0.27792042612000001</v>
      </c>
      <c r="B314" s="26" t="e">
        <f t="shared" si="86"/>
        <v>#REF!</v>
      </c>
      <c r="C314" s="20">
        <v>0.198577</v>
      </c>
      <c r="D314">
        <v>1994</v>
      </c>
      <c r="E314">
        <f>pm.rep!B93</f>
        <v>15942.8</v>
      </c>
      <c r="F314">
        <f>pm.rep!C93</f>
        <v>19051.2</v>
      </c>
      <c r="G314">
        <f>pm.rep!D93</f>
        <v>5882.78</v>
      </c>
      <c r="H314">
        <f>pm.rep!E93</f>
        <v>4674.55</v>
      </c>
      <c r="I314">
        <f>pm.rep!F93</f>
        <v>5550.3</v>
      </c>
      <c r="J314">
        <f>pm.rep!G93</f>
        <v>868.91099999999994</v>
      </c>
      <c r="K314">
        <f>pm.rep!H93</f>
        <v>242.44200000000001</v>
      </c>
      <c r="L314">
        <f>pm.rep!I93</f>
        <v>164.13300000000001</v>
      </c>
      <c r="M314">
        <f>pm.rep!J93</f>
        <v>160.26400000000001</v>
      </c>
      <c r="N314">
        <f>pm.rep!K93</f>
        <v>228.08699999999999</v>
      </c>
      <c r="O314">
        <f>pm.rep!L93</f>
        <v>57.996499999999997</v>
      </c>
      <c r="P314">
        <f>pm.rep!M93</f>
        <v>133.46899999999999</v>
      </c>
      <c r="Q314">
        <f>pm.rep!N93</f>
        <v>26.471299999999999</v>
      </c>
      <c r="R314">
        <f>pm.rep!O93</f>
        <v>30.998999999999999</v>
      </c>
      <c r="S314">
        <f>pm.rep!P93</f>
        <v>40.038200000000003</v>
      </c>
      <c r="U314" t="e">
        <f>#REF!</f>
        <v>#REF!</v>
      </c>
      <c r="V314" t="e">
        <f>#REF!</f>
        <v>#REF!</v>
      </c>
      <c r="W314" t="e">
        <f>#REF!</f>
        <v>#REF!</v>
      </c>
      <c r="X314" t="e">
        <f>#REF!</f>
        <v>#REF!</v>
      </c>
      <c r="Y314" t="e">
        <f>#REF!</f>
        <v>#REF!</v>
      </c>
      <c r="Z314" t="e">
        <f>#REF!</f>
        <v>#REF!</v>
      </c>
      <c r="AA314" t="e">
        <f>#REF!</f>
        <v>#REF!</v>
      </c>
      <c r="AB314" t="e">
        <f>#REF!</f>
        <v>#REF!</v>
      </c>
      <c r="AC314" t="e">
        <f>#REF!</f>
        <v>#REF!</v>
      </c>
      <c r="AD314" t="e">
        <f>#REF!</f>
        <v>#REF!</v>
      </c>
      <c r="AE314" t="e">
        <f>#REF!</f>
        <v>#REF!</v>
      </c>
      <c r="AF314" t="e">
        <f>#REF!</f>
        <v>#REF!</v>
      </c>
      <c r="AG314" t="e">
        <f>#REF!</f>
        <v>#REF!</v>
      </c>
      <c r="AH314" t="e">
        <f>#REF!</f>
        <v>#REF!</v>
      </c>
      <c r="AI314" t="e">
        <f>#REF!</f>
        <v>#REF!</v>
      </c>
    </row>
    <row r="315" spans="1:35" x14ac:dyDescent="0.15">
      <c r="A315">
        <f t="shared" si="85"/>
        <v>0.30435102016000004</v>
      </c>
      <c r="B315" s="26" t="e">
        <f t="shared" si="86"/>
        <v>#REF!</v>
      </c>
      <c r="C315" s="20">
        <v>0.19339100000000001</v>
      </c>
      <c r="D315">
        <v>1995</v>
      </c>
      <c r="E315">
        <f>pm.rep!B94</f>
        <v>10904.9</v>
      </c>
      <c r="F315">
        <f>pm.rep!C94</f>
        <v>6481.33</v>
      </c>
      <c r="G315">
        <f>pm.rep!D94</f>
        <v>12108.4</v>
      </c>
      <c r="H315">
        <f>pm.rep!E94</f>
        <v>4276.8100000000004</v>
      </c>
      <c r="I315">
        <f>pm.rep!F94</f>
        <v>3180.95</v>
      </c>
      <c r="J315">
        <f>pm.rep!G94</f>
        <v>3283.07</v>
      </c>
      <c r="K315">
        <f>pm.rep!H94</f>
        <v>517.85</v>
      </c>
      <c r="L315">
        <f>pm.rep!I94</f>
        <v>136.02500000000001</v>
      </c>
      <c r="M315">
        <f>pm.rep!J94</f>
        <v>92.2149</v>
      </c>
      <c r="N315">
        <f>pm.rep!K94</f>
        <v>90.339699999999993</v>
      </c>
      <c r="O315">
        <f>pm.rep!L94</f>
        <v>129.39400000000001</v>
      </c>
      <c r="P315">
        <f>pm.rep!M94</f>
        <v>32.901299999999999</v>
      </c>
      <c r="Q315">
        <f>pm.rep!N94</f>
        <v>75.716899999999995</v>
      </c>
      <c r="R315">
        <f>pm.rep!O94</f>
        <v>15.017200000000001</v>
      </c>
      <c r="S315">
        <f>pm.rep!P94</f>
        <v>40.299300000000002</v>
      </c>
      <c r="U315" t="e">
        <f>#REF!</f>
        <v>#REF!</v>
      </c>
      <c r="V315" t="e">
        <f>#REF!</f>
        <v>#REF!</v>
      </c>
      <c r="W315" t="e">
        <f>#REF!</f>
        <v>#REF!</v>
      </c>
      <c r="X315" t="e">
        <f>#REF!</f>
        <v>#REF!</v>
      </c>
      <c r="Y315" t="e">
        <f>#REF!</f>
        <v>#REF!</v>
      </c>
      <c r="Z315" t="e">
        <f>#REF!</f>
        <v>#REF!</v>
      </c>
      <c r="AA315" t="e">
        <f>#REF!</f>
        <v>#REF!</v>
      </c>
      <c r="AB315" t="e">
        <f>#REF!</f>
        <v>#REF!</v>
      </c>
      <c r="AC315" t="e">
        <f>#REF!</f>
        <v>#REF!</v>
      </c>
      <c r="AD315" t="e">
        <f>#REF!</f>
        <v>#REF!</v>
      </c>
      <c r="AE315" t="e">
        <f>#REF!</f>
        <v>#REF!</v>
      </c>
      <c r="AF315" t="e">
        <f>#REF!</f>
        <v>#REF!</v>
      </c>
      <c r="AG315" t="e">
        <f>#REF!</f>
        <v>#REF!</v>
      </c>
      <c r="AH315" t="e">
        <f>#REF!</f>
        <v>#REF!</v>
      </c>
      <c r="AI315" t="e">
        <f>#REF!</f>
        <v>#REF!</v>
      </c>
    </row>
    <row r="316" spans="1:35" x14ac:dyDescent="0.15">
      <c r="A316">
        <f t="shared" si="85"/>
        <v>0.39406193837999998</v>
      </c>
      <c r="B316" s="26" t="e">
        <f t="shared" si="86"/>
        <v>#REF!</v>
      </c>
      <c r="C316" s="20">
        <v>0.223806</v>
      </c>
      <c r="D316">
        <v>1996</v>
      </c>
      <c r="E316">
        <f>pm.rep!B95</f>
        <v>22878.1</v>
      </c>
      <c r="F316">
        <f>pm.rep!C95</f>
        <v>4433.28</v>
      </c>
      <c r="G316">
        <f>pm.rep!D95</f>
        <v>4118.8900000000003</v>
      </c>
      <c r="H316">
        <f>pm.rep!E95</f>
        <v>8860.85</v>
      </c>
      <c r="I316">
        <f>pm.rep!F95</f>
        <v>3043.58</v>
      </c>
      <c r="J316">
        <f>pm.rep!G95</f>
        <v>2033.87</v>
      </c>
      <c r="K316">
        <f>pm.rep!H95</f>
        <v>1793.97</v>
      </c>
      <c r="L316">
        <f>pm.rep!I95</f>
        <v>290.14400000000001</v>
      </c>
      <c r="M316">
        <f>pm.rep!J95</f>
        <v>76.336200000000005</v>
      </c>
      <c r="N316">
        <f>pm.rep!K95</f>
        <v>52.177900000000001</v>
      </c>
      <c r="O316">
        <f>pm.rep!L95</f>
        <v>51.543100000000003</v>
      </c>
      <c r="P316">
        <f>pm.rep!M95</f>
        <v>73.825100000000006</v>
      </c>
      <c r="Q316">
        <f>pm.rep!N95</f>
        <v>18.771799999999999</v>
      </c>
      <c r="R316">
        <f>pm.rep!O95</f>
        <v>43.2</v>
      </c>
      <c r="S316">
        <f>pm.rep!P95</f>
        <v>31.560700000000001</v>
      </c>
      <c r="U316" t="e">
        <f>#REF!</f>
        <v>#REF!</v>
      </c>
      <c r="V316" t="e">
        <f>#REF!</f>
        <v>#REF!</v>
      </c>
      <c r="W316" t="e">
        <f>#REF!</f>
        <v>#REF!</v>
      </c>
      <c r="X316" t="e">
        <f>#REF!</f>
        <v>#REF!</v>
      </c>
      <c r="Y316" t="e">
        <f>#REF!</f>
        <v>#REF!</v>
      </c>
      <c r="Z316" t="e">
        <f>#REF!</f>
        <v>#REF!</v>
      </c>
      <c r="AA316" t="e">
        <f>#REF!</f>
        <v>#REF!</v>
      </c>
      <c r="AB316" t="e">
        <f>#REF!</f>
        <v>#REF!</v>
      </c>
      <c r="AC316" t="e">
        <f>#REF!</f>
        <v>#REF!</v>
      </c>
      <c r="AD316" t="e">
        <f>#REF!</f>
        <v>#REF!</v>
      </c>
      <c r="AE316" t="e">
        <f>#REF!</f>
        <v>#REF!</v>
      </c>
      <c r="AF316" t="e">
        <f>#REF!</f>
        <v>#REF!</v>
      </c>
      <c r="AG316" t="e">
        <f>#REF!</f>
        <v>#REF!</v>
      </c>
      <c r="AH316" t="e">
        <f>#REF!</f>
        <v>#REF!</v>
      </c>
      <c r="AI316" t="e">
        <f>#REF!</f>
        <v>#REF!</v>
      </c>
    </row>
    <row r="317" spans="1:35" x14ac:dyDescent="0.15">
      <c r="A317">
        <f t="shared" si="85"/>
        <v>0.36539531807999998</v>
      </c>
      <c r="B317" s="26" t="e">
        <f t="shared" si="86"/>
        <v>#REF!</v>
      </c>
      <c r="C317" s="20">
        <v>0.226824</v>
      </c>
      <c r="D317">
        <v>1997</v>
      </c>
      <c r="E317">
        <f>pm.rep!B96</f>
        <v>31178.400000000001</v>
      </c>
      <c r="F317">
        <f>pm.rep!C96</f>
        <v>9300.86</v>
      </c>
      <c r="G317">
        <f>pm.rep!D96</f>
        <v>2812.38</v>
      </c>
      <c r="H317">
        <f>pm.rep!E96</f>
        <v>3002.93</v>
      </c>
      <c r="I317">
        <f>pm.rep!F96</f>
        <v>6417.13</v>
      </c>
      <c r="J317">
        <f>pm.rep!G96</f>
        <v>2074.58</v>
      </c>
      <c r="K317">
        <f>pm.rep!H96</f>
        <v>1174.0899999999999</v>
      </c>
      <c r="L317">
        <f>pm.rep!I96</f>
        <v>896.16200000000003</v>
      </c>
      <c r="M317">
        <f>pm.rep!J96</f>
        <v>146.09399999999999</v>
      </c>
      <c r="N317">
        <f>pm.rep!K96</f>
        <v>40.155999999999999</v>
      </c>
      <c r="O317">
        <f>pm.rep!L96</f>
        <v>28.360499999999998</v>
      </c>
      <c r="P317">
        <f>pm.rep!M96</f>
        <v>28.015499999999999</v>
      </c>
      <c r="Q317">
        <f>pm.rep!N96</f>
        <v>40.126600000000003</v>
      </c>
      <c r="R317">
        <f>pm.rep!O96</f>
        <v>10.203099999999999</v>
      </c>
      <c r="S317">
        <f>pm.rep!P96</f>
        <v>40.635100000000001</v>
      </c>
      <c r="U317" t="e">
        <f>#REF!</f>
        <v>#REF!</v>
      </c>
      <c r="V317" t="e">
        <f>#REF!</f>
        <v>#REF!</v>
      </c>
      <c r="W317" t="e">
        <f>#REF!</f>
        <v>#REF!</v>
      </c>
      <c r="X317" t="e">
        <f>#REF!</f>
        <v>#REF!</v>
      </c>
      <c r="Y317" t="e">
        <f>#REF!</f>
        <v>#REF!</v>
      </c>
      <c r="Z317" t="e">
        <f>#REF!</f>
        <v>#REF!</v>
      </c>
      <c r="AA317" t="e">
        <f>#REF!</f>
        <v>#REF!</v>
      </c>
      <c r="AB317" t="e">
        <f>#REF!</f>
        <v>#REF!</v>
      </c>
      <c r="AC317" t="e">
        <f>#REF!</f>
        <v>#REF!</v>
      </c>
      <c r="AD317" t="e">
        <f>#REF!</f>
        <v>#REF!</v>
      </c>
      <c r="AE317" t="e">
        <f>#REF!</f>
        <v>#REF!</v>
      </c>
      <c r="AF317" t="e">
        <f>#REF!</f>
        <v>#REF!</v>
      </c>
      <c r="AG317" t="e">
        <f>#REF!</f>
        <v>#REF!</v>
      </c>
      <c r="AH317" t="e">
        <f>#REF!</f>
        <v>#REF!</v>
      </c>
      <c r="AI317" t="e">
        <f>#REF!</f>
        <v>#REF!</v>
      </c>
    </row>
    <row r="318" spans="1:35" x14ac:dyDescent="0.15">
      <c r="A318">
        <f t="shared" si="85"/>
        <v>0.31076079658</v>
      </c>
      <c r="B318" s="26" t="e">
        <f t="shared" si="86"/>
        <v>#REF!</v>
      </c>
      <c r="C318" s="20">
        <v>0.19325800000000001</v>
      </c>
      <c r="D318">
        <v>1998</v>
      </c>
      <c r="E318">
        <f>pm.rep!B97</f>
        <v>15483</v>
      </c>
      <c r="F318">
        <f>pm.rep!C97</f>
        <v>12675.3</v>
      </c>
      <c r="G318">
        <f>pm.rep!D97</f>
        <v>5889.16</v>
      </c>
      <c r="H318">
        <f>pm.rep!E97</f>
        <v>2044.2</v>
      </c>
      <c r="I318">
        <f>pm.rep!F97</f>
        <v>2139.62</v>
      </c>
      <c r="J318">
        <f>pm.rep!G97</f>
        <v>4359.3999999999996</v>
      </c>
      <c r="K318">
        <f>pm.rep!H97</f>
        <v>1284.69</v>
      </c>
      <c r="L318">
        <f>pm.rep!I97</f>
        <v>643.26900000000001</v>
      </c>
      <c r="M318">
        <f>pm.rep!J97</f>
        <v>469.41</v>
      </c>
      <c r="N318">
        <f>pm.rep!K97</f>
        <v>75.102400000000003</v>
      </c>
      <c r="O318">
        <f>pm.rep!L97</f>
        <v>21.111599999999999</v>
      </c>
      <c r="P318">
        <f>pm.rep!M97</f>
        <v>14.9102</v>
      </c>
      <c r="Q318">
        <f>pm.rep!N97</f>
        <v>14.7288</v>
      </c>
      <c r="R318">
        <f>pm.rep!O97</f>
        <v>21.0961</v>
      </c>
      <c r="S318">
        <f>pm.rep!P97</f>
        <v>26.727599999999999</v>
      </c>
      <c r="U318" t="e">
        <f>#REF!</f>
        <v>#REF!</v>
      </c>
      <c r="V318" t="e">
        <f>#REF!</f>
        <v>#REF!</v>
      </c>
      <c r="W318" t="e">
        <f>#REF!</f>
        <v>#REF!</v>
      </c>
      <c r="X318" t="e">
        <f>#REF!</f>
        <v>#REF!</v>
      </c>
      <c r="Y318" t="e">
        <f>#REF!</f>
        <v>#REF!</v>
      </c>
      <c r="Z318" t="e">
        <f>#REF!</f>
        <v>#REF!</v>
      </c>
      <c r="AA318" t="e">
        <f>#REF!</f>
        <v>#REF!</v>
      </c>
      <c r="AB318" t="e">
        <f>#REF!</f>
        <v>#REF!</v>
      </c>
      <c r="AC318" t="e">
        <f>#REF!</f>
        <v>#REF!</v>
      </c>
      <c r="AD318" t="e">
        <f>#REF!</f>
        <v>#REF!</v>
      </c>
      <c r="AE318" t="e">
        <f>#REF!</f>
        <v>#REF!</v>
      </c>
      <c r="AF318" t="e">
        <f>#REF!</f>
        <v>#REF!</v>
      </c>
      <c r="AG318" t="e">
        <f>#REF!</f>
        <v>#REF!</v>
      </c>
      <c r="AH318" t="e">
        <f>#REF!</f>
        <v>#REF!</v>
      </c>
      <c r="AI318" t="e">
        <f>#REF!</f>
        <v>#REF!</v>
      </c>
    </row>
    <row r="319" spans="1:35" x14ac:dyDescent="0.15">
      <c r="A319">
        <f t="shared" si="85"/>
        <v>0.2229446175</v>
      </c>
      <c r="B319" s="26" t="e">
        <f t="shared" si="86"/>
        <v>#REF!</v>
      </c>
      <c r="C319" s="20">
        <v>0.142175</v>
      </c>
      <c r="D319">
        <v>1999</v>
      </c>
      <c r="E319">
        <f>pm.rep!B98</f>
        <v>16827.099999999999</v>
      </c>
      <c r="F319">
        <f>pm.rep!C98</f>
        <v>6294.6</v>
      </c>
      <c r="G319">
        <f>pm.rep!D98</f>
        <v>8045.23</v>
      </c>
      <c r="H319">
        <f>pm.rep!E98</f>
        <v>4264.38</v>
      </c>
      <c r="I319">
        <f>pm.rep!F98</f>
        <v>1444.58</v>
      </c>
      <c r="J319">
        <f>pm.rep!G98</f>
        <v>1449.66</v>
      </c>
      <c r="K319">
        <f>pm.rep!H98</f>
        <v>2662.93</v>
      </c>
      <c r="L319">
        <f>pm.rep!I98</f>
        <v>774.25800000000004</v>
      </c>
      <c r="M319">
        <f>pm.rep!J98</f>
        <v>359.53699999999998</v>
      </c>
      <c r="N319">
        <f>pm.rep!K98</f>
        <v>254.86099999999999</v>
      </c>
      <c r="O319">
        <f>pm.rep!L98</f>
        <v>41.609400000000001</v>
      </c>
      <c r="P319">
        <f>pm.rep!M98</f>
        <v>11.6966</v>
      </c>
      <c r="Q319">
        <f>pm.rep!N98</f>
        <v>8.2607900000000001</v>
      </c>
      <c r="R319">
        <f>pm.rep!O98</f>
        <v>8.1602899999999998</v>
      </c>
      <c r="S319">
        <f>pm.rep!P98</f>
        <v>26.495999999999999</v>
      </c>
      <c r="U319" t="e">
        <f>#REF!</f>
        <v>#REF!</v>
      </c>
      <c r="V319" t="e">
        <f>#REF!</f>
        <v>#REF!</v>
      </c>
      <c r="W319" t="e">
        <f>#REF!</f>
        <v>#REF!</v>
      </c>
      <c r="X319" t="e">
        <f>#REF!</f>
        <v>#REF!</v>
      </c>
      <c r="Y319" t="e">
        <f>#REF!</f>
        <v>#REF!</v>
      </c>
      <c r="Z319" t="e">
        <f>#REF!</f>
        <v>#REF!</v>
      </c>
      <c r="AA319" t="e">
        <f>#REF!</f>
        <v>#REF!</v>
      </c>
      <c r="AB319" t="e">
        <f>#REF!</f>
        <v>#REF!</v>
      </c>
      <c r="AC319" t="e">
        <f>#REF!</f>
        <v>#REF!</v>
      </c>
      <c r="AD319" t="e">
        <f>#REF!</f>
        <v>#REF!</v>
      </c>
      <c r="AE319" t="e">
        <f>#REF!</f>
        <v>#REF!</v>
      </c>
      <c r="AF319" t="e">
        <f>#REF!</f>
        <v>#REF!</v>
      </c>
      <c r="AG319" t="e">
        <f>#REF!</f>
        <v>#REF!</v>
      </c>
      <c r="AH319" t="e">
        <f>#REF!</f>
        <v>#REF!</v>
      </c>
      <c r="AI319" t="e">
        <f>#REF!</f>
        <v>#REF!</v>
      </c>
    </row>
    <row r="320" spans="1:35" x14ac:dyDescent="0.15">
      <c r="A320">
        <f t="shared" si="85"/>
        <v>0.29192571479000001</v>
      </c>
      <c r="B320" s="26" t="e">
        <f t="shared" si="86"/>
        <v>#REF!</v>
      </c>
      <c r="C320" s="20">
        <v>0.15964700000000001</v>
      </c>
      <c r="D320">
        <v>2000</v>
      </c>
      <c r="E320">
        <f>pm.rep!B99</f>
        <v>25850.3</v>
      </c>
      <c r="F320">
        <f>pm.rep!C99</f>
        <v>6841.15</v>
      </c>
      <c r="G320">
        <f>pm.rep!D99</f>
        <v>4003.5</v>
      </c>
      <c r="H320">
        <f>pm.rep!E99</f>
        <v>5724.36</v>
      </c>
      <c r="I320">
        <f>pm.rep!F99</f>
        <v>2968.23</v>
      </c>
      <c r="J320">
        <f>pm.rep!G99</f>
        <v>979.90800000000002</v>
      </c>
      <c r="K320">
        <f>pm.rep!H99</f>
        <v>942.21100000000001</v>
      </c>
      <c r="L320">
        <f>pm.rep!I99</f>
        <v>1578.51</v>
      </c>
      <c r="M320">
        <f>pm.rep!J99</f>
        <v>463.476</v>
      </c>
      <c r="N320">
        <f>pm.rep!K99</f>
        <v>216.76400000000001</v>
      </c>
      <c r="O320">
        <f>pm.rep!L99</f>
        <v>155.45099999999999</v>
      </c>
      <c r="P320">
        <f>pm.rep!M99</f>
        <v>25.3795</v>
      </c>
      <c r="Q320">
        <f>pm.rep!N99</f>
        <v>7.1342699999999999</v>
      </c>
      <c r="R320">
        <f>pm.rep!O99</f>
        <v>5.03864</v>
      </c>
      <c r="S320">
        <f>pm.rep!P99</f>
        <v>21.138500000000001</v>
      </c>
      <c r="U320" t="e">
        <f>#REF!</f>
        <v>#REF!</v>
      </c>
      <c r="V320" t="e">
        <f>#REF!</f>
        <v>#REF!</v>
      </c>
      <c r="W320" t="e">
        <f>#REF!</f>
        <v>#REF!</v>
      </c>
      <c r="X320" t="e">
        <f>#REF!</f>
        <v>#REF!</v>
      </c>
      <c r="Y320" t="e">
        <f>#REF!</f>
        <v>#REF!</v>
      </c>
      <c r="Z320" t="e">
        <f>#REF!</f>
        <v>#REF!</v>
      </c>
      <c r="AA320" t="e">
        <f>#REF!</f>
        <v>#REF!</v>
      </c>
      <c r="AB320" t="e">
        <f>#REF!</f>
        <v>#REF!</v>
      </c>
      <c r="AC320" t="e">
        <f>#REF!</f>
        <v>#REF!</v>
      </c>
      <c r="AD320" t="e">
        <f>#REF!</f>
        <v>#REF!</v>
      </c>
      <c r="AE320" t="e">
        <f>#REF!</f>
        <v>#REF!</v>
      </c>
      <c r="AF320" t="e">
        <f>#REF!</f>
        <v>#REF!</v>
      </c>
      <c r="AG320" t="e">
        <f>#REF!</f>
        <v>#REF!</v>
      </c>
      <c r="AH320" t="e">
        <f>#REF!</f>
        <v>#REF!</v>
      </c>
      <c r="AI320" t="e">
        <f>#REF!</f>
        <v>#REF!</v>
      </c>
    </row>
    <row r="321" spans="1:35" x14ac:dyDescent="0.15">
      <c r="A321">
        <f t="shared" si="85"/>
        <v>0.2853255999</v>
      </c>
      <c r="B321" s="26" t="e">
        <f t="shared" si="86"/>
        <v>#REF!</v>
      </c>
      <c r="C321" s="20">
        <v>0.18833</v>
      </c>
      <c r="D321">
        <v>2001</v>
      </c>
      <c r="E321">
        <f>pm.rep!B100</f>
        <v>35963.4</v>
      </c>
      <c r="F321">
        <f>pm.rep!C100</f>
        <v>10509.6</v>
      </c>
      <c r="G321">
        <f>pm.rep!D100</f>
        <v>4351.45</v>
      </c>
      <c r="H321">
        <f>pm.rep!E100</f>
        <v>2895.25</v>
      </c>
      <c r="I321">
        <f>pm.rep!F100</f>
        <v>3879.5</v>
      </c>
      <c r="J321">
        <f>pm.rep!G100</f>
        <v>1904.79</v>
      </c>
      <c r="K321">
        <f>pm.rep!H100</f>
        <v>629.54</v>
      </c>
      <c r="L321">
        <f>pm.rep!I100</f>
        <v>555.15</v>
      </c>
      <c r="M321">
        <f>pm.rep!J100</f>
        <v>873.32899999999995</v>
      </c>
      <c r="N321">
        <f>pm.rep!K100</f>
        <v>271.91699999999997</v>
      </c>
      <c r="O321">
        <f>pm.rep!L100</f>
        <v>130.625</v>
      </c>
      <c r="P321">
        <f>pm.rep!M100</f>
        <v>93.677199999999999</v>
      </c>
      <c r="Q321">
        <f>pm.rep!N100</f>
        <v>15.294</v>
      </c>
      <c r="R321">
        <f>pm.rep!O100</f>
        <v>4.29922</v>
      </c>
      <c r="S321">
        <f>pm.rep!P100</f>
        <v>15.774699999999999</v>
      </c>
      <c r="U321" t="e">
        <f>#REF!</f>
        <v>#REF!</v>
      </c>
      <c r="V321" t="e">
        <f>#REF!</f>
        <v>#REF!</v>
      </c>
      <c r="W321" t="e">
        <f>#REF!</f>
        <v>#REF!</v>
      </c>
      <c r="X321" t="e">
        <f>#REF!</f>
        <v>#REF!</v>
      </c>
      <c r="Y321" t="e">
        <f>#REF!</f>
        <v>#REF!</v>
      </c>
      <c r="Z321" t="e">
        <f>#REF!</f>
        <v>#REF!</v>
      </c>
      <c r="AA321" t="e">
        <f>#REF!</f>
        <v>#REF!</v>
      </c>
      <c r="AB321" t="e">
        <f>#REF!</f>
        <v>#REF!</v>
      </c>
      <c r="AC321" t="e">
        <f>#REF!</f>
        <v>#REF!</v>
      </c>
      <c r="AD321" t="e">
        <f>#REF!</f>
        <v>#REF!</v>
      </c>
      <c r="AE321" t="e">
        <f>#REF!</f>
        <v>#REF!</v>
      </c>
      <c r="AF321" t="e">
        <f>#REF!</f>
        <v>#REF!</v>
      </c>
      <c r="AG321" t="e">
        <f>#REF!</f>
        <v>#REF!</v>
      </c>
      <c r="AH321" t="e">
        <f>#REF!</f>
        <v>#REF!</v>
      </c>
      <c r="AI321" t="e">
        <f>#REF!</f>
        <v>#REF!</v>
      </c>
    </row>
    <row r="322" spans="1:35" x14ac:dyDescent="0.15">
      <c r="A322">
        <f t="shared" si="85"/>
        <v>0.35830653677000002</v>
      </c>
      <c r="B322" s="26" t="e">
        <f t="shared" si="86"/>
        <v>#REF!</v>
      </c>
      <c r="C322" s="20">
        <v>0.21872900000000001</v>
      </c>
      <c r="D322">
        <v>2002</v>
      </c>
      <c r="E322">
        <f>pm.rep!B101</f>
        <v>23951.8</v>
      </c>
      <c r="F322">
        <f>pm.rep!C101</f>
        <v>14621.1</v>
      </c>
      <c r="G322">
        <f>pm.rep!D101</f>
        <v>6686.97</v>
      </c>
      <c r="H322">
        <f>pm.rep!E101</f>
        <v>3165.89</v>
      </c>
      <c r="I322">
        <f>pm.rep!F101</f>
        <v>1996.85</v>
      </c>
      <c r="J322">
        <f>pm.rep!G101</f>
        <v>2364.25</v>
      </c>
      <c r="K322">
        <f>pm.rep!H101</f>
        <v>1060.83</v>
      </c>
      <c r="L322">
        <f>pm.rep!I101</f>
        <v>352.46899999999999</v>
      </c>
      <c r="M322">
        <f>pm.rep!J101</f>
        <v>311.16399999999999</v>
      </c>
      <c r="N322">
        <f>pm.rep!K101</f>
        <v>500.63600000000002</v>
      </c>
      <c r="O322">
        <f>pm.rep!L101</f>
        <v>158.53200000000001</v>
      </c>
      <c r="P322">
        <f>pm.rep!M101</f>
        <v>76.156300000000002</v>
      </c>
      <c r="Q322">
        <f>pm.rep!N101</f>
        <v>54.615099999999998</v>
      </c>
      <c r="R322">
        <f>pm.rep!O101</f>
        <v>8.9166500000000006</v>
      </c>
      <c r="S322">
        <f>pm.rep!P101</f>
        <v>11.7034</v>
      </c>
      <c r="U322" t="e">
        <f>#REF!</f>
        <v>#REF!</v>
      </c>
      <c r="V322" t="e">
        <f>#REF!</f>
        <v>#REF!</v>
      </c>
      <c r="W322" t="e">
        <f>#REF!</f>
        <v>#REF!</v>
      </c>
      <c r="X322" t="e">
        <f>#REF!</f>
        <v>#REF!</v>
      </c>
      <c r="Y322" t="e">
        <f>#REF!</f>
        <v>#REF!</v>
      </c>
      <c r="Z322" t="e">
        <f>#REF!</f>
        <v>#REF!</v>
      </c>
      <c r="AA322" t="e">
        <f>#REF!</f>
        <v>#REF!</v>
      </c>
      <c r="AB322" t="e">
        <f>#REF!</f>
        <v>#REF!</v>
      </c>
      <c r="AC322" t="e">
        <f>#REF!</f>
        <v>#REF!</v>
      </c>
      <c r="AD322" t="e">
        <f>#REF!</f>
        <v>#REF!</v>
      </c>
      <c r="AE322" t="e">
        <f>#REF!</f>
        <v>#REF!</v>
      </c>
      <c r="AF322" t="e">
        <f>#REF!</f>
        <v>#REF!</v>
      </c>
      <c r="AG322" t="e">
        <f>#REF!</f>
        <v>#REF!</v>
      </c>
      <c r="AH322" t="e">
        <f>#REF!</f>
        <v>#REF!</v>
      </c>
      <c r="AI322" t="e">
        <f>#REF!</f>
        <v>#REF!</v>
      </c>
    </row>
    <row r="323" spans="1:35" x14ac:dyDescent="0.15">
      <c r="A323">
        <f t="shared" si="85"/>
        <v>0.38532059800000001</v>
      </c>
      <c r="B323" s="26" t="e">
        <f t="shared" si="86"/>
        <v>#REF!</v>
      </c>
      <c r="C323" s="20">
        <v>0.22555</v>
      </c>
      <c r="D323">
        <v>2003</v>
      </c>
      <c r="E323">
        <f>pm.rep!B102</f>
        <v>14625.5</v>
      </c>
      <c r="F323">
        <f>pm.rep!C102</f>
        <v>9737.66</v>
      </c>
      <c r="G323">
        <f>pm.rep!D102</f>
        <v>9289.35</v>
      </c>
      <c r="H323">
        <f>pm.rep!E102</f>
        <v>4847.5600000000004</v>
      </c>
      <c r="I323">
        <f>pm.rep!F102</f>
        <v>2160.02</v>
      </c>
      <c r="J323">
        <f>pm.rep!G102</f>
        <v>1230.45</v>
      </c>
      <c r="K323">
        <f>pm.rep!H102</f>
        <v>1224.03</v>
      </c>
      <c r="L323">
        <f>pm.rep!I102</f>
        <v>551.97500000000002</v>
      </c>
      <c r="M323">
        <f>pm.rep!J102</f>
        <v>184.339</v>
      </c>
      <c r="N323">
        <f>pm.rep!K102</f>
        <v>167.715</v>
      </c>
      <c r="O323">
        <f>pm.rep!L102</f>
        <v>283.53500000000003</v>
      </c>
      <c r="P323">
        <f>pm.rep!M102</f>
        <v>89.784400000000005</v>
      </c>
      <c r="Q323">
        <f>pm.rep!N102</f>
        <v>43.131100000000004</v>
      </c>
      <c r="R323">
        <f>pm.rep!O102</f>
        <v>30.9313</v>
      </c>
      <c r="S323">
        <f>pm.rep!P102</f>
        <v>11.6782</v>
      </c>
      <c r="U323" t="e">
        <f>#REF!</f>
        <v>#REF!</v>
      </c>
      <c r="V323" t="e">
        <f>#REF!</f>
        <v>#REF!</v>
      </c>
      <c r="W323" t="e">
        <f>#REF!</f>
        <v>#REF!</v>
      </c>
      <c r="X323" t="e">
        <f>#REF!</f>
        <v>#REF!</v>
      </c>
      <c r="Y323" t="e">
        <f>#REF!</f>
        <v>#REF!</v>
      </c>
      <c r="Z323" t="e">
        <f>#REF!</f>
        <v>#REF!</v>
      </c>
      <c r="AA323" t="e">
        <f>#REF!</f>
        <v>#REF!</v>
      </c>
      <c r="AB323" t="e">
        <f>#REF!</f>
        <v>#REF!</v>
      </c>
      <c r="AC323" t="e">
        <f>#REF!</f>
        <v>#REF!</v>
      </c>
      <c r="AD323" t="e">
        <f>#REF!</f>
        <v>#REF!</v>
      </c>
      <c r="AE323" t="e">
        <f>#REF!</f>
        <v>#REF!</v>
      </c>
      <c r="AF323" t="e">
        <f>#REF!</f>
        <v>#REF!</v>
      </c>
      <c r="AG323" t="e">
        <f>#REF!</f>
        <v>#REF!</v>
      </c>
      <c r="AH323" t="e">
        <f>#REF!</f>
        <v>#REF!</v>
      </c>
      <c r="AI323" t="e">
        <f>#REF!</f>
        <v>#REF!</v>
      </c>
    </row>
    <row r="324" spans="1:35" x14ac:dyDescent="0.15">
      <c r="A324">
        <f t="shared" si="85"/>
        <v>0.33482729708999998</v>
      </c>
      <c r="B324" s="26" t="e">
        <f t="shared" si="86"/>
        <v>#REF!</v>
      </c>
      <c r="C324" s="20">
        <v>0.19995299999999999</v>
      </c>
      <c r="D324">
        <v>2004</v>
      </c>
      <c r="E324">
        <f>pm.rep!B103</f>
        <v>6640.46</v>
      </c>
      <c r="F324">
        <f>pm.rep!C103</f>
        <v>5946.02</v>
      </c>
      <c r="G324">
        <f>pm.rep!D103</f>
        <v>6193.41</v>
      </c>
      <c r="H324">
        <f>pm.rep!E103</f>
        <v>6559.88</v>
      </c>
      <c r="I324">
        <f>pm.rep!F103</f>
        <v>3301.22</v>
      </c>
      <c r="J324">
        <f>pm.rep!G103</f>
        <v>1286.7</v>
      </c>
      <c r="K324">
        <f>pm.rep!H103</f>
        <v>653.08100000000002</v>
      </c>
      <c r="L324">
        <f>pm.rep!I103</f>
        <v>616.82600000000002</v>
      </c>
      <c r="M324">
        <f>pm.rep!J103</f>
        <v>280.62599999999998</v>
      </c>
      <c r="N324">
        <f>pm.rep!K103</f>
        <v>98.302499999999995</v>
      </c>
      <c r="O324">
        <f>pm.rep!L103</f>
        <v>95.058800000000005</v>
      </c>
      <c r="P324">
        <f>pm.rep!M103</f>
        <v>160.70500000000001</v>
      </c>
      <c r="Q324">
        <f>pm.rep!N103</f>
        <v>50.888800000000003</v>
      </c>
      <c r="R324">
        <f>pm.rep!O103</f>
        <v>24.446300000000001</v>
      </c>
      <c r="S324">
        <f>pm.rep!P103</f>
        <v>24.150600000000001</v>
      </c>
      <c r="U324" t="e">
        <f>#REF!</f>
        <v>#REF!</v>
      </c>
      <c r="V324" t="e">
        <f>#REF!</f>
        <v>#REF!</v>
      </c>
      <c r="W324" t="e">
        <f>#REF!</f>
        <v>#REF!</v>
      </c>
      <c r="X324" t="e">
        <f>#REF!</f>
        <v>#REF!</v>
      </c>
      <c r="Y324" t="e">
        <f>#REF!</f>
        <v>#REF!</v>
      </c>
      <c r="Z324" t="e">
        <f>#REF!</f>
        <v>#REF!</v>
      </c>
      <c r="AA324" t="e">
        <f>#REF!</f>
        <v>#REF!</v>
      </c>
      <c r="AB324" t="e">
        <f>#REF!</f>
        <v>#REF!</v>
      </c>
      <c r="AC324" t="e">
        <f>#REF!</f>
        <v>#REF!</v>
      </c>
      <c r="AD324" t="e">
        <f>#REF!</f>
        <v>#REF!</v>
      </c>
      <c r="AE324" t="e">
        <f>#REF!</f>
        <v>#REF!</v>
      </c>
      <c r="AF324" t="e">
        <f>#REF!</f>
        <v>#REF!</v>
      </c>
      <c r="AG324" t="e">
        <f>#REF!</f>
        <v>#REF!</v>
      </c>
      <c r="AH324" t="e">
        <f>#REF!</f>
        <v>#REF!</v>
      </c>
      <c r="AI324" t="e">
        <f>#REF!</f>
        <v>#REF!</v>
      </c>
    </row>
    <row r="325" spans="1:35" x14ac:dyDescent="0.15">
      <c r="A325">
        <f t="shared" si="85"/>
        <v>0.31720518175000001</v>
      </c>
      <c r="B325" s="26" t="e">
        <f t="shared" si="86"/>
        <v>#REF!</v>
      </c>
      <c r="C325" s="20">
        <v>0.18650900000000001</v>
      </c>
      <c r="D325">
        <v>2005</v>
      </c>
      <c r="E325">
        <f>pm.rep!B104</f>
        <v>4831.7</v>
      </c>
      <c r="F325">
        <f>pm.rep!C104</f>
        <v>2699.71</v>
      </c>
      <c r="G325">
        <f>pm.rep!D104</f>
        <v>3784.62</v>
      </c>
      <c r="H325">
        <f>pm.rep!E104</f>
        <v>4494.97</v>
      </c>
      <c r="I325">
        <f>pm.rep!F104</f>
        <v>4148.91</v>
      </c>
      <c r="J325">
        <f>pm.rep!G104</f>
        <v>2019.99</v>
      </c>
      <c r="K325">
        <f>pm.rep!H104</f>
        <v>737.65899999999999</v>
      </c>
      <c r="L325">
        <f>pm.rep!I104</f>
        <v>346.15100000000001</v>
      </c>
      <c r="M325">
        <f>pm.rep!J104</f>
        <v>329.87299999999999</v>
      </c>
      <c r="N325">
        <f>pm.rep!K104</f>
        <v>156.62899999999999</v>
      </c>
      <c r="O325">
        <f>pm.rep!L104</f>
        <v>57.405700000000003</v>
      </c>
      <c r="P325">
        <f>pm.rep!M104</f>
        <v>55.511400000000002</v>
      </c>
      <c r="Q325">
        <f>pm.rep!N104</f>
        <v>93.846699999999998</v>
      </c>
      <c r="R325">
        <f>pm.rep!O104</f>
        <v>29.717500000000001</v>
      </c>
      <c r="S325">
        <f>pm.rep!P104</f>
        <v>28.379100000000001</v>
      </c>
      <c r="U325" t="e">
        <f>#REF!</f>
        <v>#REF!</v>
      </c>
      <c r="V325" t="e">
        <f>#REF!</f>
        <v>#REF!</v>
      </c>
      <c r="W325" t="e">
        <f>#REF!</f>
        <v>#REF!</v>
      </c>
      <c r="X325" t="e">
        <f>#REF!</f>
        <v>#REF!</v>
      </c>
      <c r="Y325" t="e">
        <f>#REF!</f>
        <v>#REF!</v>
      </c>
      <c r="Z325" t="e">
        <f>#REF!</f>
        <v>#REF!</v>
      </c>
      <c r="AA325" t="e">
        <f>#REF!</f>
        <v>#REF!</v>
      </c>
      <c r="AB325" t="e">
        <f>#REF!</f>
        <v>#REF!</v>
      </c>
      <c r="AC325" t="e">
        <f>#REF!</f>
        <v>#REF!</v>
      </c>
      <c r="AD325" t="e">
        <f>#REF!</f>
        <v>#REF!</v>
      </c>
      <c r="AE325" t="e">
        <f>#REF!</f>
        <v>#REF!</v>
      </c>
      <c r="AF325" t="e">
        <f>#REF!</f>
        <v>#REF!</v>
      </c>
      <c r="AG325" t="e">
        <f>#REF!</f>
        <v>#REF!</v>
      </c>
      <c r="AH325" t="e">
        <f>#REF!</f>
        <v>#REF!</v>
      </c>
      <c r="AI325" t="e">
        <f>#REF!</f>
        <v>#REF!</v>
      </c>
    </row>
    <row r="326" spans="1:35" x14ac:dyDescent="0.15">
      <c r="A326">
        <f t="shared" si="85"/>
        <v>0.36821653802000004</v>
      </c>
      <c r="B326" s="26" t="e">
        <f t="shared" si="86"/>
        <v>#REF!</v>
      </c>
      <c r="C326" s="20">
        <v>0.22839100000000001</v>
      </c>
      <c r="D326">
        <v>2006</v>
      </c>
      <c r="E326">
        <f>pm.rep!B105</f>
        <v>12207.5</v>
      </c>
      <c r="F326">
        <f>pm.rep!C105</f>
        <v>1964.36</v>
      </c>
      <c r="G326">
        <f>pm.rep!D105</f>
        <v>1718.21</v>
      </c>
      <c r="H326">
        <f>pm.rep!E105</f>
        <v>2748.41</v>
      </c>
      <c r="I326">
        <f>pm.rep!F105</f>
        <v>2990.84</v>
      </c>
      <c r="J326">
        <f>pm.rep!G105</f>
        <v>2322.33</v>
      </c>
      <c r="K326">
        <f>pm.rep!H105</f>
        <v>1089.69</v>
      </c>
      <c r="L326">
        <f>pm.rep!I105</f>
        <v>410.71</v>
      </c>
      <c r="M326">
        <f>pm.rep!J105</f>
        <v>197.46299999999999</v>
      </c>
      <c r="N326">
        <f>pm.rep!K105</f>
        <v>191.065</v>
      </c>
      <c r="O326">
        <f>pm.rep!L105</f>
        <v>93.774500000000003</v>
      </c>
      <c r="P326">
        <f>pm.rep!M105</f>
        <v>34.369</v>
      </c>
      <c r="Q326">
        <f>pm.rep!N105</f>
        <v>33.234999999999999</v>
      </c>
      <c r="R326">
        <f>pm.rep!O105</f>
        <v>56.186399999999999</v>
      </c>
      <c r="S326">
        <f>pm.rep!P105</f>
        <v>34.782699999999998</v>
      </c>
      <c r="U326" t="e">
        <f>#REF!</f>
        <v>#REF!</v>
      </c>
      <c r="V326" t="e">
        <f>#REF!</f>
        <v>#REF!</v>
      </c>
      <c r="W326" t="e">
        <f>#REF!</f>
        <v>#REF!</v>
      </c>
      <c r="X326" t="e">
        <f>#REF!</f>
        <v>#REF!</v>
      </c>
      <c r="Y326" t="e">
        <f>#REF!</f>
        <v>#REF!</v>
      </c>
      <c r="Z326" t="e">
        <f>#REF!</f>
        <v>#REF!</v>
      </c>
      <c r="AA326" t="e">
        <f>#REF!</f>
        <v>#REF!</v>
      </c>
      <c r="AB326" t="e">
        <f>#REF!</f>
        <v>#REF!</v>
      </c>
      <c r="AC326" t="e">
        <f>#REF!</f>
        <v>#REF!</v>
      </c>
      <c r="AD326" t="e">
        <f>#REF!</f>
        <v>#REF!</v>
      </c>
      <c r="AE326" t="e">
        <f>#REF!</f>
        <v>#REF!</v>
      </c>
      <c r="AF326" t="e">
        <f>#REF!</f>
        <v>#REF!</v>
      </c>
      <c r="AG326" t="e">
        <f>#REF!</f>
        <v>#REF!</v>
      </c>
      <c r="AH326" t="e">
        <f>#REF!</f>
        <v>#REF!</v>
      </c>
      <c r="AI326" t="e">
        <f>#REF!</f>
        <v>#REF!</v>
      </c>
    </row>
    <row r="327" spans="1:35" x14ac:dyDescent="0.15">
      <c r="A327">
        <f t="shared" si="85"/>
        <v>0.41100240318000003</v>
      </c>
      <c r="B327" s="26" t="e">
        <f t="shared" si="86"/>
        <v>#REF!</v>
      </c>
      <c r="C327" s="20">
        <v>0.24020900000000001</v>
      </c>
      <c r="D327">
        <v>2007</v>
      </c>
      <c r="E327">
        <f>pm.rep!B106</f>
        <v>26390.5</v>
      </c>
      <c r="F327">
        <f>pm.rep!C106</f>
        <v>4963.0200000000004</v>
      </c>
      <c r="G327">
        <f>pm.rep!D106</f>
        <v>1248.8900000000001</v>
      </c>
      <c r="H327">
        <f>pm.rep!E106</f>
        <v>1216.02</v>
      </c>
      <c r="I327">
        <f>pm.rep!F106</f>
        <v>1792.36</v>
      </c>
      <c r="J327">
        <f>pm.rep!G106</f>
        <v>1691.93</v>
      </c>
      <c r="K327">
        <f>pm.rep!H106</f>
        <v>1190.48</v>
      </c>
      <c r="L327">
        <f>pm.rep!I106</f>
        <v>568.45500000000004</v>
      </c>
      <c r="M327">
        <f>pm.rep!J106</f>
        <v>217.92400000000001</v>
      </c>
      <c r="N327">
        <f>pm.rep!K106</f>
        <v>108.28700000000001</v>
      </c>
      <c r="O327">
        <f>pm.rep!L106</f>
        <v>107.93300000000001</v>
      </c>
      <c r="P327">
        <f>pm.rep!M106</f>
        <v>52.973700000000001</v>
      </c>
      <c r="Q327">
        <f>pm.rep!N106</f>
        <v>19.415199999999999</v>
      </c>
      <c r="R327">
        <f>pm.rep!O106</f>
        <v>18.7746</v>
      </c>
      <c r="S327">
        <f>pm.rep!P106</f>
        <v>51.3889</v>
      </c>
      <c r="U327" t="e">
        <f>#REF!</f>
        <v>#REF!</v>
      </c>
      <c r="V327" t="e">
        <f>#REF!</f>
        <v>#REF!</v>
      </c>
      <c r="W327" t="e">
        <f>#REF!</f>
        <v>#REF!</v>
      </c>
      <c r="X327" t="e">
        <f>#REF!</f>
        <v>#REF!</v>
      </c>
      <c r="Y327" t="e">
        <f>#REF!</f>
        <v>#REF!</v>
      </c>
      <c r="Z327" t="e">
        <f>#REF!</f>
        <v>#REF!</v>
      </c>
      <c r="AA327" t="e">
        <f>#REF!</f>
        <v>#REF!</v>
      </c>
      <c r="AB327" t="e">
        <f>#REF!</f>
        <v>#REF!</v>
      </c>
      <c r="AC327" t="e">
        <f>#REF!</f>
        <v>#REF!</v>
      </c>
      <c r="AD327" t="e">
        <f>#REF!</f>
        <v>#REF!</v>
      </c>
      <c r="AE327" t="e">
        <f>#REF!</f>
        <v>#REF!</v>
      </c>
      <c r="AF327" t="e">
        <f>#REF!</f>
        <v>#REF!</v>
      </c>
      <c r="AG327" t="e">
        <f>#REF!</f>
        <v>#REF!</v>
      </c>
      <c r="AH327" t="e">
        <f>#REF!</f>
        <v>#REF!</v>
      </c>
      <c r="AI327" t="e">
        <f>#REF!</f>
        <v>#REF!</v>
      </c>
    </row>
    <row r="328" spans="1:35" x14ac:dyDescent="0.15">
      <c r="A328">
        <f t="shared" si="85"/>
        <v>0.42999339227</v>
      </c>
      <c r="B328" s="26" t="e">
        <f t="shared" si="86"/>
        <v>#REF!</v>
      </c>
      <c r="C328" s="20">
        <v>0.25801099999999999</v>
      </c>
      <c r="D328">
        <v>2008</v>
      </c>
      <c r="E328">
        <f>pm.rep!B107</f>
        <v>14622.4</v>
      </c>
      <c r="F328">
        <f>pm.rep!C107</f>
        <v>10729.2</v>
      </c>
      <c r="G328">
        <f>pm.rep!D107</f>
        <v>3154.19</v>
      </c>
      <c r="H328">
        <f>pm.rep!E107</f>
        <v>884.49300000000005</v>
      </c>
      <c r="I328">
        <f>pm.rep!F107</f>
        <v>794.95799999999997</v>
      </c>
      <c r="J328">
        <f>pm.rep!G107</f>
        <v>1014.28</v>
      </c>
      <c r="K328">
        <f>pm.rep!H107</f>
        <v>830.99199999999996</v>
      </c>
      <c r="L328">
        <f>pm.rep!I107</f>
        <v>611.24099999999999</v>
      </c>
      <c r="M328">
        <f>pm.rep!J107</f>
        <v>302.29700000000003</v>
      </c>
      <c r="N328">
        <f>pm.rep!K107</f>
        <v>118.393</v>
      </c>
      <c r="O328">
        <f>pm.rep!L107</f>
        <v>60.015099999999997</v>
      </c>
      <c r="P328">
        <f>pm.rep!M107</f>
        <v>59.819099999999999</v>
      </c>
      <c r="Q328">
        <f>pm.rep!N107</f>
        <v>29.359200000000001</v>
      </c>
      <c r="R328">
        <f>pm.rep!O107</f>
        <v>10.760400000000001</v>
      </c>
      <c r="S328">
        <f>pm.rep!P107</f>
        <v>38.886200000000002</v>
      </c>
      <c r="U328" t="e">
        <f>#REF!</f>
        <v>#REF!</v>
      </c>
      <c r="V328" t="e">
        <f>#REF!</f>
        <v>#REF!</v>
      </c>
      <c r="W328" t="e">
        <f>#REF!</f>
        <v>#REF!</v>
      </c>
      <c r="X328" t="e">
        <f>#REF!</f>
        <v>#REF!</v>
      </c>
      <c r="Y328" t="e">
        <f>#REF!</f>
        <v>#REF!</v>
      </c>
      <c r="Z328" t="e">
        <f>#REF!</f>
        <v>#REF!</v>
      </c>
      <c r="AA328" t="e">
        <f>#REF!</f>
        <v>#REF!</v>
      </c>
      <c r="AB328" t="e">
        <f>#REF!</f>
        <v>#REF!</v>
      </c>
      <c r="AC328" t="e">
        <f>#REF!</f>
        <v>#REF!</v>
      </c>
      <c r="AD328" t="e">
        <f>#REF!</f>
        <v>#REF!</v>
      </c>
      <c r="AE328" t="e">
        <f>#REF!</f>
        <v>#REF!</v>
      </c>
      <c r="AF328" t="e">
        <f>#REF!</f>
        <v>#REF!</v>
      </c>
      <c r="AG328" t="e">
        <f>#REF!</f>
        <v>#REF!</v>
      </c>
      <c r="AH328" t="e">
        <f>#REF!</f>
        <v>#REF!</v>
      </c>
      <c r="AI328" t="e">
        <f>#REF!</f>
        <v>#REF!</v>
      </c>
    </row>
    <row r="329" spans="1:35" x14ac:dyDescent="0.15">
      <c r="A329">
        <f t="shared" si="85"/>
        <v>0.34615174845999996</v>
      </c>
      <c r="B329" s="26" t="e">
        <f t="shared" si="86"/>
        <v>#REF!</v>
      </c>
      <c r="C329" s="20">
        <v>0.244973</v>
      </c>
      <c r="D329">
        <v>2009</v>
      </c>
      <c r="E329">
        <f>pm.rep!B108</f>
        <v>56930.6</v>
      </c>
      <c r="F329">
        <f>pm.rep!C108</f>
        <v>5944.81</v>
      </c>
      <c r="G329">
        <f>pm.rep!D108</f>
        <v>6821.99</v>
      </c>
      <c r="H329">
        <f>pm.rep!E108</f>
        <v>2278.16</v>
      </c>
      <c r="I329">
        <f>pm.rep!F108</f>
        <v>584.37400000000002</v>
      </c>
      <c r="J329">
        <f>pm.rep!G108</f>
        <v>458.71499999999997</v>
      </c>
      <c r="K329">
        <f>pm.rep!H108</f>
        <v>488.79399999999998</v>
      </c>
      <c r="L329">
        <f>pm.rep!I108</f>
        <v>411.07100000000003</v>
      </c>
      <c r="M329">
        <f>pm.rep!J108</f>
        <v>316.09399999999999</v>
      </c>
      <c r="N329">
        <f>pm.rep!K108</f>
        <v>157.244</v>
      </c>
      <c r="O329">
        <f>pm.rep!L108</f>
        <v>63.575400000000002</v>
      </c>
      <c r="P329">
        <f>pm.rep!M108</f>
        <v>32.2273</v>
      </c>
      <c r="Q329">
        <f>pm.rep!N108</f>
        <v>32.122</v>
      </c>
      <c r="R329">
        <f>pm.rep!O108</f>
        <v>15.765499999999999</v>
      </c>
      <c r="S329">
        <f>pm.rep!P108</f>
        <v>26.659500000000001</v>
      </c>
      <c r="U329" t="e">
        <f>#REF!</f>
        <v>#REF!</v>
      </c>
      <c r="V329" t="e">
        <f>#REF!</f>
        <v>#REF!</v>
      </c>
      <c r="W329" t="e">
        <f>#REF!</f>
        <v>#REF!</v>
      </c>
      <c r="X329" t="e">
        <f>#REF!</f>
        <v>#REF!</v>
      </c>
      <c r="Y329" t="e">
        <f>#REF!</f>
        <v>#REF!</v>
      </c>
      <c r="Z329" t="e">
        <f>#REF!</f>
        <v>#REF!</v>
      </c>
      <c r="AA329" t="e">
        <f>#REF!</f>
        <v>#REF!</v>
      </c>
      <c r="AB329" t="e">
        <f>#REF!</f>
        <v>#REF!</v>
      </c>
      <c r="AC329" t="e">
        <f>#REF!</f>
        <v>#REF!</v>
      </c>
      <c r="AD329" t="e">
        <f>#REF!</f>
        <v>#REF!</v>
      </c>
      <c r="AE329" t="e">
        <f>#REF!</f>
        <v>#REF!</v>
      </c>
      <c r="AF329" t="e">
        <f>#REF!</f>
        <v>#REF!</v>
      </c>
      <c r="AG329" t="e">
        <f>#REF!</f>
        <v>#REF!</v>
      </c>
      <c r="AH329" t="e">
        <f>#REF!</f>
        <v>#REF!</v>
      </c>
      <c r="AI329" t="e">
        <f>#REF!</f>
        <v>#REF!</v>
      </c>
    </row>
    <row r="330" spans="1:35" x14ac:dyDescent="0.15">
      <c r="A330">
        <f t="shared" si="85"/>
        <v>0.28563174692000004</v>
      </c>
      <c r="B330" s="26" t="e">
        <f t="shared" si="86"/>
        <v>#REF!</v>
      </c>
      <c r="C330" s="20">
        <v>0.201686</v>
      </c>
      <c r="D330">
        <f>pm.rep!A109</f>
        <v>2010</v>
      </c>
      <c r="E330">
        <f>pm.rep!B109</f>
        <v>22500.1</v>
      </c>
      <c r="F330">
        <f>pm.rep!C109</f>
        <v>23145.5</v>
      </c>
      <c r="G330">
        <f>pm.rep!D109</f>
        <v>3783.56</v>
      </c>
      <c r="H330">
        <f>pm.rep!E109</f>
        <v>4932.12</v>
      </c>
      <c r="I330">
        <f>pm.rep!F109</f>
        <v>1522.99</v>
      </c>
      <c r="J330">
        <f>pm.rep!G109</f>
        <v>363.69400000000002</v>
      </c>
      <c r="K330">
        <f>pm.rep!H109</f>
        <v>250.19900000000001</v>
      </c>
      <c r="L330">
        <f>pm.rep!I109</f>
        <v>256.20600000000002</v>
      </c>
      <c r="M330">
        <f>pm.rep!J109</f>
        <v>217.315</v>
      </c>
      <c r="N330">
        <f>pm.rep!K109</f>
        <v>165.65199999999999</v>
      </c>
      <c r="O330">
        <f>pm.rep!L109</f>
        <v>82.972800000000007</v>
      </c>
      <c r="P330">
        <f>pm.rep!M109</f>
        <v>33.546799999999998</v>
      </c>
      <c r="Q330">
        <f>pm.rep!N109</f>
        <v>17.005400000000002</v>
      </c>
      <c r="R330">
        <f>pm.rep!O109</f>
        <v>16.9498</v>
      </c>
      <c r="S330">
        <f>pm.rep!P109</f>
        <v>22.386399999999998</v>
      </c>
      <c r="U330" t="e">
        <f>#REF!</f>
        <v>#REF!</v>
      </c>
      <c r="V330" t="e">
        <f>#REF!</f>
        <v>#REF!</v>
      </c>
      <c r="W330" t="e">
        <f>#REF!</f>
        <v>#REF!</v>
      </c>
      <c r="X330" t="e">
        <f>#REF!</f>
        <v>#REF!</v>
      </c>
      <c r="Y330" t="e">
        <f>#REF!</f>
        <v>#REF!</v>
      </c>
      <c r="Z330" t="e">
        <f>#REF!</f>
        <v>#REF!</v>
      </c>
      <c r="AA330" t="e">
        <f>#REF!</f>
        <v>#REF!</v>
      </c>
      <c r="AB330" t="e">
        <f>#REF!</f>
        <v>#REF!</v>
      </c>
      <c r="AC330" t="e">
        <f>#REF!</f>
        <v>#REF!</v>
      </c>
      <c r="AD330" t="e">
        <f>#REF!</f>
        <v>#REF!</v>
      </c>
      <c r="AE330" t="e">
        <f>#REF!</f>
        <v>#REF!</v>
      </c>
      <c r="AF330" t="e">
        <f>#REF!</f>
        <v>#REF!</v>
      </c>
      <c r="AG330" t="e">
        <f>#REF!</f>
        <v>#REF!</v>
      </c>
      <c r="AH330" t="e">
        <f>#REF!</f>
        <v>#REF!</v>
      </c>
      <c r="AI330" t="e">
        <f>#REF!</f>
        <v>#REF!</v>
      </c>
    </row>
    <row r="331" spans="1:35" x14ac:dyDescent="0.15">
      <c r="B331" s="26"/>
      <c r="C331" s="20">
        <v>0.27127899999999999</v>
      </c>
      <c r="D331">
        <f>pm.rep!A110</f>
        <v>2011</v>
      </c>
      <c r="E331">
        <f>pm.rep!B110</f>
        <v>13479.2</v>
      </c>
      <c r="F331">
        <f>pm.rep!C110</f>
        <v>9147.59</v>
      </c>
      <c r="G331">
        <f>pm.rep!D110</f>
        <v>14734.1</v>
      </c>
      <c r="H331">
        <f>pm.rep!E110</f>
        <v>2768.26</v>
      </c>
      <c r="I331">
        <f>pm.rep!F110</f>
        <v>3180.79</v>
      </c>
      <c r="J331">
        <f>pm.rep!G110</f>
        <v>936.346</v>
      </c>
      <c r="K331">
        <f>pm.rep!H110</f>
        <v>216.465</v>
      </c>
      <c r="L331">
        <f>pm.rep!I110</f>
        <v>142.62799999999999</v>
      </c>
      <c r="M331">
        <f>pm.rep!J110</f>
        <v>142.64400000000001</v>
      </c>
      <c r="N331">
        <f>pm.rep!K110</f>
        <v>121.753</v>
      </c>
      <c r="O331">
        <f>pm.rep!L110</f>
        <v>93.365300000000005</v>
      </c>
      <c r="P331">
        <f>pm.rep!M110</f>
        <v>46.7654</v>
      </c>
      <c r="Q331">
        <f>pm.rep!N110</f>
        <v>18.907800000000002</v>
      </c>
      <c r="R331">
        <f>pm.rep!O110</f>
        <v>9.5846300000000006</v>
      </c>
      <c r="S331">
        <f>pm.rep!P110</f>
        <v>22.1708</v>
      </c>
    </row>
    <row r="332" spans="1:35" x14ac:dyDescent="0.15">
      <c r="B332" s="26"/>
      <c r="C332" s="20">
        <v>0.261183</v>
      </c>
      <c r="D332">
        <f>pm.rep!A111</f>
        <v>2012</v>
      </c>
      <c r="E332">
        <f>pm.rep!B111</f>
        <v>11200.8</v>
      </c>
      <c r="F332">
        <f>pm.rep!C111</f>
        <v>5480.03</v>
      </c>
      <c r="G332">
        <f>pm.rep!D111</f>
        <v>5819.27</v>
      </c>
      <c r="H332">
        <f>pm.rep!E111</f>
        <v>10740.4</v>
      </c>
      <c r="I332">
        <f>pm.rep!F111</f>
        <v>1928</v>
      </c>
      <c r="J332">
        <f>pm.rep!G111</f>
        <v>1638.38</v>
      </c>
      <c r="K332">
        <f>pm.rep!H111</f>
        <v>459.38400000000001</v>
      </c>
      <c r="L332">
        <f>pm.rep!I111</f>
        <v>108.938</v>
      </c>
      <c r="M332">
        <f>pm.rep!J111</f>
        <v>72.682699999999997</v>
      </c>
      <c r="N332">
        <f>pm.rep!K111</f>
        <v>73.568299999999994</v>
      </c>
      <c r="O332">
        <f>pm.rep!L111</f>
        <v>63.661499999999997</v>
      </c>
      <c r="P332">
        <f>pm.rep!M111</f>
        <v>48.818199999999997</v>
      </c>
      <c r="Q332">
        <f>pm.rep!N111</f>
        <v>24.452400000000001</v>
      </c>
      <c r="R332">
        <f>pm.rep!O111</f>
        <v>9.8863800000000008</v>
      </c>
      <c r="S332">
        <f>pm.rep!P111</f>
        <v>16.604099999999999</v>
      </c>
    </row>
    <row r="333" spans="1:35" x14ac:dyDescent="0.15">
      <c r="B333" s="26"/>
      <c r="C333" s="20">
        <v>0.244147</v>
      </c>
      <c r="D333">
        <f>pm.rep!A112</f>
        <v>2013</v>
      </c>
      <c r="E333">
        <f>pm.rep!B112</f>
        <v>63521.7</v>
      </c>
      <c r="F333">
        <f>pm.rep!C112</f>
        <v>4553.7299999999996</v>
      </c>
      <c r="G333">
        <f>pm.rep!D112</f>
        <v>3483.56</v>
      </c>
      <c r="H333">
        <f>pm.rep!E112</f>
        <v>4212.12</v>
      </c>
      <c r="I333">
        <f>pm.rep!F112</f>
        <v>7150.04</v>
      </c>
      <c r="J333">
        <f>pm.rep!G112</f>
        <v>1264.1099999999999</v>
      </c>
      <c r="K333">
        <f>pm.rep!H112</f>
        <v>825.11400000000003</v>
      </c>
      <c r="L333">
        <f>pm.rep!I112</f>
        <v>230.24799999999999</v>
      </c>
      <c r="M333">
        <f>pm.rep!J112</f>
        <v>54.814799999999998</v>
      </c>
      <c r="N333">
        <f>pm.rep!K112</f>
        <v>37.356699999999996</v>
      </c>
      <c r="O333">
        <f>pm.rep!L112</f>
        <v>38.193199999999997</v>
      </c>
      <c r="P333">
        <f>pm.rep!M112</f>
        <v>33.049999999999997</v>
      </c>
      <c r="Q333">
        <f>pm.rep!N112</f>
        <v>25.344100000000001</v>
      </c>
      <c r="R333">
        <f>pm.rep!O112</f>
        <v>12.6945</v>
      </c>
      <c r="S333">
        <f>pm.rep!P112</f>
        <v>13.752599999999999</v>
      </c>
    </row>
    <row r="334" spans="1:35" x14ac:dyDescent="0.15">
      <c r="B334" s="26"/>
      <c r="C334" s="20"/>
    </row>
    <row r="335" spans="1:35" x14ac:dyDescent="0.15">
      <c r="B335" s="26"/>
      <c r="C335" s="20"/>
    </row>
    <row r="336" spans="1:35" x14ac:dyDescent="0.15">
      <c r="B336" s="26"/>
      <c r="C336" s="20"/>
    </row>
    <row r="337" spans="1:22" x14ac:dyDescent="0.15">
      <c r="B337" s="26"/>
      <c r="C337" s="20"/>
    </row>
    <row r="340" spans="1:22" x14ac:dyDescent="0.15">
      <c r="B340" t="s">
        <v>248</v>
      </c>
      <c r="E340">
        <v>0.9</v>
      </c>
      <c r="F340">
        <v>0.60000000000000009</v>
      </c>
      <c r="G340">
        <v>0.30000000000000004</v>
      </c>
      <c r="H340">
        <v>0.30000000000000004</v>
      </c>
      <c r="I340">
        <v>0.30000000000000004</v>
      </c>
      <c r="J340">
        <v>0.30000000000000004</v>
      </c>
      <c r="K340">
        <v>0.30000000000000004</v>
      </c>
      <c r="L340">
        <v>0.30000000000000004</v>
      </c>
      <c r="M340">
        <v>0.30000000000000004</v>
      </c>
      <c r="N340">
        <v>0.30000000000000004</v>
      </c>
      <c r="O340">
        <v>0.30000000000000004</v>
      </c>
      <c r="P340">
        <v>0.30000000000000004</v>
      </c>
      <c r="Q340">
        <v>0.30000000000000004</v>
      </c>
      <c r="R340">
        <v>0.30000000000000004</v>
      </c>
      <c r="S340">
        <v>0.30000000000000004</v>
      </c>
      <c r="U340" t="s">
        <v>148</v>
      </c>
      <c r="V340" t="s">
        <v>251</v>
      </c>
    </row>
    <row r="341" spans="1:22" x14ac:dyDescent="0.15">
      <c r="A341" s="23" t="e">
        <f t="shared" ref="A341:A377" si="87">1-C342/B341</f>
        <v>#REF!</v>
      </c>
      <c r="B341" s="3">
        <f>SUMPRODUCT(Summary!$D$42:$R$42,E341:S341,Summary!$D$43:$R$43)</f>
        <v>622.76787406399671</v>
      </c>
      <c r="C341" s="12" t="e">
        <f t="shared" ref="C341:C387" si="88">H48</f>
        <v>#REF!</v>
      </c>
      <c r="D341" s="38">
        <f t="shared" ref="D341:D384" si="89">(D284)</f>
        <v>1964</v>
      </c>
      <c r="E341" s="27">
        <f t="shared" ref="E341:E387" si="90">E284</f>
        <v>6669.66</v>
      </c>
      <c r="F341" s="27">
        <f t="shared" ref="F341:S341" si="91">F284</f>
        <v>3534.24</v>
      </c>
      <c r="G341" s="27">
        <f t="shared" si="91"/>
        <v>2242.08</v>
      </c>
      <c r="H341" s="27">
        <f t="shared" si="91"/>
        <v>482.50599999999997</v>
      </c>
      <c r="I341" s="27">
        <f t="shared" si="91"/>
        <v>208.66399999999999</v>
      </c>
      <c r="J341" s="27">
        <f t="shared" si="91"/>
        <v>406.18900000000002</v>
      </c>
      <c r="K341" s="27">
        <f t="shared" si="91"/>
        <v>183.488</v>
      </c>
      <c r="L341" s="27">
        <f t="shared" si="91"/>
        <v>59.002600000000001</v>
      </c>
      <c r="M341" s="27">
        <f t="shared" si="91"/>
        <v>37.4255</v>
      </c>
      <c r="N341" s="27">
        <f t="shared" si="91"/>
        <v>37.698599999999999</v>
      </c>
      <c r="O341" s="27">
        <f t="shared" si="91"/>
        <v>37.605200000000004</v>
      </c>
      <c r="P341" s="27">
        <f t="shared" si="91"/>
        <v>37.5319</v>
      </c>
      <c r="Q341" s="27">
        <f t="shared" si="91"/>
        <v>37.474200000000003</v>
      </c>
      <c r="R341" s="27">
        <f t="shared" si="91"/>
        <v>37.416800000000002</v>
      </c>
      <c r="S341" s="27">
        <f t="shared" si="91"/>
        <v>37.348599999999998</v>
      </c>
      <c r="T341" s="27"/>
      <c r="U341" s="27"/>
    </row>
    <row r="342" spans="1:22" x14ac:dyDescent="0.15">
      <c r="A342" s="23" t="e">
        <f t="shared" si="87"/>
        <v>#REF!</v>
      </c>
      <c r="B342" s="3">
        <f>SUMPRODUCT(Summary!$D$42:$R$42,E342:S342,Summary!$D$43:$R$43)</f>
        <v>802.41630016236593</v>
      </c>
      <c r="C342" s="12" t="e">
        <f t="shared" si="88"/>
        <v>#REF!</v>
      </c>
      <c r="D342" s="38">
        <f t="shared" si="89"/>
        <v>1965</v>
      </c>
      <c r="E342" s="27">
        <f t="shared" si="90"/>
        <v>21534.799999999999</v>
      </c>
      <c r="F342" s="27">
        <f>E341*EXP(-E$340)</f>
        <v>2711.6813967854841</v>
      </c>
      <c r="G342" s="27">
        <f t="shared" ref="G342:O342" si="92">F341*EXP(-F$340)</f>
        <v>1939.6320367489518</v>
      </c>
      <c r="H342" s="27">
        <f t="shared" si="92"/>
        <v>1660.973716226066</v>
      </c>
      <c r="I342" s="27">
        <f t="shared" si="92"/>
        <v>357.44923638825293</v>
      </c>
      <c r="J342" s="27">
        <f t="shared" si="92"/>
        <v>154.58209320032998</v>
      </c>
      <c r="K342" s="27">
        <f t="shared" si="92"/>
        <v>300.91221224048633</v>
      </c>
      <c r="L342" s="27">
        <f t="shared" si="92"/>
        <v>135.93125367644706</v>
      </c>
      <c r="M342" s="27">
        <f t="shared" si="92"/>
        <v>43.710201147595129</v>
      </c>
      <c r="N342" s="27">
        <f t="shared" si="92"/>
        <v>27.725492318123631</v>
      </c>
      <c r="O342" s="27">
        <f t="shared" si="92"/>
        <v>27.927809774191807</v>
      </c>
      <c r="P342" s="27">
        <f t="shared" ref="P342:R361" si="93">O341*EXP(-O$340)</f>
        <v>27.85861735238014</v>
      </c>
      <c r="Q342" s="27">
        <f t="shared" si="93"/>
        <v>27.804315376804169</v>
      </c>
      <c r="R342" s="27">
        <f t="shared" si="93"/>
        <v>27.761570165470836</v>
      </c>
      <c r="S342" s="27">
        <f>R341*EXP(-R$340)+S341*EXP(-S$340)</f>
        <v>55.387570596556913</v>
      </c>
      <c r="T342" s="27"/>
      <c r="U342" s="27"/>
    </row>
    <row r="343" spans="1:22" x14ac:dyDescent="0.15">
      <c r="A343" s="23" t="e">
        <f t="shared" si="87"/>
        <v>#REF!</v>
      </c>
      <c r="B343" s="3">
        <f>SUMPRODUCT(Summary!$D$42:$R$42,E343:S343,Summary!$D$43:$R$43)</f>
        <v>989.39795524142448</v>
      </c>
      <c r="C343" s="12" t="e">
        <f t="shared" si="88"/>
        <v>#REF!</v>
      </c>
      <c r="D343" s="38">
        <f t="shared" si="89"/>
        <v>1966</v>
      </c>
      <c r="E343" s="27">
        <f t="shared" si="90"/>
        <v>15436.5</v>
      </c>
      <c r="F343" s="27">
        <f t="shared" ref="F343:O343" si="94">E342*EXP(-E$340)</f>
        <v>8755.3963085818541</v>
      </c>
      <c r="G343" s="27">
        <f t="shared" si="94"/>
        <v>1488.2023039355763</v>
      </c>
      <c r="H343" s="27">
        <f t="shared" si="94"/>
        <v>1436.9147542416149</v>
      </c>
      <c r="I343" s="27">
        <f t="shared" si="94"/>
        <v>1230.4795930536948</v>
      </c>
      <c r="J343" s="27">
        <f t="shared" si="94"/>
        <v>264.8049072851843</v>
      </c>
      <c r="K343" s="27">
        <f t="shared" si="94"/>
        <v>114.51723123392394</v>
      </c>
      <c r="L343" s="27">
        <f t="shared" si="94"/>
        <v>222.92124965339653</v>
      </c>
      <c r="M343" s="27">
        <f t="shared" si="94"/>
        <v>100.70034948362073</v>
      </c>
      <c r="N343" s="27">
        <f t="shared" si="94"/>
        <v>32.381313439801403</v>
      </c>
      <c r="O343" s="27">
        <f t="shared" si="94"/>
        <v>20.539549886636987</v>
      </c>
      <c r="P343" s="27">
        <f t="shared" si="93"/>
        <v>20.689430344454262</v>
      </c>
      <c r="Q343" s="27">
        <f t="shared" si="93"/>
        <v>20.638171337643087</v>
      </c>
      <c r="R343" s="27">
        <f t="shared" si="93"/>
        <v>20.597943444717394</v>
      </c>
      <c r="S343" s="27">
        <f t="shared" ref="S343:S384" si="95">R342*EXP(-R$340)+S342*EXP(-S$340)</f>
        <v>61.598398510539091</v>
      </c>
      <c r="T343" s="27"/>
      <c r="U343" s="27"/>
    </row>
    <row r="344" spans="1:22" x14ac:dyDescent="0.15">
      <c r="A344" s="23" t="e">
        <f t="shared" si="87"/>
        <v>#REF!</v>
      </c>
      <c r="B344" s="3">
        <f>SUMPRODUCT(Summary!$D$42:$R$42,E344:S344,Summary!$D$43:$R$43)</f>
        <v>1268.379995838761</v>
      </c>
      <c r="C344" s="12" t="e">
        <f t="shared" si="88"/>
        <v>#REF!</v>
      </c>
      <c r="D344" s="38">
        <f t="shared" si="89"/>
        <v>1967</v>
      </c>
      <c r="E344" s="27">
        <f t="shared" si="90"/>
        <v>25796</v>
      </c>
      <c r="F344" s="27">
        <f t="shared" ref="F344:O344" si="96">E343*EXP(-E$340)</f>
        <v>6276.0125525857584</v>
      </c>
      <c r="G344" s="27">
        <f t="shared" si="96"/>
        <v>4805.0633727644063</v>
      </c>
      <c r="H344" s="27">
        <f t="shared" si="96"/>
        <v>1102.4873828159868</v>
      </c>
      <c r="I344" s="27">
        <f t="shared" si="96"/>
        <v>1064.4926315085811</v>
      </c>
      <c r="J344" s="27">
        <f t="shared" si="96"/>
        <v>911.56170271120243</v>
      </c>
      <c r="K344" s="27">
        <f t="shared" si="96"/>
        <v>196.17230024279749</v>
      </c>
      <c r="L344" s="27">
        <f t="shared" si="96"/>
        <v>84.836451480112373</v>
      </c>
      <c r="M344" s="27">
        <f t="shared" si="96"/>
        <v>165.14412352037422</v>
      </c>
      <c r="N344" s="27">
        <f t="shared" si="96"/>
        <v>74.60065372648306</v>
      </c>
      <c r="O344" s="27">
        <f t="shared" si="96"/>
        <v>23.988667005810672</v>
      </c>
      <c r="P344" s="27">
        <f t="shared" si="93"/>
        <v>15.216072800621793</v>
      </c>
      <c r="Q344" s="27">
        <f t="shared" si="93"/>
        <v>15.327106974696948</v>
      </c>
      <c r="R344" s="27">
        <f t="shared" si="93"/>
        <v>15.289133368477181</v>
      </c>
      <c r="S344" s="27">
        <f t="shared" si="95"/>
        <v>60.89254779383915</v>
      </c>
      <c r="T344" s="27"/>
      <c r="U344" s="27"/>
    </row>
    <row r="345" spans="1:22" x14ac:dyDescent="0.15">
      <c r="A345" s="23" t="e">
        <f t="shared" si="87"/>
        <v>#REF!</v>
      </c>
      <c r="B345" s="3">
        <f>SUMPRODUCT(Summary!$D$42:$R$42,E345:S345,Summary!$D$43:$R$43)</f>
        <v>1666.889876516675</v>
      </c>
      <c r="C345" s="12" t="e">
        <f t="shared" si="88"/>
        <v>#REF!</v>
      </c>
      <c r="D345" s="38">
        <f t="shared" si="89"/>
        <v>1968</v>
      </c>
      <c r="E345" s="27">
        <f t="shared" si="90"/>
        <v>22271.4</v>
      </c>
      <c r="F345" s="27">
        <f t="shared" ref="F345:O345" si="97">E344*EXP(-E$340)</f>
        <v>10487.870942668495</v>
      </c>
      <c r="G345" s="27">
        <f t="shared" si="97"/>
        <v>3444.3487171312368</v>
      </c>
      <c r="H345" s="27">
        <f t="shared" si="97"/>
        <v>3559.6784980742214</v>
      </c>
      <c r="I345" s="27">
        <f t="shared" si="97"/>
        <v>816.74274126178329</v>
      </c>
      <c r="J345" s="27">
        <f t="shared" si="97"/>
        <v>788.59553720298663</v>
      </c>
      <c r="K345" s="27">
        <f t="shared" si="97"/>
        <v>675.30151864411005</v>
      </c>
      <c r="L345" s="27">
        <f t="shared" si="97"/>
        <v>145.32801441290897</v>
      </c>
      <c r="M345" s="27">
        <f t="shared" si="97"/>
        <v>62.848389034447742</v>
      </c>
      <c r="N345" s="27">
        <f t="shared" si="97"/>
        <v>122.34177574240546</v>
      </c>
      <c r="O345" s="27">
        <f t="shared" si="97"/>
        <v>55.265523555346149</v>
      </c>
      <c r="P345" s="27">
        <f t="shared" si="93"/>
        <v>17.771241607770897</v>
      </c>
      <c r="Q345" s="27">
        <f t="shared" si="93"/>
        <v>11.272343977920121</v>
      </c>
      <c r="R345" s="27">
        <f t="shared" si="93"/>
        <v>11.354600117193341</v>
      </c>
      <c r="S345" s="27">
        <f t="shared" si="95"/>
        <v>56.436777487209127</v>
      </c>
      <c r="T345" s="27"/>
      <c r="U345" s="27"/>
    </row>
    <row r="346" spans="1:22" x14ac:dyDescent="0.15">
      <c r="A346" s="23" t="e">
        <f t="shared" si="87"/>
        <v>#REF!</v>
      </c>
      <c r="B346" s="3">
        <f>SUMPRODUCT(Summary!$D$42:$R$42,E346:S346,Summary!$D$43:$R$43)</f>
        <v>2150.4716278444112</v>
      </c>
      <c r="C346" s="12" t="e">
        <f t="shared" si="88"/>
        <v>#REF!</v>
      </c>
      <c r="D346" s="38">
        <f t="shared" si="89"/>
        <v>1969</v>
      </c>
      <c r="E346" s="27">
        <f t="shared" si="90"/>
        <v>26141.1</v>
      </c>
      <c r="F346" s="27">
        <f t="shared" ref="F346:O346" si="98">E345*EXP(-E$340)</f>
        <v>9054.8755199467796</v>
      </c>
      <c r="G346" s="27">
        <f t="shared" si="98"/>
        <v>5755.8656111888949</v>
      </c>
      <c r="H346" s="27">
        <f t="shared" si="98"/>
        <v>2551.6362880325205</v>
      </c>
      <c r="I346" s="27">
        <f t="shared" si="98"/>
        <v>2637.0746911423144</v>
      </c>
      <c r="J346" s="27">
        <f t="shared" si="98"/>
        <v>605.05790433626294</v>
      </c>
      <c r="K346" s="27">
        <f t="shared" si="98"/>
        <v>584.20594270826007</v>
      </c>
      <c r="L346" s="27">
        <f t="shared" si="98"/>
        <v>500.27566946559153</v>
      </c>
      <c r="M346" s="27">
        <f t="shared" si="98"/>
        <v>107.66164105257828</v>
      </c>
      <c r="N346" s="27">
        <f t="shared" si="98"/>
        <v>46.559231737211967</v>
      </c>
      <c r="O346" s="27">
        <f t="shared" si="98"/>
        <v>90.633016620530569</v>
      </c>
      <c r="P346" s="27">
        <f t="shared" si="93"/>
        <v>40.941706825315102</v>
      </c>
      <c r="Q346" s="27">
        <f t="shared" si="93"/>
        <v>13.165259587173747</v>
      </c>
      <c r="R346" s="27">
        <f t="shared" si="93"/>
        <v>8.3507578086350627</v>
      </c>
      <c r="S346" s="27">
        <f t="shared" si="95"/>
        <v>50.221087734455899</v>
      </c>
      <c r="T346" s="27"/>
      <c r="U346" s="27"/>
    </row>
    <row r="347" spans="1:22" x14ac:dyDescent="0.15">
      <c r="A347" s="23" t="e">
        <f t="shared" si="87"/>
        <v>#REF!</v>
      </c>
      <c r="B347" s="3">
        <f>SUMPRODUCT(Summary!$D$42:$R$42,E347:S347,Summary!$D$43:$R$43)</f>
        <v>2669.8525502485263</v>
      </c>
      <c r="C347" s="12" t="e">
        <f t="shared" si="88"/>
        <v>#REF!</v>
      </c>
      <c r="D347" s="38">
        <f t="shared" si="89"/>
        <v>1970</v>
      </c>
      <c r="E347" s="27">
        <f t="shared" si="90"/>
        <v>23500.1</v>
      </c>
      <c r="F347" s="27">
        <f t="shared" ref="F347:O347" si="99">E346*EXP(-E$340)</f>
        <v>10628.178132244975</v>
      </c>
      <c r="G347" s="27">
        <f t="shared" si="99"/>
        <v>4969.4210487297396</v>
      </c>
      <c r="H347" s="27">
        <f t="shared" si="99"/>
        <v>4264.0501205640458</v>
      </c>
      <c r="I347" s="27">
        <f t="shared" si="99"/>
        <v>1890.2986547271553</v>
      </c>
      <c r="J347" s="27">
        <f t="shared" si="99"/>
        <v>1953.59298049684</v>
      </c>
      <c r="K347" s="27">
        <f t="shared" si="99"/>
        <v>448.2379200997994</v>
      </c>
      <c r="L347" s="27">
        <f t="shared" si="99"/>
        <v>432.79040698881886</v>
      </c>
      <c r="M347" s="27">
        <f t="shared" si="99"/>
        <v>370.61333130385475</v>
      </c>
      <c r="N347" s="27">
        <f t="shared" si="99"/>
        <v>79.757705360244827</v>
      </c>
      <c r="O347" s="27">
        <f t="shared" si="99"/>
        <v>34.49192721186914</v>
      </c>
      <c r="P347" s="27">
        <f t="shared" si="93"/>
        <v>67.142590107838018</v>
      </c>
      <c r="Q347" s="27">
        <f t="shared" si="93"/>
        <v>30.330362402002478</v>
      </c>
      <c r="R347" s="27">
        <f t="shared" si="93"/>
        <v>9.7530641821829835</v>
      </c>
      <c r="S347" s="27">
        <f t="shared" si="95"/>
        <v>43.391090397277054</v>
      </c>
      <c r="T347" s="27"/>
      <c r="U347" s="27"/>
    </row>
    <row r="348" spans="1:22" x14ac:dyDescent="0.15">
      <c r="A348" s="23" t="e">
        <f t="shared" si="87"/>
        <v>#REF!</v>
      </c>
      <c r="B348" s="3">
        <f>SUMPRODUCT(Summary!$D$42:$R$42,E348:S348,Summary!$D$43:$R$43)</f>
        <v>3188.285234634217</v>
      </c>
      <c r="C348" s="12" t="e">
        <f t="shared" si="88"/>
        <v>#REF!</v>
      </c>
      <c r="D348" s="38">
        <f t="shared" si="89"/>
        <v>1971</v>
      </c>
      <c r="E348" s="27">
        <f t="shared" si="90"/>
        <v>14578.3</v>
      </c>
      <c r="F348" s="27">
        <f t="shared" ref="F348:O348" si="100">E347*EXP(-E$340)</f>
        <v>9554.4276608700529</v>
      </c>
      <c r="G348" s="27">
        <f t="shared" si="100"/>
        <v>5832.8678294561187</v>
      </c>
      <c r="H348" s="27">
        <f t="shared" si="100"/>
        <v>3681.437659138242</v>
      </c>
      <c r="I348" s="27">
        <f t="shared" si="100"/>
        <v>3158.8860232139209</v>
      </c>
      <c r="J348" s="27">
        <f t="shared" si="100"/>
        <v>1400.3676859520162</v>
      </c>
      <c r="K348" s="27">
        <f t="shared" si="100"/>
        <v>1447.2572757479629</v>
      </c>
      <c r="L348" s="27">
        <f t="shared" si="100"/>
        <v>332.06281841040743</v>
      </c>
      <c r="M348" s="27">
        <f t="shared" si="100"/>
        <v>320.61901923357328</v>
      </c>
      <c r="N348" s="27">
        <f t="shared" si="100"/>
        <v>274.55710865744567</v>
      </c>
      <c r="O348" s="27">
        <f t="shared" si="100"/>
        <v>59.085961370633285</v>
      </c>
      <c r="P348" s="27">
        <f t="shared" si="93"/>
        <v>25.552248144980222</v>
      </c>
      <c r="Q348" s="27">
        <f t="shared" si="93"/>
        <v>49.740454135650474</v>
      </c>
      <c r="R348" s="27">
        <f t="shared" si="93"/>
        <v>22.469285107283152</v>
      </c>
      <c r="S348" s="27">
        <f t="shared" si="95"/>
        <v>39.370158035189753</v>
      </c>
      <c r="T348" s="27"/>
      <c r="U348" s="27"/>
    </row>
    <row r="349" spans="1:22" x14ac:dyDescent="0.15">
      <c r="A349" s="23" t="e">
        <f t="shared" si="87"/>
        <v>#REF!</v>
      </c>
      <c r="B349" s="3">
        <f>SUMPRODUCT(Summary!$D$42:$R$42,E349:S349,Summary!$D$43:$R$43)</f>
        <v>3651.9571990377794</v>
      </c>
      <c r="C349" s="12" t="e">
        <f t="shared" si="88"/>
        <v>#REF!</v>
      </c>
      <c r="D349" s="38">
        <f t="shared" si="89"/>
        <v>1972</v>
      </c>
      <c r="E349" s="27">
        <f t="shared" si="90"/>
        <v>11964.4</v>
      </c>
      <c r="F349" s="27">
        <f t="shared" ref="F349:O349" si="101">E348*EXP(-E$340)</f>
        <v>5927.0944705963757</v>
      </c>
      <c r="G349" s="27">
        <f t="shared" si="101"/>
        <v>5243.5810765041151</v>
      </c>
      <c r="H349" s="27">
        <f t="shared" si="101"/>
        <v>4321.0947668893159</v>
      </c>
      <c r="I349" s="27">
        <f t="shared" si="101"/>
        <v>2727.2760961934609</v>
      </c>
      <c r="J349" s="27">
        <f t="shared" si="101"/>
        <v>2340.1603230536848</v>
      </c>
      <c r="K349" s="27">
        <f t="shared" si="101"/>
        <v>1037.4178974071474</v>
      </c>
      <c r="L349" s="27">
        <f t="shared" si="101"/>
        <v>1072.1545598882763</v>
      </c>
      <c r="M349" s="27">
        <f t="shared" si="101"/>
        <v>245.99818628935441</v>
      </c>
      <c r="N349" s="27">
        <f t="shared" si="101"/>
        <v>237.52041134533323</v>
      </c>
      <c r="O349" s="27">
        <f t="shared" si="101"/>
        <v>203.39690871112597</v>
      </c>
      <c r="P349" s="27">
        <f t="shared" si="93"/>
        <v>43.771956769861269</v>
      </c>
      <c r="Q349" s="27">
        <f t="shared" si="93"/>
        <v>18.929571005181973</v>
      </c>
      <c r="R349" s="27">
        <f t="shared" si="93"/>
        <v>36.848634728673176</v>
      </c>
      <c r="S349" s="27">
        <f t="shared" si="95"/>
        <v>45.81178623675504</v>
      </c>
      <c r="T349" s="27"/>
      <c r="U349" s="27"/>
    </row>
    <row r="350" spans="1:22" x14ac:dyDescent="0.15">
      <c r="A350" s="23" t="e">
        <f t="shared" si="87"/>
        <v>#REF!</v>
      </c>
      <c r="B350" s="3">
        <f>SUMPRODUCT(Summary!$D$42:$R$42,E350:S350,Summary!$D$43:$R$43)</f>
        <v>3953.6330071878474</v>
      </c>
      <c r="C350" s="12" t="e">
        <f t="shared" si="88"/>
        <v>#REF!</v>
      </c>
      <c r="D350" s="38">
        <f t="shared" si="89"/>
        <v>1973</v>
      </c>
      <c r="E350" s="27">
        <f t="shared" si="90"/>
        <v>26909</v>
      </c>
      <c r="F350" s="27">
        <f t="shared" ref="F350:O350" si="102">E349*EXP(-E$340)</f>
        <v>4864.3620370004237</v>
      </c>
      <c r="G350" s="27">
        <f t="shared" si="102"/>
        <v>3252.8584136918539</v>
      </c>
      <c r="H350" s="27">
        <f t="shared" si="102"/>
        <v>3884.5404030961054</v>
      </c>
      <c r="I350" s="27">
        <f t="shared" si="102"/>
        <v>3201.1457366040254</v>
      </c>
      <c r="J350" s="27">
        <f t="shared" si="102"/>
        <v>2020.4158248898214</v>
      </c>
      <c r="K350" s="27">
        <f t="shared" si="102"/>
        <v>1733.6334066345848</v>
      </c>
      <c r="L350" s="27">
        <f t="shared" si="102"/>
        <v>768.53808086053186</v>
      </c>
      <c r="M350" s="27">
        <f t="shared" si="102"/>
        <v>794.27163335222315</v>
      </c>
      <c r="N350" s="27">
        <f t="shared" si="102"/>
        <v>182.23993865780929</v>
      </c>
      <c r="O350" s="27">
        <f t="shared" si="102"/>
        <v>175.95944850843946</v>
      </c>
      <c r="P350" s="27">
        <f t="shared" si="93"/>
        <v>150.68013600353814</v>
      </c>
      <c r="Q350" s="27">
        <f t="shared" si="93"/>
        <v>32.427063130005699</v>
      </c>
      <c r="R350" s="27">
        <f t="shared" si="93"/>
        <v>14.023371110327147</v>
      </c>
      <c r="S350" s="27">
        <f t="shared" si="95"/>
        <v>61.236345980410306</v>
      </c>
      <c r="T350" s="27"/>
      <c r="U350" s="27"/>
    </row>
    <row r="351" spans="1:22" x14ac:dyDescent="0.15">
      <c r="A351" s="23" t="e">
        <f t="shared" si="87"/>
        <v>#REF!</v>
      </c>
      <c r="B351" s="3">
        <f>SUMPRODUCT(Summary!$D$42:$R$42,E351:S351,Summary!$D$43:$R$43)</f>
        <v>4019.6203111902141</v>
      </c>
      <c r="C351" s="12" t="e">
        <f t="shared" si="88"/>
        <v>#REF!</v>
      </c>
      <c r="D351" s="38">
        <f t="shared" si="89"/>
        <v>1974</v>
      </c>
      <c r="E351" s="27">
        <f t="shared" si="90"/>
        <v>19909.099999999999</v>
      </c>
      <c r="F351" s="27">
        <f t="shared" ref="F351:O351" si="103">E350*EXP(-E$340)</f>
        <v>10940.382973959782</v>
      </c>
      <c r="G351" s="27">
        <f t="shared" si="103"/>
        <v>2669.6184880798733</v>
      </c>
      <c r="H351" s="27">
        <f t="shared" si="103"/>
        <v>2409.7767821607545</v>
      </c>
      <c r="I351" s="27">
        <f t="shared" si="103"/>
        <v>2877.7383095878999</v>
      </c>
      <c r="J351" s="27">
        <f t="shared" si="103"/>
        <v>2371.4670887338611</v>
      </c>
      <c r="K351" s="27">
        <f t="shared" si="103"/>
        <v>1496.7608564320628</v>
      </c>
      <c r="L351" s="27">
        <f t="shared" si="103"/>
        <v>1284.3072156174183</v>
      </c>
      <c r="M351" s="27">
        <f t="shared" si="103"/>
        <v>569.34701358924144</v>
      </c>
      <c r="N351" s="27">
        <f t="shared" si="103"/>
        <v>588.41089815795578</v>
      </c>
      <c r="O351" s="27">
        <f t="shared" si="103"/>
        <v>135.00666709362369</v>
      </c>
      <c r="P351" s="27">
        <f t="shared" si="93"/>
        <v>130.35396555615847</v>
      </c>
      <c r="Q351" s="27">
        <f t="shared" si="93"/>
        <v>111.62659024622037</v>
      </c>
      <c r="R351" s="27">
        <f t="shared" si="93"/>
        <v>24.022559209904561</v>
      </c>
      <c r="S351" s="27">
        <f t="shared" si="95"/>
        <v>55.753769704169599</v>
      </c>
      <c r="T351" s="27"/>
      <c r="U351" s="27"/>
    </row>
    <row r="352" spans="1:22" x14ac:dyDescent="0.15">
      <c r="A352" s="23" t="e">
        <f t="shared" si="87"/>
        <v>#REF!</v>
      </c>
      <c r="B352" s="3">
        <f>SUMPRODUCT(Summary!$D$42:$R$42,E352:S352,Summary!$D$43:$R$43)</f>
        <v>4086.1088357934659</v>
      </c>
      <c r="C352" s="12" t="e">
        <f t="shared" si="88"/>
        <v>#REF!</v>
      </c>
      <c r="D352" s="38">
        <f t="shared" si="89"/>
        <v>1975</v>
      </c>
      <c r="E352" s="27">
        <f t="shared" si="90"/>
        <v>17094.099999999999</v>
      </c>
      <c r="F352" s="27">
        <f t="shared" ref="F352:O352" si="104">E351*EXP(-E$340)</f>
        <v>8094.4360127415612</v>
      </c>
      <c r="G352" s="27">
        <f t="shared" si="104"/>
        <v>6004.2094794340983</v>
      </c>
      <c r="H352" s="27">
        <f t="shared" si="104"/>
        <v>1977.7020182383496</v>
      </c>
      <c r="I352" s="27">
        <f t="shared" si="104"/>
        <v>1785.2065480004458</v>
      </c>
      <c r="J352" s="27">
        <f t="shared" si="104"/>
        <v>2131.8809740965226</v>
      </c>
      <c r="K352" s="27">
        <f t="shared" si="104"/>
        <v>1756.8260290810726</v>
      </c>
      <c r="L352" s="27">
        <f t="shared" si="104"/>
        <v>1108.8277144480451</v>
      </c>
      <c r="M352" s="27">
        <f t="shared" si="104"/>
        <v>951.43818628238716</v>
      </c>
      <c r="N352" s="27">
        <f t="shared" si="104"/>
        <v>421.78264155763168</v>
      </c>
      <c r="O352" s="27">
        <f t="shared" si="104"/>
        <v>435.90551460310832</v>
      </c>
      <c r="P352" s="27">
        <f t="shared" si="93"/>
        <v>100.01539889646733</v>
      </c>
      <c r="Q352" s="27">
        <f t="shared" si="93"/>
        <v>96.568592822119257</v>
      </c>
      <c r="R352" s="27">
        <f t="shared" si="93"/>
        <v>82.695011966972174</v>
      </c>
      <c r="S352" s="27">
        <f t="shared" si="95"/>
        <v>59.099758038643898</v>
      </c>
      <c r="T352" s="27"/>
      <c r="U352" s="27"/>
    </row>
    <row r="353" spans="1:21" x14ac:dyDescent="0.15">
      <c r="A353" s="23" t="e">
        <f t="shared" si="87"/>
        <v>#REF!</v>
      </c>
      <c r="B353" s="3">
        <f>SUMPRODUCT(Summary!$D$42:$R$42,E353:S353,Summary!$D$43:$R$43)</f>
        <v>4244.0245662557618</v>
      </c>
      <c r="C353" s="12" t="e">
        <f t="shared" si="88"/>
        <v>#REF!</v>
      </c>
      <c r="D353" s="38">
        <f t="shared" si="89"/>
        <v>1976</v>
      </c>
      <c r="E353" s="27">
        <f t="shared" si="90"/>
        <v>13137.6</v>
      </c>
      <c r="F353" s="27">
        <f t="shared" ref="F353:O353" si="105">E352*EXP(-E$340)</f>
        <v>6949.9424205717751</v>
      </c>
      <c r="G353" s="27">
        <f t="shared" si="105"/>
        <v>4442.3206714111038</v>
      </c>
      <c r="H353" s="27">
        <f t="shared" si="105"/>
        <v>4448.0277831546719</v>
      </c>
      <c r="I353" s="27">
        <f t="shared" si="105"/>
        <v>1465.1176901899764</v>
      </c>
      <c r="J353" s="27">
        <f t="shared" si="105"/>
        <v>1322.5135384390419</v>
      </c>
      <c r="K353" s="27">
        <f t="shared" si="105"/>
        <v>1579.3362699353934</v>
      </c>
      <c r="L353" s="27">
        <f t="shared" si="105"/>
        <v>1301.4887329111682</v>
      </c>
      <c r="M353" s="27">
        <f t="shared" si="105"/>
        <v>821.43977445997666</v>
      </c>
      <c r="N353" s="27">
        <f t="shared" si="105"/>
        <v>704.84274425035892</v>
      </c>
      <c r="O353" s="27">
        <f t="shared" si="105"/>
        <v>312.4642660331595</v>
      </c>
      <c r="P353" s="27">
        <f t="shared" si="93"/>
        <v>322.92674771362329</v>
      </c>
      <c r="Q353" s="27">
        <f t="shared" si="93"/>
        <v>74.093229851253184</v>
      </c>
      <c r="R353" s="27">
        <f t="shared" si="93"/>
        <v>71.539773108219705</v>
      </c>
      <c r="S353" s="27">
        <f t="shared" si="95"/>
        <v>105.04414921753391</v>
      </c>
      <c r="T353" s="27"/>
      <c r="U353" s="27"/>
    </row>
    <row r="354" spans="1:21" x14ac:dyDescent="0.15">
      <c r="A354" s="23" t="e">
        <f t="shared" si="87"/>
        <v>#REF!</v>
      </c>
      <c r="B354" s="3">
        <f>SUMPRODUCT(Summary!$D$42:$R$42,E354:S354,Summary!$D$43:$R$43)</f>
        <v>4354.6335537849254</v>
      </c>
      <c r="C354" s="12" t="e">
        <f t="shared" si="88"/>
        <v>#REF!</v>
      </c>
      <c r="D354" s="38">
        <f t="shared" si="89"/>
        <v>1977</v>
      </c>
      <c r="E354" s="27">
        <f t="shared" si="90"/>
        <v>13755.3</v>
      </c>
      <c r="F354" s="27">
        <f t="shared" ref="F354:O354" si="106">E353*EXP(-E$340)</f>
        <v>5341.3495618080951</v>
      </c>
      <c r="G354" s="27">
        <f t="shared" si="106"/>
        <v>3814.2092705932741</v>
      </c>
      <c r="H354" s="27">
        <f t="shared" si="106"/>
        <v>3290.9520954923883</v>
      </c>
      <c r="I354" s="27">
        <f t="shared" si="106"/>
        <v>3295.1800278594901</v>
      </c>
      <c r="J354" s="27">
        <f t="shared" si="106"/>
        <v>1085.3858803358467</v>
      </c>
      <c r="K354" s="27">
        <f t="shared" si="106"/>
        <v>979.74212637389371</v>
      </c>
      <c r="L354" s="27">
        <f t="shared" si="106"/>
        <v>1170.0010853516394</v>
      </c>
      <c r="M354" s="27">
        <f t="shared" si="106"/>
        <v>964.16656735255515</v>
      </c>
      <c r="N354" s="27">
        <f t="shared" si="106"/>
        <v>608.5375521126316</v>
      </c>
      <c r="O354" s="27">
        <f t="shared" si="106"/>
        <v>522.16034765596999</v>
      </c>
      <c r="P354" s="27">
        <f t="shared" si="93"/>
        <v>231.47922158930416</v>
      </c>
      <c r="Q354" s="27">
        <f t="shared" si="93"/>
        <v>239.23001865174041</v>
      </c>
      <c r="R354" s="27">
        <f t="shared" si="93"/>
        <v>54.889614702966931</v>
      </c>
      <c r="S354" s="27">
        <f t="shared" si="95"/>
        <v>130.81658713836347</v>
      </c>
      <c r="T354" s="27"/>
      <c r="U354" s="27"/>
    </row>
    <row r="355" spans="1:21" x14ac:dyDescent="0.15">
      <c r="A355" s="23" t="e">
        <f t="shared" si="87"/>
        <v>#REF!</v>
      </c>
      <c r="B355" s="3">
        <f>SUMPRODUCT(Summary!$D$42:$R$42,E355:S355,Summary!$D$43:$R$43)</f>
        <v>4313.3600394574023</v>
      </c>
      <c r="C355" s="12" t="e">
        <f t="shared" si="88"/>
        <v>#REF!</v>
      </c>
      <c r="D355" s="38">
        <f t="shared" si="89"/>
        <v>1978</v>
      </c>
      <c r="E355" s="27">
        <f t="shared" si="90"/>
        <v>25352.3</v>
      </c>
      <c r="F355" s="27">
        <f t="shared" ref="F355:O355" si="107">E354*EXP(-E$340)</f>
        <v>5592.4876406298627</v>
      </c>
      <c r="G355" s="27">
        <f t="shared" si="107"/>
        <v>2931.3947919660118</v>
      </c>
      <c r="H355" s="27">
        <f t="shared" si="107"/>
        <v>2825.6357251486224</v>
      </c>
      <c r="I355" s="27">
        <f t="shared" si="107"/>
        <v>2437.9972757314422</v>
      </c>
      <c r="J355" s="27">
        <f t="shared" si="107"/>
        <v>2441.1294050648012</v>
      </c>
      <c r="K355" s="27">
        <f t="shared" si="107"/>
        <v>804.07363662346188</v>
      </c>
      <c r="L355" s="27">
        <f t="shared" si="107"/>
        <v>725.81081878723069</v>
      </c>
      <c r="M355" s="27">
        <f t="shared" si="107"/>
        <v>866.75812224588026</v>
      </c>
      <c r="N355" s="27">
        <f t="shared" si="107"/>
        <v>714.27216086691965</v>
      </c>
      <c r="O355" s="27">
        <f t="shared" si="107"/>
        <v>450.81570657408793</v>
      </c>
      <c r="P355" s="27">
        <f t="shared" si="93"/>
        <v>386.82589966104291</v>
      </c>
      <c r="Q355" s="27">
        <f t="shared" si="93"/>
        <v>171.48402506257742</v>
      </c>
      <c r="R355" s="27">
        <f t="shared" si="93"/>
        <v>177.22595675123651</v>
      </c>
      <c r="S355" s="27">
        <f t="shared" si="95"/>
        <v>137.57453801765436</v>
      </c>
      <c r="T355" s="27"/>
      <c r="U355" s="27"/>
    </row>
    <row r="356" spans="1:21" x14ac:dyDescent="0.15">
      <c r="A356" s="23" t="e">
        <f t="shared" si="87"/>
        <v>#REF!</v>
      </c>
      <c r="B356" s="3">
        <f>SUMPRODUCT(Summary!$D$42:$R$42,E356:S356,Summary!$D$43:$R$43)</f>
        <v>4187.2439056386456</v>
      </c>
      <c r="C356" s="12" t="e">
        <f t="shared" si="88"/>
        <v>#REF!</v>
      </c>
      <c r="D356" s="38">
        <f t="shared" si="89"/>
        <v>1979</v>
      </c>
      <c r="E356" s="27">
        <f t="shared" si="90"/>
        <v>61942.6</v>
      </c>
      <c r="F356" s="27">
        <f t="shared" ref="F356:O356" si="108">E355*EXP(-E$340)</f>
        <v>10307.475984641591</v>
      </c>
      <c r="G356" s="27">
        <f t="shared" si="108"/>
        <v>3069.2222918896964</v>
      </c>
      <c r="H356" s="27">
        <f t="shared" si="108"/>
        <v>2171.6306738999156</v>
      </c>
      <c r="I356" s="27">
        <f t="shared" si="108"/>
        <v>2093.2824301992982</v>
      </c>
      <c r="J356" s="27">
        <f t="shared" si="108"/>
        <v>1806.1128038342424</v>
      </c>
      <c r="K356" s="27">
        <f t="shared" si="108"/>
        <v>1808.4331423139265</v>
      </c>
      <c r="L356" s="27">
        <f t="shared" si="108"/>
        <v>595.67240078047121</v>
      </c>
      <c r="M356" s="27">
        <f t="shared" si="108"/>
        <v>537.69387932549705</v>
      </c>
      <c r="N356" s="27">
        <f t="shared" si="108"/>
        <v>642.11020988361997</v>
      </c>
      <c r="O356" s="27">
        <f t="shared" si="108"/>
        <v>529.14583129591722</v>
      </c>
      <c r="P356" s="27">
        <f t="shared" si="93"/>
        <v>333.97248959958722</v>
      </c>
      <c r="Q356" s="27">
        <f t="shared" si="93"/>
        <v>286.56767470049857</v>
      </c>
      <c r="R356" s="27">
        <f t="shared" si="93"/>
        <v>127.03849032219772</v>
      </c>
      <c r="S356" s="27">
        <f t="shared" si="95"/>
        <v>233.20994240441416</v>
      </c>
      <c r="T356" s="27"/>
      <c r="U356" s="27"/>
    </row>
    <row r="357" spans="1:21" x14ac:dyDescent="0.15">
      <c r="A357" s="23" t="e">
        <f t="shared" si="87"/>
        <v>#REF!</v>
      </c>
      <c r="B357" s="3">
        <f>SUMPRODUCT(Summary!$D$42:$R$42,E357:S357,Summary!$D$43:$R$43)</f>
        <v>4155.2921223750882</v>
      </c>
      <c r="C357" s="12" t="e">
        <f t="shared" si="88"/>
        <v>#REF!</v>
      </c>
      <c r="D357" s="38">
        <f t="shared" si="89"/>
        <v>1980</v>
      </c>
      <c r="E357" s="27">
        <f t="shared" si="90"/>
        <v>27184.1</v>
      </c>
      <c r="F357" s="27">
        <f t="shared" ref="F357:O357" si="109">E356*EXP(-E$340)</f>
        <v>25183.981805448035</v>
      </c>
      <c r="G357" s="27">
        <f t="shared" si="109"/>
        <v>5656.8627591310369</v>
      </c>
      <c r="H357" s="27">
        <f t="shared" si="109"/>
        <v>2273.7357971543888</v>
      </c>
      <c r="I357" s="27">
        <f t="shared" si="109"/>
        <v>1608.7835718163753</v>
      </c>
      <c r="J357" s="27">
        <f t="shared" si="109"/>
        <v>1550.7417653245463</v>
      </c>
      <c r="K357" s="27">
        <f t="shared" si="109"/>
        <v>1338.0012736869521</v>
      </c>
      <c r="L357" s="27">
        <f t="shared" si="109"/>
        <v>1339.720222710851</v>
      </c>
      <c r="M357" s="27">
        <f t="shared" si="109"/>
        <v>441.28496805539584</v>
      </c>
      <c r="N357" s="27">
        <f t="shared" si="109"/>
        <v>398.33342295336507</v>
      </c>
      <c r="O357" s="27">
        <f t="shared" si="109"/>
        <v>475.68694316754778</v>
      </c>
      <c r="P357" s="27">
        <f t="shared" si="93"/>
        <v>392.00087322178985</v>
      </c>
      <c r="Q357" s="27">
        <f t="shared" si="93"/>
        <v>247.41290550180975</v>
      </c>
      <c r="R357" s="27">
        <f t="shared" si="93"/>
        <v>212.29455487652069</v>
      </c>
      <c r="S357" s="27">
        <f t="shared" si="95"/>
        <v>266.87860293590614</v>
      </c>
      <c r="T357" s="27"/>
      <c r="U357" s="27"/>
    </row>
    <row r="358" spans="1:21" x14ac:dyDescent="0.15">
      <c r="A358" s="23" t="e">
        <f t="shared" si="87"/>
        <v>#REF!</v>
      </c>
      <c r="B358" s="3">
        <f>SUMPRODUCT(Summary!$D$42:$R$42,E358:S358,Summary!$D$43:$R$43)</f>
        <v>4652.6521489758761</v>
      </c>
      <c r="C358" s="12" t="e">
        <f t="shared" si="88"/>
        <v>#REF!</v>
      </c>
      <c r="D358" s="38">
        <f t="shared" si="89"/>
        <v>1981</v>
      </c>
      <c r="E358" s="27">
        <f t="shared" si="90"/>
        <v>30738.1</v>
      </c>
      <c r="F358" s="27">
        <f t="shared" ref="F358:O358" si="110">E357*EXP(-E$340)</f>
        <v>11052.230287354419</v>
      </c>
      <c r="G358" s="27">
        <f t="shared" si="110"/>
        <v>13821.262258010129</v>
      </c>
      <c r="H358" s="27">
        <f t="shared" si="110"/>
        <v>4190.7070038601278</v>
      </c>
      <c r="I358" s="27">
        <f t="shared" si="110"/>
        <v>1684.4249075482417</v>
      </c>
      <c r="J358" s="27">
        <f t="shared" si="110"/>
        <v>1191.816183134986</v>
      </c>
      <c r="K358" s="27">
        <f t="shared" si="110"/>
        <v>1148.8177553245566</v>
      </c>
      <c r="L358" s="27">
        <f t="shared" si="110"/>
        <v>991.21572284264005</v>
      </c>
      <c r="M358" s="27">
        <f t="shared" si="110"/>
        <v>992.48915159996739</v>
      </c>
      <c r="N358" s="27">
        <f t="shared" si="110"/>
        <v>326.91194484838707</v>
      </c>
      <c r="O358" s="27">
        <f t="shared" si="110"/>
        <v>295.09265763037007</v>
      </c>
      <c r="P358" s="27">
        <f t="shared" si="93"/>
        <v>352.39755483890821</v>
      </c>
      <c r="Q358" s="27">
        <f t="shared" si="93"/>
        <v>290.40138940584603</v>
      </c>
      <c r="R358" s="27">
        <f t="shared" si="93"/>
        <v>183.28798842754469</v>
      </c>
      <c r="S358" s="27">
        <f t="shared" si="95"/>
        <v>354.98020616904205</v>
      </c>
      <c r="T358" s="27"/>
      <c r="U358" s="27"/>
    </row>
    <row r="359" spans="1:21" x14ac:dyDescent="0.15">
      <c r="A359" s="23" t="e">
        <f t="shared" si="87"/>
        <v>#REF!</v>
      </c>
      <c r="B359" s="3">
        <f>SUMPRODUCT(Summary!$D$42:$R$42,E359:S359,Summary!$D$43:$R$43)</f>
        <v>5409.6215520019668</v>
      </c>
      <c r="C359" s="12" t="e">
        <f t="shared" si="88"/>
        <v>#REF!</v>
      </c>
      <c r="D359" s="38">
        <f t="shared" si="89"/>
        <v>1982</v>
      </c>
      <c r="E359" s="27">
        <f t="shared" si="90"/>
        <v>16305.4</v>
      </c>
      <c r="F359" s="27">
        <f t="shared" ref="F359:O359" si="111">E358*EXP(-E$340)</f>
        <v>12497.17885807251</v>
      </c>
      <c r="G359" s="27">
        <f t="shared" si="111"/>
        <v>6065.5925864909304</v>
      </c>
      <c r="H359" s="27">
        <f t="shared" si="111"/>
        <v>10239.042913554445</v>
      </c>
      <c r="I359" s="27">
        <f t="shared" si="111"/>
        <v>3104.5521059980729</v>
      </c>
      <c r="J359" s="27">
        <f t="shared" si="111"/>
        <v>1247.8526628818556</v>
      </c>
      <c r="K359" s="27">
        <f t="shared" si="111"/>
        <v>882.91914416973668</v>
      </c>
      <c r="L359" s="27">
        <f t="shared" si="111"/>
        <v>851.06512538710319</v>
      </c>
      <c r="M359" s="27">
        <f t="shared" si="111"/>
        <v>734.31066810802747</v>
      </c>
      <c r="N359" s="27">
        <f t="shared" si="111"/>
        <v>735.25404733419555</v>
      </c>
      <c r="O359" s="27">
        <f t="shared" si="111"/>
        <v>242.18232530218199</v>
      </c>
      <c r="P359" s="27">
        <f t="shared" si="93"/>
        <v>218.61001756197012</v>
      </c>
      <c r="Q359" s="27">
        <f t="shared" si="93"/>
        <v>261.0625295483481</v>
      </c>
      <c r="R359" s="27">
        <f t="shared" si="93"/>
        <v>215.13464058313753</v>
      </c>
      <c r="S359" s="27">
        <f t="shared" si="95"/>
        <v>398.75888617060406</v>
      </c>
      <c r="T359" s="27"/>
      <c r="U359" s="27"/>
    </row>
    <row r="360" spans="1:21" x14ac:dyDescent="0.15">
      <c r="A360" s="23" t="e">
        <f t="shared" si="87"/>
        <v>#REF!</v>
      </c>
      <c r="B360" s="3">
        <f>SUMPRODUCT(Summary!$D$42:$R$42,E360:S360,Summary!$D$43:$R$43)</f>
        <v>5926.6187036680367</v>
      </c>
      <c r="C360" s="12" t="e">
        <f t="shared" si="88"/>
        <v>#REF!</v>
      </c>
      <c r="D360" s="38">
        <f t="shared" si="89"/>
        <v>1983</v>
      </c>
      <c r="E360" s="27">
        <f t="shared" si="90"/>
        <v>52162.3</v>
      </c>
      <c r="F360" s="27">
        <f t="shared" ref="F360:O360" si="112">E359*EXP(-E$340)</f>
        <v>6629.2809299343644</v>
      </c>
      <c r="G360" s="27">
        <f t="shared" si="112"/>
        <v>6858.5971756584504</v>
      </c>
      <c r="H360" s="27">
        <f t="shared" si="112"/>
        <v>4493.5015073044297</v>
      </c>
      <c r="I360" s="27">
        <f t="shared" si="112"/>
        <v>7585.2695527031565</v>
      </c>
      <c r="J360" s="27">
        <f t="shared" si="112"/>
        <v>2299.9087671791722</v>
      </c>
      <c r="K360" s="27">
        <f t="shared" si="112"/>
        <v>924.43198938907983</v>
      </c>
      <c r="L360" s="27">
        <f t="shared" si="112"/>
        <v>654.08258938964946</v>
      </c>
      <c r="M360" s="27">
        <f t="shared" si="112"/>
        <v>630.48455187353693</v>
      </c>
      <c r="N360" s="27">
        <f t="shared" si="112"/>
        <v>543.9907225753924</v>
      </c>
      <c r="O360" s="27">
        <f t="shared" si="112"/>
        <v>544.68959509515037</v>
      </c>
      <c r="P360" s="27">
        <f t="shared" si="93"/>
        <v>179.41307931092345</v>
      </c>
      <c r="Q360" s="27">
        <f t="shared" si="93"/>
        <v>161.95028423345781</v>
      </c>
      <c r="R360" s="27">
        <f t="shared" si="93"/>
        <v>193.39987862667564</v>
      </c>
      <c r="S360" s="27">
        <f t="shared" si="95"/>
        <v>454.78351017773139</v>
      </c>
      <c r="T360" s="27"/>
      <c r="U360" s="27"/>
    </row>
    <row r="361" spans="1:21" x14ac:dyDescent="0.15">
      <c r="A361" s="23" t="e">
        <f t="shared" si="87"/>
        <v>#REF!</v>
      </c>
      <c r="B361" s="3">
        <f>SUMPRODUCT(Summary!$D$42:$R$42,E361:S361,Summary!$D$43:$R$43)</f>
        <v>6066.9304230016032</v>
      </c>
      <c r="C361" s="12" t="e">
        <f t="shared" si="88"/>
        <v>#REF!</v>
      </c>
      <c r="D361" s="38">
        <f t="shared" si="89"/>
        <v>1984</v>
      </c>
      <c r="E361" s="27">
        <f t="shared" si="90"/>
        <v>13572.8</v>
      </c>
      <c r="F361" s="27">
        <f t="shared" ref="F361:O361" si="113">E360*EXP(-E$340)</f>
        <v>21207.608562287052</v>
      </c>
      <c r="G361" s="27">
        <f t="shared" si="113"/>
        <v>3638.2265132842072</v>
      </c>
      <c r="H361" s="27">
        <f t="shared" si="113"/>
        <v>5080.9737560439489</v>
      </c>
      <c r="I361" s="27">
        <f t="shared" si="113"/>
        <v>3328.8677912718849</v>
      </c>
      <c r="J361" s="27">
        <f t="shared" si="113"/>
        <v>5619.3058934247629</v>
      </c>
      <c r="K361" s="27">
        <f t="shared" si="113"/>
        <v>1703.8143206319576</v>
      </c>
      <c r="L361" s="27">
        <f t="shared" si="113"/>
        <v>684.83606152047878</v>
      </c>
      <c r="M361" s="27">
        <f t="shared" si="113"/>
        <v>484.55630005053081</v>
      </c>
      <c r="N361" s="27">
        <f t="shared" si="113"/>
        <v>467.07444388626391</v>
      </c>
      <c r="O361" s="27">
        <f t="shared" si="113"/>
        <v>402.99823916566419</v>
      </c>
      <c r="P361" s="27">
        <f t="shared" si="93"/>
        <v>403.51597666223466</v>
      </c>
      <c r="Q361" s="27">
        <f t="shared" si="93"/>
        <v>132.91247818214623</v>
      </c>
      <c r="R361" s="27">
        <f t="shared" si="93"/>
        <v>119.97572140472869</v>
      </c>
      <c r="S361" s="27">
        <f t="shared" si="95"/>
        <v>480.18606476952698</v>
      </c>
      <c r="T361" s="27"/>
      <c r="U361" s="27"/>
    </row>
    <row r="362" spans="1:21" x14ac:dyDescent="0.15">
      <c r="A362" s="23" t="e">
        <f t="shared" si="87"/>
        <v>#REF!</v>
      </c>
      <c r="B362" s="3">
        <f>SUMPRODUCT(Summary!$D$42:$R$42,E362:S362,Summary!$D$43:$R$43)</f>
        <v>6281.5735147420619</v>
      </c>
      <c r="C362" s="12" t="e">
        <f t="shared" si="88"/>
        <v>#REF!</v>
      </c>
      <c r="D362" s="38">
        <f t="shared" si="89"/>
        <v>1985</v>
      </c>
      <c r="E362" s="27">
        <f t="shared" si="90"/>
        <v>34631.9</v>
      </c>
      <c r="F362" s="27">
        <f t="shared" ref="F362:O362" si="114">E361*EXP(-E$340)</f>
        <v>5518.2886777272033</v>
      </c>
      <c r="G362" s="27">
        <f t="shared" si="114"/>
        <v>11638.98235271044</v>
      </c>
      <c r="H362" s="27">
        <f t="shared" si="114"/>
        <v>2695.2644920082566</v>
      </c>
      <c r="I362" s="27">
        <f t="shared" si="114"/>
        <v>3764.0779372829829</v>
      </c>
      <c r="J362" s="27">
        <f t="shared" si="114"/>
        <v>2466.0859140147181</v>
      </c>
      <c r="K362" s="27">
        <f t="shared" si="114"/>
        <v>4162.884193433224</v>
      </c>
      <c r="L362" s="27">
        <f t="shared" si="114"/>
        <v>1262.2166933825968</v>
      </c>
      <c r="M362" s="27">
        <f t="shared" si="114"/>
        <v>507.33903255427657</v>
      </c>
      <c r="N362" s="27">
        <f t="shared" si="114"/>
        <v>358.96813602355081</v>
      </c>
      <c r="O362" s="27">
        <f t="shared" si="114"/>
        <v>346.01725844572491</v>
      </c>
      <c r="P362" s="27">
        <f t="shared" ref="P362:R381" si="115">O361*EXP(-O$340)</f>
        <v>298.54843847657276</v>
      </c>
      <c r="Q362" s="27">
        <f t="shared" si="115"/>
        <v>298.93198784756225</v>
      </c>
      <c r="R362" s="27">
        <f t="shared" si="115"/>
        <v>98.46398559329522</v>
      </c>
      <c r="S362" s="27">
        <f t="shared" si="95"/>
        <v>444.61078655477365</v>
      </c>
      <c r="T362" s="27"/>
      <c r="U362" s="27"/>
    </row>
    <row r="363" spans="1:21" x14ac:dyDescent="0.15">
      <c r="A363" s="23" t="e">
        <f t="shared" si="87"/>
        <v>#REF!</v>
      </c>
      <c r="B363" s="3">
        <f>SUMPRODUCT(Summary!$D$42:$R$42,E363:S363,Summary!$D$43:$R$43)</f>
        <v>6501.5786248735485</v>
      </c>
      <c r="C363" s="12" t="e">
        <f t="shared" si="88"/>
        <v>#REF!</v>
      </c>
      <c r="D363" s="38">
        <f t="shared" si="89"/>
        <v>1986</v>
      </c>
      <c r="E363" s="27">
        <f t="shared" si="90"/>
        <v>14545.4</v>
      </c>
      <c r="F363" s="27">
        <f t="shared" ref="F363:O363" si="116">E362*EXP(-E$340)</f>
        <v>14080.279799170456</v>
      </c>
      <c r="G363" s="27">
        <f t="shared" si="116"/>
        <v>3028.5010376626078</v>
      </c>
      <c r="H363" s="27">
        <f t="shared" si="116"/>
        <v>8622.3701970808634</v>
      </c>
      <c r="I363" s="27">
        <f t="shared" si="116"/>
        <v>1996.7010452361708</v>
      </c>
      <c r="J363" s="27">
        <f t="shared" si="116"/>
        <v>2788.4975200052904</v>
      </c>
      <c r="K363" s="27">
        <f t="shared" si="116"/>
        <v>1826.9213788686313</v>
      </c>
      <c r="L363" s="27">
        <f t="shared" si="116"/>
        <v>3083.9404610832494</v>
      </c>
      <c r="M363" s="27">
        <f t="shared" si="116"/>
        <v>935.07312490645677</v>
      </c>
      <c r="N363" s="27">
        <f t="shared" si="116"/>
        <v>375.84599937924332</v>
      </c>
      <c r="O363" s="27">
        <f t="shared" si="116"/>
        <v>265.9301358103998</v>
      </c>
      <c r="P363" s="27">
        <f t="shared" si="115"/>
        <v>256.33588972692803</v>
      </c>
      <c r="Q363" s="27">
        <f t="shared" si="115"/>
        <v>221.17012297951996</v>
      </c>
      <c r="R363" s="27">
        <f t="shared" si="115"/>
        <v>221.45426334207997</v>
      </c>
      <c r="S363" s="27">
        <f t="shared" si="95"/>
        <v>402.31968639986172</v>
      </c>
      <c r="T363" s="27"/>
      <c r="U363" s="27"/>
    </row>
    <row r="364" spans="1:21" x14ac:dyDescent="0.15">
      <c r="A364" s="23" t="e">
        <f t="shared" si="87"/>
        <v>#REF!</v>
      </c>
      <c r="B364" s="3">
        <f>SUMPRODUCT(Summary!$D$42:$R$42,E364:S364,Summary!$D$43:$R$43)</f>
        <v>6596.6410169782348</v>
      </c>
      <c r="C364" s="12" t="e">
        <f t="shared" si="88"/>
        <v>#REF!</v>
      </c>
      <c r="D364" s="38">
        <f t="shared" si="89"/>
        <v>1987</v>
      </c>
      <c r="E364" s="27">
        <f t="shared" si="90"/>
        <v>7835.33</v>
      </c>
      <c r="F364" s="27">
        <f t="shared" ref="F364:O364" si="117">E363*EXP(-E$340)</f>
        <v>5913.7183287909102</v>
      </c>
      <c r="G364" s="27">
        <f t="shared" si="117"/>
        <v>7727.4213932444072</v>
      </c>
      <c r="H364" s="27">
        <f t="shared" si="117"/>
        <v>2243.5687500539493</v>
      </c>
      <c r="I364" s="27">
        <f t="shared" si="117"/>
        <v>6387.6089474605187</v>
      </c>
      <c r="J364" s="27">
        <f t="shared" si="117"/>
        <v>1479.1925155651863</v>
      </c>
      <c r="K364" s="27">
        <f t="shared" si="117"/>
        <v>2065.7697711457022</v>
      </c>
      <c r="L364" s="27">
        <f t="shared" si="117"/>
        <v>1353.4166452188501</v>
      </c>
      <c r="M364" s="27">
        <f t="shared" si="117"/>
        <v>2284.6392850680495</v>
      </c>
      <c r="N364" s="27">
        <f t="shared" si="117"/>
        <v>692.71920860049499</v>
      </c>
      <c r="O364" s="27">
        <f t="shared" si="117"/>
        <v>278.4335645104731</v>
      </c>
      <c r="P364" s="27">
        <f t="shared" si="115"/>
        <v>197.00589003670797</v>
      </c>
      <c r="Q364" s="27">
        <f t="shared" si="115"/>
        <v>189.89829772436786</v>
      </c>
      <c r="R364" s="27">
        <f t="shared" si="115"/>
        <v>163.84685697364469</v>
      </c>
      <c r="S364" s="27">
        <f t="shared" si="95"/>
        <v>462.10310755543253</v>
      </c>
      <c r="T364" s="27"/>
      <c r="U364" s="27"/>
    </row>
    <row r="365" spans="1:21" x14ac:dyDescent="0.15">
      <c r="A365" s="23" t="e">
        <f t="shared" si="87"/>
        <v>#REF!</v>
      </c>
      <c r="B365" s="3">
        <f>SUMPRODUCT(Summary!$D$42:$R$42,E365:S365,Summary!$D$43:$R$43)</f>
        <v>6494.9000524611574</v>
      </c>
      <c r="C365" s="12" t="e">
        <f t="shared" si="88"/>
        <v>#REF!</v>
      </c>
      <c r="D365" s="38">
        <f t="shared" si="89"/>
        <v>1988</v>
      </c>
      <c r="E365" s="27">
        <f t="shared" si="90"/>
        <v>5561.46</v>
      </c>
      <c r="F365" s="27">
        <f t="shared" ref="F365:O365" si="118">E364*EXP(-E$340)</f>
        <v>3185.6074520553084</v>
      </c>
      <c r="G365" s="27">
        <f t="shared" si="118"/>
        <v>3245.5174314229707</v>
      </c>
      <c r="H365" s="27">
        <f t="shared" si="118"/>
        <v>5724.6145670011629</v>
      </c>
      <c r="I365" s="27">
        <f t="shared" si="118"/>
        <v>1662.0766093920727</v>
      </c>
      <c r="J365" s="27">
        <f t="shared" si="118"/>
        <v>4732.0570948683226</v>
      </c>
      <c r="K365" s="27">
        <f t="shared" si="118"/>
        <v>1095.8127674267157</v>
      </c>
      <c r="L365" s="27">
        <f t="shared" si="118"/>
        <v>1530.3598861982387</v>
      </c>
      <c r="M365" s="27">
        <f t="shared" si="118"/>
        <v>1002.6357109520484</v>
      </c>
      <c r="N365" s="27">
        <f t="shared" si="118"/>
        <v>1692.5024100636645</v>
      </c>
      <c r="O365" s="27">
        <f t="shared" si="118"/>
        <v>513.17901154746642</v>
      </c>
      <c r="P365" s="27">
        <f t="shared" si="115"/>
        <v>206.26865783871699</v>
      </c>
      <c r="Q365" s="27">
        <f t="shared" si="115"/>
        <v>145.94555292081216</v>
      </c>
      <c r="R365" s="27">
        <f t="shared" si="115"/>
        <v>140.68011903065332</v>
      </c>
      <c r="S365" s="27">
        <f t="shared" si="95"/>
        <v>463.71513895821545</v>
      </c>
      <c r="T365" s="27"/>
      <c r="U365" s="27"/>
    </row>
    <row r="366" spans="1:21" x14ac:dyDescent="0.15">
      <c r="A366" s="23" t="e">
        <f t="shared" si="87"/>
        <v>#REF!</v>
      </c>
      <c r="B366" s="3">
        <f>SUMPRODUCT(Summary!$D$42:$R$42,E366:S366,Summary!$D$43:$R$43)</f>
        <v>6159.4196481607187</v>
      </c>
      <c r="C366" s="12" t="e">
        <f t="shared" si="88"/>
        <v>#REF!</v>
      </c>
      <c r="D366" s="38">
        <f t="shared" si="89"/>
        <v>1989</v>
      </c>
      <c r="E366" s="27">
        <f t="shared" si="90"/>
        <v>11102.8</v>
      </c>
      <c r="F366" s="27">
        <f t="shared" ref="F366:O366" si="119">E365*EXP(-E$340)</f>
        <v>2261.1208998609522</v>
      </c>
      <c r="G366" s="27">
        <f t="shared" si="119"/>
        <v>1748.2984377157966</v>
      </c>
      <c r="H366" s="27">
        <f t="shared" si="119"/>
        <v>2404.3384487382646</v>
      </c>
      <c r="I366" s="27">
        <f t="shared" si="119"/>
        <v>4240.898777614444</v>
      </c>
      <c r="J366" s="27">
        <f t="shared" si="119"/>
        <v>1231.2966364065378</v>
      </c>
      <c r="K366" s="27">
        <f t="shared" si="119"/>
        <v>3505.5941171846498</v>
      </c>
      <c r="L366" s="27">
        <f t="shared" si="119"/>
        <v>811.79806456536869</v>
      </c>
      <c r="M366" s="27">
        <f t="shared" si="119"/>
        <v>1133.7184878960554</v>
      </c>
      <c r="N366" s="27">
        <f t="shared" si="119"/>
        <v>742.77080337944562</v>
      </c>
      <c r="O366" s="27">
        <f t="shared" si="119"/>
        <v>1253.8366239228831</v>
      </c>
      <c r="P366" s="27">
        <f t="shared" si="115"/>
        <v>380.1723622257968</v>
      </c>
      <c r="Q366" s="27">
        <f t="shared" si="115"/>
        <v>152.80758008248441</v>
      </c>
      <c r="R366" s="27">
        <f t="shared" si="115"/>
        <v>108.11912483120555</v>
      </c>
      <c r="S366" s="27">
        <f t="shared" si="95"/>
        <v>447.74701961178164</v>
      </c>
      <c r="T366" s="27"/>
      <c r="U366" s="27"/>
    </row>
    <row r="367" spans="1:21" x14ac:dyDescent="0.15">
      <c r="A367" s="23" t="e">
        <f t="shared" si="87"/>
        <v>#REF!</v>
      </c>
      <c r="B367" s="3">
        <f>SUMPRODUCT(Summary!$D$42:$R$42,E367:S367,Summary!$D$43:$R$43)</f>
        <v>5552.04652030945</v>
      </c>
      <c r="C367" s="12" t="e">
        <f t="shared" si="88"/>
        <v>#REF!</v>
      </c>
      <c r="D367" s="38">
        <f t="shared" si="89"/>
        <v>1990</v>
      </c>
      <c r="E367" s="27">
        <f t="shared" si="90"/>
        <v>48848.1</v>
      </c>
      <c r="F367" s="27">
        <f t="shared" ref="F367:O367" si="120">E366*EXP(-E$340)</f>
        <v>4514.0616181679234</v>
      </c>
      <c r="G367" s="27">
        <f t="shared" si="120"/>
        <v>1240.9294604590864</v>
      </c>
      <c r="H367" s="27">
        <f t="shared" si="120"/>
        <v>1295.1713378492436</v>
      </c>
      <c r="I367" s="27">
        <f t="shared" si="120"/>
        <v>1781.177731510923</v>
      </c>
      <c r="J367" s="27">
        <f t="shared" si="120"/>
        <v>3141.7350865236049</v>
      </c>
      <c r="K367" s="27">
        <f t="shared" si="120"/>
        <v>912.16698331407542</v>
      </c>
      <c r="L367" s="27">
        <f t="shared" si="120"/>
        <v>2597.00799632503</v>
      </c>
      <c r="M367" s="27">
        <f t="shared" si="120"/>
        <v>601.39479774417873</v>
      </c>
      <c r="N367" s="27">
        <f t="shared" si="120"/>
        <v>839.87931295712349</v>
      </c>
      <c r="O367" s="27">
        <f t="shared" si="120"/>
        <v>550.258144933891</v>
      </c>
      <c r="P367" s="27">
        <f t="shared" si="115"/>
        <v>928.86501676012244</v>
      </c>
      <c r="Q367" s="27">
        <f t="shared" si="115"/>
        <v>281.63861293648034</v>
      </c>
      <c r="R367" s="27">
        <f t="shared" si="115"/>
        <v>113.20263958338521</v>
      </c>
      <c r="S367" s="27">
        <f t="shared" si="95"/>
        <v>411.79576806346057</v>
      </c>
      <c r="T367" s="27"/>
      <c r="U367" s="27"/>
    </row>
    <row r="368" spans="1:21" x14ac:dyDescent="0.15">
      <c r="A368" s="23" t="e">
        <f t="shared" si="87"/>
        <v>#REF!</v>
      </c>
      <c r="B368" s="3">
        <f>SUMPRODUCT(Summary!$D$42:$R$42,E368:S368,Summary!$D$43:$R$43)</f>
        <v>4953.1199520637992</v>
      </c>
      <c r="C368" s="12" t="e">
        <f t="shared" si="88"/>
        <v>#REF!</v>
      </c>
      <c r="D368" s="38">
        <f t="shared" si="89"/>
        <v>1991</v>
      </c>
      <c r="E368" s="27">
        <f t="shared" si="90"/>
        <v>25581.3</v>
      </c>
      <c r="F368" s="27">
        <f t="shared" ref="F368:O368" si="121">E367*EXP(-E$340)</f>
        <v>19860.155395974758</v>
      </c>
      <c r="G368" s="27">
        <f t="shared" si="121"/>
        <v>2477.3695420959862</v>
      </c>
      <c r="H368" s="27">
        <f t="shared" si="121"/>
        <v>919.30315488882457</v>
      </c>
      <c r="I368" s="27">
        <f t="shared" si="121"/>
        <v>959.48652598343676</v>
      </c>
      <c r="J368" s="27">
        <f t="shared" si="121"/>
        <v>1319.5289177758207</v>
      </c>
      <c r="K368" s="27">
        <f t="shared" si="121"/>
        <v>2327.4545966517398</v>
      </c>
      <c r="L368" s="27">
        <f t="shared" si="121"/>
        <v>675.74992154334359</v>
      </c>
      <c r="M368" s="27">
        <f t="shared" si="121"/>
        <v>1923.910842933702</v>
      </c>
      <c r="N368" s="27">
        <f t="shared" si="121"/>
        <v>445.5242239920841</v>
      </c>
      <c r="O368" s="27">
        <f t="shared" si="121"/>
        <v>622.19789821227994</v>
      </c>
      <c r="P368" s="27">
        <f t="shared" si="115"/>
        <v>407.64125984554795</v>
      </c>
      <c r="Q368" s="27">
        <f t="shared" si="115"/>
        <v>688.12012896972794</v>
      </c>
      <c r="R368" s="27">
        <f t="shared" si="115"/>
        <v>208.64301611087041</v>
      </c>
      <c r="S368" s="27">
        <f t="shared" si="95"/>
        <v>388.9283862136715</v>
      </c>
      <c r="T368" s="27"/>
      <c r="U368" s="27"/>
    </row>
    <row r="369" spans="1:21" x14ac:dyDescent="0.15">
      <c r="A369" s="23" t="e">
        <f t="shared" si="87"/>
        <v>#REF!</v>
      </c>
      <c r="B369" s="3">
        <f>SUMPRODUCT(Summary!$D$42:$R$42,E369:S369,Summary!$D$43:$R$43)</f>
        <v>4811.8666426300215</v>
      </c>
      <c r="C369" s="12" t="e">
        <f t="shared" si="88"/>
        <v>#REF!</v>
      </c>
      <c r="D369" s="38">
        <f t="shared" si="89"/>
        <v>1992</v>
      </c>
      <c r="E369" s="27">
        <f t="shared" si="90"/>
        <v>22780.799999999999</v>
      </c>
      <c r="F369" s="27">
        <f t="shared" ref="F369:O369" si="122">E368*EXP(-E$340)</f>
        <v>10400.580436722188</v>
      </c>
      <c r="G369" s="27">
        <f t="shared" si="122"/>
        <v>10899.484375946513</v>
      </c>
      <c r="H369" s="27">
        <f t="shared" si="122"/>
        <v>1835.2804961466306</v>
      </c>
      <c r="I369" s="27">
        <f t="shared" si="122"/>
        <v>681.03652747182866</v>
      </c>
      <c r="J369" s="27">
        <f t="shared" si="122"/>
        <v>710.80510094713247</v>
      </c>
      <c r="K369" s="27">
        <f t="shared" si="122"/>
        <v>977.53106500475633</v>
      </c>
      <c r="L369" s="27">
        <f t="shared" si="122"/>
        <v>1724.2207730090272</v>
      </c>
      <c r="M369" s="27">
        <f t="shared" si="122"/>
        <v>500.60785450355024</v>
      </c>
      <c r="N369" s="27">
        <f t="shared" si="122"/>
        <v>1425.2682074124091</v>
      </c>
      <c r="O369" s="27">
        <f t="shared" si="122"/>
        <v>330.05246288841886</v>
      </c>
      <c r="P369" s="27">
        <f t="shared" si="115"/>
        <v>460.93553986552581</v>
      </c>
      <c r="Q369" s="27">
        <f t="shared" si="115"/>
        <v>301.98807279523265</v>
      </c>
      <c r="R369" s="27">
        <f t="shared" si="115"/>
        <v>509.77192955862807</v>
      </c>
      <c r="S369" s="27">
        <f t="shared" si="95"/>
        <v>442.69178300034611</v>
      </c>
      <c r="T369" s="27"/>
      <c r="U369" s="27"/>
    </row>
    <row r="370" spans="1:21" x14ac:dyDescent="0.15">
      <c r="A370" s="23" t="e">
        <f t="shared" si="87"/>
        <v>#REF!</v>
      </c>
      <c r="B370" s="3">
        <f>SUMPRODUCT(Summary!$D$42:$R$42,E370:S370,Summary!$D$43:$R$43)</f>
        <v>5125.2387546218142</v>
      </c>
      <c r="C370" s="12" t="e">
        <f t="shared" si="88"/>
        <v>#REF!</v>
      </c>
      <c r="D370" s="38">
        <f t="shared" si="89"/>
        <v>1993</v>
      </c>
      <c r="E370" s="27">
        <f t="shared" si="90"/>
        <v>46863.199999999997</v>
      </c>
      <c r="F370" s="27">
        <f t="shared" ref="F370:O370" si="123">E369*EXP(-E$340)</f>
        <v>9261.9821046186407</v>
      </c>
      <c r="G370" s="27">
        <f t="shared" si="123"/>
        <v>5707.9595658050275</v>
      </c>
      <c r="H370" s="27">
        <f t="shared" si="123"/>
        <v>8074.5366217368801</v>
      </c>
      <c r="I370" s="27">
        <f t="shared" si="123"/>
        <v>1359.6092316072072</v>
      </c>
      <c r="J370" s="27">
        <f t="shared" si="123"/>
        <v>504.52426850093599</v>
      </c>
      <c r="K370" s="27">
        <f t="shared" si="123"/>
        <v>526.5773701351435</v>
      </c>
      <c r="L370" s="27">
        <f t="shared" si="123"/>
        <v>724.17282423792824</v>
      </c>
      <c r="M370" s="27">
        <f t="shared" si="123"/>
        <v>1277.3341651230037</v>
      </c>
      <c r="N370" s="27">
        <f t="shared" si="123"/>
        <v>370.85942003261238</v>
      </c>
      <c r="O370" s="27">
        <f t="shared" si="123"/>
        <v>1055.8646574094826</v>
      </c>
      <c r="P370" s="27">
        <f t="shared" si="115"/>
        <v>244.50887828861718</v>
      </c>
      <c r="Q370" s="27">
        <f t="shared" si="115"/>
        <v>341.46944649214589</v>
      </c>
      <c r="R370" s="27">
        <f t="shared" si="115"/>
        <v>223.71826675526535</v>
      </c>
      <c r="S370" s="27">
        <f t="shared" si="95"/>
        <v>705.6024728018424</v>
      </c>
      <c r="T370" s="27"/>
      <c r="U370" s="27"/>
    </row>
    <row r="371" spans="1:21" x14ac:dyDescent="0.15">
      <c r="A371" s="23" t="e">
        <f t="shared" si="87"/>
        <v>#REF!</v>
      </c>
      <c r="B371" s="3">
        <f>SUMPRODUCT(Summary!$D$42:$R$42,E371:S371,Summary!$D$43:$R$43)</f>
        <v>5349.3759155460502</v>
      </c>
      <c r="C371" s="12" t="e">
        <f t="shared" si="88"/>
        <v>#REF!</v>
      </c>
      <c r="D371" s="38">
        <f t="shared" si="89"/>
        <v>1994</v>
      </c>
      <c r="E371" s="27">
        <f t="shared" si="90"/>
        <v>15942.8</v>
      </c>
      <c r="F371" s="27">
        <f t="shared" ref="F371:O371" si="124">E370*EXP(-E$340)</f>
        <v>19053.155278355644</v>
      </c>
      <c r="G371" s="27">
        <f t="shared" si="124"/>
        <v>5083.0835523093501</v>
      </c>
      <c r="H371" s="27">
        <f t="shared" si="124"/>
        <v>4228.5604492628718</v>
      </c>
      <c r="I371" s="27">
        <f t="shared" si="124"/>
        <v>5981.7638529444848</v>
      </c>
      <c r="J371" s="27">
        <f t="shared" si="124"/>
        <v>1007.2232917816889</v>
      </c>
      <c r="K371" s="27">
        <f t="shared" si="124"/>
        <v>373.76077088160866</v>
      </c>
      <c r="L371" s="27">
        <f t="shared" si="124"/>
        <v>390.09811039477535</v>
      </c>
      <c r="M371" s="27">
        <f t="shared" si="124"/>
        <v>536.48042311799645</v>
      </c>
      <c r="N371" s="27">
        <f t="shared" si="124"/>
        <v>946.27242342239117</v>
      </c>
      <c r="O371" s="27">
        <f t="shared" si="124"/>
        <v>274.73941567161376</v>
      </c>
      <c r="P371" s="27">
        <f t="shared" si="115"/>
        <v>782.20377678280454</v>
      </c>
      <c r="Q371" s="27">
        <f t="shared" si="115"/>
        <v>181.1366321546561</v>
      </c>
      <c r="R371" s="27">
        <f t="shared" si="115"/>
        <v>252.9667877674826</v>
      </c>
      <c r="S371" s="27">
        <f t="shared" si="95"/>
        <v>688.45773672131463</v>
      </c>
      <c r="T371" s="27"/>
      <c r="U371" s="27"/>
    </row>
    <row r="372" spans="1:21" x14ac:dyDescent="0.15">
      <c r="A372" s="23" t="e">
        <f t="shared" si="87"/>
        <v>#REF!</v>
      </c>
      <c r="B372" s="3">
        <f>SUMPRODUCT(Summary!$D$42:$R$42,E372:S372,Summary!$D$43:$R$43)</f>
        <v>5616.1540884193082</v>
      </c>
      <c r="C372" s="12" t="e">
        <f t="shared" si="88"/>
        <v>#REF!</v>
      </c>
      <c r="D372" s="38">
        <f t="shared" si="89"/>
        <v>1995</v>
      </c>
      <c r="E372" s="27">
        <f t="shared" si="90"/>
        <v>10904.9</v>
      </c>
      <c r="F372" s="27">
        <f t="shared" ref="F372:O372" si="125">E371*EXP(-E$340)</f>
        <v>6481.8587713124234</v>
      </c>
      <c r="G372" s="27">
        <f t="shared" si="125"/>
        <v>10456.593321067896</v>
      </c>
      <c r="H372" s="27">
        <f t="shared" si="125"/>
        <v>3765.6409127983184</v>
      </c>
      <c r="I372" s="27">
        <f t="shared" si="125"/>
        <v>3132.5946280680064</v>
      </c>
      <c r="J372" s="27">
        <f t="shared" si="125"/>
        <v>4431.3996540765502</v>
      </c>
      <c r="K372" s="27">
        <f t="shared" si="125"/>
        <v>746.16936684689347</v>
      </c>
      <c r="L372" s="27">
        <f t="shared" si="125"/>
        <v>276.88878924514057</v>
      </c>
      <c r="M372" s="27">
        <f t="shared" si="125"/>
        <v>288.99178803395785</v>
      </c>
      <c r="N372" s="27">
        <f t="shared" si="125"/>
        <v>397.43447248484927</v>
      </c>
      <c r="O372" s="27">
        <f t="shared" si="125"/>
        <v>701.01585299995293</v>
      </c>
      <c r="P372" s="27">
        <f t="shared" si="115"/>
        <v>203.53196506897979</v>
      </c>
      <c r="Q372" s="27">
        <f t="shared" si="115"/>
        <v>579.47081012675687</v>
      </c>
      <c r="R372" s="27">
        <f t="shared" si="115"/>
        <v>134.18931753309118</v>
      </c>
      <c r="S372" s="27">
        <f t="shared" si="95"/>
        <v>697.42444113792305</v>
      </c>
      <c r="T372" s="27"/>
      <c r="U372" s="27"/>
    </row>
    <row r="373" spans="1:21" x14ac:dyDescent="0.15">
      <c r="A373" s="23" t="e">
        <f t="shared" si="87"/>
        <v>#REF!</v>
      </c>
      <c r="B373" s="3">
        <f>SUMPRODUCT(Summary!$D$42:$R$42,E373:S373,Summary!$D$43:$R$43)</f>
        <v>5865.2939417512798</v>
      </c>
      <c r="C373" s="12" t="e">
        <f t="shared" si="88"/>
        <v>#REF!</v>
      </c>
      <c r="D373" s="38">
        <f t="shared" si="89"/>
        <v>1996</v>
      </c>
      <c r="E373" s="27">
        <f t="shared" si="90"/>
        <v>22878.1</v>
      </c>
      <c r="F373" s="27">
        <f t="shared" ref="F373:O373" si="126">E372*EXP(-E$340)</f>
        <v>4433.6014825052589</v>
      </c>
      <c r="G373" s="27">
        <f t="shared" si="126"/>
        <v>3557.3195172143869</v>
      </c>
      <c r="H373" s="27">
        <f t="shared" si="126"/>
        <v>7746.4348585058533</v>
      </c>
      <c r="I373" s="27">
        <f t="shared" si="126"/>
        <v>2789.6554007455302</v>
      </c>
      <c r="J373" s="27">
        <f t="shared" si="126"/>
        <v>2320.6831784824485</v>
      </c>
      <c r="K373" s="27">
        <f t="shared" si="126"/>
        <v>3282.8616068625702</v>
      </c>
      <c r="L373" s="27">
        <f t="shared" si="126"/>
        <v>552.77586267471963</v>
      </c>
      <c r="M373" s="27">
        <f t="shared" si="126"/>
        <v>205.12426017530021</v>
      </c>
      <c r="N373" s="27">
        <f t="shared" si="126"/>
        <v>214.09038220294482</v>
      </c>
      <c r="O373" s="27">
        <f t="shared" si="126"/>
        <v>294.42669874380317</v>
      </c>
      <c r="P373" s="27">
        <f t="shared" si="115"/>
        <v>519.32531688910183</v>
      </c>
      <c r="Q373" s="27">
        <f t="shared" si="115"/>
        <v>150.78018821425516</v>
      </c>
      <c r="R373" s="27">
        <f t="shared" si="115"/>
        <v>429.28253449509759</v>
      </c>
      <c r="S373" s="27">
        <f t="shared" si="95"/>
        <v>616.07462499309622</v>
      </c>
      <c r="T373" s="27"/>
      <c r="U373" s="27"/>
    </row>
    <row r="374" spans="1:21" x14ac:dyDescent="0.15">
      <c r="A374" s="23" t="e">
        <f t="shared" si="87"/>
        <v>#REF!</v>
      </c>
      <c r="B374" s="3">
        <f>SUMPRODUCT(Summary!$D$42:$R$42,E374:S374,Summary!$D$43:$R$43)</f>
        <v>5791.678109345683</v>
      </c>
      <c r="C374" s="12" t="e">
        <f t="shared" si="88"/>
        <v>#REF!</v>
      </c>
      <c r="D374" s="38">
        <f t="shared" si="89"/>
        <v>1997</v>
      </c>
      <c r="E374" s="27">
        <f t="shared" si="90"/>
        <v>31178.400000000001</v>
      </c>
      <c r="F374" s="27">
        <f t="shared" ref="F374:O374" si="127">E373*EXP(-E$340)</f>
        <v>9301.5413325114005</v>
      </c>
      <c r="G374" s="27">
        <f t="shared" si="127"/>
        <v>2433.2120834026123</v>
      </c>
      <c r="H374" s="27">
        <f t="shared" si="127"/>
        <v>2635.32711513911</v>
      </c>
      <c r="I374" s="27">
        <f t="shared" si="127"/>
        <v>5738.7000885051411</v>
      </c>
      <c r="J374" s="27">
        <f t="shared" si="127"/>
        <v>2066.6275502954481</v>
      </c>
      <c r="K374" s="27">
        <f t="shared" si="127"/>
        <v>1719.204383049361</v>
      </c>
      <c r="L374" s="27">
        <f t="shared" si="127"/>
        <v>2432.0036943402542</v>
      </c>
      <c r="M374" s="27">
        <f t="shared" si="127"/>
        <v>409.50643102248745</v>
      </c>
      <c r="N374" s="27">
        <f t="shared" si="127"/>
        <v>151.95978944171966</v>
      </c>
      <c r="O374" s="27">
        <f t="shared" si="127"/>
        <v>158.6020560086545</v>
      </c>
      <c r="P374" s="27">
        <f t="shared" si="115"/>
        <v>218.11666308457646</v>
      </c>
      <c r="Q374" s="27">
        <f t="shared" si="115"/>
        <v>384.72565721275373</v>
      </c>
      <c r="R374" s="27">
        <f t="shared" si="115"/>
        <v>111.70071074693904</v>
      </c>
      <c r="S374" s="27">
        <f t="shared" si="95"/>
        <v>774.4196308689385</v>
      </c>
      <c r="T374" s="27"/>
      <c r="U374" s="27"/>
    </row>
    <row r="375" spans="1:21" x14ac:dyDescent="0.15">
      <c r="A375" s="23" t="e">
        <f t="shared" si="87"/>
        <v>#REF!</v>
      </c>
      <c r="B375" s="3">
        <f>SUMPRODUCT(Summary!$D$42:$R$42,E375:S375,Summary!$D$43:$R$43)</f>
        <v>5533.4301684220454</v>
      </c>
      <c r="C375" s="12" t="e">
        <f t="shared" si="88"/>
        <v>#REF!</v>
      </c>
      <c r="D375" s="38">
        <f t="shared" si="89"/>
        <v>1998</v>
      </c>
      <c r="E375" s="27">
        <f t="shared" si="90"/>
        <v>15483</v>
      </c>
      <c r="F375" s="27">
        <f t="shared" ref="F375:O375" si="128">E374*EXP(-E$340)</f>
        <v>12676.191479256297</v>
      </c>
      <c r="G375" s="27">
        <f t="shared" si="128"/>
        <v>5104.7941168917923</v>
      </c>
      <c r="H375" s="27">
        <f t="shared" si="128"/>
        <v>1802.5678461675789</v>
      </c>
      <c r="I375" s="27">
        <f t="shared" si="128"/>
        <v>1952.29834435164</v>
      </c>
      <c r="J375" s="27">
        <f t="shared" si="128"/>
        <v>4251.3335885923952</v>
      </c>
      <c r="K375" s="27">
        <f t="shared" si="128"/>
        <v>1530.9953446216914</v>
      </c>
      <c r="L375" s="27">
        <f t="shared" si="128"/>
        <v>1273.6179320388383</v>
      </c>
      <c r="M375" s="27">
        <f t="shared" si="128"/>
        <v>1801.6726495325115</v>
      </c>
      <c r="N375" s="27">
        <f t="shared" si="128"/>
        <v>303.36982558779977</v>
      </c>
      <c r="O375" s="27">
        <f t="shared" si="128"/>
        <v>112.57458082938327</v>
      </c>
      <c r="P375" s="27">
        <f t="shared" si="115"/>
        <v>117.49529292879359</v>
      </c>
      <c r="Q375" s="27">
        <f t="shared" si="115"/>
        <v>161.58479824734968</v>
      </c>
      <c r="R375" s="27">
        <f t="shared" si="115"/>
        <v>285.01177682695675</v>
      </c>
      <c r="S375" s="27">
        <f t="shared" si="95"/>
        <v>656.45409478575039</v>
      </c>
      <c r="T375" s="27"/>
      <c r="U375" s="27"/>
    </row>
    <row r="376" spans="1:21" x14ac:dyDescent="0.15">
      <c r="A376" s="23" t="e">
        <f t="shared" si="87"/>
        <v>#REF!</v>
      </c>
      <c r="B376" s="3">
        <f>SUMPRODUCT(Summary!$D$42:$R$42,E376:S376,Summary!$D$43:$R$43)</f>
        <v>5480.1946878105209</v>
      </c>
      <c r="C376" s="12" t="e">
        <f t="shared" si="88"/>
        <v>#REF!</v>
      </c>
      <c r="D376" s="38">
        <f t="shared" si="89"/>
        <v>1999</v>
      </c>
      <c r="E376" s="27">
        <f t="shared" si="90"/>
        <v>16827.099999999999</v>
      </c>
      <c r="F376" s="27">
        <f t="shared" ref="F376:O376" si="129">E375*EXP(-E$340)</f>
        <v>6294.9180417636962</v>
      </c>
      <c r="G376" s="27">
        <f t="shared" si="129"/>
        <v>6956.8413851718051</v>
      </c>
      <c r="H376" s="27">
        <f t="shared" si="129"/>
        <v>3781.7244946222791</v>
      </c>
      <c r="I376" s="27">
        <f t="shared" si="129"/>
        <v>1335.3751044559424</v>
      </c>
      <c r="J376" s="27">
        <f t="shared" si="129"/>
        <v>1446.2981857024456</v>
      </c>
      <c r="K376" s="27">
        <f t="shared" si="129"/>
        <v>3149.4653846254405</v>
      </c>
      <c r="L376" s="27">
        <f t="shared" si="129"/>
        <v>1134.189247074635</v>
      </c>
      <c r="M376" s="27">
        <f t="shared" si="129"/>
        <v>943.51937024134122</v>
      </c>
      <c r="N376" s="27">
        <f t="shared" si="129"/>
        <v>1334.7119264775915</v>
      </c>
      <c r="O376" s="27">
        <f t="shared" si="129"/>
        <v>224.74189440047692</v>
      </c>
      <c r="P376" s="27">
        <f t="shared" si="115"/>
        <v>83.39730066401394</v>
      </c>
      <c r="Q376" s="27">
        <f t="shared" si="115"/>
        <v>87.042653845986095</v>
      </c>
      <c r="R376" s="27">
        <f t="shared" si="115"/>
        <v>119.70496272681595</v>
      </c>
      <c r="S376" s="27">
        <f t="shared" si="95"/>
        <v>697.45507184068833</v>
      </c>
      <c r="T376" s="27"/>
      <c r="U376" s="27"/>
    </row>
    <row r="377" spans="1:21" x14ac:dyDescent="0.15">
      <c r="A377" s="23" t="e">
        <f t="shared" si="87"/>
        <v>#REF!</v>
      </c>
      <c r="B377" s="3">
        <f>SUMPRODUCT(Summary!$D$42:$R$42,E377:S377,Summary!$D$43:$R$43)</f>
        <v>5493.4741454099103</v>
      </c>
      <c r="C377" s="12" t="e">
        <f t="shared" si="88"/>
        <v>#REF!</v>
      </c>
      <c r="D377" s="38">
        <f t="shared" si="89"/>
        <v>2000</v>
      </c>
      <c r="E377" s="27">
        <f t="shared" si="90"/>
        <v>25850.3</v>
      </c>
      <c r="F377" s="27">
        <f t="shared" ref="F377:O377" si="130">E376*EXP(-E$340)</f>
        <v>6841.3883214210346</v>
      </c>
      <c r="G377" s="27">
        <f t="shared" si="130"/>
        <v>3454.7242695781388</v>
      </c>
      <c r="H377" s="27">
        <f t="shared" si="130"/>
        <v>5153.7548565279139</v>
      </c>
      <c r="I377" s="27">
        <f t="shared" si="130"/>
        <v>2801.5704112145454</v>
      </c>
      <c r="J377" s="27">
        <f t="shared" si="130"/>
        <v>989.27020882571435</v>
      </c>
      <c r="K377" s="27">
        <f t="shared" si="130"/>
        <v>1071.4440485072826</v>
      </c>
      <c r="L377" s="27">
        <f t="shared" si="130"/>
        <v>2333.1813423368812</v>
      </c>
      <c r="M377" s="27">
        <f t="shared" si="130"/>
        <v>840.22805993416841</v>
      </c>
      <c r="N377" s="27">
        <f t="shared" si="130"/>
        <v>698.97634104092538</v>
      </c>
      <c r="O377" s="27">
        <f t="shared" si="130"/>
        <v>988.77891449579715</v>
      </c>
      <c r="P377" s="27">
        <f t="shared" si="115"/>
        <v>166.49289032239986</v>
      </c>
      <c r="Q377" s="27">
        <f t="shared" si="115"/>
        <v>61.782239887573056</v>
      </c>
      <c r="R377" s="27">
        <f t="shared" si="115"/>
        <v>64.482783945598101</v>
      </c>
      <c r="S377" s="27">
        <f t="shared" si="95"/>
        <v>605.3670428205096</v>
      </c>
      <c r="T377" s="27"/>
      <c r="U377" s="27"/>
    </row>
    <row r="378" spans="1:21" x14ac:dyDescent="0.15">
      <c r="A378" s="23" t="e">
        <f t="shared" ref="A378:A383" si="131">1-C379/B378</f>
        <v>#REF!</v>
      </c>
      <c r="B378" s="3">
        <f>SUMPRODUCT(Summary!$D$42:$R$42,E378:S378,Summary!$D$43:$R$43)</f>
        <v>5363.7423405793743</v>
      </c>
      <c r="C378" s="12" t="e">
        <f t="shared" si="88"/>
        <v>#REF!</v>
      </c>
      <c r="D378" s="38">
        <f t="shared" si="89"/>
        <v>2001</v>
      </c>
      <c r="E378" s="27">
        <f t="shared" si="90"/>
        <v>35963.4</v>
      </c>
      <c r="F378" s="27">
        <f t="shared" ref="F378:O378" si="132">E377*EXP(-E$340)</f>
        <v>10509.947675192408</v>
      </c>
      <c r="G378" s="27">
        <f t="shared" si="132"/>
        <v>3754.6335178336431</v>
      </c>
      <c r="H378" s="27">
        <f t="shared" si="132"/>
        <v>2559.3226863348241</v>
      </c>
      <c r="I378" s="27">
        <f t="shared" si="132"/>
        <v>3817.9955026427715</v>
      </c>
      <c r="J378" s="27">
        <f t="shared" si="132"/>
        <v>2075.4544071505084</v>
      </c>
      <c r="K378" s="27">
        <f t="shared" si="132"/>
        <v>732.86939587569714</v>
      </c>
      <c r="L378" s="27">
        <f t="shared" si="132"/>
        <v>793.74527357518127</v>
      </c>
      <c r="M378" s="27">
        <f t="shared" si="132"/>
        <v>1728.4632505577904</v>
      </c>
      <c r="N378" s="27">
        <f t="shared" si="132"/>
        <v>622.4562563272824</v>
      </c>
      <c r="O378" s="27">
        <f t="shared" si="132"/>
        <v>517.81440926855601</v>
      </c>
      <c r="P378" s="27">
        <f t="shared" si="115"/>
        <v>732.50543608437692</v>
      </c>
      <c r="Q378" s="27">
        <f t="shared" si="115"/>
        <v>123.34096676479668</v>
      </c>
      <c r="R378" s="27">
        <f t="shared" si="115"/>
        <v>45.769409023242929</v>
      </c>
      <c r="S378" s="27">
        <f t="shared" si="95"/>
        <v>496.23695678882484</v>
      </c>
      <c r="T378" s="27"/>
      <c r="U378" s="27"/>
    </row>
    <row r="379" spans="1:21" x14ac:dyDescent="0.15">
      <c r="A379" s="23" t="e">
        <f t="shared" si="131"/>
        <v>#REF!</v>
      </c>
      <c r="B379" s="3">
        <f>SUMPRODUCT(Summary!$D$42:$R$42,E379:S379,Summary!$D$43:$R$43)</f>
        <v>5218.7428454246865</v>
      </c>
      <c r="C379" s="12" t="e">
        <f t="shared" si="88"/>
        <v>#REF!</v>
      </c>
      <c r="D379" s="38">
        <f t="shared" si="89"/>
        <v>2002</v>
      </c>
      <c r="E379" s="27">
        <f t="shared" si="90"/>
        <v>23951.8</v>
      </c>
      <c r="F379" s="27">
        <f t="shared" ref="F379:O379" si="133">E378*EXP(-E$340)</f>
        <v>14621.627301115062</v>
      </c>
      <c r="G379" s="27">
        <f t="shared" si="133"/>
        <v>5767.9815788849546</v>
      </c>
      <c r="H379" s="27">
        <f t="shared" si="133"/>
        <v>2781.5009219934586</v>
      </c>
      <c r="I379" s="27">
        <f t="shared" si="133"/>
        <v>1895.9928786409187</v>
      </c>
      <c r="J379" s="27">
        <f t="shared" si="133"/>
        <v>2828.4406348386192</v>
      </c>
      <c r="K379" s="27">
        <f t="shared" si="133"/>
        <v>1537.5344410112693</v>
      </c>
      <c r="L379" s="27">
        <f t="shared" si="133"/>
        <v>542.92300184471947</v>
      </c>
      <c r="M379" s="27">
        <f t="shared" si="133"/>
        <v>588.02096124448917</v>
      </c>
      <c r="N379" s="27">
        <f t="shared" si="133"/>
        <v>1280.4770697919605</v>
      </c>
      <c r="O379" s="27">
        <f t="shared" si="133"/>
        <v>461.12693626458065</v>
      </c>
      <c r="P379" s="27">
        <f t="shared" si="115"/>
        <v>383.60634931768652</v>
      </c>
      <c r="Q379" s="27">
        <f t="shared" si="115"/>
        <v>542.6533737997139</v>
      </c>
      <c r="R379" s="27">
        <f t="shared" si="115"/>
        <v>91.373235535859578</v>
      </c>
      <c r="S379" s="27">
        <f t="shared" si="95"/>
        <v>401.52819151906033</v>
      </c>
      <c r="T379" s="27"/>
      <c r="U379" s="27"/>
    </row>
    <row r="380" spans="1:21" x14ac:dyDescent="0.15">
      <c r="A380" s="23" t="e">
        <f t="shared" si="131"/>
        <v>#REF!</v>
      </c>
      <c r="B380" s="3">
        <f>SUMPRODUCT(Summary!$D$42:$R$42,E380:S380,Summary!$D$43:$R$43)</f>
        <v>5314.2440854496681</v>
      </c>
      <c r="C380" s="12" t="e">
        <f t="shared" si="88"/>
        <v>#REF!</v>
      </c>
      <c r="D380" s="38">
        <f t="shared" si="89"/>
        <v>2003</v>
      </c>
      <c r="E380" s="27">
        <f t="shared" si="90"/>
        <v>14625.5</v>
      </c>
      <c r="F380" s="27">
        <f t="shared" ref="F380:O380" si="134">E379*EXP(-E$340)</f>
        <v>9738.0751761748816</v>
      </c>
      <c r="G380" s="27">
        <f t="shared" si="134"/>
        <v>8024.5192014820404</v>
      </c>
      <c r="H380" s="27">
        <f t="shared" si="134"/>
        <v>4273.0258501944782</v>
      </c>
      <c r="I380" s="27">
        <f t="shared" si="134"/>
        <v>2060.5865638557516</v>
      </c>
      <c r="J380" s="27">
        <f t="shared" si="134"/>
        <v>1404.5860707799736</v>
      </c>
      <c r="K380" s="27">
        <f t="shared" si="134"/>
        <v>2095.3603584050143</v>
      </c>
      <c r="L380" s="27">
        <f t="shared" si="134"/>
        <v>1139.0335288268282</v>
      </c>
      <c r="M380" s="27">
        <f t="shared" si="134"/>
        <v>402.2072521937821</v>
      </c>
      <c r="N380" s="27">
        <f t="shared" si="134"/>
        <v>435.61664223269588</v>
      </c>
      <c r="O380" s="27">
        <f t="shared" si="134"/>
        <v>948.60074446702004</v>
      </c>
      <c r="P380" s="27">
        <f t="shared" si="115"/>
        <v>341.61123643193855</v>
      </c>
      <c r="Q380" s="27">
        <f t="shared" si="115"/>
        <v>284.18257314373807</v>
      </c>
      <c r="R380" s="27">
        <f t="shared" si="115"/>
        <v>402.00750682523517</v>
      </c>
      <c r="S380" s="27">
        <f t="shared" si="95"/>
        <v>365.15035816230534</v>
      </c>
      <c r="T380" s="27"/>
      <c r="U380" s="27"/>
    </row>
    <row r="381" spans="1:21" x14ac:dyDescent="0.15">
      <c r="A381" s="23" t="e">
        <f t="shared" si="131"/>
        <v>#REF!</v>
      </c>
      <c r="B381" s="3">
        <f>SUMPRODUCT(Summary!$D$42:$R$42,E381:S381,Summary!$D$43:$R$43)</f>
        <v>5524.0839101689126</v>
      </c>
      <c r="C381" s="12" t="e">
        <f t="shared" si="88"/>
        <v>#REF!</v>
      </c>
      <c r="D381" s="38">
        <f t="shared" si="89"/>
        <v>2004</v>
      </c>
      <c r="E381" s="27">
        <f t="shared" si="90"/>
        <v>6640.46</v>
      </c>
      <c r="F381" s="27">
        <f t="shared" ref="F381:O381" si="135">E380*EXP(-E$340)</f>
        <v>5946.284558536132</v>
      </c>
      <c r="G381" s="27">
        <f t="shared" si="135"/>
        <v>5344.3689698431608</v>
      </c>
      <c r="H381" s="27">
        <f t="shared" si="135"/>
        <v>5944.7100366682043</v>
      </c>
      <c r="I381" s="27">
        <f t="shared" si="135"/>
        <v>3165.535407268058</v>
      </c>
      <c r="J381" s="27">
        <f t="shared" si="135"/>
        <v>1526.520071796273</v>
      </c>
      <c r="K381" s="27">
        <f t="shared" si="135"/>
        <v>1040.5429537495454</v>
      </c>
      <c r="L381" s="27">
        <f t="shared" si="135"/>
        <v>1552.2811324006093</v>
      </c>
      <c r="M381" s="27">
        <f t="shared" si="135"/>
        <v>843.81679212230904</v>
      </c>
      <c r="N381" s="27">
        <f t="shared" si="135"/>
        <v>297.96246091548062</v>
      </c>
      <c r="O381" s="27">
        <f t="shared" si="135"/>
        <v>322.71274579817026</v>
      </c>
      <c r="P381" s="27">
        <f t="shared" si="115"/>
        <v>702.74071565341069</v>
      </c>
      <c r="Q381" s="27">
        <f t="shared" si="115"/>
        <v>253.07182833839036</v>
      </c>
      <c r="R381" s="27">
        <f t="shared" si="115"/>
        <v>210.52762818509618</v>
      </c>
      <c r="S381" s="27">
        <f t="shared" si="95"/>
        <v>568.3245245220553</v>
      </c>
      <c r="T381" s="27"/>
      <c r="U381" s="27"/>
    </row>
    <row r="382" spans="1:21" x14ac:dyDescent="0.15">
      <c r="A382" s="23" t="e">
        <f t="shared" si="131"/>
        <v>#REF!</v>
      </c>
      <c r="B382" s="3">
        <f>SUMPRODUCT(Summary!$D$42:$R$42,E382:S382,Summary!$D$43:$R$43)</f>
        <v>5527.9341418486802</v>
      </c>
      <c r="C382" s="12" t="e">
        <f t="shared" si="88"/>
        <v>#REF!</v>
      </c>
      <c r="D382" s="38">
        <f t="shared" si="89"/>
        <v>2005</v>
      </c>
      <c r="E382" s="27">
        <f t="shared" si="90"/>
        <v>4831.7</v>
      </c>
      <c r="F382" s="27">
        <f t="shared" ref="F382:O382" si="136">E381*EXP(-E$340)</f>
        <v>2699.8095627210587</v>
      </c>
      <c r="G382" s="27">
        <f t="shared" si="136"/>
        <v>3263.3901572508598</v>
      </c>
      <c r="H382" s="27">
        <f t="shared" si="136"/>
        <v>3959.2059109057959</v>
      </c>
      <c r="I382" s="27">
        <f t="shared" si="136"/>
        <v>4403.9495118332889</v>
      </c>
      <c r="J382" s="27">
        <f t="shared" si="136"/>
        <v>2345.0863079173</v>
      </c>
      <c r="K382" s="27">
        <f t="shared" si="136"/>
        <v>1130.8738834230433</v>
      </c>
      <c r="L382" s="27">
        <f t="shared" si="136"/>
        <v>770.85317953963727</v>
      </c>
      <c r="M382" s="27">
        <f t="shared" si="136"/>
        <v>1149.9581465028216</v>
      </c>
      <c r="N382" s="27">
        <f t="shared" si="136"/>
        <v>625.11485452140403</v>
      </c>
      <c r="O382" s="27">
        <f t="shared" si="136"/>
        <v>220.73602012535227</v>
      </c>
      <c r="P382" s="27">
        <f t="shared" ref="P382:R384" si="137">O381*EXP(-O$340)</f>
        <v>239.07148213351201</v>
      </c>
      <c r="Q382" s="27">
        <f t="shared" si="137"/>
        <v>520.60312657095676</v>
      </c>
      <c r="R382" s="27">
        <f t="shared" si="137"/>
        <v>187.48022157431549</v>
      </c>
      <c r="S382" s="27">
        <f t="shared" si="95"/>
        <v>576.98786594263754</v>
      </c>
      <c r="T382" s="27"/>
      <c r="U382" s="27"/>
    </row>
    <row r="383" spans="1:21" x14ac:dyDescent="0.15">
      <c r="A383" s="23" t="e">
        <f t="shared" si="131"/>
        <v>#REF!</v>
      </c>
      <c r="B383" s="3">
        <f>SUMPRODUCT(Summary!$D$42:$R$42,E383:S383,Summary!$D$43:$R$43)</f>
        <v>5224.495591245668</v>
      </c>
      <c r="C383" s="12" t="e">
        <f t="shared" si="88"/>
        <v>#REF!</v>
      </c>
      <c r="D383" s="38">
        <f t="shared" si="89"/>
        <v>2006</v>
      </c>
      <c r="E383" s="27">
        <f t="shared" si="90"/>
        <v>12207.5</v>
      </c>
      <c r="F383" s="27">
        <f t="shared" ref="F383:O383" si="138">E382*EXP(-E$340)</f>
        <v>1964.4226249686526</v>
      </c>
      <c r="G383" s="27">
        <f t="shared" si="138"/>
        <v>1481.6869032592422</v>
      </c>
      <c r="H383" s="27">
        <f t="shared" si="138"/>
        <v>2417.5788896848135</v>
      </c>
      <c r="I383" s="27">
        <f t="shared" si="138"/>
        <v>2933.0518782297718</v>
      </c>
      <c r="J383" s="27">
        <f t="shared" si="138"/>
        <v>3262.5260413284573</v>
      </c>
      <c r="K383" s="27">
        <f t="shared" si="138"/>
        <v>1737.2826659763534</v>
      </c>
      <c r="L383" s="27">
        <f t="shared" si="138"/>
        <v>837.77197813288331</v>
      </c>
      <c r="M383" s="27">
        <f t="shared" si="138"/>
        <v>571.06208087339894</v>
      </c>
      <c r="N383" s="27">
        <f t="shared" si="138"/>
        <v>851.90994795066649</v>
      </c>
      <c r="O383" s="27">
        <f t="shared" si="138"/>
        <v>463.09647424825744</v>
      </c>
      <c r="P383" s="27">
        <f t="shared" si="137"/>
        <v>163.52526566962734</v>
      </c>
      <c r="Q383" s="27">
        <f t="shared" si="137"/>
        <v>177.10851000988947</v>
      </c>
      <c r="R383" s="27">
        <f t="shared" si="137"/>
        <v>385.67228190763535</v>
      </c>
      <c r="S383" s="27">
        <f t="shared" si="95"/>
        <v>566.33188836226486</v>
      </c>
      <c r="T383" s="27"/>
      <c r="U383" s="27"/>
    </row>
    <row r="384" spans="1:21" x14ac:dyDescent="0.15">
      <c r="C384" s="12" t="e">
        <f t="shared" si="88"/>
        <v>#REF!</v>
      </c>
      <c r="D384" s="38">
        <f t="shared" si="89"/>
        <v>2007</v>
      </c>
      <c r="E384" s="27">
        <f t="shared" si="90"/>
        <v>26390.5</v>
      </c>
      <c r="F384" s="27">
        <f t="shared" ref="F384:O384" si="139">E383*EXP(-E$340)</f>
        <v>4963.1991212833636</v>
      </c>
      <c r="G384" s="27">
        <f t="shared" si="139"/>
        <v>1078.0979947891683</v>
      </c>
      <c r="H384" s="27">
        <f t="shared" si="139"/>
        <v>1097.6606552799165</v>
      </c>
      <c r="I384" s="27">
        <f t="shared" si="139"/>
        <v>1790.9864914139866</v>
      </c>
      <c r="J384" s="27">
        <f t="shared" si="139"/>
        <v>2172.85827359735</v>
      </c>
      <c r="K384" s="27">
        <f t="shared" si="139"/>
        <v>2416.9387368647162</v>
      </c>
      <c r="L384" s="27">
        <f t="shared" si="139"/>
        <v>1287.0106534297934</v>
      </c>
      <c r="M384" s="27">
        <f t="shared" si="139"/>
        <v>620.63674617740571</v>
      </c>
      <c r="N384" s="27">
        <f t="shared" si="139"/>
        <v>423.05319465143066</v>
      </c>
      <c r="O384" s="27">
        <f t="shared" si="139"/>
        <v>631.11041182186761</v>
      </c>
      <c r="P384" s="27">
        <f t="shared" si="137"/>
        <v>343.07030605657104</v>
      </c>
      <c r="Q384" s="27">
        <f t="shared" si="137"/>
        <v>121.14249634987853</v>
      </c>
      <c r="R384" s="27">
        <f t="shared" si="137"/>
        <v>131.20521125311654</v>
      </c>
      <c r="S384" s="27">
        <f t="shared" si="95"/>
        <v>705.26203550092259</v>
      </c>
      <c r="T384" s="27"/>
      <c r="U384" s="27"/>
    </row>
    <row r="385" spans="3:19" x14ac:dyDescent="0.15">
      <c r="C385" s="12" t="e">
        <f t="shared" si="88"/>
        <v>#REF!</v>
      </c>
      <c r="D385" s="38">
        <v>2008</v>
      </c>
      <c r="E385" s="27">
        <f t="shared" si="90"/>
        <v>14622.4</v>
      </c>
      <c r="F385" s="27">
        <f t="shared" ref="F385:R385" si="140">E384*EXP(-E$340)</f>
        <v>10729.57660538428</v>
      </c>
      <c r="G385" s="27">
        <f t="shared" si="140"/>
        <v>2723.8614300119571</v>
      </c>
      <c r="H385" s="27">
        <f t="shared" si="140"/>
        <v>798.67463822023956</v>
      </c>
      <c r="I385" s="27">
        <f t="shared" si="140"/>
        <v>813.16701355679618</v>
      </c>
      <c r="J385" s="27">
        <f t="shared" si="140"/>
        <v>1326.7954258343025</v>
      </c>
      <c r="K385" s="27">
        <f t="shared" si="140"/>
        <v>1609.6930000399382</v>
      </c>
      <c r="L385" s="27">
        <f t="shared" si="140"/>
        <v>1790.5122545408378</v>
      </c>
      <c r="M385" s="27">
        <f t="shared" si="140"/>
        <v>953.44094227227458</v>
      </c>
      <c r="N385" s="27">
        <f t="shared" si="140"/>
        <v>459.77900999283668</v>
      </c>
      <c r="O385" s="27">
        <f t="shared" si="140"/>
        <v>313.40551491538929</v>
      </c>
      <c r="P385" s="27">
        <f t="shared" si="140"/>
        <v>467.53809233958219</v>
      </c>
      <c r="Q385" s="27">
        <f t="shared" si="140"/>
        <v>254.15273370156135</v>
      </c>
      <c r="R385" s="27">
        <f t="shared" si="140"/>
        <v>89.744568594858507</v>
      </c>
      <c r="S385" s="27">
        <f>R384*EXP(-R$340)+S384*EXP(-S$340)</f>
        <v>619.67017739886273</v>
      </c>
    </row>
    <row r="386" spans="3:19" x14ac:dyDescent="0.15">
      <c r="C386" s="12" t="e">
        <f t="shared" si="88"/>
        <v>#REF!</v>
      </c>
      <c r="D386" s="38">
        <v>2009</v>
      </c>
      <c r="E386" s="27">
        <f t="shared" si="90"/>
        <v>56930.6</v>
      </c>
      <c r="F386" s="27">
        <f t="shared" ref="F386:R386" si="141">E385*EXP(-E$340)</f>
        <v>5945.0241925909359</v>
      </c>
      <c r="G386" s="27">
        <f t="shared" si="141"/>
        <v>5888.5164913971366</v>
      </c>
      <c r="H386" s="27">
        <f t="shared" si="141"/>
        <v>2017.8861779650176</v>
      </c>
      <c r="I386" s="27">
        <f t="shared" si="141"/>
        <v>591.67272438993257</v>
      </c>
      <c r="J386" s="27">
        <f t="shared" si="141"/>
        <v>602.40894010021213</v>
      </c>
      <c r="K386" s="27">
        <f t="shared" si="141"/>
        <v>982.91422657521014</v>
      </c>
      <c r="L386" s="27">
        <f t="shared" si="141"/>
        <v>1192.4899041334033</v>
      </c>
      <c r="M386" s="27">
        <f t="shared" si="141"/>
        <v>1326.4441025177546</v>
      </c>
      <c r="N386" s="27">
        <f t="shared" si="141"/>
        <v>706.32642237924699</v>
      </c>
      <c r="O386" s="27">
        <f t="shared" si="141"/>
        <v>340.61266808969503</v>
      </c>
      <c r="P386" s="27">
        <f t="shared" si="141"/>
        <v>232.17651591145628</v>
      </c>
      <c r="Q386" s="27">
        <f t="shared" si="141"/>
        <v>346.36073766793402</v>
      </c>
      <c r="R386" s="27">
        <f t="shared" si="141"/>
        <v>188.28097596218515</v>
      </c>
      <c r="S386" s="27">
        <f>R385*EXP(-R$340)+S385*EXP(-S$340)</f>
        <v>525.54736985244142</v>
      </c>
    </row>
    <row r="387" spans="3:19" x14ac:dyDescent="0.15">
      <c r="C387" s="12" t="e">
        <f t="shared" si="88"/>
        <v>#REF!</v>
      </c>
      <c r="D387" s="38">
        <v>2010</v>
      </c>
      <c r="E387" s="27">
        <f t="shared" si="90"/>
        <v>22500.1</v>
      </c>
      <c r="F387" s="27">
        <f t="shared" ref="F387:R387" si="142">E386*EXP(-E$340)</f>
        <v>23146.254670828152</v>
      </c>
      <c r="G387" s="27">
        <f t="shared" si="142"/>
        <v>3262.6984537543999</v>
      </c>
      <c r="H387" s="27">
        <f t="shared" si="142"/>
        <v>4362.3203096117786</v>
      </c>
      <c r="I387" s="27">
        <f t="shared" si="142"/>
        <v>1494.8868478982768</v>
      </c>
      <c r="J387" s="27">
        <f t="shared" si="142"/>
        <v>438.3219349084543</v>
      </c>
      <c r="K387" s="27">
        <f t="shared" si="142"/>
        <v>446.2755191277987</v>
      </c>
      <c r="L387" s="27">
        <f t="shared" si="142"/>
        <v>728.16076841419408</v>
      </c>
      <c r="M387" s="27">
        <f t="shared" si="142"/>
        <v>883.41824896102014</v>
      </c>
      <c r="N387" s="27">
        <f t="shared" si="142"/>
        <v>982.65395986096109</v>
      </c>
      <c r="O387" s="27">
        <f t="shared" si="142"/>
        <v>523.25948344747724</v>
      </c>
      <c r="P387" s="27">
        <f t="shared" si="142"/>
        <v>252.33207071586043</v>
      </c>
      <c r="Q387" s="27">
        <f t="shared" si="142"/>
        <v>172.00059340160558</v>
      </c>
      <c r="R387" s="27">
        <f t="shared" si="142"/>
        <v>256.59034539316616</v>
      </c>
      <c r="S387" s="27">
        <f>R386*EXP(-R$340)+S386*EXP(-S$340)</f>
        <v>528.81704501856564</v>
      </c>
    </row>
    <row r="388" spans="3:19" x14ac:dyDescent="0.15">
      <c r="C388" s="12"/>
      <c r="D388" s="38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</row>
    <row r="389" spans="3:19" x14ac:dyDescent="0.15">
      <c r="C389" s="12"/>
      <c r="D389" s="38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</row>
    <row r="390" spans="3:19" x14ac:dyDescent="0.15">
      <c r="C390" s="12"/>
      <c r="D390" s="38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</row>
    <row r="391" spans="3:19" x14ac:dyDescent="0.15">
      <c r="C391" s="12"/>
      <c r="D391" s="38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</row>
    <row r="392" spans="3:19" x14ac:dyDescent="0.15">
      <c r="D392" s="38"/>
    </row>
    <row r="393" spans="3:19" x14ac:dyDescent="0.15">
      <c r="D393" s="38"/>
    </row>
    <row r="394" spans="3:19" x14ac:dyDescent="0.15">
      <c r="D394" s="38"/>
    </row>
    <row r="395" spans="3:19" x14ac:dyDescent="0.15">
      <c r="E395">
        <v>2006</v>
      </c>
      <c r="F395">
        <v>2005</v>
      </c>
      <c r="G395">
        <v>2004</v>
      </c>
      <c r="H395">
        <v>2003</v>
      </c>
      <c r="I395">
        <v>2002</v>
      </c>
      <c r="J395">
        <v>2001</v>
      </c>
      <c r="K395">
        <v>2000</v>
      </c>
      <c r="L395">
        <v>1999</v>
      </c>
      <c r="M395">
        <v>1998</v>
      </c>
      <c r="N395">
        <v>1997</v>
      </c>
      <c r="O395">
        <v>1996</v>
      </c>
      <c r="P395">
        <v>1995</v>
      </c>
      <c r="Q395">
        <v>1994</v>
      </c>
      <c r="R395">
        <v>1993</v>
      </c>
      <c r="S395">
        <v>1992</v>
      </c>
    </row>
    <row r="396" spans="3:19" x14ac:dyDescent="0.15">
      <c r="C396">
        <f>MAX(E396:S396)</f>
        <v>1.1895899999999999</v>
      </c>
      <c r="D396" t="s">
        <v>179</v>
      </c>
      <c r="E396">
        <f>pm.rep!B853</f>
        <v>1.12378E-4</v>
      </c>
      <c r="F396">
        <f>pm.rep!C853</f>
        <v>7.3870100000000003E-3</v>
      </c>
      <c r="G396">
        <f>pm.rep!D853</f>
        <v>9.7611000000000003E-2</v>
      </c>
      <c r="H396">
        <f>pm.rep!E853</f>
        <v>0.32773000000000002</v>
      </c>
      <c r="I396">
        <f>pm.rep!F853</f>
        <v>0.65866100000000005</v>
      </c>
      <c r="J396">
        <f>pm.rep!G853</f>
        <v>1</v>
      </c>
      <c r="K396">
        <f>pm.rep!H853</f>
        <v>1.08914</v>
      </c>
      <c r="L396">
        <f>pm.rep!I853</f>
        <v>1.1137999999999999</v>
      </c>
      <c r="M396">
        <f>pm.rep!J853</f>
        <v>1.0904499999999999</v>
      </c>
      <c r="N396">
        <f>pm.rep!K853</f>
        <v>1.1895899999999999</v>
      </c>
      <c r="O396">
        <f>pm.rep!L853</f>
        <v>1.1895899999999999</v>
      </c>
      <c r="P396">
        <f>pm.rep!M853</f>
        <v>1.1895899999999999</v>
      </c>
      <c r="Q396">
        <f>pm.rep!N853</f>
        <v>1.1895899999999999</v>
      </c>
      <c r="R396">
        <f>pm.rep!O853</f>
        <v>1.1895899999999999</v>
      </c>
      <c r="S396">
        <f>pm.rep!P853</f>
        <v>1.1895899999999999</v>
      </c>
    </row>
    <row r="397" spans="3:19" x14ac:dyDescent="0.15">
      <c r="E397">
        <f>E396/$C$396</f>
        <v>9.4467841861481692E-5</v>
      </c>
      <c r="F397">
        <f t="shared" ref="F397:S397" si="143">F396/$C$396</f>
        <v>6.2097109088005116E-3</v>
      </c>
      <c r="G397">
        <f t="shared" si="143"/>
        <v>8.2054321236728622E-2</v>
      </c>
      <c r="H397">
        <f t="shared" si="143"/>
        <v>0.27549828092031714</v>
      </c>
      <c r="I397">
        <f t="shared" si="143"/>
        <v>0.55368740490421076</v>
      </c>
      <c r="J397">
        <f t="shared" si="143"/>
        <v>0.84062576181709669</v>
      </c>
      <c r="K397">
        <f t="shared" si="143"/>
        <v>0.91555914222547274</v>
      </c>
      <c r="L397">
        <f t="shared" si="143"/>
        <v>0.93628897351188223</v>
      </c>
      <c r="M397">
        <f t="shared" si="143"/>
        <v>0.91666036197345302</v>
      </c>
      <c r="N397">
        <f t="shared" si="143"/>
        <v>1</v>
      </c>
      <c r="O397">
        <f t="shared" si="143"/>
        <v>1</v>
      </c>
      <c r="P397">
        <f t="shared" si="143"/>
        <v>1</v>
      </c>
      <c r="Q397">
        <f t="shared" si="143"/>
        <v>1</v>
      </c>
      <c r="R397">
        <f t="shared" si="143"/>
        <v>1</v>
      </c>
      <c r="S397">
        <f t="shared" si="143"/>
        <v>1</v>
      </c>
    </row>
    <row r="398" spans="3:19" x14ac:dyDescent="0.15">
      <c r="C398" t="s">
        <v>513</v>
      </c>
      <c r="D398">
        <f>pm.rep!A51+1</f>
        <v>2007</v>
      </c>
      <c r="E398" s="27">
        <f>pm.rep!B857</f>
        <v>26543.8</v>
      </c>
      <c r="F398" s="27">
        <f>pm.rep!C857</f>
        <v>7704.57</v>
      </c>
      <c r="G398" s="27">
        <f>pm.rep!D857</f>
        <v>4705.41</v>
      </c>
      <c r="H398" s="27">
        <f>pm.rep!E857</f>
        <v>5901</v>
      </c>
      <c r="I398" s="27">
        <f>pm.rep!F857</f>
        <v>7948.58</v>
      </c>
      <c r="J398" s="27">
        <f>pm.rep!G857</f>
        <v>918.82899999999995</v>
      </c>
      <c r="K398" s="27">
        <f>pm.rep!H857</f>
        <v>640.16700000000003</v>
      </c>
      <c r="L398" s="27">
        <f>pm.rep!I857</f>
        <v>590.76099999999997</v>
      </c>
      <c r="M398" s="27">
        <f>pm.rep!J857</f>
        <v>913.03800000000001</v>
      </c>
      <c r="N398" s="27">
        <f>pm.rep!K857</f>
        <v>143.898</v>
      </c>
      <c r="O398" s="27">
        <f>pm.rep!L857</f>
        <v>82.614099999999993</v>
      </c>
      <c r="P398" s="27">
        <f>pm.rep!M857</f>
        <v>19.774100000000001</v>
      </c>
      <c r="Q398" s="27">
        <f>pm.rep!N857</f>
        <v>4.5867000000000004</v>
      </c>
      <c r="R398" s="27">
        <f>pm.rep!O857</f>
        <v>3.1293299999999999</v>
      </c>
      <c r="S398" s="27">
        <f>pm.rep!P857</f>
        <v>10.3065</v>
      </c>
    </row>
    <row r="399" spans="3:19" x14ac:dyDescent="0.15">
      <c r="D399" s="27" t="e">
        <f>SUMPRODUCT(E398:S398,E399:S399)</f>
        <v>#REF!</v>
      </c>
      <c r="E399" t="e">
        <f>E268</f>
        <v>#REF!</v>
      </c>
      <c r="F399" t="e">
        <f t="shared" ref="F399:S399" si="144">F268</f>
        <v>#REF!</v>
      </c>
      <c r="G399" t="e">
        <f t="shared" si="144"/>
        <v>#REF!</v>
      </c>
      <c r="H399" t="e">
        <f t="shared" si="144"/>
        <v>#REF!</v>
      </c>
      <c r="I399" t="e">
        <f t="shared" si="144"/>
        <v>#REF!</v>
      </c>
      <c r="J399" t="e">
        <f t="shared" si="144"/>
        <v>#REF!</v>
      </c>
      <c r="K399" t="e">
        <f t="shared" si="144"/>
        <v>#REF!</v>
      </c>
      <c r="L399" t="e">
        <f t="shared" si="144"/>
        <v>#REF!</v>
      </c>
      <c r="M399" t="e">
        <f t="shared" si="144"/>
        <v>#REF!</v>
      </c>
      <c r="N399" t="e">
        <f t="shared" si="144"/>
        <v>#REF!</v>
      </c>
      <c r="O399" t="e">
        <f t="shared" si="144"/>
        <v>#REF!</v>
      </c>
      <c r="P399" t="e">
        <f t="shared" si="144"/>
        <v>#REF!</v>
      </c>
      <c r="Q399" t="e">
        <f t="shared" si="144"/>
        <v>#REF!</v>
      </c>
      <c r="R399" t="e">
        <f t="shared" si="144"/>
        <v>#REF!</v>
      </c>
      <c r="S399" t="e">
        <f t="shared" si="144"/>
        <v>#REF!</v>
      </c>
    </row>
    <row r="400" spans="3:19" x14ac:dyDescent="0.15">
      <c r="D400" s="27"/>
      <c r="E400" s="23" t="e">
        <f>E398*E399/$D$399</f>
        <v>#REF!</v>
      </c>
      <c r="F400" s="23" t="e">
        <f t="shared" ref="F400:S400" si="145">F398*F399/$D$399</f>
        <v>#REF!</v>
      </c>
      <c r="G400" s="23" t="e">
        <f t="shared" si="145"/>
        <v>#REF!</v>
      </c>
      <c r="H400" s="23" t="e">
        <f t="shared" si="145"/>
        <v>#REF!</v>
      </c>
      <c r="I400" s="23" t="e">
        <f t="shared" si="145"/>
        <v>#REF!</v>
      </c>
      <c r="J400" s="23" t="e">
        <f t="shared" si="145"/>
        <v>#REF!</v>
      </c>
      <c r="K400" s="23" t="e">
        <f t="shared" si="145"/>
        <v>#REF!</v>
      </c>
      <c r="L400" s="23" t="e">
        <f t="shared" si="145"/>
        <v>#REF!</v>
      </c>
      <c r="M400" s="23" t="e">
        <f t="shared" si="145"/>
        <v>#REF!</v>
      </c>
      <c r="N400" s="23" t="e">
        <f t="shared" si="145"/>
        <v>#REF!</v>
      </c>
      <c r="O400" s="23" t="e">
        <f t="shared" si="145"/>
        <v>#REF!</v>
      </c>
      <c r="P400" s="23" t="e">
        <f t="shared" si="145"/>
        <v>#REF!</v>
      </c>
      <c r="Q400" s="23" t="e">
        <f t="shared" si="145"/>
        <v>#REF!</v>
      </c>
      <c r="R400" s="23" t="e">
        <f t="shared" si="145"/>
        <v>#REF!</v>
      </c>
      <c r="S400" s="23" t="e">
        <f t="shared" si="145"/>
        <v>#REF!</v>
      </c>
    </row>
    <row r="401" spans="1:19" x14ac:dyDescent="0.15">
      <c r="D401" s="27" t="e">
        <f>SUMPRODUCT(E397:S397,E398:S398,E399:S399)</f>
        <v>#REF!</v>
      </c>
      <c r="E401" s="23" t="e">
        <f>E399*E398*E397/$D$401</f>
        <v>#REF!</v>
      </c>
      <c r="F401" s="23" t="e">
        <f t="shared" ref="F401:S401" si="146">F399*F398*F397/$D$401</f>
        <v>#REF!</v>
      </c>
      <c r="G401" s="23" t="e">
        <f t="shared" si="146"/>
        <v>#REF!</v>
      </c>
      <c r="H401" s="23" t="e">
        <f t="shared" si="146"/>
        <v>#REF!</v>
      </c>
      <c r="I401" s="23" t="e">
        <f t="shared" si="146"/>
        <v>#REF!</v>
      </c>
      <c r="J401" s="23" t="e">
        <f t="shared" si="146"/>
        <v>#REF!</v>
      </c>
      <c r="K401" s="23" t="e">
        <f t="shared" si="146"/>
        <v>#REF!</v>
      </c>
      <c r="L401" s="23" t="e">
        <f t="shared" si="146"/>
        <v>#REF!</v>
      </c>
      <c r="M401" s="23" t="e">
        <f t="shared" si="146"/>
        <v>#REF!</v>
      </c>
      <c r="N401" s="23" t="e">
        <f t="shared" si="146"/>
        <v>#REF!</v>
      </c>
      <c r="O401" s="23" t="e">
        <f t="shared" si="146"/>
        <v>#REF!</v>
      </c>
      <c r="P401" s="23" t="e">
        <f t="shared" si="146"/>
        <v>#REF!</v>
      </c>
      <c r="Q401" s="23" t="e">
        <f t="shared" si="146"/>
        <v>#REF!</v>
      </c>
      <c r="R401" s="23" t="e">
        <f t="shared" si="146"/>
        <v>#REF!</v>
      </c>
      <c r="S401" s="23" t="e">
        <f t="shared" si="146"/>
        <v>#REF!</v>
      </c>
    </row>
    <row r="402" spans="1:19" ht="23" x14ac:dyDescent="0.25">
      <c r="B402" s="97" t="s">
        <v>160</v>
      </c>
      <c r="C402" s="97" t="s">
        <v>356</v>
      </c>
    </row>
    <row r="403" spans="1:19" x14ac:dyDescent="0.15">
      <c r="A403">
        <v>1982</v>
      </c>
      <c r="B403" s="96" t="e">
        <f>E403</f>
        <v>#REF!</v>
      </c>
      <c r="C403" s="31">
        <v>1273.2812289999999</v>
      </c>
      <c r="D403" s="27"/>
      <c r="E403" s="27" t="e">
        <f>#REF!</f>
        <v>#REF!</v>
      </c>
      <c r="F403" s="27">
        <v>1273.2812289215922</v>
      </c>
      <c r="H403">
        <v>0.12389448619564623</v>
      </c>
      <c r="I403">
        <v>10265.270972593909</v>
      </c>
    </row>
    <row r="404" spans="1:19" x14ac:dyDescent="0.15">
      <c r="A404">
        <v>1983</v>
      </c>
      <c r="B404" s="96" t="e">
        <f t="shared" ref="B404:B432" si="147">E404</f>
        <v>#REF!</v>
      </c>
      <c r="C404" s="31">
        <v>1128.2297269999999</v>
      </c>
      <c r="D404" s="27"/>
      <c r="E404" s="27" t="e">
        <f>#REF!</f>
        <v>#REF!</v>
      </c>
      <c r="F404" s="27">
        <v>1128.2297266656556</v>
      </c>
      <c r="H404">
        <v>7.7860427512091421E-2</v>
      </c>
      <c r="I404">
        <v>14888.912796339218</v>
      </c>
    </row>
    <row r="405" spans="1:19" x14ac:dyDescent="0.15">
      <c r="A405">
        <v>1984</v>
      </c>
      <c r="B405" s="96" t="e">
        <f t="shared" si="147"/>
        <v>#REF!</v>
      </c>
      <c r="C405" s="31">
        <v>739.22674370000004</v>
      </c>
      <c r="D405" s="27"/>
      <c r="E405" s="27" t="e">
        <f>#REF!</f>
        <v>#REF!</v>
      </c>
      <c r="F405" s="27">
        <v>739.22674372842869</v>
      </c>
      <c r="H405">
        <v>9.8855131525259168E-2</v>
      </c>
      <c r="I405">
        <v>8012.3674868848648</v>
      </c>
    </row>
    <row r="406" spans="1:19" x14ac:dyDescent="0.15">
      <c r="A406">
        <v>1985</v>
      </c>
      <c r="B406" s="96" t="e">
        <f t="shared" si="147"/>
        <v>#REF!</v>
      </c>
      <c r="C406" s="31">
        <v>1930.851273</v>
      </c>
      <c r="D406" s="27"/>
      <c r="E406" s="27" t="e">
        <f>#REF!</f>
        <v>#REF!</v>
      </c>
      <c r="F406" s="27">
        <v>1930.8512728476214</v>
      </c>
      <c r="H406">
        <v>0.12773614667674812</v>
      </c>
      <c r="I406">
        <v>15417.929859917716</v>
      </c>
    </row>
    <row r="407" spans="1:19" x14ac:dyDescent="0.15">
      <c r="A407">
        <v>1986</v>
      </c>
      <c r="B407" s="96" t="e">
        <f t="shared" si="147"/>
        <v>#REF!</v>
      </c>
      <c r="C407" s="31">
        <v>826.37305709999998</v>
      </c>
      <c r="D407" s="27"/>
      <c r="E407" s="27" t="e">
        <f>#REF!</f>
        <v>#REF!</v>
      </c>
      <c r="F407" s="27">
        <v>826.37305710870385</v>
      </c>
      <c r="H407">
        <v>8.8285639082307715E-2</v>
      </c>
      <c r="I407">
        <v>9460.7036757262631</v>
      </c>
    </row>
    <row r="408" spans="1:19" x14ac:dyDescent="0.15">
      <c r="A408">
        <v>1987</v>
      </c>
      <c r="B408" s="96" t="e">
        <f t="shared" si="147"/>
        <v>#REF!</v>
      </c>
      <c r="C408" s="31">
        <v>1125.6309409999999</v>
      </c>
      <c r="D408" s="27"/>
      <c r="E408" s="27" t="e">
        <f>#REF!</f>
        <v>#REF!</v>
      </c>
      <c r="F408" s="27">
        <v>1125.6309412631479</v>
      </c>
      <c r="H408">
        <v>0.12343408882401261</v>
      </c>
      <c r="I408">
        <v>9180.138998395716</v>
      </c>
    </row>
    <row r="409" spans="1:19" x14ac:dyDescent="0.15">
      <c r="A409">
        <v>1988</v>
      </c>
      <c r="B409" s="96" t="e">
        <f t="shared" si="147"/>
        <v>#REF!</v>
      </c>
      <c r="C409" s="31">
        <v>1456.237948</v>
      </c>
      <c r="D409" s="27"/>
      <c r="E409" s="27" t="e">
        <f>#REF!</f>
        <v>#REF!</v>
      </c>
      <c r="F409" s="27">
        <v>1456.2379484069008</v>
      </c>
      <c r="H409">
        <v>0.11271042548747438</v>
      </c>
      <c r="I409">
        <v>12997.497953518014</v>
      </c>
    </row>
    <row r="410" spans="1:19" x14ac:dyDescent="0.15">
      <c r="A410">
        <v>1989</v>
      </c>
      <c r="B410" s="96" t="e">
        <f t="shared" si="147"/>
        <v>#REF!</v>
      </c>
      <c r="C410" s="31">
        <v>1136.2500769999999</v>
      </c>
      <c r="D410" s="27"/>
      <c r="E410" s="27" t="e">
        <f>#REF!</f>
        <v>#REF!</v>
      </c>
      <c r="F410" s="27">
        <v>1136.2500770636718</v>
      </c>
      <c r="H410">
        <v>0.10254907362989159</v>
      </c>
      <c r="I410">
        <v>11202.787053893544</v>
      </c>
    </row>
    <row r="411" spans="1:19" x14ac:dyDescent="0.15">
      <c r="A411">
        <v>1990</v>
      </c>
      <c r="B411" s="96" t="e">
        <f t="shared" si="147"/>
        <v>#REF!</v>
      </c>
      <c r="C411" s="31">
        <v>1369.8423049999999</v>
      </c>
      <c r="D411" s="27"/>
      <c r="E411" s="27" t="e">
        <f>#REF!</f>
        <v>#REF!</v>
      </c>
      <c r="F411" s="27">
        <v>1369.8423046698881</v>
      </c>
      <c r="H411">
        <v>0.1200654842803216</v>
      </c>
      <c r="I411">
        <v>11475.692932943835</v>
      </c>
    </row>
    <row r="412" spans="1:19" x14ac:dyDescent="0.15">
      <c r="A412">
        <v>1991</v>
      </c>
      <c r="B412" s="96" t="e">
        <f t="shared" si="147"/>
        <v>#REF!</v>
      </c>
      <c r="C412" s="31">
        <v>827.37876029999995</v>
      </c>
      <c r="D412" s="27"/>
      <c r="E412" s="27" t="e">
        <f>#REF!</f>
        <v>#REF!</v>
      </c>
      <c r="F412" s="27">
        <v>827.37876027339928</v>
      </c>
      <c r="H412">
        <v>9.6568893595280703E-2</v>
      </c>
      <c r="I412">
        <v>8672.2295918546733</v>
      </c>
    </row>
    <row r="413" spans="1:19" x14ac:dyDescent="0.15">
      <c r="A413">
        <v>1992</v>
      </c>
      <c r="B413" s="96" t="e">
        <f t="shared" si="147"/>
        <v>#REF!</v>
      </c>
      <c r="C413" s="31">
        <v>802.10384590000001</v>
      </c>
      <c r="D413" s="27"/>
      <c r="E413" s="27" t="e">
        <f>#REF!</f>
        <v>#REF!</v>
      </c>
      <c r="F413" s="27">
        <v>802.10384585928023</v>
      </c>
      <c r="H413">
        <v>0.11007739223055872</v>
      </c>
      <c r="I413">
        <v>7345.7098031285077</v>
      </c>
    </row>
    <row r="414" spans="1:19" x14ac:dyDescent="0.15">
      <c r="A414">
        <v>1993</v>
      </c>
      <c r="B414" s="96" t="e">
        <f t="shared" si="147"/>
        <v>#REF!</v>
      </c>
      <c r="C414" s="31">
        <v>863.1712933</v>
      </c>
      <c r="D414" s="27"/>
      <c r="E414" s="27" t="e">
        <f>#REF!</f>
        <v>#REF!</v>
      </c>
      <c r="F414" s="27">
        <v>863.17129326183226</v>
      </c>
      <c r="H414">
        <v>9.233447310601324E-2</v>
      </c>
      <c r="I414">
        <v>9958.9269259865159</v>
      </c>
    </row>
    <row r="415" spans="1:19" x14ac:dyDescent="0.15">
      <c r="A415">
        <v>1994</v>
      </c>
      <c r="B415" s="96" t="e">
        <f t="shared" si="147"/>
        <v>#REF!</v>
      </c>
      <c r="C415" s="31">
        <v>972.72426849999999</v>
      </c>
      <c r="D415" s="27"/>
      <c r="E415" s="27" t="e">
        <f>#REF!</f>
        <v>#REF!</v>
      </c>
      <c r="F415" s="27">
        <v>972.72426853987406</v>
      </c>
      <c r="H415">
        <v>0.11634441036963344</v>
      </c>
      <c r="I415">
        <v>8325.4698383005507</v>
      </c>
    </row>
    <row r="416" spans="1:19" x14ac:dyDescent="0.15">
      <c r="A416">
        <v>1995</v>
      </c>
      <c r="B416" s="96" t="e">
        <f t="shared" si="147"/>
        <v>#REF!</v>
      </c>
      <c r="C416" s="31">
        <v>1809.1080569999999</v>
      </c>
      <c r="D416" s="27"/>
      <c r="E416" s="27" t="e">
        <f>#REF!</f>
        <v>#REF!</v>
      </c>
      <c r="F416" s="27">
        <v>1809.1080565471179</v>
      </c>
      <c r="H416">
        <v>0.18654139343416007</v>
      </c>
      <c r="I416">
        <v>9617.8788356685091</v>
      </c>
    </row>
    <row r="417" spans="1:9" x14ac:dyDescent="0.15">
      <c r="A417">
        <v>1996</v>
      </c>
      <c r="B417" s="96" t="e">
        <f t="shared" si="147"/>
        <v>#REF!</v>
      </c>
      <c r="C417" s="31">
        <v>458.01831700000002</v>
      </c>
      <c r="D417" s="27"/>
      <c r="E417" s="27" t="e">
        <f>#REF!</f>
        <v>#REF!</v>
      </c>
      <c r="F417" s="27">
        <v>458.01831700150819</v>
      </c>
      <c r="H417">
        <v>8.2893639372663599E-2</v>
      </c>
      <c r="I417">
        <v>6078.9037404505161</v>
      </c>
    </row>
    <row r="418" spans="1:9" x14ac:dyDescent="0.15">
      <c r="A418">
        <v>1997</v>
      </c>
      <c r="B418" s="96" t="e">
        <f t="shared" si="147"/>
        <v>#REF!</v>
      </c>
      <c r="C418" s="31">
        <v>981.64882130000001</v>
      </c>
      <c r="D418" s="27"/>
      <c r="E418" s="27" t="e">
        <f>#REF!</f>
        <v>#REF!</v>
      </c>
      <c r="F418" s="27">
        <v>981.64882131817751</v>
      </c>
      <c r="H418">
        <v>0.13435202838113466</v>
      </c>
      <c r="I418">
        <v>8185.4795906056524</v>
      </c>
    </row>
    <row r="419" spans="1:9" x14ac:dyDescent="0.15">
      <c r="A419">
        <v>1998</v>
      </c>
      <c r="B419" s="96" t="e">
        <f t="shared" si="147"/>
        <v>#REF!</v>
      </c>
      <c r="C419" s="31">
        <v>578.14863890000004</v>
      </c>
      <c r="D419" s="27"/>
      <c r="E419" s="27" t="e">
        <f>#REF!</f>
        <v>#REF!</v>
      </c>
      <c r="F419" s="27">
        <v>578.14863886809417</v>
      </c>
      <c r="H419">
        <v>0.10989539841118458</v>
      </c>
      <c r="I419">
        <v>5518.3305831352091</v>
      </c>
    </row>
    <row r="420" spans="1:9" x14ac:dyDescent="0.15">
      <c r="A420">
        <v>1999</v>
      </c>
      <c r="B420" s="96" t="e">
        <f t="shared" si="147"/>
        <v>#REF!</v>
      </c>
      <c r="C420" s="31">
        <v>833.79533160000005</v>
      </c>
      <c r="D420" s="27"/>
      <c r="E420" s="27" t="e">
        <f>#REF!</f>
        <v>#REF!</v>
      </c>
      <c r="F420" s="27">
        <v>833.79533157913215</v>
      </c>
      <c r="H420">
        <v>0.11725593913057433</v>
      </c>
      <c r="I420">
        <v>7111.1025536566367</v>
      </c>
    </row>
    <row r="421" spans="1:9" x14ac:dyDescent="0.15">
      <c r="A421">
        <v>2000</v>
      </c>
      <c r="B421" s="96" t="e">
        <f t="shared" si="147"/>
        <v>#REF!</v>
      </c>
      <c r="C421" s="31">
        <v>1006.046504</v>
      </c>
      <c r="D421" s="27"/>
      <c r="E421" s="27" t="e">
        <f>#REF!</f>
        <v>#REF!</v>
      </c>
      <c r="F421" s="27">
        <v>1006.0465038876433</v>
      </c>
      <c r="H421">
        <v>0.11802298822391029</v>
      </c>
      <c r="I421">
        <v>8574.4667412976887</v>
      </c>
    </row>
    <row r="422" spans="1:9" x14ac:dyDescent="0.15">
      <c r="A422">
        <v>2001</v>
      </c>
      <c r="B422" s="96" t="e">
        <f t="shared" si="147"/>
        <v>#REF!</v>
      </c>
      <c r="C422" s="31">
        <v>695.62402029999998</v>
      </c>
      <c r="D422" s="27"/>
      <c r="E422" s="27" t="e">
        <f>#REF!</f>
        <v>#REF!</v>
      </c>
      <c r="F422" s="27">
        <v>695.62402028043857</v>
      </c>
      <c r="H422">
        <v>8.9732467318921302E-2</v>
      </c>
      <c r="I422">
        <v>7755.8496209630475</v>
      </c>
    </row>
    <row r="423" spans="1:9" x14ac:dyDescent="0.15">
      <c r="A423">
        <v>2002</v>
      </c>
      <c r="B423" s="96" t="e">
        <f t="shared" si="147"/>
        <v>#REF!</v>
      </c>
      <c r="C423" s="31">
        <v>750.12433099999998</v>
      </c>
      <c r="D423" s="27"/>
      <c r="E423" s="27" t="e">
        <f>#REF!</f>
        <v>#REF!</v>
      </c>
      <c r="F423" s="27">
        <v>750.12433103292494</v>
      </c>
      <c r="H423">
        <v>0.10176346336549827</v>
      </c>
      <c r="I423">
        <v>7557.6932163762604</v>
      </c>
    </row>
    <row r="424" spans="1:9" x14ac:dyDescent="0.15">
      <c r="A424">
        <v>2003</v>
      </c>
      <c r="B424" s="96" t="e">
        <f t="shared" si="147"/>
        <v>#REF!</v>
      </c>
      <c r="C424" s="31">
        <v>1863.12202</v>
      </c>
      <c r="D424" s="27"/>
      <c r="E424" s="27" t="e">
        <f>#REF!</f>
        <v>#REF!</v>
      </c>
      <c r="F424" s="27">
        <v>1863.1220196572847</v>
      </c>
      <c r="H424">
        <v>0.17871752017703552</v>
      </c>
      <c r="I424">
        <v>10499.106493398667</v>
      </c>
    </row>
    <row r="425" spans="1:9" x14ac:dyDescent="0.15">
      <c r="A425">
        <v>2004</v>
      </c>
      <c r="B425" s="96" t="e">
        <f t="shared" si="147"/>
        <v>#REF!</v>
      </c>
      <c r="C425" s="31">
        <v>498.72073189999998</v>
      </c>
      <c r="D425" s="27"/>
      <c r="E425" s="27" t="e">
        <f>#REF!</f>
        <v>#REF!</v>
      </c>
      <c r="F425" s="27">
        <v>498.72073185154835</v>
      </c>
      <c r="H425">
        <v>9.2110102081191081E-2</v>
      </c>
      <c r="I425">
        <v>5449.4333771889915</v>
      </c>
    </row>
    <row r="426" spans="1:9" x14ac:dyDescent="0.15">
      <c r="A426">
        <v>2005</v>
      </c>
      <c r="B426" s="96" t="e">
        <f t="shared" si="147"/>
        <v>#REF!</v>
      </c>
      <c r="C426" s="31">
        <v>697.37650199999996</v>
      </c>
      <c r="D426" s="27"/>
      <c r="E426" s="27" t="e">
        <f>#REF!</f>
        <v>#REF!</v>
      </c>
      <c r="F426" s="27">
        <v>697.37650201421616</v>
      </c>
      <c r="H426">
        <v>9.6938332795878504E-2</v>
      </c>
      <c r="I426">
        <v>7674.2112839265947</v>
      </c>
    </row>
    <row r="427" spans="1:9" x14ac:dyDescent="0.15">
      <c r="A427">
        <v>2006</v>
      </c>
      <c r="B427" s="96" t="e">
        <f t="shared" si="147"/>
        <v>#REF!</v>
      </c>
      <c r="C427" s="31">
        <v>427.32597920000001</v>
      </c>
      <c r="D427" s="27"/>
      <c r="E427" s="27" t="e">
        <f>#REF!</f>
        <v>#REF!</v>
      </c>
      <c r="F427" s="27">
        <v>427.32597920224674</v>
      </c>
      <c r="H427">
        <v>9.1771392701656074E-2</v>
      </c>
      <c r="I427">
        <v>4648.3800220350449</v>
      </c>
    </row>
    <row r="428" spans="1:9" x14ac:dyDescent="0.15">
      <c r="A428">
        <v>2007</v>
      </c>
      <c r="B428" s="96" t="e">
        <f t="shared" si="147"/>
        <v>#REF!</v>
      </c>
      <c r="C428" s="31">
        <v>668.51356580000004</v>
      </c>
      <c r="D428" s="27"/>
      <c r="E428" s="27" t="e">
        <f>#REF!</f>
        <v>#REF!</v>
      </c>
      <c r="F428" s="27">
        <v>668.51356580163872</v>
      </c>
      <c r="H428">
        <v>9.2546497256744811E-2</v>
      </c>
      <c r="I428">
        <v>7277.509671089867</v>
      </c>
    </row>
    <row r="429" spans="1:9" x14ac:dyDescent="0.15">
      <c r="A429">
        <v>2008</v>
      </c>
      <c r="B429" s="96" t="e">
        <f t="shared" si="147"/>
        <v>#REF!</v>
      </c>
      <c r="C429" s="31">
        <v>430.89842470000002</v>
      </c>
      <c r="D429" s="27"/>
      <c r="E429" s="27" t="e">
        <f>#REF!</f>
        <v>#REF!</v>
      </c>
      <c r="F429" s="27">
        <v>430.89842473646615</v>
      </c>
      <c r="H429">
        <v>0.1089410113871733</v>
      </c>
      <c r="I429">
        <v>3964.1795410043701</v>
      </c>
    </row>
    <row r="430" spans="1:9" x14ac:dyDescent="0.15">
      <c r="A430">
        <v>2009</v>
      </c>
      <c r="B430" s="96" t="e">
        <f t="shared" si="147"/>
        <v>#REF!</v>
      </c>
      <c r="C430" s="31">
        <v>415.07588490000001</v>
      </c>
      <c r="D430" s="27"/>
      <c r="E430" s="27" t="e">
        <f>#REF!</f>
        <v>#REF!</v>
      </c>
      <c r="F430" s="27">
        <v>415.07588488092148</v>
      </c>
      <c r="H430">
        <v>0.12001939853267761</v>
      </c>
      <c r="I430">
        <v>3453.62086982552</v>
      </c>
    </row>
    <row r="431" spans="1:9" x14ac:dyDescent="0.15">
      <c r="A431">
        <v>2010</v>
      </c>
      <c r="B431" s="96" t="e">
        <f t="shared" si="147"/>
        <v>#REF!</v>
      </c>
      <c r="C431" s="31">
        <v>707.02709560000005</v>
      </c>
      <c r="D431" s="27"/>
      <c r="E431" s="27" t="e">
        <f>#REF!</f>
        <v>#REF!</v>
      </c>
      <c r="F431" s="27">
        <v>707.02709558500158</v>
      </c>
      <c r="H431">
        <v>0.13100362115493727</v>
      </c>
      <c r="I431">
        <v>5417.3255726338502</v>
      </c>
    </row>
    <row r="432" spans="1:9" x14ac:dyDescent="0.15">
      <c r="A432">
        <v>2011</v>
      </c>
      <c r="B432" s="96" t="e">
        <f t="shared" si="147"/>
        <v>#REF!</v>
      </c>
      <c r="C432" s="31">
        <v>452.59352639999997</v>
      </c>
      <c r="D432" s="27"/>
      <c r="E432" s="27" t="e">
        <f>#REF!</f>
        <v>#REF!</v>
      </c>
      <c r="F432" s="27">
        <v>452.59352642055427</v>
      </c>
      <c r="H432">
        <v>9.3423308142933092E-2</v>
      </c>
      <c r="I432">
        <v>4843.9981231591719</v>
      </c>
    </row>
    <row r="433" spans="1:36" x14ac:dyDescent="0.15">
      <c r="A433">
        <v>2012</v>
      </c>
      <c r="B433" s="96" t="e">
        <f>E433</f>
        <v>#REF!</v>
      </c>
      <c r="C433" s="31">
        <v>610.80090210000003</v>
      </c>
      <c r="D433" s="27"/>
      <c r="E433" s="27" t="e">
        <f>#REF!</f>
        <v>#REF!</v>
      </c>
      <c r="F433" s="27">
        <v>610.80090206617569</v>
      </c>
      <c r="H433">
        <v>9.4330259008910872E-2</v>
      </c>
    </row>
    <row r="434" spans="1:36" x14ac:dyDescent="0.15">
      <c r="A434">
        <v>2013</v>
      </c>
      <c r="B434" s="96" t="e">
        <f>E434</f>
        <v>#REF!</v>
      </c>
      <c r="C434" s="31">
        <v>625.30178760000001</v>
      </c>
      <c r="D434" s="27"/>
      <c r="E434" s="27" t="e">
        <f>#REF!</f>
        <v>#REF!</v>
      </c>
      <c r="F434" s="27">
        <v>625.30178764174582</v>
      </c>
    </row>
    <row r="435" spans="1:36" x14ac:dyDescent="0.15">
      <c r="A435">
        <v>2014</v>
      </c>
      <c r="B435" s="96" t="e">
        <f>E435</f>
        <v>#REF!</v>
      </c>
      <c r="C435" s="31">
        <v>792.41687979999995</v>
      </c>
      <c r="D435" s="27"/>
      <c r="E435" s="27" t="e">
        <f>#REF!</f>
        <v>#REF!</v>
      </c>
      <c r="F435" s="27">
        <v>792.41687975967238</v>
      </c>
    </row>
    <row r="436" spans="1:36" x14ac:dyDescent="0.15">
      <c r="A436">
        <v>2015</v>
      </c>
      <c r="B436" s="96"/>
      <c r="C436" s="31">
        <v>705.3779581</v>
      </c>
      <c r="F436">
        <v>705.37795814309584</v>
      </c>
    </row>
    <row r="437" spans="1:36" x14ac:dyDescent="0.15">
      <c r="B437" s="96"/>
      <c r="C437" s="31">
        <v>700</v>
      </c>
    </row>
    <row r="438" spans="1:36" x14ac:dyDescent="0.15">
      <c r="D438" t="s">
        <v>519</v>
      </c>
      <c r="E438" t="e">
        <v>#REF!</v>
      </c>
      <c r="F438" t="e">
        <v>#REF!</v>
      </c>
      <c r="G438" t="e">
        <v>#REF!</v>
      </c>
      <c r="H438" t="e">
        <v>#REF!</v>
      </c>
      <c r="I438" t="e">
        <v>#REF!</v>
      </c>
    </row>
    <row r="439" spans="1:36" x14ac:dyDescent="0.15">
      <c r="D439" t="e">
        <f>#REF!</f>
        <v>#REF!</v>
      </c>
      <c r="E439" t="e">
        <f>#REF!</f>
        <v>#REF!</v>
      </c>
      <c r="F439" t="e">
        <f>#REF!</f>
        <v>#REF!</v>
      </c>
      <c r="G439" t="e">
        <f>#REF!</f>
        <v>#REF!</v>
      </c>
      <c r="H439" t="e">
        <f>#REF!</f>
        <v>#REF!</v>
      </c>
      <c r="I439" t="e">
        <f>#REF!</f>
        <v>#REF!</v>
      </c>
      <c r="J439" t="e">
        <f>#REF!</f>
        <v>#REF!</v>
      </c>
      <c r="K439" t="e">
        <f>#REF!</f>
        <v>#REF!</v>
      </c>
      <c r="L439" t="e">
        <f>#REF!</f>
        <v>#REF!</v>
      </c>
      <c r="M439" t="e">
        <f>#REF!</f>
        <v>#REF!</v>
      </c>
      <c r="N439" t="e">
        <f>#REF!</f>
        <v>#REF!</v>
      </c>
      <c r="O439" t="e">
        <f>#REF!</f>
        <v>#REF!</v>
      </c>
      <c r="P439" t="e">
        <f>#REF!</f>
        <v>#REF!</v>
      </c>
      <c r="Q439" t="e">
        <f>#REF!</f>
        <v>#REF!</v>
      </c>
      <c r="R439" t="e">
        <f>#REF!</f>
        <v>#REF!</v>
      </c>
      <c r="S439" t="e">
        <f>#REF!</f>
        <v>#REF!</v>
      </c>
      <c r="T439" t="e">
        <f>#REF!</f>
        <v>#REF!</v>
      </c>
      <c r="U439" t="e">
        <f>#REF!</f>
        <v>#REF!</v>
      </c>
      <c r="V439" t="e">
        <f>#REF!</f>
        <v>#REF!</v>
      </c>
      <c r="W439" t="e">
        <f>#REF!</f>
        <v>#REF!</v>
      </c>
      <c r="X439" t="e">
        <f>#REF!</f>
        <v>#REF!</v>
      </c>
      <c r="Y439" t="e">
        <f>#REF!</f>
        <v>#REF!</v>
      </c>
      <c r="Z439" t="e">
        <f>#REF!</f>
        <v>#REF!</v>
      </c>
      <c r="AA439" t="e">
        <f>#REF!</f>
        <v>#REF!</v>
      </c>
      <c r="AB439" t="e">
        <f>#REF!</f>
        <v>#REF!</v>
      </c>
      <c r="AC439" t="e">
        <f>#REF!</f>
        <v>#REF!</v>
      </c>
      <c r="AD439" t="e">
        <f>#REF!</f>
        <v>#REF!</v>
      </c>
      <c r="AE439" t="e">
        <f>#REF!</f>
        <v>#REF!</v>
      </c>
      <c r="AF439" t="e">
        <f>#REF!</f>
        <v>#REF!</v>
      </c>
      <c r="AG439" t="e">
        <f>#REF!</f>
        <v>#REF!</v>
      </c>
      <c r="AH439" t="e">
        <f>#REF!</f>
        <v>#REF!</v>
      </c>
      <c r="AI439" t="e">
        <f>#REF!</f>
        <v>#REF!</v>
      </c>
      <c r="AJ439" t="e">
        <f>#REF!</f>
        <v>#REF!</v>
      </c>
    </row>
    <row r="440" spans="1:36" x14ac:dyDescent="0.15">
      <c r="D440" t="e">
        <v>#REF!</v>
      </c>
      <c r="E440" t="e">
        <v>#REF!</v>
      </c>
      <c r="F440" t="e">
        <v>#REF!</v>
      </c>
      <c r="G440" t="e">
        <v>#REF!</v>
      </c>
      <c r="H440" t="e">
        <v>#REF!</v>
      </c>
      <c r="I440" t="e">
        <v>#REF!</v>
      </c>
      <c r="J440" t="e">
        <v>#REF!</v>
      </c>
      <c r="K440" t="e">
        <v>#REF!</v>
      </c>
      <c r="L440" t="e">
        <v>#REF!</v>
      </c>
      <c r="M440" t="e">
        <v>#REF!</v>
      </c>
      <c r="N440" t="e">
        <v>#REF!</v>
      </c>
      <c r="O440" t="e">
        <v>#REF!</v>
      </c>
      <c r="P440" t="e">
        <v>#REF!</v>
      </c>
      <c r="Q440" t="e">
        <v>#REF!</v>
      </c>
      <c r="R440" t="e">
        <v>#REF!</v>
      </c>
      <c r="S440" t="e">
        <v>#REF!</v>
      </c>
      <c r="T440" t="e">
        <v>#REF!</v>
      </c>
      <c r="U440" t="e">
        <v>#REF!</v>
      </c>
      <c r="V440" t="e">
        <v>#REF!</v>
      </c>
      <c r="W440" t="e">
        <v>#REF!</v>
      </c>
      <c r="X440" t="e">
        <v>#REF!</v>
      </c>
      <c r="Y440" t="e">
        <v>#REF!</v>
      </c>
      <c r="Z440" t="e">
        <v>#REF!</v>
      </c>
      <c r="AA440" t="e">
        <v>#REF!</v>
      </c>
      <c r="AB440" t="e">
        <v>#REF!</v>
      </c>
      <c r="AC440" t="e">
        <v>#REF!</v>
      </c>
      <c r="AD440" t="e">
        <v>#REF!</v>
      </c>
      <c r="AE440" t="e">
        <v>#REF!</v>
      </c>
      <c r="AF440" t="e">
        <v>#REF!</v>
      </c>
      <c r="AG440" t="e">
        <v>#REF!</v>
      </c>
    </row>
    <row r="442" spans="1:36" x14ac:dyDescent="0.15">
      <c r="E442">
        <v>1</v>
      </c>
      <c r="F442">
        <v>2</v>
      </c>
      <c r="G442">
        <v>3</v>
      </c>
      <c r="H442">
        <v>4</v>
      </c>
      <c r="I442">
        <v>5</v>
      </c>
      <c r="J442">
        <v>6</v>
      </c>
      <c r="K442">
        <v>7</v>
      </c>
      <c r="L442">
        <v>8</v>
      </c>
      <c r="M442">
        <v>9</v>
      </c>
      <c r="N442">
        <v>10</v>
      </c>
      <c r="O442">
        <v>11</v>
      </c>
      <c r="P442">
        <v>12</v>
      </c>
      <c r="Q442">
        <v>13</v>
      </c>
      <c r="R442">
        <v>14</v>
      </c>
      <c r="S442">
        <v>15</v>
      </c>
    </row>
    <row r="443" spans="1:36" x14ac:dyDescent="0.15">
      <c r="E443" s="27">
        <f>E444</f>
        <v>42146.6</v>
      </c>
      <c r="F443" s="27">
        <f t="shared" ref="F443:S443" si="148">F444</f>
        <v>4662.33</v>
      </c>
      <c r="G443" s="27">
        <f>G444</f>
        <v>1149.6199999999999</v>
      </c>
      <c r="H443" s="27">
        <f t="shared" si="148"/>
        <v>780.01599999999996</v>
      </c>
      <c r="I443" s="27">
        <f t="shared" si="148"/>
        <v>1390.33</v>
      </c>
      <c r="J443" s="27">
        <f t="shared" si="148"/>
        <v>1402.66</v>
      </c>
      <c r="K443" s="27">
        <f t="shared" si="148"/>
        <v>1630.33</v>
      </c>
      <c r="L443" s="27">
        <f t="shared" si="148"/>
        <v>542.28399999999999</v>
      </c>
      <c r="M443" s="27">
        <f t="shared" si="148"/>
        <v>192.26400000000001</v>
      </c>
      <c r="N443" s="27">
        <f t="shared" si="148"/>
        <v>91.509799999999998</v>
      </c>
      <c r="O443" s="27">
        <f t="shared" si="148"/>
        <v>119.952</v>
      </c>
      <c r="P443" s="27">
        <f t="shared" si="148"/>
        <v>62.351799999999997</v>
      </c>
      <c r="Q443" s="27">
        <f t="shared" si="148"/>
        <v>18.1754</v>
      </c>
      <c r="R443" s="27">
        <f t="shared" si="148"/>
        <v>18.645600000000002</v>
      </c>
      <c r="S443" s="27">
        <f t="shared" si="148"/>
        <v>78.879300000000001</v>
      </c>
    </row>
    <row r="444" spans="1:36" x14ac:dyDescent="0.15">
      <c r="B444">
        <v>2007</v>
      </c>
      <c r="C444" s="27">
        <f>SUMPRODUCT($E$452:$S$452,E444:S444)</f>
        <v>262719246.68458018</v>
      </c>
      <c r="D444" t="s">
        <v>575</v>
      </c>
      <c r="E444" s="27">
        <v>42146.6</v>
      </c>
      <c r="F444" s="27">
        <v>4662.33</v>
      </c>
      <c r="G444" s="27">
        <v>1149.6199999999999</v>
      </c>
      <c r="H444" s="27">
        <v>780.01599999999996</v>
      </c>
      <c r="I444" s="27">
        <v>1390.33</v>
      </c>
      <c r="J444" s="27">
        <v>1402.66</v>
      </c>
      <c r="K444" s="27">
        <v>1630.33</v>
      </c>
      <c r="L444" s="27">
        <v>542.28399999999999</v>
      </c>
      <c r="M444" s="27">
        <v>192.26400000000001</v>
      </c>
      <c r="N444" s="27">
        <v>91.509799999999998</v>
      </c>
      <c r="O444" s="27">
        <v>119.952</v>
      </c>
      <c r="P444" s="27">
        <v>62.351799999999997</v>
      </c>
      <c r="Q444" s="27">
        <v>18.1754</v>
      </c>
      <c r="R444" s="27">
        <v>18.645600000000002</v>
      </c>
      <c r="S444" s="27">
        <v>78.879300000000001</v>
      </c>
    </row>
    <row r="445" spans="1:36" x14ac:dyDescent="0.15">
      <c r="B445">
        <v>2008</v>
      </c>
      <c r="C445" s="27"/>
      <c r="D445" s="27">
        <v>28389.9</v>
      </c>
      <c r="E445" s="27"/>
      <c r="F445" s="27">
        <v>17134.2</v>
      </c>
      <c r="G445" s="27">
        <v>2964.12</v>
      </c>
      <c r="H445" s="27">
        <v>817.85699999999997</v>
      </c>
      <c r="I445" s="27">
        <v>486.61799999999999</v>
      </c>
      <c r="J445" s="27">
        <v>728.84900000000005</v>
      </c>
      <c r="K445" s="27">
        <v>752.36599999999999</v>
      </c>
      <c r="L445" s="27">
        <v>762.11099999999999</v>
      </c>
      <c r="M445" s="27">
        <v>256.85599999999999</v>
      </c>
      <c r="N445" s="27">
        <v>95.830699999999993</v>
      </c>
      <c r="O445" s="27">
        <v>48.9009</v>
      </c>
      <c r="P445" s="27">
        <v>66.664299999999997</v>
      </c>
      <c r="Q445" s="27">
        <v>34.6524</v>
      </c>
      <c r="R445" s="27">
        <v>10.101100000000001</v>
      </c>
      <c r="S445" s="27">
        <v>54.2</v>
      </c>
    </row>
    <row r="446" spans="1:36" x14ac:dyDescent="0.15">
      <c r="C446" s="27"/>
      <c r="E446" s="27">
        <f>pm.rep!B106</f>
        <v>26390.5</v>
      </c>
      <c r="F446" s="27">
        <f>pm.rep!C106</f>
        <v>4963.0200000000004</v>
      </c>
      <c r="G446" s="27">
        <f>pm.rep!D106</f>
        <v>1248.8900000000001</v>
      </c>
      <c r="H446" s="27">
        <f>pm.rep!E106</f>
        <v>1216.02</v>
      </c>
      <c r="I446" s="27">
        <f>pm.rep!F106</f>
        <v>1792.36</v>
      </c>
      <c r="J446" s="27">
        <f>pm.rep!G106</f>
        <v>1691.93</v>
      </c>
      <c r="K446" s="27">
        <f>pm.rep!H106</f>
        <v>1190.48</v>
      </c>
      <c r="L446" s="27">
        <f>pm.rep!I106</f>
        <v>568.45500000000004</v>
      </c>
      <c r="M446" s="27">
        <f>pm.rep!J106</f>
        <v>217.92400000000001</v>
      </c>
      <c r="N446" s="27">
        <f>pm.rep!K106</f>
        <v>108.28700000000001</v>
      </c>
      <c r="O446" s="27">
        <f>pm.rep!L106</f>
        <v>107.93300000000001</v>
      </c>
      <c r="P446" s="27">
        <f>pm.rep!M106</f>
        <v>52.973700000000001</v>
      </c>
      <c r="Q446" s="27">
        <f>pm.rep!N106</f>
        <v>19.415199999999999</v>
      </c>
      <c r="R446" s="27">
        <f>pm.rep!O106</f>
        <v>18.7746</v>
      </c>
      <c r="S446" s="27">
        <f>pm.rep!P106</f>
        <v>51.3889</v>
      </c>
    </row>
    <row r="447" spans="1:36" x14ac:dyDescent="0.15">
      <c r="C447" s="27"/>
      <c r="E447" s="27">
        <f>pm.rep!B107</f>
        <v>14622.4</v>
      </c>
      <c r="F447" s="27">
        <f>pm.rep!C107</f>
        <v>10729.2</v>
      </c>
      <c r="G447" s="27">
        <f>pm.rep!D107</f>
        <v>3154.19</v>
      </c>
      <c r="H447" s="27">
        <f>pm.rep!E107</f>
        <v>884.49300000000005</v>
      </c>
      <c r="I447" s="27">
        <f>pm.rep!F107</f>
        <v>794.95799999999997</v>
      </c>
      <c r="J447" s="27">
        <f>pm.rep!G107</f>
        <v>1014.28</v>
      </c>
      <c r="K447" s="27">
        <f>pm.rep!H107</f>
        <v>830.99199999999996</v>
      </c>
      <c r="L447" s="27">
        <f>pm.rep!I107</f>
        <v>611.24099999999999</v>
      </c>
      <c r="M447" s="27">
        <f>pm.rep!J107</f>
        <v>302.29700000000003</v>
      </c>
      <c r="N447" s="27">
        <f>pm.rep!K107</f>
        <v>118.393</v>
      </c>
      <c r="O447" s="27">
        <f>pm.rep!L107</f>
        <v>60.015099999999997</v>
      </c>
      <c r="P447" s="27">
        <f>pm.rep!M107</f>
        <v>59.819099999999999</v>
      </c>
      <c r="Q447" s="27">
        <f>pm.rep!N107</f>
        <v>29.359200000000001</v>
      </c>
      <c r="R447" s="27">
        <f>pm.rep!O107</f>
        <v>10.760400000000001</v>
      </c>
      <c r="S447" s="27">
        <f>pm.rep!P107</f>
        <v>38.886200000000002</v>
      </c>
    </row>
    <row r="448" spans="1:36" x14ac:dyDescent="0.15">
      <c r="B448" s="23">
        <f>(C448-C444)/C444</f>
        <v>-0.2737715914525391</v>
      </c>
      <c r="C448" s="27">
        <f>SUMPRODUCT($E$452:$S$452,E448:S448)</f>
        <v>190794180.41453046</v>
      </c>
      <c r="D448" t="str">
        <f>"Current "&amp;pm.rep!A4</f>
        <v>Current Model_16.1</v>
      </c>
      <c r="E448" s="27">
        <f>pm.rep!B106</f>
        <v>26390.5</v>
      </c>
      <c r="F448" s="27">
        <f>pm.rep!C106</f>
        <v>4963.0200000000004</v>
      </c>
      <c r="G448" s="27">
        <f>pm.rep!D106</f>
        <v>1248.8900000000001</v>
      </c>
      <c r="H448" s="27">
        <f>pm.rep!E106</f>
        <v>1216.02</v>
      </c>
      <c r="I448" s="27">
        <f>pm.rep!F106</f>
        <v>1792.36</v>
      </c>
      <c r="J448" s="27">
        <f>pm.rep!G106</f>
        <v>1691.93</v>
      </c>
      <c r="K448" s="27">
        <f>pm.rep!H106</f>
        <v>1190.48</v>
      </c>
      <c r="L448" s="27">
        <f>pm.rep!I106</f>
        <v>568.45500000000004</v>
      </c>
      <c r="M448" s="27">
        <f>pm.rep!J106</f>
        <v>217.92400000000001</v>
      </c>
      <c r="N448" s="27">
        <f>pm.rep!K106</f>
        <v>108.28700000000001</v>
      </c>
      <c r="O448" s="27">
        <f>pm.rep!L106</f>
        <v>107.93300000000001</v>
      </c>
      <c r="P448" s="27">
        <f>pm.rep!M106</f>
        <v>52.973700000000001</v>
      </c>
      <c r="Q448" s="27">
        <f>pm.rep!N106</f>
        <v>19.415199999999999</v>
      </c>
      <c r="R448" s="27">
        <f>pm.rep!O106</f>
        <v>18.7746</v>
      </c>
      <c r="S448" s="27">
        <f>pm.rep!P106</f>
        <v>51.3889</v>
      </c>
    </row>
    <row r="449" spans="2:20" x14ac:dyDescent="0.15">
      <c r="B449" s="23">
        <f>(C449-C448)/C448</f>
        <v>0</v>
      </c>
      <c r="C449" s="27">
        <f>SUMPRODUCT($E$452:$S$452,E449:S449)</f>
        <v>190794180.41453046</v>
      </c>
      <c r="D449" t="s">
        <v>526</v>
      </c>
      <c r="E449" s="27">
        <f>pm.rep!B106</f>
        <v>26390.5</v>
      </c>
      <c r="F449" s="27">
        <f>pm.rep!C106</f>
        <v>4963.0200000000004</v>
      </c>
      <c r="G449" s="27">
        <f>pm.rep!D106</f>
        <v>1248.8900000000001</v>
      </c>
      <c r="H449" s="27">
        <f>pm.rep!E106</f>
        <v>1216.02</v>
      </c>
      <c r="I449" s="27">
        <f>pm.rep!F106</f>
        <v>1792.36</v>
      </c>
      <c r="J449" s="27">
        <f>pm.rep!G106</f>
        <v>1691.93</v>
      </c>
      <c r="K449" s="27">
        <f>pm.rep!H106</f>
        <v>1190.48</v>
      </c>
      <c r="L449" s="27">
        <f>pm.rep!I106</f>
        <v>568.45500000000004</v>
      </c>
      <c r="M449" s="27">
        <f>pm.rep!J106</f>
        <v>217.92400000000001</v>
      </c>
      <c r="N449" s="27">
        <f>pm.rep!K106</f>
        <v>108.28700000000001</v>
      </c>
      <c r="O449" s="27">
        <f>pm.rep!L106</f>
        <v>107.93300000000001</v>
      </c>
      <c r="P449" s="27">
        <f>pm.rep!M106</f>
        <v>52.973700000000001</v>
      </c>
      <c r="Q449" s="27">
        <f>pm.rep!N106</f>
        <v>19.415199999999999</v>
      </c>
      <c r="R449" s="27">
        <f>pm.rep!O106</f>
        <v>18.7746</v>
      </c>
      <c r="S449" s="27">
        <f>pm.rep!P106</f>
        <v>51.3889</v>
      </c>
    </row>
    <row r="450" spans="2:20" x14ac:dyDescent="0.15">
      <c r="B450" s="23"/>
      <c r="C450" s="27">
        <f>SUMPRODUCT(E452:S452,E450:S450)</f>
        <v>243631481.01148868</v>
      </c>
      <c r="D450" t="s">
        <v>527</v>
      </c>
      <c r="E450" s="27">
        <f>AVERAGE(pm.rep!B63:B106)</f>
        <v>21985.925227272728</v>
      </c>
      <c r="F450" s="27">
        <f>E449*pm.rep!B52</f>
        <v>10729.163337</v>
      </c>
      <c r="G450" s="27">
        <f>F449*pm.rep!C52</f>
        <v>3154.1927677799999</v>
      </c>
      <c r="H450" s="27">
        <f>G449*pm.rep!D52</f>
        <v>884.49387136000007</v>
      </c>
      <c r="I450" s="27">
        <f>H449*pm.rep!E52</f>
        <v>794.95969877999994</v>
      </c>
      <c r="J450" s="27">
        <f>I449*pm.rep!F52</f>
        <v>1014.28039276</v>
      </c>
      <c r="K450" s="27">
        <f>J449*pm.rep!G52</f>
        <v>830.99311143</v>
      </c>
      <c r="L450" s="27">
        <f>K449*pm.rep!H52</f>
        <v>611.24124168000003</v>
      </c>
      <c r="M450" s="27">
        <f>L449*pm.rep!I52</f>
        <v>302.29697908500003</v>
      </c>
      <c r="N450" s="27">
        <f>M449*pm.rep!J52</f>
        <v>118.392879024</v>
      </c>
      <c r="O450" s="27">
        <f>N449*pm.rep!K52</f>
        <v>60.015037714000002</v>
      </c>
      <c r="P450" s="27">
        <f>O449*pm.rep!L52</f>
        <v>59.818843126000004</v>
      </c>
      <c r="Q450" s="27">
        <f>P449*pm.rep!M52</f>
        <v>29.359189961399998</v>
      </c>
      <c r="R450" s="27">
        <f>Q449*pm.rep!N52</f>
        <v>10.760330974399999</v>
      </c>
      <c r="S450" s="27">
        <f>R449*pm.rep!O52+S449*pm.rep!P52</f>
        <v>38.886155297000002</v>
      </c>
      <c r="T450" s="27"/>
    </row>
    <row r="451" spans="2:20" x14ac:dyDescent="0.15">
      <c r="E451" s="27">
        <v>42146.6</v>
      </c>
      <c r="F451" s="27">
        <v>4662.33</v>
      </c>
      <c r="G451" s="27">
        <v>1149.6199999999999</v>
      </c>
      <c r="H451" s="27">
        <v>780.01599999999996</v>
      </c>
      <c r="I451" s="27">
        <v>1390.33</v>
      </c>
      <c r="J451" s="27">
        <v>1402.66</v>
      </c>
      <c r="K451" s="27">
        <v>1630.33</v>
      </c>
      <c r="L451" s="27">
        <v>542.28399999999999</v>
      </c>
      <c r="M451" s="27">
        <v>192.26400000000001</v>
      </c>
      <c r="N451" s="27">
        <v>91.509799999999998</v>
      </c>
      <c r="O451" s="27">
        <v>119.952</v>
      </c>
      <c r="P451" s="27">
        <v>62.351799999999997</v>
      </c>
      <c r="Q451" s="27">
        <v>18.1754</v>
      </c>
      <c r="R451" s="27">
        <v>18.645600000000002</v>
      </c>
      <c r="S451" s="27">
        <v>78.879300000000001</v>
      </c>
    </row>
    <row r="452" spans="2:20" x14ac:dyDescent="0.15">
      <c r="D452" t="s">
        <v>525</v>
      </c>
      <c r="E452">
        <f t="array" ref="E452:S452">Stdev!B773:P773</f>
        <v>4810.9399999999996</v>
      </c>
      <c r="F452">
        <v>12827.1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772</v>
      </c>
      <c r="N452" t="str">
        <v>endyr_N</v>
      </c>
      <c r="O452">
        <v>13.000999999999999</v>
      </c>
      <c r="P452">
        <v>5.1711999999999998</v>
      </c>
      <c r="Q452">
        <v>0</v>
      </c>
      <c r="R452">
        <v>0</v>
      </c>
      <c r="S452">
        <v>0</v>
      </c>
    </row>
    <row r="453" spans="2:20" x14ac:dyDescent="0.15">
      <c r="C453" s="27">
        <f>SUMPRODUCT(E453:S453,E443:S443)</f>
        <v>6434.1389542270017</v>
      </c>
      <c r="D453" t="s">
        <v>523</v>
      </c>
      <c r="E453" s="31">
        <v>6.6E-3</v>
      </c>
      <c r="F453" s="31">
        <v>0.17</v>
      </c>
      <c r="G453" s="31">
        <v>0.35327199999999997</v>
      </c>
      <c r="H453" s="31">
        <v>0.51214000000000004</v>
      </c>
      <c r="I453" s="31">
        <v>0.62741800000000003</v>
      </c>
      <c r="J453" s="31">
        <v>0.75448599999999999</v>
      </c>
      <c r="K453" s="31">
        <v>0.87458100000000005</v>
      </c>
      <c r="L453" s="31">
        <v>0.94472999999999996</v>
      </c>
      <c r="M453" s="31">
        <v>1.0483100000000001</v>
      </c>
      <c r="N453" s="31">
        <v>1.14672</v>
      </c>
      <c r="O453" s="31">
        <v>1.2195499999999999</v>
      </c>
      <c r="P453" s="31">
        <v>1.2719499999999999</v>
      </c>
      <c r="Q453" s="31">
        <v>1.3344800000000001</v>
      </c>
      <c r="R453" s="31">
        <v>1.2822800000000001</v>
      </c>
      <c r="S453" s="31">
        <v>1.3786700000000001</v>
      </c>
    </row>
    <row r="454" spans="2:20" ht="14" x14ac:dyDescent="0.15">
      <c r="B454" s="100">
        <v>1257</v>
      </c>
      <c r="C454" s="27">
        <f>SUMPRODUCT(E454:S454,E444:S444)</f>
        <v>6570.8556814975991</v>
      </c>
      <c r="D454" t="s">
        <v>521</v>
      </c>
      <c r="E454">
        <v>6.6E-3</v>
      </c>
      <c r="F454">
        <v>0.17</v>
      </c>
      <c r="G454">
        <v>0.4134428</v>
      </c>
      <c r="H454">
        <v>0.54562082199999995</v>
      </c>
      <c r="I454">
        <v>0.64290568699999995</v>
      </c>
      <c r="J454">
        <v>0.75877252100000003</v>
      </c>
      <c r="K454">
        <v>0.87692761900000005</v>
      </c>
      <c r="L454">
        <v>0.94291314999999998</v>
      </c>
      <c r="M454">
        <v>1.05809098</v>
      </c>
      <c r="N454">
        <v>1.1778018159999999</v>
      </c>
      <c r="O454">
        <v>1.2178144799999999</v>
      </c>
      <c r="P454">
        <v>1.2412216869999999</v>
      </c>
      <c r="Q454">
        <v>1.377605524</v>
      </c>
      <c r="R454">
        <v>1.2694664499999999</v>
      </c>
      <c r="S454">
        <v>1.478771922</v>
      </c>
    </row>
    <row r="455" spans="2:20" x14ac:dyDescent="0.15">
      <c r="B455" s="27">
        <f>Tables!A58</f>
        <v>2929.07</v>
      </c>
      <c r="C455" s="27">
        <f>SUMPRODUCT(E453:S453,E448:S448)</f>
        <v>6733.6333462620005</v>
      </c>
      <c r="D455" t="s">
        <v>522</v>
      </c>
      <c r="E455" t="e">
        <v>#REF!</v>
      </c>
      <c r="F455" t="e">
        <v>#REF!</v>
      </c>
      <c r="G455" t="e">
        <v>#REF!</v>
      </c>
      <c r="H455" t="e">
        <v>#REF!</v>
      </c>
      <c r="I455" t="e">
        <v>#REF!</v>
      </c>
      <c r="J455" t="e">
        <v>#REF!</v>
      </c>
      <c r="K455" t="e">
        <v>#REF!</v>
      </c>
      <c r="L455" t="e">
        <v>#REF!</v>
      </c>
      <c r="M455" t="e">
        <v>#REF!</v>
      </c>
      <c r="N455" t="e">
        <v>#REF!</v>
      </c>
      <c r="O455" t="e">
        <v>#REF!</v>
      </c>
      <c r="P455" t="e">
        <v>#REF!</v>
      </c>
      <c r="Q455" t="e">
        <v>#REF!</v>
      </c>
      <c r="R455" t="e">
        <v>#REF!</v>
      </c>
      <c r="S455" t="e">
        <v>#REF!</v>
      </c>
    </row>
    <row r="456" spans="2:20" x14ac:dyDescent="0.15">
      <c r="B456" s="23">
        <f>(B455-B454)/B454</f>
        <v>1.3302068416865553</v>
      </c>
      <c r="C456" s="23">
        <f>(C455-C454)/C454</f>
        <v>2.4772673857798355E-2</v>
      </c>
      <c r="D456" s="23"/>
      <c r="E456" s="23" t="e">
        <f t="shared" ref="E456:S456" si="149">(E455-E454)/E454</f>
        <v>#REF!</v>
      </c>
      <c r="F456" s="23" t="e">
        <f t="shared" si="149"/>
        <v>#REF!</v>
      </c>
      <c r="G456" s="23" t="e">
        <f t="shared" si="149"/>
        <v>#REF!</v>
      </c>
      <c r="H456" s="23" t="e">
        <f t="shared" si="149"/>
        <v>#REF!</v>
      </c>
      <c r="I456" s="23" t="e">
        <f t="shared" si="149"/>
        <v>#REF!</v>
      </c>
      <c r="J456" s="23" t="e">
        <f t="shared" si="149"/>
        <v>#REF!</v>
      </c>
      <c r="K456" s="23" t="e">
        <f t="shared" si="149"/>
        <v>#REF!</v>
      </c>
      <c r="L456" s="23" t="e">
        <f t="shared" si="149"/>
        <v>#REF!</v>
      </c>
      <c r="M456" s="23" t="e">
        <f t="shared" si="149"/>
        <v>#REF!</v>
      </c>
      <c r="N456" s="23" t="e">
        <f t="shared" si="149"/>
        <v>#REF!</v>
      </c>
      <c r="O456" s="23" t="e">
        <f t="shared" si="149"/>
        <v>#REF!</v>
      </c>
      <c r="P456" s="23" t="e">
        <f t="shared" si="149"/>
        <v>#REF!</v>
      </c>
      <c r="Q456" s="23" t="e">
        <f t="shared" si="149"/>
        <v>#REF!</v>
      </c>
      <c r="R456" s="23" t="e">
        <f t="shared" si="149"/>
        <v>#REF!</v>
      </c>
      <c r="S456" s="23" t="e">
        <f t="shared" si="149"/>
        <v>#REF!</v>
      </c>
    </row>
    <row r="459" spans="2:20" x14ac:dyDescent="0.15">
      <c r="E459">
        <f>SUMPRODUCT(E461:S461,E464:S464)/SUM(E461:S461)</f>
        <v>0.17379938528498287</v>
      </c>
      <c r="F459">
        <f>SUMPRODUCT(F461:T461,F464:T464)/SUM(F461:T461)</f>
        <v>0.37631781941607456</v>
      </c>
      <c r="G459">
        <f>SUMPRODUCT(G461:U461,G464:U464)/SUM(G461:U461)</f>
        <v>0.58555474722155765</v>
      </c>
    </row>
    <row r="460" spans="2:20" x14ac:dyDescent="0.15">
      <c r="C460" s="21" t="s">
        <v>592</v>
      </c>
      <c r="D460" s="21"/>
      <c r="E460">
        <v>1</v>
      </c>
      <c r="F460">
        <v>2</v>
      </c>
      <c r="G460">
        <v>3</v>
      </c>
      <c r="H460">
        <v>4</v>
      </c>
      <c r="I460">
        <v>5</v>
      </c>
      <c r="J460">
        <v>6</v>
      </c>
      <c r="K460">
        <v>7</v>
      </c>
      <c r="L460">
        <v>8</v>
      </c>
      <c r="M460">
        <v>9</v>
      </c>
      <c r="N460">
        <v>10</v>
      </c>
      <c r="O460">
        <v>11</v>
      </c>
      <c r="P460">
        <v>12</v>
      </c>
      <c r="Q460">
        <v>13</v>
      </c>
      <c r="R460">
        <v>14</v>
      </c>
      <c r="S460">
        <v>15</v>
      </c>
    </row>
    <row r="461" spans="2:20" x14ac:dyDescent="0.15">
      <c r="C461" s="27">
        <f>SUM(E461:S461)</f>
        <v>50181.385100000007</v>
      </c>
      <c r="D461" s="21">
        <v>2008</v>
      </c>
      <c r="E461" s="27">
        <v>27487.599999999999</v>
      </c>
      <c r="F461" s="27">
        <v>11426.6</v>
      </c>
      <c r="G461" s="27">
        <v>5797.72</v>
      </c>
      <c r="H461" s="27">
        <v>1754.5</v>
      </c>
      <c r="I461" s="27">
        <v>691.63400000000001</v>
      </c>
      <c r="J461" s="27">
        <v>775.69200000000001</v>
      </c>
      <c r="K461" s="27">
        <v>738.10199999999998</v>
      </c>
      <c r="L461" s="27">
        <v>884.98</v>
      </c>
      <c r="M461" s="27">
        <v>303.76499999999999</v>
      </c>
      <c r="N461" s="27">
        <v>107.322</v>
      </c>
      <c r="O461" s="27">
        <v>53.223999999999997</v>
      </c>
      <c r="P461" s="27">
        <v>67.534599999999998</v>
      </c>
      <c r="Q461" s="27">
        <v>31.171900000000001</v>
      </c>
      <c r="R461" s="27">
        <v>10.122</v>
      </c>
      <c r="S461" s="27">
        <v>51.4176</v>
      </c>
    </row>
    <row r="462" spans="2:20" x14ac:dyDescent="0.15">
      <c r="C462" s="27">
        <f>SUM(E462:S462)</f>
        <v>4418.8117404165814</v>
      </c>
      <c r="E462" s="27">
        <f>E461*E463</f>
        <v>6.7793439927063179</v>
      </c>
      <c r="F462" s="27">
        <f t="shared" ref="F462:S462" si="150">F461*F463</f>
        <v>62.81467946372738</v>
      </c>
      <c r="G462" s="27">
        <f t="shared" si="150"/>
        <v>408.99530137282522</v>
      </c>
      <c r="H462" s="27">
        <f t="shared" si="150"/>
        <v>716.90182283600313</v>
      </c>
      <c r="I462" s="27">
        <f t="shared" si="150"/>
        <v>429.24825399311544</v>
      </c>
      <c r="J462" s="27">
        <f t="shared" si="150"/>
        <v>717.08000944438277</v>
      </c>
      <c r="K462" s="27">
        <f t="shared" si="150"/>
        <v>738.10199999999998</v>
      </c>
      <c r="L462" s="27">
        <f t="shared" si="150"/>
        <v>862.51246144225536</v>
      </c>
      <c r="M462" s="27">
        <f t="shared" si="150"/>
        <v>261.67991236477758</v>
      </c>
      <c r="N462" s="27">
        <f t="shared" si="150"/>
        <v>79.99771982443734</v>
      </c>
      <c r="O462" s="27">
        <f t="shared" si="150"/>
        <v>33.584494240446034</v>
      </c>
      <c r="P462" s="27">
        <f t="shared" si="150"/>
        <v>42.614523236337497</v>
      </c>
      <c r="Q462" s="27">
        <f t="shared" si="150"/>
        <v>19.669556891886362</v>
      </c>
      <c r="R462" s="27">
        <f t="shared" si="150"/>
        <v>6.3870105723319321</v>
      </c>
      <c r="S462" s="27">
        <f t="shared" si="150"/>
        <v>32.44465074134898</v>
      </c>
    </row>
    <row r="463" spans="2:20" x14ac:dyDescent="0.15">
      <c r="C463" s="11">
        <f>MAX(E463:S463)</f>
        <v>1</v>
      </c>
      <c r="D463" t="s">
        <v>37</v>
      </c>
      <c r="E463" s="11">
        <v>2.4663280871033914E-4</v>
      </c>
      <c r="F463" s="11">
        <v>5.4972327257213323E-3</v>
      </c>
      <c r="G463" s="11">
        <v>7.0544162424681631E-2</v>
      </c>
      <c r="H463" s="11">
        <v>0.40860747953035231</v>
      </c>
      <c r="I463" s="11">
        <v>0.62062919693525109</v>
      </c>
      <c r="J463" s="11">
        <v>0.92443909366653609</v>
      </c>
      <c r="K463" s="11">
        <v>1</v>
      </c>
      <c r="L463" s="11">
        <v>0.97461237705061732</v>
      </c>
      <c r="M463" s="11">
        <v>0.86145511288258225</v>
      </c>
      <c r="N463" s="11">
        <v>0.74539907777005032</v>
      </c>
      <c r="O463" s="11">
        <v>0.63100282279509312</v>
      </c>
      <c r="P463" s="11">
        <v>0.63100282279509312</v>
      </c>
      <c r="Q463" s="11">
        <v>0.63100282279509312</v>
      </c>
      <c r="R463" s="11">
        <v>0.63100282279509312</v>
      </c>
      <c r="S463" s="11">
        <v>0.63100282279509312</v>
      </c>
    </row>
    <row r="464" spans="2:20" x14ac:dyDescent="0.15">
      <c r="B464" s="21" t="s">
        <v>41</v>
      </c>
      <c r="C464" s="11"/>
      <c r="D464" t="s">
        <v>38</v>
      </c>
      <c r="E464" s="11">
        <v>6.6E-3</v>
      </c>
      <c r="F464" s="11">
        <v>0.17</v>
      </c>
      <c r="G464" s="11">
        <v>0.413443</v>
      </c>
      <c r="H464" s="11">
        <v>0.54562100000000002</v>
      </c>
      <c r="I464" s="11">
        <v>0.64290599999999998</v>
      </c>
      <c r="J464" s="11">
        <v>0.75877300000000003</v>
      </c>
      <c r="K464" s="11">
        <v>0.87692800000000004</v>
      </c>
      <c r="L464" s="11">
        <v>0.942913</v>
      </c>
      <c r="M464" s="11">
        <v>1.05809</v>
      </c>
      <c r="N464" s="11">
        <v>1.1778</v>
      </c>
      <c r="O464" s="11">
        <v>1.2178100000000001</v>
      </c>
      <c r="P464" s="11">
        <v>1.24122</v>
      </c>
      <c r="Q464" s="11">
        <v>1.37761</v>
      </c>
      <c r="R464" s="11">
        <v>1.2694700000000001</v>
      </c>
      <c r="S464" s="11">
        <v>1.4787699999999999</v>
      </c>
    </row>
    <row r="465" spans="2:21" x14ac:dyDescent="0.15">
      <c r="B465">
        <f>C461/C465</f>
        <v>5.7537602814893551</v>
      </c>
      <c r="C465" s="27">
        <f>SUM(E465:S465)</f>
        <v>8721.4938831290001</v>
      </c>
      <c r="D465" t="s">
        <v>39</v>
      </c>
      <c r="E465" s="11">
        <f t="shared" ref="E465:S465" si="151">E464*E461</f>
        <v>181.41816</v>
      </c>
      <c r="F465" s="11">
        <f t="shared" si="151"/>
        <v>1942.5220000000002</v>
      </c>
      <c r="G465" s="11">
        <f t="shared" si="151"/>
        <v>2397.02674996</v>
      </c>
      <c r="H465" s="11">
        <f t="shared" si="151"/>
        <v>957.29204450000009</v>
      </c>
      <c r="I465" s="11">
        <f t="shared" si="151"/>
        <v>444.65564840399998</v>
      </c>
      <c r="J465" s="11">
        <f t="shared" si="151"/>
        <v>588.57414591600002</v>
      </c>
      <c r="K465" s="11">
        <f t="shared" si="151"/>
        <v>647.26231065599995</v>
      </c>
      <c r="L465" s="11">
        <f t="shared" si="151"/>
        <v>834.45914674000005</v>
      </c>
      <c r="M465" s="11">
        <f t="shared" si="151"/>
        <v>321.41070884999999</v>
      </c>
      <c r="N465" s="11">
        <f t="shared" si="151"/>
        <v>126.4038516</v>
      </c>
      <c r="O465" s="11">
        <f t="shared" si="151"/>
        <v>64.81671944</v>
      </c>
      <c r="P465" s="11">
        <f t="shared" si="151"/>
        <v>83.825296211999998</v>
      </c>
      <c r="Q465" s="11">
        <f t="shared" si="151"/>
        <v>42.942721159000001</v>
      </c>
      <c r="R465" s="11">
        <f t="shared" si="151"/>
        <v>12.849575340000001</v>
      </c>
      <c r="S465" s="11">
        <f t="shared" si="151"/>
        <v>76.034804351999995</v>
      </c>
    </row>
    <row r="466" spans="2:21" x14ac:dyDescent="0.15">
      <c r="B466">
        <f>C462/C466</f>
        <v>1.2997808946881284</v>
      </c>
      <c r="C466" s="27">
        <f>SUM(E466:S466)</f>
        <v>3399.6589413455245</v>
      </c>
      <c r="D466" t="s">
        <v>40</v>
      </c>
      <c r="E466">
        <f>E465*E463</f>
        <v>4.4743670351861699E-2</v>
      </c>
      <c r="F466">
        <f t="shared" ref="F466:S466" si="152">F465*F463</f>
        <v>10.678495508833654</v>
      </c>
      <c r="G466">
        <f t="shared" si="152"/>
        <v>169.09624438548497</v>
      </c>
      <c r="H466">
        <f t="shared" si="152"/>
        <v>391.15668947760292</v>
      </c>
      <c r="I466">
        <f t="shared" si="152"/>
        <v>275.96627798169789</v>
      </c>
      <c r="J466">
        <f t="shared" si="152"/>
        <v>544.10095000614263</v>
      </c>
      <c r="K466">
        <f t="shared" si="152"/>
        <v>647.26231065599995</v>
      </c>
      <c r="L466">
        <f t="shared" si="152"/>
        <v>813.27421255590139</v>
      </c>
      <c r="M466">
        <f t="shared" si="152"/>
        <v>276.88089847404751</v>
      </c>
      <c r="N466">
        <f t="shared" si="152"/>
        <v>94.221314409222302</v>
      </c>
      <c r="O466">
        <f t="shared" si="152"/>
        <v>40.899532930957591</v>
      </c>
      <c r="P466">
        <f t="shared" si="152"/>
        <v>52.893998531406822</v>
      </c>
      <c r="Q466">
        <f t="shared" si="152"/>
        <v>27.096978269831574</v>
      </c>
      <c r="R466">
        <f t="shared" si="152"/>
        <v>8.1081183112582185</v>
      </c>
      <c r="S466">
        <f t="shared" si="152"/>
        <v>47.978176176784629</v>
      </c>
    </row>
    <row r="467" spans="2:21" x14ac:dyDescent="0.15">
      <c r="C467" s="11"/>
      <c r="D467" t="s">
        <v>42</v>
      </c>
      <c r="E467" s="27"/>
      <c r="F467" s="27"/>
      <c r="G467" s="27">
        <f>G461</f>
        <v>5797.72</v>
      </c>
      <c r="H467" s="27">
        <f t="shared" ref="H467:S467" si="153">H461</f>
        <v>1754.5</v>
      </c>
      <c r="I467" s="27">
        <f t="shared" si="153"/>
        <v>691.63400000000001</v>
      </c>
      <c r="J467" s="27">
        <f t="shared" si="153"/>
        <v>775.69200000000001</v>
      </c>
      <c r="K467" s="27">
        <f t="shared" si="153"/>
        <v>738.10199999999998</v>
      </c>
      <c r="L467" s="27">
        <f t="shared" si="153"/>
        <v>884.98</v>
      </c>
      <c r="M467" s="27">
        <f t="shared" si="153"/>
        <v>303.76499999999999</v>
      </c>
      <c r="N467" s="27">
        <f t="shared" si="153"/>
        <v>107.322</v>
      </c>
      <c r="O467" s="27">
        <f t="shared" si="153"/>
        <v>53.223999999999997</v>
      </c>
      <c r="P467" s="27">
        <f t="shared" si="153"/>
        <v>67.534599999999998</v>
      </c>
      <c r="Q467" s="27">
        <f t="shared" si="153"/>
        <v>31.171900000000001</v>
      </c>
      <c r="R467" s="27">
        <f t="shared" si="153"/>
        <v>10.122</v>
      </c>
      <c r="S467" s="27">
        <f t="shared" si="153"/>
        <v>51.4176</v>
      </c>
    </row>
    <row r="468" spans="2:21" x14ac:dyDescent="0.15">
      <c r="C468" s="11"/>
      <c r="E468" s="27" t="s">
        <v>533</v>
      </c>
      <c r="F468" s="27" t="s">
        <v>538</v>
      </c>
      <c r="G468" s="27">
        <f>G465</f>
        <v>2397.02674996</v>
      </c>
      <c r="H468" s="27">
        <f>G468+H465</f>
        <v>3354.3187944599999</v>
      </c>
      <c r="I468" s="27">
        <f t="shared" ref="I468:S468" si="154">H468+I465</f>
        <v>3798.9744428639997</v>
      </c>
      <c r="J468" s="27">
        <f t="shared" si="154"/>
        <v>4387.5485887799996</v>
      </c>
      <c r="K468" s="27">
        <f t="shared" si="154"/>
        <v>5034.8108994359991</v>
      </c>
      <c r="L468" s="27">
        <f t="shared" si="154"/>
        <v>5869.2700461759996</v>
      </c>
      <c r="M468" s="27">
        <f t="shared" si="154"/>
        <v>6190.680755026</v>
      </c>
      <c r="N468" s="27">
        <f t="shared" si="154"/>
        <v>6317.0846066260001</v>
      </c>
      <c r="O468" s="27">
        <f t="shared" si="154"/>
        <v>6381.9013260660004</v>
      </c>
      <c r="P468" s="27">
        <f t="shared" si="154"/>
        <v>6465.7266222779999</v>
      </c>
      <c r="Q468" s="27">
        <f t="shared" si="154"/>
        <v>6508.669343437</v>
      </c>
      <c r="R468" s="27">
        <f t="shared" si="154"/>
        <v>6521.5189187770002</v>
      </c>
      <c r="S468" s="27">
        <f t="shared" si="154"/>
        <v>6597.553723129</v>
      </c>
      <c r="U468" s="23" t="e">
        <f>S481/S468</f>
        <v>#VALUE!</v>
      </c>
    </row>
    <row r="469" spans="2:21" x14ac:dyDescent="0.15">
      <c r="C469" s="11"/>
      <c r="E469" s="27"/>
      <c r="F469" s="27" t="s">
        <v>531</v>
      </c>
      <c r="G469" s="27">
        <f>G461*G477</f>
        <v>0</v>
      </c>
      <c r="H469" s="27">
        <f>H461*H477+G469</f>
        <v>0</v>
      </c>
      <c r="I469" s="27">
        <f t="shared" ref="I469:S469" si="155">I461*I477+H469</f>
        <v>0</v>
      </c>
      <c r="J469" s="27">
        <f t="shared" si="155"/>
        <v>0</v>
      </c>
      <c r="K469" s="27">
        <f t="shared" si="155"/>
        <v>0</v>
      </c>
      <c r="L469" s="27">
        <f t="shared" si="155"/>
        <v>0</v>
      </c>
      <c r="M469" s="27">
        <f t="shared" si="155"/>
        <v>234506.58</v>
      </c>
      <c r="N469" s="27" t="e">
        <f t="shared" si="155"/>
        <v>#VALUE!</v>
      </c>
      <c r="O469" s="27" t="e">
        <f t="shared" si="155"/>
        <v>#VALUE!</v>
      </c>
      <c r="P469" s="27" t="e">
        <f t="shared" si="155"/>
        <v>#VALUE!</v>
      </c>
      <c r="Q469" s="27" t="e">
        <f t="shared" si="155"/>
        <v>#VALUE!</v>
      </c>
      <c r="R469" s="27" t="e">
        <f t="shared" si="155"/>
        <v>#VALUE!</v>
      </c>
      <c r="S469" s="27" t="e">
        <f t="shared" si="155"/>
        <v>#VALUE!</v>
      </c>
    </row>
    <row r="470" spans="2:21" x14ac:dyDescent="0.15">
      <c r="C470" s="11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</row>
    <row r="471" spans="2:21" x14ac:dyDescent="0.15">
      <c r="C471" s="11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</row>
    <row r="472" spans="2:21" x14ac:dyDescent="0.15">
      <c r="C472" s="11"/>
      <c r="D472" t="s">
        <v>530</v>
      </c>
      <c r="E472">
        <f>SUMPRODUCT(E474:S474,E477:S477)/SUM(E474:S474)</f>
        <v>3623.7083719304592</v>
      </c>
      <c r="F472">
        <f>SUMPRODUCT(F474:T474,F477:T477)/SUM(F474:T474)</f>
        <v>2953.1020805210615</v>
      </c>
      <c r="G472">
        <f>SUMPRODUCT(G474:U474,G477:U477)/SUM(G474:U474)</f>
        <v>32.26572678335841</v>
      </c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</row>
    <row r="473" spans="2:21" x14ac:dyDescent="0.15">
      <c r="C473" s="21" t="s">
        <v>36</v>
      </c>
      <c r="E473">
        <v>1</v>
      </c>
      <c r="F473">
        <v>2</v>
      </c>
      <c r="G473">
        <v>3</v>
      </c>
      <c r="H473">
        <v>4</v>
      </c>
      <c r="I473">
        <v>5</v>
      </c>
      <c r="J473">
        <v>6</v>
      </c>
      <c r="K473">
        <v>7</v>
      </c>
      <c r="L473">
        <v>8</v>
      </c>
      <c r="M473">
        <v>9</v>
      </c>
      <c r="N473">
        <v>10</v>
      </c>
      <c r="O473">
        <v>11</v>
      </c>
      <c r="P473">
        <v>12</v>
      </c>
      <c r="Q473">
        <v>13</v>
      </c>
      <c r="R473">
        <v>14</v>
      </c>
      <c r="S473">
        <v>15</v>
      </c>
    </row>
    <row r="474" spans="2:21" x14ac:dyDescent="0.15">
      <c r="C474" s="27">
        <f>SUM(E474:S474)</f>
        <v>56130.463730000003</v>
      </c>
      <c r="D474" s="21">
        <v>2008</v>
      </c>
      <c r="E474" s="27">
        <f>pm.rep!B857</f>
        <v>26543.8</v>
      </c>
      <c r="F474" s="27">
        <f>pm.rep!C857</f>
        <v>7704.57</v>
      </c>
      <c r="G474" s="27">
        <f>pm.rep!D857</f>
        <v>4705.41</v>
      </c>
      <c r="H474" s="27">
        <f>pm.rep!E857</f>
        <v>5901</v>
      </c>
      <c r="I474" s="27">
        <f>pm.rep!F857</f>
        <v>7948.58</v>
      </c>
      <c r="J474" s="27">
        <f>pm.rep!G857</f>
        <v>918.82899999999995</v>
      </c>
      <c r="K474" s="27">
        <f>pm.rep!H857</f>
        <v>640.16700000000003</v>
      </c>
      <c r="L474" s="27">
        <f>pm.rep!I857</f>
        <v>590.76099999999997</v>
      </c>
      <c r="M474" s="27">
        <f>pm.rep!J857</f>
        <v>913.03800000000001</v>
      </c>
      <c r="N474" s="27">
        <f>pm.rep!K857</f>
        <v>143.898</v>
      </c>
      <c r="O474" s="27">
        <f>pm.rep!L857</f>
        <v>82.614099999999993</v>
      </c>
      <c r="P474" s="27">
        <f>pm.rep!M857</f>
        <v>19.774100000000001</v>
      </c>
      <c r="Q474" s="27">
        <f>pm.rep!N857</f>
        <v>4.5867000000000004</v>
      </c>
      <c r="R474" s="27">
        <f>pm.rep!O857</f>
        <v>3.1293299999999999</v>
      </c>
      <c r="S474" s="27">
        <f>pm.rep!P857</f>
        <v>10.3065</v>
      </c>
    </row>
    <row r="475" spans="2:21" x14ac:dyDescent="0.15">
      <c r="C475" s="27">
        <f>SUM(E475:S475)</f>
        <v>9476.0734615143047</v>
      </c>
      <c r="E475" s="27">
        <f t="shared" ref="E475:S475" si="156">E474*E476</f>
        <v>2.5075355008027977</v>
      </c>
      <c r="F475" s="27">
        <f t="shared" si="156"/>
        <v>47.843152376617155</v>
      </c>
      <c r="G475" s="27">
        <f t="shared" si="156"/>
        <v>386.0992236905152</v>
      </c>
      <c r="H475" s="27">
        <f t="shared" si="156"/>
        <v>1625.7153557107915</v>
      </c>
      <c r="I475" s="27">
        <f t="shared" si="156"/>
        <v>4401.0286328735119</v>
      </c>
      <c r="J475" s="27">
        <f t="shared" si="156"/>
        <v>772.39132810464105</v>
      </c>
      <c r="K475" s="27">
        <f t="shared" si="156"/>
        <v>586.11074940105425</v>
      </c>
      <c r="L475" s="27">
        <f t="shared" si="156"/>
        <v>553.12301028085301</v>
      </c>
      <c r="M475" s="27">
        <f t="shared" si="156"/>
        <v>836.94574357551755</v>
      </c>
      <c r="N475" s="27">
        <f t="shared" si="156"/>
        <v>143.898</v>
      </c>
      <c r="O475" s="27">
        <f t="shared" si="156"/>
        <v>82.614099999999993</v>
      </c>
      <c r="P475" s="27">
        <f t="shared" si="156"/>
        <v>19.774100000000001</v>
      </c>
      <c r="Q475" s="27">
        <f t="shared" si="156"/>
        <v>4.5867000000000004</v>
      </c>
      <c r="R475" s="27">
        <f t="shared" si="156"/>
        <v>3.1293299999999999</v>
      </c>
      <c r="S475" s="27">
        <f t="shared" si="156"/>
        <v>10.3065</v>
      </c>
    </row>
    <row r="476" spans="2:21" x14ac:dyDescent="0.15">
      <c r="C476" s="11">
        <f>MAX(E476:S476)</f>
        <v>1</v>
      </c>
      <c r="D476" t="s">
        <v>37</v>
      </c>
      <c r="E476">
        <f>pm.rep!B853/$U$476</f>
        <v>9.4467841861481692E-5</v>
      </c>
      <c r="F476">
        <f>pm.rep!C853/$U$476</f>
        <v>6.2097109088005116E-3</v>
      </c>
      <c r="G476">
        <f>pm.rep!D853/$U$476</f>
        <v>8.2054321236728622E-2</v>
      </c>
      <c r="H476">
        <f>pm.rep!E853/$U$476</f>
        <v>0.27549828092031714</v>
      </c>
      <c r="I476">
        <f>pm.rep!F853/$U$476</f>
        <v>0.55368740490421076</v>
      </c>
      <c r="J476">
        <f>pm.rep!G853/$U$476</f>
        <v>0.84062576181709669</v>
      </c>
      <c r="K476">
        <f>pm.rep!H853/$U$476</f>
        <v>0.91555914222547274</v>
      </c>
      <c r="L476">
        <f>pm.rep!I853/$U$476</f>
        <v>0.93628897351188223</v>
      </c>
      <c r="M476">
        <f>pm.rep!J853/$U$476</f>
        <v>0.91666036197345302</v>
      </c>
      <c r="N476">
        <f>pm.rep!K853/$U$476</f>
        <v>1</v>
      </c>
      <c r="O476">
        <f>pm.rep!L853/$U$476</f>
        <v>1</v>
      </c>
      <c r="P476">
        <f>pm.rep!M853/$U$476</f>
        <v>1</v>
      </c>
      <c r="Q476">
        <f>pm.rep!N853/$U$476</f>
        <v>1</v>
      </c>
      <c r="R476">
        <f>pm.rep!O853/$U$476</f>
        <v>1</v>
      </c>
      <c r="S476">
        <f>pm.rep!P853/$U$476</f>
        <v>1</v>
      </c>
      <c r="U476">
        <f>MAX(pm.rep!B853:'pm.rep'!P853)</f>
        <v>1.1895899999999999</v>
      </c>
    </row>
    <row r="477" spans="2:21" x14ac:dyDescent="0.15">
      <c r="B477" s="21" t="s">
        <v>41</v>
      </c>
      <c r="D477" t="s">
        <v>38</v>
      </c>
      <c r="E477">
        <f>Stdev!B780</f>
        <v>4371.1899999999996</v>
      </c>
      <c r="F477">
        <f>Stdev!C780</f>
        <v>11248.7</v>
      </c>
      <c r="G477">
        <f>Stdev!D780</f>
        <v>0</v>
      </c>
      <c r="H477">
        <f>Stdev!E780</f>
        <v>0</v>
      </c>
      <c r="I477">
        <f>Stdev!F780</f>
        <v>0</v>
      </c>
      <c r="J477">
        <f>Stdev!G780</f>
        <v>0</v>
      </c>
      <c r="K477">
        <f>Stdev!H780</f>
        <v>0</v>
      </c>
      <c r="L477">
        <f>Stdev!I780</f>
        <v>0</v>
      </c>
      <c r="M477">
        <f>Stdev!J773</f>
        <v>772</v>
      </c>
      <c r="N477" t="str">
        <f>Stdev!K773</f>
        <v>endyr_N</v>
      </c>
      <c r="O477">
        <f>Stdev!L773</f>
        <v>13.000999999999999</v>
      </c>
      <c r="P477">
        <f>Stdev!M773</f>
        <v>5.1711999999999998</v>
      </c>
      <c r="Q477">
        <f>Stdev!N773</f>
        <v>0</v>
      </c>
      <c r="R477">
        <f>Stdev!O773</f>
        <v>0</v>
      </c>
      <c r="S477">
        <f>Stdev!P773</f>
        <v>0</v>
      </c>
    </row>
    <row r="478" spans="2:21" x14ac:dyDescent="0.15">
      <c r="B478" t="e">
        <f>C474/C478</f>
        <v>#VALUE!</v>
      </c>
      <c r="C478" s="27" t="e">
        <f>SUM(E478:S478)</f>
        <v>#VALUE!</v>
      </c>
      <c r="D478" t="s">
        <v>39</v>
      </c>
      <c r="E478" s="11">
        <f>E$477*E474</f>
        <v>116027993.12199998</v>
      </c>
      <c r="F478" s="11">
        <f t="shared" ref="F478:S478" si="157">F$477*F474</f>
        <v>86666396.559</v>
      </c>
      <c r="G478" s="11">
        <f t="shared" si="157"/>
        <v>0</v>
      </c>
      <c r="H478" s="11">
        <f t="shared" si="157"/>
        <v>0</v>
      </c>
      <c r="I478" s="11">
        <f t="shared" si="157"/>
        <v>0</v>
      </c>
      <c r="J478" s="11">
        <f t="shared" si="157"/>
        <v>0</v>
      </c>
      <c r="K478" s="11">
        <f t="shared" si="157"/>
        <v>0</v>
      </c>
      <c r="L478" s="11">
        <f t="shared" si="157"/>
        <v>0</v>
      </c>
      <c r="M478" s="11">
        <f t="shared" si="157"/>
        <v>704865.33600000001</v>
      </c>
      <c r="N478" s="11" t="e">
        <f t="shared" si="157"/>
        <v>#VALUE!</v>
      </c>
      <c r="O478" s="11">
        <f t="shared" si="157"/>
        <v>1074.0659140999999</v>
      </c>
      <c r="P478" s="11">
        <f t="shared" si="157"/>
        <v>102.25582591999999</v>
      </c>
      <c r="Q478" s="11">
        <f t="shared" si="157"/>
        <v>0</v>
      </c>
      <c r="R478" s="11">
        <f t="shared" si="157"/>
        <v>0</v>
      </c>
      <c r="S478" s="11">
        <f t="shared" si="157"/>
        <v>0</v>
      </c>
    </row>
    <row r="479" spans="2:21" x14ac:dyDescent="0.15">
      <c r="B479" t="e">
        <f>C475/C479</f>
        <v>#VALUE!</v>
      </c>
      <c r="C479" s="27" t="e">
        <f>SUM(E479:S479)</f>
        <v>#VALUE!</v>
      </c>
      <c r="D479" t="s">
        <v>40</v>
      </c>
      <c r="E479" s="11">
        <f>E$477*E475</f>
        <v>10960.91410575418</v>
      </c>
      <c r="F479" s="11">
        <f t="shared" ref="F479:S479" si="158">F$477*F475</f>
        <v>538173.26813885348</v>
      </c>
      <c r="G479" s="11">
        <f t="shared" si="158"/>
        <v>0</v>
      </c>
      <c r="H479" s="11">
        <f t="shared" si="158"/>
        <v>0</v>
      </c>
      <c r="I479" s="11">
        <f t="shared" si="158"/>
        <v>0</v>
      </c>
      <c r="J479" s="11">
        <f t="shared" si="158"/>
        <v>0</v>
      </c>
      <c r="K479" s="11">
        <f t="shared" si="158"/>
        <v>0</v>
      </c>
      <c r="L479" s="11">
        <f t="shared" si="158"/>
        <v>0</v>
      </c>
      <c r="M479" s="11">
        <f t="shared" si="158"/>
        <v>646122.11404029955</v>
      </c>
      <c r="N479" s="11" t="e">
        <f t="shared" si="158"/>
        <v>#VALUE!</v>
      </c>
      <c r="O479" s="11">
        <f t="shared" si="158"/>
        <v>1074.0659140999999</v>
      </c>
      <c r="P479" s="11">
        <f t="shared" si="158"/>
        <v>102.25582591999999</v>
      </c>
      <c r="Q479" s="11">
        <f t="shared" si="158"/>
        <v>0</v>
      </c>
      <c r="R479" s="11">
        <f t="shared" si="158"/>
        <v>0</v>
      </c>
      <c r="S479" s="11">
        <f t="shared" si="158"/>
        <v>0</v>
      </c>
    </row>
    <row r="480" spans="2:21" x14ac:dyDescent="0.15">
      <c r="C480" s="27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</row>
    <row r="481" spans="1:19" x14ac:dyDescent="0.15">
      <c r="E481" s="27" t="s">
        <v>534</v>
      </c>
      <c r="F481" s="27" t="s">
        <v>537</v>
      </c>
      <c r="G481" s="27">
        <f>G478</f>
        <v>0</v>
      </c>
      <c r="H481" s="27">
        <f>G481+H478</f>
        <v>0</v>
      </c>
      <c r="I481" s="27">
        <f t="shared" ref="I481:S481" si="159">H481+I478</f>
        <v>0</v>
      </c>
      <c r="J481" s="27">
        <f t="shared" si="159"/>
        <v>0</v>
      </c>
      <c r="K481" s="27">
        <f t="shared" si="159"/>
        <v>0</v>
      </c>
      <c r="L481" s="27">
        <f t="shared" si="159"/>
        <v>0</v>
      </c>
      <c r="M481" s="27">
        <f t="shared" si="159"/>
        <v>704865.33600000001</v>
      </c>
      <c r="N481" s="27" t="e">
        <f t="shared" si="159"/>
        <v>#VALUE!</v>
      </c>
      <c r="O481" s="27" t="e">
        <f t="shared" si="159"/>
        <v>#VALUE!</v>
      </c>
      <c r="P481" s="27" t="e">
        <f t="shared" si="159"/>
        <v>#VALUE!</v>
      </c>
      <c r="Q481" s="27" t="e">
        <f t="shared" si="159"/>
        <v>#VALUE!</v>
      </c>
      <c r="R481" s="27" t="e">
        <f t="shared" si="159"/>
        <v>#VALUE!</v>
      </c>
      <c r="S481" s="27" t="e">
        <f t="shared" si="159"/>
        <v>#VALUE!</v>
      </c>
    </row>
    <row r="482" spans="1:19" x14ac:dyDescent="0.15">
      <c r="B482" s="23" t="e">
        <f>(B478-B465)/B465</f>
        <v>#VALUE!</v>
      </c>
      <c r="C482" s="23" t="e">
        <f>(C478-C465)/C465</f>
        <v>#VALUE!</v>
      </c>
      <c r="F482" t="s">
        <v>532</v>
      </c>
      <c r="G482" s="27">
        <f>G474*G464</f>
        <v>1945.41882663</v>
      </c>
      <c r="H482" s="27">
        <f>H474*H464+G482</f>
        <v>5165.1283476300005</v>
      </c>
      <c r="I482" s="27">
        <f t="shared" ref="I482:S482" si="160">I474*I464+H482</f>
        <v>10275.31812111</v>
      </c>
      <c r="J482" s="27">
        <f t="shared" si="160"/>
        <v>10972.500757927</v>
      </c>
      <c r="K482" s="27">
        <f t="shared" si="160"/>
        <v>11533.881124903</v>
      </c>
      <c r="L482" s="27">
        <f t="shared" si="160"/>
        <v>12090.917351696</v>
      </c>
      <c r="M482" s="27">
        <f t="shared" si="160"/>
        <v>13056.993729116</v>
      </c>
      <c r="N482" s="27">
        <f t="shared" si="160"/>
        <v>13226.476793516</v>
      </c>
      <c r="O482" s="27">
        <f t="shared" si="160"/>
        <v>13327.085070637</v>
      </c>
      <c r="P482" s="27">
        <f t="shared" si="160"/>
        <v>13351.629079038999</v>
      </c>
      <c r="Q482" s="27">
        <f t="shared" si="160"/>
        <v>13357.947762825999</v>
      </c>
      <c r="R482" s="27">
        <f t="shared" si="160"/>
        <v>13361.9203533811</v>
      </c>
      <c r="S482" s="27">
        <f t="shared" si="160"/>
        <v>13377.161296386099</v>
      </c>
    </row>
    <row r="483" spans="1:19" x14ac:dyDescent="0.15">
      <c r="B483" s="23" t="e">
        <f>(B479-B466)/B466</f>
        <v>#VALUE!</v>
      </c>
      <c r="C483" s="23" t="e">
        <f>(C479-C466)/C466</f>
        <v>#VALUE!</v>
      </c>
    </row>
    <row r="485" spans="1:19" x14ac:dyDescent="0.15">
      <c r="C485" s="21" t="s">
        <v>35</v>
      </c>
      <c r="D485" s="21"/>
      <c r="E485">
        <v>1</v>
      </c>
      <c r="F485">
        <v>2</v>
      </c>
      <c r="G485">
        <v>3</v>
      </c>
      <c r="H485">
        <v>4</v>
      </c>
      <c r="I485">
        <v>5</v>
      </c>
      <c r="J485">
        <v>6</v>
      </c>
      <c r="K485">
        <v>7</v>
      </c>
      <c r="L485">
        <v>8</v>
      </c>
      <c r="M485">
        <v>9</v>
      </c>
      <c r="N485">
        <v>10</v>
      </c>
      <c r="O485">
        <v>11</v>
      </c>
      <c r="P485">
        <v>12</v>
      </c>
      <c r="Q485">
        <v>13</v>
      </c>
      <c r="R485">
        <v>14</v>
      </c>
      <c r="S485">
        <v>15</v>
      </c>
    </row>
    <row r="486" spans="1:19" x14ac:dyDescent="0.15">
      <c r="C486" s="27">
        <f>SUM(E486:S486)</f>
        <v>50181.385100000007</v>
      </c>
      <c r="D486" s="21">
        <v>2008</v>
      </c>
      <c r="E486" s="27">
        <f>E461</f>
        <v>27487.599999999999</v>
      </c>
      <c r="F486" s="27">
        <f t="shared" ref="F486:S486" si="161">F461</f>
        <v>11426.6</v>
      </c>
      <c r="G486" s="27">
        <f t="shared" si="161"/>
        <v>5797.72</v>
      </c>
      <c r="H486" s="27">
        <f t="shared" si="161"/>
        <v>1754.5</v>
      </c>
      <c r="I486" s="27">
        <f t="shared" si="161"/>
        <v>691.63400000000001</v>
      </c>
      <c r="J486" s="27">
        <f t="shared" si="161"/>
        <v>775.69200000000001</v>
      </c>
      <c r="K486" s="27">
        <f t="shared" si="161"/>
        <v>738.10199999999998</v>
      </c>
      <c r="L486" s="27">
        <f t="shared" si="161"/>
        <v>884.98</v>
      </c>
      <c r="M486" s="27">
        <f t="shared" si="161"/>
        <v>303.76499999999999</v>
      </c>
      <c r="N486" s="27">
        <f t="shared" si="161"/>
        <v>107.322</v>
      </c>
      <c r="O486" s="27">
        <f t="shared" si="161"/>
        <v>53.223999999999997</v>
      </c>
      <c r="P486" s="27">
        <f t="shared" si="161"/>
        <v>67.534599999999998</v>
      </c>
      <c r="Q486" s="27">
        <f t="shared" si="161"/>
        <v>31.171900000000001</v>
      </c>
      <c r="R486" s="27">
        <f t="shared" si="161"/>
        <v>10.122</v>
      </c>
      <c r="S486" s="27">
        <f t="shared" si="161"/>
        <v>51.4176</v>
      </c>
    </row>
    <row r="487" spans="1:19" x14ac:dyDescent="0.15">
      <c r="C487" s="27">
        <f>SUM(E487:S487)</f>
        <v>4171.2724877830178</v>
      </c>
      <c r="E487" s="27">
        <f t="shared" ref="E487:S487" si="162">E486*E488</f>
        <v>2.5966942499516641</v>
      </c>
      <c r="F487" s="27">
        <f t="shared" si="162"/>
        <v>70.955882670499932</v>
      </c>
      <c r="G487" s="27">
        <f t="shared" si="162"/>
        <v>475.72797932060627</v>
      </c>
      <c r="H487" s="27">
        <f t="shared" si="162"/>
        <v>483.36173387469643</v>
      </c>
      <c r="I487" s="27">
        <f t="shared" si="162"/>
        <v>382.9490346035189</v>
      </c>
      <c r="J487" s="27">
        <f t="shared" si="162"/>
        <v>652.06667843542732</v>
      </c>
      <c r="K487" s="27">
        <f t="shared" si="162"/>
        <v>675.7760339949059</v>
      </c>
      <c r="L487" s="27">
        <f t="shared" si="162"/>
        <v>828.5970157785456</v>
      </c>
      <c r="M487" s="27">
        <f t="shared" si="162"/>
        <v>278.44933485486592</v>
      </c>
      <c r="N487" s="27">
        <f t="shared" si="162"/>
        <v>107.322</v>
      </c>
      <c r="O487" s="27">
        <f t="shared" si="162"/>
        <v>53.223999999999997</v>
      </c>
      <c r="P487" s="27">
        <f t="shared" si="162"/>
        <v>67.534599999999998</v>
      </c>
      <c r="Q487" s="27">
        <f t="shared" si="162"/>
        <v>31.171900000000001</v>
      </c>
      <c r="R487" s="27">
        <f t="shared" si="162"/>
        <v>10.122</v>
      </c>
      <c r="S487" s="27">
        <f t="shared" si="162"/>
        <v>51.4176</v>
      </c>
    </row>
    <row r="488" spans="1:19" x14ac:dyDescent="0.15">
      <c r="C488" s="11"/>
      <c r="D488" t="s">
        <v>46</v>
      </c>
      <c r="E488" s="11">
        <f>E476</f>
        <v>9.4467841861481692E-5</v>
      </c>
      <c r="F488" s="11">
        <f t="shared" ref="F488:S488" si="163">F476</f>
        <v>6.2097109088005116E-3</v>
      </c>
      <c r="G488" s="11">
        <f t="shared" si="163"/>
        <v>8.2054321236728622E-2</v>
      </c>
      <c r="H488" s="11">
        <f t="shared" si="163"/>
        <v>0.27549828092031714</v>
      </c>
      <c r="I488" s="11">
        <f t="shared" si="163"/>
        <v>0.55368740490421076</v>
      </c>
      <c r="J488" s="11">
        <f t="shared" si="163"/>
        <v>0.84062576181709669</v>
      </c>
      <c r="K488" s="11">
        <f t="shared" si="163"/>
        <v>0.91555914222547274</v>
      </c>
      <c r="L488" s="11">
        <f t="shared" si="163"/>
        <v>0.93628897351188223</v>
      </c>
      <c r="M488" s="11">
        <f t="shared" si="163"/>
        <v>0.91666036197345302</v>
      </c>
      <c r="N488" s="11">
        <f t="shared" si="163"/>
        <v>1</v>
      </c>
      <c r="O488" s="11">
        <f t="shared" si="163"/>
        <v>1</v>
      </c>
      <c r="P488" s="11">
        <f t="shared" si="163"/>
        <v>1</v>
      </c>
      <c r="Q488" s="11">
        <f t="shared" si="163"/>
        <v>1</v>
      </c>
      <c r="R488" s="11">
        <f t="shared" si="163"/>
        <v>1</v>
      </c>
      <c r="S488" s="11">
        <f t="shared" si="163"/>
        <v>1</v>
      </c>
    </row>
    <row r="489" spans="1:19" x14ac:dyDescent="0.15">
      <c r="A489" s="21" t="s">
        <v>48</v>
      </c>
      <c r="C489" s="11"/>
      <c r="D489" t="s">
        <v>38</v>
      </c>
      <c r="E489" s="11">
        <f>E464</f>
        <v>6.6E-3</v>
      </c>
      <c r="F489" s="11">
        <f t="shared" ref="F489:S489" si="164">F464</f>
        <v>0.17</v>
      </c>
      <c r="G489" s="11">
        <f t="shared" si="164"/>
        <v>0.413443</v>
      </c>
      <c r="H489" s="11">
        <f t="shared" si="164"/>
        <v>0.54562100000000002</v>
      </c>
      <c r="I489" s="11">
        <f t="shared" si="164"/>
        <v>0.64290599999999998</v>
      </c>
      <c r="J489" s="11">
        <f t="shared" si="164"/>
        <v>0.75877300000000003</v>
      </c>
      <c r="K489" s="11">
        <f t="shared" si="164"/>
        <v>0.87692800000000004</v>
      </c>
      <c r="L489" s="11">
        <f t="shared" si="164"/>
        <v>0.942913</v>
      </c>
      <c r="M489" s="11">
        <f t="shared" si="164"/>
        <v>1.05809</v>
      </c>
      <c r="N489" s="11">
        <f t="shared" si="164"/>
        <v>1.1778</v>
      </c>
      <c r="O489" s="11">
        <f t="shared" si="164"/>
        <v>1.2178100000000001</v>
      </c>
      <c r="P489" s="11">
        <f t="shared" si="164"/>
        <v>1.24122</v>
      </c>
      <c r="Q489" s="11">
        <f t="shared" si="164"/>
        <v>1.37761</v>
      </c>
      <c r="R489" s="11">
        <f t="shared" si="164"/>
        <v>1.2694700000000001</v>
      </c>
      <c r="S489" s="11">
        <f t="shared" si="164"/>
        <v>1.4787699999999999</v>
      </c>
    </row>
    <row r="490" spans="1:19" x14ac:dyDescent="0.15">
      <c r="B490">
        <f>(C490-C465)/C465</f>
        <v>0</v>
      </c>
      <c r="C490" s="27">
        <f>SUM(E490:S490)</f>
        <v>8721.4938831290001</v>
      </c>
      <c r="D490" t="s">
        <v>39</v>
      </c>
      <c r="E490" s="11">
        <f t="shared" ref="E490:S490" si="165">E489*E486</f>
        <v>181.41816</v>
      </c>
      <c r="F490" s="11">
        <f t="shared" si="165"/>
        <v>1942.5220000000002</v>
      </c>
      <c r="G490" s="11">
        <f t="shared" si="165"/>
        <v>2397.02674996</v>
      </c>
      <c r="H490" s="11">
        <f t="shared" si="165"/>
        <v>957.29204450000009</v>
      </c>
      <c r="I490" s="11">
        <f t="shared" si="165"/>
        <v>444.65564840399998</v>
      </c>
      <c r="J490" s="11">
        <f t="shared" si="165"/>
        <v>588.57414591600002</v>
      </c>
      <c r="K490" s="11">
        <f t="shared" si="165"/>
        <v>647.26231065599995</v>
      </c>
      <c r="L490" s="11">
        <f t="shared" si="165"/>
        <v>834.45914674000005</v>
      </c>
      <c r="M490" s="11">
        <f t="shared" si="165"/>
        <v>321.41070884999999</v>
      </c>
      <c r="N490" s="11">
        <f t="shared" si="165"/>
        <v>126.4038516</v>
      </c>
      <c r="O490" s="11">
        <f t="shared" si="165"/>
        <v>64.81671944</v>
      </c>
      <c r="P490" s="11">
        <f t="shared" si="165"/>
        <v>83.825296211999998</v>
      </c>
      <c r="Q490" s="11">
        <f t="shared" si="165"/>
        <v>42.942721159000001</v>
      </c>
      <c r="R490" s="11">
        <f t="shared" si="165"/>
        <v>12.849575340000001</v>
      </c>
      <c r="S490" s="11">
        <f t="shared" si="165"/>
        <v>76.034804351999995</v>
      </c>
    </row>
    <row r="491" spans="1:19" x14ac:dyDescent="0.15">
      <c r="B491" s="23">
        <f>(C491-C466)/C466</f>
        <v>-3.2588715201586141E-2</v>
      </c>
      <c r="C491" s="27">
        <f>SUM(E491:S491)</f>
        <v>3288.8684243234893</v>
      </c>
      <c r="D491" t="s">
        <v>40</v>
      </c>
      <c r="E491">
        <f t="shared" ref="E491:S491" si="166">E490*E488</f>
        <v>1.7138182049680983E-2</v>
      </c>
      <c r="F491">
        <f t="shared" si="166"/>
        <v>12.062500053984989</v>
      </c>
      <c r="G491">
        <f t="shared" si="166"/>
        <v>196.68640295424942</v>
      </c>
      <c r="H491">
        <f t="shared" si="166"/>
        <v>263.73231259844579</v>
      </c>
      <c r="I491">
        <f t="shared" si="166"/>
        <v>246.20023204080991</v>
      </c>
      <c r="J491">
        <f t="shared" si="166"/>
        <v>494.77058979648456</v>
      </c>
      <c r="K491">
        <f t="shared" si="166"/>
        <v>592.60692593908482</v>
      </c>
      <c r="L491">
        <f t="shared" si="166"/>
        <v>781.29489793879577</v>
      </c>
      <c r="M491">
        <f t="shared" si="166"/>
        <v>294.62445671658509</v>
      </c>
      <c r="N491">
        <f t="shared" si="166"/>
        <v>126.4038516</v>
      </c>
      <c r="O491">
        <f t="shared" si="166"/>
        <v>64.81671944</v>
      </c>
      <c r="P491">
        <f t="shared" si="166"/>
        <v>83.825296211999998</v>
      </c>
      <c r="Q491">
        <f t="shared" si="166"/>
        <v>42.942721159000001</v>
      </c>
      <c r="R491">
        <f t="shared" si="166"/>
        <v>12.849575340000001</v>
      </c>
      <c r="S491">
        <f t="shared" si="166"/>
        <v>76.034804351999995</v>
      </c>
    </row>
    <row r="492" spans="1:19" x14ac:dyDescent="0.15">
      <c r="A492" s="21" t="s">
        <v>47</v>
      </c>
      <c r="C492" s="11"/>
      <c r="D492" t="s">
        <v>42</v>
      </c>
      <c r="E492" s="27"/>
      <c r="F492" s="27"/>
      <c r="G492" s="27">
        <f>G486</f>
        <v>5797.72</v>
      </c>
      <c r="H492" s="27">
        <f t="shared" ref="H492:S492" si="167">H486</f>
        <v>1754.5</v>
      </c>
      <c r="I492" s="27">
        <f t="shared" si="167"/>
        <v>691.63400000000001</v>
      </c>
      <c r="J492" s="27">
        <f t="shared" si="167"/>
        <v>775.69200000000001</v>
      </c>
      <c r="K492" s="27">
        <f t="shared" si="167"/>
        <v>738.10199999999998</v>
      </c>
      <c r="L492" s="27">
        <f t="shared" si="167"/>
        <v>884.98</v>
      </c>
      <c r="M492" s="27">
        <f t="shared" si="167"/>
        <v>303.76499999999999</v>
      </c>
      <c r="N492" s="27">
        <f t="shared" si="167"/>
        <v>107.322</v>
      </c>
      <c r="O492" s="27">
        <f t="shared" si="167"/>
        <v>53.223999999999997</v>
      </c>
      <c r="P492" s="27">
        <f t="shared" si="167"/>
        <v>67.534599999999998</v>
      </c>
      <c r="Q492" s="27">
        <f t="shared" si="167"/>
        <v>31.171900000000001</v>
      </c>
      <c r="R492" s="27">
        <f t="shared" si="167"/>
        <v>10.122</v>
      </c>
      <c r="S492" s="27">
        <f t="shared" si="167"/>
        <v>51.4176</v>
      </c>
    </row>
    <row r="493" spans="1:19" x14ac:dyDescent="0.15">
      <c r="B493" s="23">
        <f>(SUMPRODUCT(E477:S477,E463:S463,E461:S461)-C466)/C466</f>
        <v>275.17216736373558</v>
      </c>
    </row>
    <row r="494" spans="1:19" x14ac:dyDescent="0.15">
      <c r="A494" s="21" t="s">
        <v>49</v>
      </c>
    </row>
    <row r="495" spans="1:19" x14ac:dyDescent="0.15">
      <c r="B495" s="23">
        <f>(SUMPRODUCT(E464:S464,E463:S463,E474:S474)-C466)/C466</f>
        <v>1.1867004154123886</v>
      </c>
    </row>
    <row r="496" spans="1:19" x14ac:dyDescent="0.15">
      <c r="A496" s="21" t="s">
        <v>50</v>
      </c>
    </row>
    <row r="497" spans="1:11" x14ac:dyDescent="0.15">
      <c r="B497" s="23" t="e">
        <f>(C479-C466)/C466</f>
        <v>#VALUE!</v>
      </c>
    </row>
    <row r="498" spans="1:11" x14ac:dyDescent="0.15">
      <c r="B498" s="23" t="e">
        <f>1+B497</f>
        <v>#VALUE!</v>
      </c>
    </row>
    <row r="502" spans="1:11" x14ac:dyDescent="0.15">
      <c r="F502" t="s">
        <v>520</v>
      </c>
      <c r="G502" t="s">
        <v>346</v>
      </c>
    </row>
    <row r="503" spans="1:11" x14ac:dyDescent="0.15">
      <c r="B503" t="s">
        <v>575</v>
      </c>
      <c r="D503">
        <v>2008</v>
      </c>
      <c r="E503">
        <v>1964</v>
      </c>
      <c r="F503" s="27">
        <v>1810.1</v>
      </c>
      <c r="G503" s="27">
        <f>Stdev!D250</f>
        <v>-0.11656</v>
      </c>
    </row>
    <row r="504" spans="1:11" x14ac:dyDescent="0.15">
      <c r="A504">
        <v>1964</v>
      </c>
      <c r="B504" s="27">
        <v>529.404</v>
      </c>
      <c r="D504">
        <v>443.88</v>
      </c>
      <c r="E504">
        <v>1965</v>
      </c>
      <c r="F504" s="27">
        <v>2230.9</v>
      </c>
      <c r="G504" s="27">
        <f>Stdev!D251</f>
        <v>-0.25459999999999999</v>
      </c>
      <c r="J504">
        <v>1964</v>
      </c>
      <c r="K504" s="27">
        <v>443.88</v>
      </c>
    </row>
    <row r="505" spans="1:11" x14ac:dyDescent="0.15">
      <c r="A505">
        <v>1965</v>
      </c>
      <c r="B505" s="27">
        <v>649.89700000000005</v>
      </c>
      <c r="D505">
        <v>564.66999999999996</v>
      </c>
      <c r="E505">
        <v>1966</v>
      </c>
      <c r="F505" s="27">
        <v>2251.5</v>
      </c>
      <c r="G505" s="27">
        <f>Stdev!D252</f>
        <v>-0.56218999999999997</v>
      </c>
      <c r="J505">
        <v>1965</v>
      </c>
      <c r="K505" s="27">
        <v>564.66999999999996</v>
      </c>
    </row>
    <row r="506" spans="1:11" x14ac:dyDescent="0.15">
      <c r="A506">
        <v>1966</v>
      </c>
      <c r="B506" s="27">
        <v>759.59</v>
      </c>
      <c r="D506">
        <v>653.70000000000005</v>
      </c>
      <c r="E506">
        <v>1967</v>
      </c>
      <c r="F506" s="27">
        <v>3517.9</v>
      </c>
      <c r="G506" s="27">
        <f>Stdev!D253</f>
        <v>-0.49657000000000001</v>
      </c>
      <c r="J506">
        <v>1966</v>
      </c>
      <c r="K506" s="27">
        <v>653.70000000000005</v>
      </c>
    </row>
    <row r="507" spans="1:11" x14ac:dyDescent="0.15">
      <c r="A507">
        <v>1967</v>
      </c>
      <c r="B507" s="27">
        <v>937.01800000000003</v>
      </c>
      <c r="D507">
        <v>810.88</v>
      </c>
      <c r="E507">
        <v>1968</v>
      </c>
      <c r="F507" s="27">
        <v>3881.4</v>
      </c>
      <c r="G507" s="27">
        <f>Stdev!D254</f>
        <v>-0.45038</v>
      </c>
      <c r="J507">
        <v>1967</v>
      </c>
      <c r="K507" s="27">
        <v>810.88</v>
      </c>
    </row>
    <row r="508" spans="1:11" x14ac:dyDescent="0.15">
      <c r="A508">
        <v>1968</v>
      </c>
      <c r="B508" s="27">
        <v>1142.73</v>
      </c>
      <c r="D508">
        <v>996.17</v>
      </c>
      <c r="E508">
        <v>1969</v>
      </c>
      <c r="F508" s="27">
        <v>5057.8999999999996</v>
      </c>
      <c r="G508" s="27">
        <f>Stdev!D255</f>
        <v>-0.13657</v>
      </c>
      <c r="J508">
        <v>1968</v>
      </c>
      <c r="K508" s="27">
        <v>996.17</v>
      </c>
    </row>
    <row r="509" spans="1:11" x14ac:dyDescent="0.15">
      <c r="A509">
        <v>1969</v>
      </c>
      <c r="B509" s="27">
        <v>1442.44</v>
      </c>
      <c r="D509">
        <v>1273.0999999999999</v>
      </c>
      <c r="E509">
        <v>1970</v>
      </c>
      <c r="F509" s="27">
        <v>5929.2</v>
      </c>
      <c r="G509" s="27">
        <f>Stdev!D256</f>
        <v>6.4784999999999999E-3</v>
      </c>
      <c r="J509">
        <v>1969</v>
      </c>
      <c r="K509" s="27">
        <v>1273.0999999999999</v>
      </c>
    </row>
    <row r="510" spans="1:11" x14ac:dyDescent="0.15">
      <c r="A510">
        <v>1970</v>
      </c>
      <c r="B510" s="27">
        <v>1787.56</v>
      </c>
      <c r="D510">
        <v>1607.8</v>
      </c>
      <c r="E510">
        <v>1971</v>
      </c>
      <c r="F510" s="27">
        <v>6616.7</v>
      </c>
      <c r="G510" s="27">
        <f>Stdev!D257</f>
        <v>0.34118999999999999</v>
      </c>
      <c r="J510">
        <v>1970</v>
      </c>
      <c r="K510" s="27">
        <v>1607.8</v>
      </c>
    </row>
    <row r="511" spans="1:11" x14ac:dyDescent="0.15">
      <c r="A511">
        <v>1971</v>
      </c>
      <c r="B511" s="27">
        <v>1966.41</v>
      </c>
      <c r="D511">
        <v>1814.3</v>
      </c>
      <c r="E511">
        <v>1972</v>
      </c>
      <c r="F511" s="27">
        <v>6265.1</v>
      </c>
      <c r="G511" s="27">
        <f>Stdev!D258</f>
        <v>-0.17519000000000001</v>
      </c>
      <c r="J511">
        <v>1971</v>
      </c>
      <c r="K511" s="27">
        <v>1814.3</v>
      </c>
    </row>
    <row r="512" spans="1:11" x14ac:dyDescent="0.15">
      <c r="A512">
        <v>1972</v>
      </c>
      <c r="B512" s="27">
        <v>1858.71</v>
      </c>
      <c r="D512">
        <v>1759.3</v>
      </c>
      <c r="E512">
        <v>1973</v>
      </c>
      <c r="F512" s="27">
        <v>4750.7</v>
      </c>
      <c r="G512" s="27">
        <f>Stdev!D259</f>
        <v>-0.36015000000000003</v>
      </c>
      <c r="J512">
        <v>1972</v>
      </c>
      <c r="K512" s="27">
        <v>1759.3</v>
      </c>
    </row>
    <row r="513" spans="1:11" x14ac:dyDescent="0.15">
      <c r="A513">
        <v>1973</v>
      </c>
      <c r="B513" s="27">
        <v>1478.83</v>
      </c>
      <c r="D513">
        <v>1394.4</v>
      </c>
      <c r="E513">
        <v>1974</v>
      </c>
      <c r="F513" s="27">
        <v>3460.1</v>
      </c>
      <c r="G513" s="27">
        <f>Stdev!D260</f>
        <v>-0.28355000000000002</v>
      </c>
      <c r="J513">
        <v>1973</v>
      </c>
      <c r="K513" s="27">
        <v>1394.4</v>
      </c>
    </row>
    <row r="514" spans="1:11" x14ac:dyDescent="0.15">
      <c r="A514">
        <v>1974</v>
      </c>
      <c r="B514" s="27">
        <v>1010.58</v>
      </c>
      <c r="D514">
        <v>907.96</v>
      </c>
      <c r="E514">
        <v>1975</v>
      </c>
      <c r="F514" s="27">
        <v>3584.7</v>
      </c>
      <c r="G514" s="27">
        <f>Stdev!D261</f>
        <v>-3.7546000000000003E-2</v>
      </c>
      <c r="J514">
        <v>1974</v>
      </c>
      <c r="K514" s="27">
        <v>907.96</v>
      </c>
    </row>
    <row r="515" spans="1:11" x14ac:dyDescent="0.15">
      <c r="A515">
        <v>1975</v>
      </c>
      <c r="B515" s="27">
        <v>813.22500000000002</v>
      </c>
      <c r="D515">
        <v>718.38</v>
      </c>
      <c r="E515">
        <v>1976</v>
      </c>
      <c r="F515" s="27">
        <v>3576.5</v>
      </c>
      <c r="G515" s="27">
        <f>Stdev!D262</f>
        <v>-4.1903999999999997E-2</v>
      </c>
      <c r="J515">
        <v>1975</v>
      </c>
      <c r="K515" s="27">
        <v>718.38</v>
      </c>
    </row>
    <row r="516" spans="1:11" x14ac:dyDescent="0.15">
      <c r="A516">
        <v>1976</v>
      </c>
      <c r="B516" s="27">
        <v>823.30600000000004</v>
      </c>
      <c r="D516">
        <v>755.7</v>
      </c>
      <c r="E516">
        <v>1977</v>
      </c>
      <c r="F516" s="27">
        <v>3581.5</v>
      </c>
      <c r="G516" s="27">
        <f>Stdev!D263</f>
        <v>-0.14237</v>
      </c>
      <c r="J516">
        <v>1976</v>
      </c>
      <c r="K516" s="27">
        <v>755.7</v>
      </c>
    </row>
    <row r="517" spans="1:11" x14ac:dyDescent="0.15">
      <c r="A517">
        <v>1977</v>
      </c>
      <c r="B517" s="27">
        <v>883.08900000000006</v>
      </c>
      <c r="D517">
        <v>824.41</v>
      </c>
      <c r="E517">
        <v>1978</v>
      </c>
      <c r="F517" s="27">
        <v>3437.6</v>
      </c>
      <c r="G517" s="27">
        <f>Stdev!D264</f>
        <v>-0.51102000000000003</v>
      </c>
      <c r="J517">
        <v>1977</v>
      </c>
      <c r="K517" s="27">
        <v>824.41</v>
      </c>
    </row>
    <row r="518" spans="1:11" x14ac:dyDescent="0.15">
      <c r="A518">
        <v>1978</v>
      </c>
      <c r="B518" s="27">
        <v>902.12</v>
      </c>
      <c r="D518">
        <v>853.57</v>
      </c>
      <c r="E518">
        <v>1979</v>
      </c>
      <c r="F518" s="27">
        <v>3322.9</v>
      </c>
      <c r="G518" s="27">
        <f>Stdev!D265</f>
        <v>-0.36832999999999999</v>
      </c>
      <c r="J518">
        <v>1978</v>
      </c>
      <c r="K518" s="27">
        <v>853.57</v>
      </c>
    </row>
    <row r="519" spans="1:11" x14ac:dyDescent="0.15">
      <c r="A519">
        <v>1979</v>
      </c>
      <c r="B519" s="27">
        <v>879.274</v>
      </c>
      <c r="D519">
        <v>824.19</v>
      </c>
      <c r="E519">
        <v>1980</v>
      </c>
      <c r="F519" s="27">
        <v>4319.5</v>
      </c>
      <c r="G519" s="27">
        <f>Stdev!D266</f>
        <v>-0.21093999999999999</v>
      </c>
      <c r="J519">
        <v>1979</v>
      </c>
      <c r="K519" s="27">
        <v>824.19</v>
      </c>
    </row>
    <row r="520" spans="1:11" x14ac:dyDescent="0.15">
      <c r="A520">
        <v>1980</v>
      </c>
      <c r="B520" s="27">
        <v>1055.58</v>
      </c>
      <c r="D520">
        <v>952.06</v>
      </c>
      <c r="E520">
        <v>1981</v>
      </c>
      <c r="F520" s="27">
        <v>8364</v>
      </c>
      <c r="G520" s="27">
        <f>Stdev!D267</f>
        <v>-6.8848999999999994E-2</v>
      </c>
      <c r="J520">
        <v>1980</v>
      </c>
      <c r="K520" s="27">
        <v>952.06</v>
      </c>
    </row>
    <row r="521" spans="1:11" x14ac:dyDescent="0.15">
      <c r="A521">
        <v>1981</v>
      </c>
      <c r="B521" s="27">
        <v>1841.18</v>
      </c>
      <c r="D521">
        <v>1607.4</v>
      </c>
      <c r="E521">
        <v>1982</v>
      </c>
      <c r="F521" s="27">
        <v>9475.9</v>
      </c>
      <c r="G521" s="27">
        <f>Stdev!D268</f>
        <v>-6.4016000000000003E-2</v>
      </c>
      <c r="J521">
        <v>1981</v>
      </c>
      <c r="K521" s="27">
        <v>1607.4</v>
      </c>
    </row>
    <row r="522" spans="1:11" x14ac:dyDescent="0.15">
      <c r="A522">
        <v>1982</v>
      </c>
      <c r="B522" s="27">
        <v>2830.77</v>
      </c>
      <c r="D522">
        <v>2443.3000000000002</v>
      </c>
      <c r="E522">
        <v>1983</v>
      </c>
      <c r="F522" s="27">
        <v>10443</v>
      </c>
      <c r="G522" s="27">
        <f>Stdev!D269</f>
        <v>-0.12517</v>
      </c>
      <c r="J522">
        <v>1982</v>
      </c>
      <c r="K522" s="27">
        <v>2443.3000000000002</v>
      </c>
    </row>
    <row r="523" spans="1:11" x14ac:dyDescent="0.15">
      <c r="A523">
        <v>1983</v>
      </c>
      <c r="B523" s="27">
        <v>3482.69</v>
      </c>
      <c r="D523">
        <v>3013.9</v>
      </c>
      <c r="E523">
        <v>1984</v>
      </c>
      <c r="F523" s="27">
        <v>10088</v>
      </c>
      <c r="G523" s="27">
        <f>Stdev!D270</f>
        <v>-0.22727</v>
      </c>
      <c r="J523">
        <v>1983</v>
      </c>
      <c r="K523" s="27">
        <v>3013.9</v>
      </c>
    </row>
    <row r="524" spans="1:11" x14ac:dyDescent="0.15">
      <c r="A524">
        <v>1984</v>
      </c>
      <c r="B524" s="27">
        <v>3668.26</v>
      </c>
      <c r="D524">
        <v>3213.3</v>
      </c>
      <c r="E524">
        <v>1985</v>
      </c>
      <c r="F524" s="27">
        <v>12285</v>
      </c>
      <c r="G524" s="27">
        <f>Stdev!D271</f>
        <v>-5.7662E-3</v>
      </c>
      <c r="J524">
        <v>1984</v>
      </c>
      <c r="K524" s="27">
        <v>3213.3</v>
      </c>
    </row>
    <row r="525" spans="1:11" x14ac:dyDescent="0.15">
      <c r="A525">
        <v>1985</v>
      </c>
      <c r="B525" s="27">
        <v>3905.78</v>
      </c>
      <c r="D525">
        <v>3486.5</v>
      </c>
      <c r="E525">
        <v>1986</v>
      </c>
      <c r="F525" s="27">
        <v>11486</v>
      </c>
      <c r="G525" s="27">
        <f>Stdev!D272</f>
        <v>5.5912000000000003E-2</v>
      </c>
      <c r="J525">
        <v>1985</v>
      </c>
      <c r="K525" s="27">
        <v>3486.5</v>
      </c>
    </row>
    <row r="526" spans="1:11" x14ac:dyDescent="0.15">
      <c r="A526">
        <v>1986</v>
      </c>
      <c r="B526" s="27">
        <v>4124.95</v>
      </c>
      <c r="D526">
        <v>3743.6</v>
      </c>
      <c r="E526">
        <v>1987</v>
      </c>
      <c r="F526" s="27">
        <v>12077</v>
      </c>
      <c r="G526" s="27">
        <f>Stdev!D273</f>
        <v>0.14022999999999999</v>
      </c>
      <c r="J526">
        <v>1986</v>
      </c>
      <c r="K526" s="27">
        <v>3743.6</v>
      </c>
    </row>
    <row r="527" spans="1:11" x14ac:dyDescent="0.15">
      <c r="A527">
        <v>1987</v>
      </c>
      <c r="B527" s="27">
        <v>4233.05</v>
      </c>
      <c r="D527">
        <v>3893.2</v>
      </c>
      <c r="E527">
        <v>1988</v>
      </c>
      <c r="F527" s="27">
        <v>11330</v>
      </c>
      <c r="G527" s="27">
        <f>Stdev!D274</f>
        <v>0.14204</v>
      </c>
      <c r="J527">
        <v>1987</v>
      </c>
      <c r="K527" s="27">
        <v>3893.2</v>
      </c>
    </row>
    <row r="528" spans="1:11" x14ac:dyDescent="0.15">
      <c r="A528">
        <v>1988</v>
      </c>
      <c r="B528" s="27">
        <v>4188.67</v>
      </c>
      <c r="D528">
        <v>3886.6</v>
      </c>
      <c r="E528">
        <v>1989</v>
      </c>
      <c r="F528" s="27">
        <v>9584.1</v>
      </c>
      <c r="G528" s="27">
        <f>Stdev!D275</f>
        <v>-3.7775000000000003E-2</v>
      </c>
      <c r="J528">
        <v>1988</v>
      </c>
      <c r="K528" s="27">
        <v>3886.6</v>
      </c>
    </row>
    <row r="529" spans="1:11" x14ac:dyDescent="0.15">
      <c r="A529">
        <v>1989</v>
      </c>
      <c r="B529" s="27">
        <v>3745.49</v>
      </c>
      <c r="D529">
        <v>3486.6</v>
      </c>
      <c r="E529">
        <v>1990</v>
      </c>
      <c r="F529" s="27">
        <v>7602.7</v>
      </c>
      <c r="G529" s="27">
        <f>Stdev!D280</f>
        <v>0.39066000000000001</v>
      </c>
      <c r="J529">
        <v>1989</v>
      </c>
      <c r="K529" s="27">
        <v>3486.6</v>
      </c>
    </row>
    <row r="530" spans="1:11" x14ac:dyDescent="0.15">
      <c r="A530">
        <v>1990</v>
      </c>
      <c r="B530" s="27">
        <v>2982.7</v>
      </c>
      <c r="D530">
        <v>2783.6</v>
      </c>
      <c r="E530">
        <v>1991</v>
      </c>
      <c r="F530" s="27">
        <v>5928.5</v>
      </c>
      <c r="G530" s="27">
        <f>Stdev!D281</f>
        <v>-1.0304</v>
      </c>
      <c r="J530">
        <v>1990</v>
      </c>
      <c r="K530" s="27">
        <v>2783.6</v>
      </c>
    </row>
    <row r="531" spans="1:11" x14ac:dyDescent="0.15">
      <c r="A531">
        <v>1991</v>
      </c>
      <c r="B531" s="27">
        <v>2172.6</v>
      </c>
      <c r="D531">
        <v>2038.6</v>
      </c>
      <c r="E531">
        <v>1992</v>
      </c>
      <c r="F531" s="27">
        <v>9269.6</v>
      </c>
      <c r="G531" s="27">
        <f>Stdev!D282</f>
        <v>2244.9</v>
      </c>
      <c r="J531">
        <v>1991</v>
      </c>
      <c r="K531" s="27">
        <v>2038.6</v>
      </c>
    </row>
    <row r="532" spans="1:11" x14ac:dyDescent="0.15">
      <c r="A532">
        <v>1992</v>
      </c>
      <c r="B532" s="27">
        <v>2268.6</v>
      </c>
      <c r="D532">
        <v>2127.9</v>
      </c>
      <c r="E532">
        <v>1993</v>
      </c>
      <c r="F532" s="27">
        <v>11795</v>
      </c>
      <c r="G532" s="27">
        <f>Stdev!D283</f>
        <v>5.9927999999999999</v>
      </c>
      <c r="J532">
        <v>1992</v>
      </c>
      <c r="K532" s="27">
        <v>2127.9</v>
      </c>
    </row>
    <row r="533" spans="1:11" x14ac:dyDescent="0.15">
      <c r="A533">
        <v>1993</v>
      </c>
      <c r="B533" s="27">
        <v>3179.52</v>
      </c>
      <c r="D533">
        <v>2995.3</v>
      </c>
      <c r="E533">
        <v>1994</v>
      </c>
      <c r="F533" s="27">
        <v>11407</v>
      </c>
      <c r="G533" s="27">
        <f>Stdev!D284</f>
        <v>5.9927999999999999</v>
      </c>
      <c r="J533">
        <v>1993</v>
      </c>
      <c r="K533" s="27">
        <v>2995.3</v>
      </c>
    </row>
    <row r="534" spans="1:11" x14ac:dyDescent="0.15">
      <c r="A534">
        <v>1994</v>
      </c>
      <c r="B534" s="27">
        <v>3537.52</v>
      </c>
      <c r="D534">
        <v>3322.4</v>
      </c>
      <c r="E534">
        <v>1995</v>
      </c>
      <c r="F534" s="27">
        <v>13658</v>
      </c>
      <c r="G534" s="27">
        <f>Stdev!D285</f>
        <v>2649.5</v>
      </c>
      <c r="J534">
        <v>1994</v>
      </c>
      <c r="K534" s="27">
        <v>3322.4</v>
      </c>
    </row>
    <row r="535" spans="1:11" x14ac:dyDescent="0.15">
      <c r="A535">
        <v>1995</v>
      </c>
      <c r="B535" s="27">
        <v>3799.89</v>
      </c>
      <c r="D535">
        <v>3546.9</v>
      </c>
      <c r="E535">
        <v>1996</v>
      </c>
      <c r="F535" s="27">
        <v>11480</v>
      </c>
      <c r="G535" s="27">
        <f>Stdev!D286</f>
        <v>1868.9</v>
      </c>
      <c r="J535">
        <v>1995</v>
      </c>
      <c r="K535" s="27">
        <v>3546.9</v>
      </c>
    </row>
    <row r="536" spans="1:11" x14ac:dyDescent="0.15">
      <c r="A536">
        <v>1996</v>
      </c>
      <c r="B536" s="27">
        <v>3821.68</v>
      </c>
      <c r="D536">
        <v>3569.1</v>
      </c>
      <c r="E536">
        <v>1997</v>
      </c>
      <c r="F536" s="27">
        <v>10056</v>
      </c>
      <c r="G536" s="27">
        <f>Stdev!D287</f>
        <v>2323.6999999999998</v>
      </c>
      <c r="J536">
        <v>1996</v>
      </c>
      <c r="K536" s="27">
        <v>3569.1</v>
      </c>
    </row>
    <row r="537" spans="1:11" x14ac:dyDescent="0.15">
      <c r="A537">
        <v>1997</v>
      </c>
      <c r="B537" s="27">
        <v>3646</v>
      </c>
      <c r="D537">
        <v>3369.2</v>
      </c>
      <c r="E537">
        <v>1998</v>
      </c>
      <c r="F537" s="27">
        <v>9972.7999999999993</v>
      </c>
      <c r="G537" s="27">
        <f>Stdev!D288</f>
        <v>2562.9</v>
      </c>
      <c r="J537">
        <v>1997</v>
      </c>
      <c r="K537" s="27">
        <v>3369.2</v>
      </c>
    </row>
    <row r="538" spans="1:11" x14ac:dyDescent="0.15">
      <c r="A538">
        <v>1998</v>
      </c>
      <c r="B538" s="27">
        <v>3357.53</v>
      </c>
      <c r="D538">
        <v>3114</v>
      </c>
      <c r="E538">
        <v>1999</v>
      </c>
      <c r="F538" s="27">
        <v>10872</v>
      </c>
      <c r="G538" s="27">
        <f>Stdev!D289</f>
        <v>3888.1</v>
      </c>
      <c r="J538">
        <v>1998</v>
      </c>
      <c r="K538" s="27">
        <v>3114</v>
      </c>
    </row>
    <row r="539" spans="1:11" x14ac:dyDescent="0.15">
      <c r="A539">
        <v>1999</v>
      </c>
      <c r="B539" s="27">
        <v>3385.24</v>
      </c>
      <c r="D539">
        <v>3125.8</v>
      </c>
      <c r="E539">
        <v>2000</v>
      </c>
      <c r="F539" s="27">
        <v>10052</v>
      </c>
      <c r="G539" s="27">
        <f>Stdev!D290</f>
        <v>4495</v>
      </c>
      <c r="J539">
        <v>1999</v>
      </c>
      <c r="K539" s="27">
        <v>3125.8</v>
      </c>
    </row>
    <row r="540" spans="1:11" x14ac:dyDescent="0.15">
      <c r="A540">
        <v>2000</v>
      </c>
      <c r="B540" s="27">
        <v>3423.84</v>
      </c>
      <c r="D540">
        <v>3153.2</v>
      </c>
      <c r="E540">
        <v>2001</v>
      </c>
      <c r="F540" s="27">
        <v>9799.9</v>
      </c>
      <c r="G540" s="27">
        <f>Stdev!D291</f>
        <v>5690</v>
      </c>
      <c r="J540">
        <v>2000</v>
      </c>
      <c r="K540" s="27">
        <v>3153.2</v>
      </c>
    </row>
    <row r="541" spans="1:11" x14ac:dyDescent="0.15">
      <c r="A541">
        <v>2001</v>
      </c>
      <c r="B541" s="27">
        <v>3438.12</v>
      </c>
      <c r="D541">
        <v>3148.2</v>
      </c>
      <c r="E541">
        <v>2002</v>
      </c>
      <c r="F541" s="27">
        <v>10197</v>
      </c>
      <c r="G541" s="27">
        <f>Stdev!D292</f>
        <v>6423.9</v>
      </c>
      <c r="J541">
        <v>2001</v>
      </c>
      <c r="K541" s="27">
        <v>3148.2</v>
      </c>
    </row>
    <row r="542" spans="1:11" x14ac:dyDescent="0.15">
      <c r="A542">
        <v>2002</v>
      </c>
      <c r="B542" s="27">
        <v>3234.06</v>
      </c>
      <c r="D542">
        <v>2948.1</v>
      </c>
      <c r="E542">
        <v>2003</v>
      </c>
      <c r="F542" s="27">
        <v>13320</v>
      </c>
      <c r="G542" s="27">
        <f>Stdev!D293</f>
        <v>6858.4</v>
      </c>
      <c r="J542">
        <v>2002</v>
      </c>
      <c r="K542" s="27">
        <v>2948.1</v>
      </c>
    </row>
    <row r="543" spans="1:11" x14ac:dyDescent="0.15">
      <c r="A543">
        <v>2003</v>
      </c>
      <c r="B543" s="27">
        <v>3371.49</v>
      </c>
      <c r="D543">
        <v>3078</v>
      </c>
      <c r="E543">
        <v>2004</v>
      </c>
      <c r="F543" s="27">
        <v>12055</v>
      </c>
      <c r="G543" s="27">
        <f>Stdev!D294</f>
        <v>6430.6</v>
      </c>
      <c r="J543">
        <v>2003</v>
      </c>
      <c r="K543" s="27">
        <v>3078</v>
      </c>
    </row>
    <row r="544" spans="1:11" x14ac:dyDescent="0.15">
      <c r="A544">
        <v>2004</v>
      </c>
      <c r="B544" s="27">
        <v>3404.39</v>
      </c>
      <c r="D544">
        <v>3093.5</v>
      </c>
      <c r="E544">
        <v>2005</v>
      </c>
      <c r="F544" s="27">
        <v>9759.1</v>
      </c>
      <c r="G544" s="27">
        <f>Stdev!D295</f>
        <v>5161.2</v>
      </c>
      <c r="J544">
        <v>2004</v>
      </c>
      <c r="K544" s="27">
        <v>3093.5</v>
      </c>
    </row>
    <row r="545" spans="1:23" x14ac:dyDescent="0.15">
      <c r="A545">
        <v>2005</v>
      </c>
      <c r="B545" s="27">
        <v>3037.48</v>
      </c>
      <c r="D545">
        <v>2763.1</v>
      </c>
      <c r="E545">
        <v>2006</v>
      </c>
      <c r="F545" s="27">
        <v>7950.4</v>
      </c>
      <c r="G545" s="27">
        <f>Stdev!D296</f>
        <v>3845.8</v>
      </c>
      <c r="J545">
        <v>2005</v>
      </c>
      <c r="K545" s="27">
        <v>2763.1</v>
      </c>
    </row>
    <row r="546" spans="1:23" x14ac:dyDescent="0.15">
      <c r="A546">
        <v>2006</v>
      </c>
      <c r="B546" s="27">
        <v>2385.5300000000002</v>
      </c>
      <c r="D546">
        <v>2198.6999999999998</v>
      </c>
      <c r="E546">
        <v>2007</v>
      </c>
      <c r="F546" s="27">
        <v>6360.9</v>
      </c>
      <c r="G546" s="27">
        <f>Stdev!D297</f>
        <v>3868.4</v>
      </c>
      <c r="J546">
        <v>2006</v>
      </c>
      <c r="K546" s="27">
        <v>2198.6999999999998</v>
      </c>
    </row>
    <row r="547" spans="1:23" x14ac:dyDescent="0.15">
      <c r="A547">
        <v>2007</v>
      </c>
      <c r="B547" s="27">
        <v>1725.57</v>
      </c>
      <c r="D547">
        <v>1759.9</v>
      </c>
      <c r="E547">
        <v>2008</v>
      </c>
      <c r="F547" s="27">
        <v>6419.9</v>
      </c>
      <c r="G547" s="27">
        <f>Stdev!D298</f>
        <v>3871.5</v>
      </c>
      <c r="J547">
        <v>2007</v>
      </c>
      <c r="K547" s="27">
        <v>1759.9</v>
      </c>
      <c r="O547" s="4" t="s">
        <v>673</v>
      </c>
      <c r="Q547" s="4" t="s">
        <v>674</v>
      </c>
    </row>
    <row r="548" spans="1:23" x14ac:dyDescent="0.15">
      <c r="A548">
        <v>2008</v>
      </c>
      <c r="B548" s="27">
        <v>1398.4</v>
      </c>
      <c r="C548" s="27">
        <v>1398.4</v>
      </c>
      <c r="D548">
        <v>1266.7</v>
      </c>
      <c r="G548" s="27">
        <f>Stdev!D299</f>
        <v>3939.3</v>
      </c>
      <c r="J548">
        <v>2008</v>
      </c>
      <c r="K548" s="27">
        <v>1266.7</v>
      </c>
      <c r="L548" s="27">
        <v>157.47999999999999</v>
      </c>
      <c r="M548" s="27">
        <f>K548/EXP(2*SQRT(LN(1+L548^2/K548^2)))</f>
        <v>988.78518649064654</v>
      </c>
      <c r="N548" s="27">
        <f>K548*EXP(2*SQRT(LN(1+L548^2/K548^2)))</f>
        <v>1622.7274760200689</v>
      </c>
      <c r="O548" s="27">
        <v>1266.7</v>
      </c>
      <c r="P548" s="27">
        <v>157.47999999999999</v>
      </c>
      <c r="Q548" s="27">
        <v>1266.7</v>
      </c>
      <c r="R548" s="27">
        <v>157.47999999999999</v>
      </c>
      <c r="S548" s="27">
        <f>Q548/EXP(2*SQRT(LN(1+R548^2/Q548^2)))</f>
        <v>988.78518649064654</v>
      </c>
      <c r="T548" s="27">
        <f>Q548*EXP(2*SQRT(LN(1+R548^2/Q548^2)))</f>
        <v>1622.7274760200689</v>
      </c>
    </row>
    <row r="549" spans="1:23" x14ac:dyDescent="0.15">
      <c r="A549">
        <v>2009</v>
      </c>
      <c r="B549" s="27">
        <v>1532.8</v>
      </c>
      <c r="C549" s="27">
        <v>1532.8</v>
      </c>
      <c r="G549" s="27">
        <f>Stdev!D300</f>
        <v>3888.3</v>
      </c>
      <c r="J549">
        <v>2009</v>
      </c>
      <c r="K549" s="27">
        <v>1417.7</v>
      </c>
      <c r="L549" s="27">
        <v>267.17</v>
      </c>
      <c r="M549" s="27">
        <f>K549/EXP(2*SQRT(LN(1+L549^2/K549^2)))</f>
        <v>975.71291962193322</v>
      </c>
      <c r="N549" s="27">
        <f>K549*EXP(2*SQRT(LN(1+L549^2/K549^2)))</f>
        <v>2059.9023027990452</v>
      </c>
      <c r="O549" s="27">
        <v>1444.8</v>
      </c>
      <c r="P549" s="27">
        <v>265.77</v>
      </c>
      <c r="Q549" s="27">
        <v>1417.7</v>
      </c>
      <c r="R549" s="27">
        <v>267.17</v>
      </c>
    </row>
    <row r="550" spans="1:23" x14ac:dyDescent="0.15">
      <c r="A550">
        <v>2010</v>
      </c>
      <c r="B550" s="27">
        <v>2132.9</v>
      </c>
      <c r="C550" s="27">
        <v>2132.9</v>
      </c>
      <c r="J550">
        <v>2010</v>
      </c>
      <c r="K550" s="27">
        <v>1717.5</v>
      </c>
      <c r="L550" s="27">
        <v>440.46</v>
      </c>
      <c r="M550" s="27">
        <f>K550/EXP(2*SQRT(LN(1+L550^2/K550^2)))</f>
        <v>1036.7667991471333</v>
      </c>
      <c r="N550" s="27">
        <f>K550*EXP(2*SQRT(LN(1+L550^2/K550^2)))</f>
        <v>2845.1974469346187</v>
      </c>
      <c r="O550" s="27">
        <v>1823.7</v>
      </c>
      <c r="P550" s="27">
        <v>439.69</v>
      </c>
      <c r="Q550" s="27">
        <v>1717.5</v>
      </c>
      <c r="R550" s="27">
        <v>440.46</v>
      </c>
    </row>
    <row r="551" spans="1:23" x14ac:dyDescent="0.15">
      <c r="A551">
        <v>2011</v>
      </c>
      <c r="B551" s="27">
        <v>2647.7</v>
      </c>
      <c r="C551" s="27">
        <v>2647.7</v>
      </c>
      <c r="J551">
        <v>2011</v>
      </c>
      <c r="K551" s="27">
        <v>1840.7</v>
      </c>
      <c r="L551" s="27">
        <v>583.82000000000005</v>
      </c>
      <c r="M551" s="27">
        <f>K551/EXP(2*SQRT(LN(1+L551^2/K551^2)))</f>
        <v>990.98024177477964</v>
      </c>
      <c r="N551" s="27">
        <f>K551*EXP(2*SQRT(LN(1+L551^2/K551^2)))</f>
        <v>3419.0151802946157</v>
      </c>
      <c r="O551" s="27">
        <v>2027.9</v>
      </c>
      <c r="P551" s="27">
        <v>583.03</v>
      </c>
      <c r="Q551" s="27">
        <v>1840.7</v>
      </c>
      <c r="R551" s="27">
        <v>583.82000000000005</v>
      </c>
    </row>
    <row r="552" spans="1:23" x14ac:dyDescent="0.15">
      <c r="A552">
        <v>2012</v>
      </c>
      <c r="B552" s="27">
        <v>3017.1</v>
      </c>
      <c r="C552" s="27">
        <v>3017.1</v>
      </c>
      <c r="J552">
        <v>2012</v>
      </c>
      <c r="K552" s="27">
        <v>2006.4</v>
      </c>
      <c r="L552" s="27">
        <v>839.94</v>
      </c>
      <c r="M552" s="27">
        <f>K552/EXP(2*SQRT(LN(1+L552^2/K552^2)))</f>
        <v>898.20712344113292</v>
      </c>
      <c r="N552" s="27">
        <f>K552*EXP(2*SQRT(LN(1+L552^2/K552^2)))</f>
        <v>4481.8626516535687</v>
      </c>
      <c r="O552" s="27">
        <v>2263.9</v>
      </c>
      <c r="P552" s="27">
        <v>837.73</v>
      </c>
      <c r="Q552" s="27">
        <v>2006.4</v>
      </c>
      <c r="R552" s="27">
        <v>839.94</v>
      </c>
    </row>
    <row r="553" spans="1:23" x14ac:dyDescent="0.15">
      <c r="J553">
        <v>2013</v>
      </c>
      <c r="K553" s="27">
        <v>2301.4</v>
      </c>
      <c r="L553" s="27">
        <v>1145.7</v>
      </c>
      <c r="O553" s="27">
        <v>2625.8</v>
      </c>
      <c r="P553" s="27">
        <v>1143.2</v>
      </c>
      <c r="Q553" s="27">
        <v>2301.4</v>
      </c>
      <c r="R553" s="27">
        <v>1145.7</v>
      </c>
    </row>
    <row r="560" spans="1:23" x14ac:dyDescent="0.15">
      <c r="C560" t="s">
        <v>128</v>
      </c>
      <c r="D560" t="s">
        <v>675</v>
      </c>
      <c r="E560" t="s">
        <v>199</v>
      </c>
      <c r="I560">
        <v>1</v>
      </c>
      <c r="J560">
        <v>2</v>
      </c>
      <c r="K560">
        <v>3</v>
      </c>
      <c r="L560">
        <v>4</v>
      </c>
      <c r="M560">
        <v>5</v>
      </c>
      <c r="N560">
        <v>6</v>
      </c>
      <c r="O560">
        <v>7</v>
      </c>
      <c r="P560">
        <v>8</v>
      </c>
      <c r="Q560">
        <v>9</v>
      </c>
      <c r="R560">
        <v>10</v>
      </c>
      <c r="S560">
        <v>11</v>
      </c>
      <c r="T560">
        <v>12</v>
      </c>
      <c r="U560">
        <v>13</v>
      </c>
      <c r="V560">
        <v>14</v>
      </c>
      <c r="W560">
        <v>15</v>
      </c>
    </row>
    <row r="561" spans="2:23" x14ac:dyDescent="0.15">
      <c r="B561" t="e">
        <f>pm.rep!#REF!</f>
        <v>#REF!</v>
      </c>
      <c r="C561" s="27" t="e">
        <f>pm.rep!#REF!</f>
        <v>#REF!</v>
      </c>
      <c r="D561" s="27" t="e">
        <f>pm.rep!#REF!</f>
        <v>#REF!</v>
      </c>
      <c r="E561" s="23" t="e">
        <f>pm.rep!#REF!</f>
        <v>#REF!</v>
      </c>
      <c r="H561" t="s">
        <v>851</v>
      </c>
      <c r="I561">
        <f>pm.rep!B858</f>
        <v>24938.400000000001</v>
      </c>
      <c r="J561">
        <f>pm.rep!C858</f>
        <v>10791.8</v>
      </c>
      <c r="K561">
        <f>pm.rep!D858</f>
        <v>4909.34</v>
      </c>
      <c r="L561">
        <f>pm.rep!E858</f>
        <v>3454.93</v>
      </c>
      <c r="M561">
        <f>pm.rep!F858</f>
        <v>4242.72</v>
      </c>
      <c r="N561">
        <f>pm.rep!G858</f>
        <v>5544.84</v>
      </c>
      <c r="O561">
        <f>pm.rep!H858</f>
        <v>621.30100000000004</v>
      </c>
      <c r="P561">
        <f>pm.rep!I858</f>
        <v>429.36500000000001</v>
      </c>
      <c r="Q561">
        <f>pm.rep!J858</f>
        <v>395.33699999999999</v>
      </c>
      <c r="R561">
        <f>pm.rep!K858</f>
        <v>612.30899999999997</v>
      </c>
      <c r="S561">
        <f>pm.rep!L858</f>
        <v>95.632400000000004</v>
      </c>
      <c r="T561">
        <f>pm.rep!M858</f>
        <v>54.9041</v>
      </c>
      <c r="U561">
        <f>pm.rep!N858</f>
        <v>13.1416</v>
      </c>
      <c r="V561">
        <f>pm.rep!O858</f>
        <v>3.04826</v>
      </c>
      <c r="W561">
        <f>pm.rep!P858</f>
        <v>8.9292400000000001</v>
      </c>
    </row>
    <row r="562" spans="2:23" x14ac:dyDescent="0.15">
      <c r="B562" t="e">
        <f>pm.rep!#REF!</f>
        <v>#REF!</v>
      </c>
      <c r="C562" s="27" t="e">
        <f>pm.rep!#REF!</f>
        <v>#REF!</v>
      </c>
      <c r="D562" s="27" t="e">
        <f>pm.rep!#REF!</f>
        <v>#REF!</v>
      </c>
      <c r="E562" s="23" t="e">
        <f>pm.rep!#REF!</f>
        <v>#REF!</v>
      </c>
      <c r="I562" s="25">
        <v>6.4999999999999997E-3</v>
      </c>
      <c r="J562" s="25">
        <v>0.13478499999999999</v>
      </c>
      <c r="K562" s="25">
        <v>0.28978775099999998</v>
      </c>
      <c r="L562" s="25">
        <v>0.44803500000000002</v>
      </c>
      <c r="M562" s="25">
        <v>0.65129208660000004</v>
      </c>
      <c r="N562" s="25">
        <v>0.79937126679999992</v>
      </c>
      <c r="O562" s="25">
        <v>0.93537028960000002</v>
      </c>
      <c r="P562" s="25">
        <v>1.0588040019999998</v>
      </c>
      <c r="Q562" s="25">
        <v>1.1742424199999999</v>
      </c>
      <c r="R562" s="25">
        <v>1.2815603269999998</v>
      </c>
      <c r="S562" s="25">
        <v>1.3622849039999998</v>
      </c>
      <c r="T562" s="25">
        <v>1.4446534180000001</v>
      </c>
      <c r="U562" s="25">
        <v>1.583056255</v>
      </c>
      <c r="V562" s="25">
        <v>1.583798934</v>
      </c>
      <c r="W562" s="25">
        <v>1.7249068259999993</v>
      </c>
    </row>
    <row r="563" spans="2:23" x14ac:dyDescent="0.15">
      <c r="B563" t="e">
        <f>pm.rep!#REF!</f>
        <v>#REF!</v>
      </c>
      <c r="C563" s="27" t="e">
        <f>pm.rep!#REF!</f>
        <v>#REF!</v>
      </c>
      <c r="D563" s="27" t="e">
        <f>pm.rep!#REF!</f>
        <v>#REF!</v>
      </c>
      <c r="E563" s="23" t="e">
        <f>pm.rep!#REF!</f>
        <v>#REF!</v>
      </c>
      <c r="H563" s="27">
        <f>SUMPRODUCT(I561:W561,I562:W562,I563:W563)</f>
        <v>5104.5100504155444</v>
      </c>
      <c r="I563">
        <v>0</v>
      </c>
      <c r="J563">
        <v>4.0000000000000001E-3</v>
      </c>
      <c r="K563">
        <v>0.14449999999999999</v>
      </c>
      <c r="L563">
        <v>0.32050000000000001</v>
      </c>
      <c r="M563">
        <v>0.42099999999999999</v>
      </c>
      <c r="N563">
        <v>0.45050000000000001</v>
      </c>
      <c r="O563">
        <v>0.47349999999999998</v>
      </c>
      <c r="P563">
        <v>0.48149999999999998</v>
      </c>
      <c r="Q563">
        <v>0.48499999999999999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</row>
    <row r="564" spans="2:23" x14ac:dyDescent="0.15">
      <c r="B564" t="e">
        <f>pm.rep!#REF!</f>
        <v>#REF!</v>
      </c>
      <c r="C564" s="27" t="e">
        <f>pm.rep!#REF!</f>
        <v>#REF!</v>
      </c>
      <c r="D564" s="27" t="e">
        <f>pm.rep!#REF!</f>
        <v>#REF!</v>
      </c>
      <c r="E564" s="23" t="e">
        <f>pm.rep!#REF!</f>
        <v>#REF!</v>
      </c>
      <c r="I564" s="27">
        <f>I561*I562*I563</f>
        <v>0</v>
      </c>
      <c r="J564" s="27">
        <f>J561*J562*J563</f>
        <v>5.8182910519999984</v>
      </c>
      <c r="K564" s="27">
        <f>K561*K562*K563</f>
        <v>205.57532333793213</v>
      </c>
      <c r="L564" s="27">
        <f>L561*L562*L563</f>
        <v>496.11142479727499</v>
      </c>
      <c r="M564" s="27">
        <f>M561*M562*M563</f>
        <v>1163.3282338586714</v>
      </c>
      <c r="N564" s="27">
        <f t="shared" ref="N564:W564" si="168">N561*N562*N563</f>
        <v>1996.7897916389923</v>
      </c>
      <c r="O564" s="27">
        <f t="shared" si="168"/>
        <v>275.1728659974674</v>
      </c>
      <c r="P564" s="27">
        <f t="shared" si="168"/>
        <v>218.89634262346846</v>
      </c>
      <c r="Q564" s="27">
        <f t="shared" si="168"/>
        <v>225.14741566383688</v>
      </c>
      <c r="R564" s="27">
        <f t="shared" si="168"/>
        <v>392.35546113252138</v>
      </c>
      <c r="S564" s="27">
        <f t="shared" si="168"/>
        <v>65.139287426644799</v>
      </c>
      <c r="T564" s="27">
        <f t="shared" si="168"/>
        <v>39.658697863606903</v>
      </c>
      <c r="U564" s="27">
        <f t="shared" si="168"/>
        <v>10.401946040354</v>
      </c>
      <c r="V564" s="27">
        <f t="shared" si="168"/>
        <v>2.4139154692774198</v>
      </c>
      <c r="W564" s="27">
        <f t="shared" si="168"/>
        <v>7.7010535134961167</v>
      </c>
    </row>
    <row r="565" spans="2:23" x14ac:dyDescent="0.15">
      <c r="B565" t="e">
        <f>pm.rep!#REF!</f>
        <v>#REF!</v>
      </c>
      <c r="C565" s="27" t="e">
        <f>pm.rep!#REF!</f>
        <v>#REF!</v>
      </c>
      <c r="D565" s="27" t="e">
        <f>pm.rep!#REF!</f>
        <v>#REF!</v>
      </c>
      <c r="E565" s="23" t="e">
        <f>pm.rep!#REF!</f>
        <v>#REF!</v>
      </c>
      <c r="I565" s="23">
        <f>I564/$H$563</f>
        <v>0</v>
      </c>
      <c r="J565" s="23">
        <f t="shared" ref="J565:W565" si="169">J564/$H$563</f>
        <v>1.1398334011559733E-3</v>
      </c>
      <c r="K565" s="23">
        <f t="shared" si="169"/>
        <v>4.0273272323402873E-2</v>
      </c>
      <c r="L565" s="23">
        <f t="shared" si="169"/>
        <v>9.719080183942197E-2</v>
      </c>
      <c r="M565" s="23">
        <f t="shared" si="169"/>
        <v>0.22790203611489962</v>
      </c>
      <c r="N565" s="23">
        <f t="shared" si="169"/>
        <v>0.39118147910717482</v>
      </c>
      <c r="O565" s="23">
        <f t="shared" si="169"/>
        <v>5.3907791987806215E-2</v>
      </c>
      <c r="P565" s="23">
        <f t="shared" si="169"/>
        <v>4.2882929108083293E-2</v>
      </c>
      <c r="Q565" s="23">
        <f t="shared" si="169"/>
        <v>4.4107546745942493E-2</v>
      </c>
      <c r="R565" s="23">
        <f t="shared" si="169"/>
        <v>7.6864470293398837E-2</v>
      </c>
      <c r="S565" s="23">
        <f t="shared" si="169"/>
        <v>1.2761124335790462E-2</v>
      </c>
      <c r="T565" s="23">
        <f t="shared" si="169"/>
        <v>7.7693446524565854E-3</v>
      </c>
      <c r="U565" s="23">
        <f t="shared" si="169"/>
        <v>2.0377951924116997E-3</v>
      </c>
      <c r="V565" s="23">
        <f t="shared" si="169"/>
        <v>4.7289856331674955E-4</v>
      </c>
      <c r="W565" s="23">
        <f t="shared" si="169"/>
        <v>1.5086763347383742E-3</v>
      </c>
    </row>
    <row r="566" spans="2:23" x14ac:dyDescent="0.15">
      <c r="B566" t="e">
        <f>pm.rep!#REF!</f>
        <v>#REF!</v>
      </c>
      <c r="C566" s="27" t="e">
        <f>pm.rep!#REF!</f>
        <v>#REF!</v>
      </c>
      <c r="D566" s="27" t="e">
        <f>pm.rep!#REF!</f>
        <v>#REF!</v>
      </c>
      <c r="E566" s="23" t="e">
        <f>pm.rep!#REF!</f>
        <v>#REF!</v>
      </c>
    </row>
    <row r="567" spans="2:23" x14ac:dyDescent="0.15">
      <c r="B567" t="e">
        <f>pm.rep!#REF!</f>
        <v>#REF!</v>
      </c>
      <c r="C567" s="27" t="e">
        <f>pm.rep!#REF!</f>
        <v>#REF!</v>
      </c>
      <c r="D567" s="27" t="e">
        <f>pm.rep!#REF!</f>
        <v>#REF!</v>
      </c>
      <c r="E567" s="23" t="e">
        <f>pm.rep!#REF!</f>
        <v>#REF!</v>
      </c>
    </row>
    <row r="568" spans="2:23" x14ac:dyDescent="0.15">
      <c r="B568" t="e">
        <f>pm.rep!#REF!</f>
        <v>#REF!</v>
      </c>
      <c r="C568" s="27" t="e">
        <f>pm.rep!#REF!</f>
        <v>#REF!</v>
      </c>
      <c r="D568" s="27" t="e">
        <f>pm.rep!#REF!</f>
        <v>#REF!</v>
      </c>
      <c r="E568" s="23" t="e">
        <f>pm.rep!#REF!</f>
        <v>#REF!</v>
      </c>
    </row>
    <row r="569" spans="2:23" x14ac:dyDescent="0.15">
      <c r="B569" t="e">
        <f>pm.rep!#REF!</f>
        <v>#REF!</v>
      </c>
      <c r="C569" s="27" t="e">
        <f>pm.rep!#REF!</f>
        <v>#REF!</v>
      </c>
      <c r="D569" s="27" t="e">
        <f>pm.rep!#REF!</f>
        <v>#REF!</v>
      </c>
      <c r="E569" s="23" t="e">
        <f>pm.rep!#REF!</f>
        <v>#REF!</v>
      </c>
      <c r="I569">
        <v>0.49296000000000001</v>
      </c>
      <c r="J569">
        <v>0.418659</v>
      </c>
      <c r="K569">
        <v>0.34861500000000001</v>
      </c>
      <c r="L569">
        <v>0.42519299999999999</v>
      </c>
      <c r="M569">
        <v>0.55512099999999998</v>
      </c>
      <c r="N569">
        <v>0.56149000000000004</v>
      </c>
      <c r="O569">
        <v>0.58407299999999995</v>
      </c>
      <c r="P569">
        <v>0.63025799999999998</v>
      </c>
    </row>
    <row r="570" spans="2:23" x14ac:dyDescent="0.15">
      <c r="B570" t="e">
        <f>pm.rep!#REF!</f>
        <v>#REF!</v>
      </c>
      <c r="C570" s="27" t="e">
        <f>pm.rep!#REF!</f>
        <v>#REF!</v>
      </c>
      <c r="D570" s="27" t="e">
        <f>pm.rep!#REF!</f>
        <v>#REF!</v>
      </c>
      <c r="E570" s="23" t="e">
        <f>pm.rep!#REF!</f>
        <v>#REF!</v>
      </c>
    </row>
    <row r="571" spans="2:23" x14ac:dyDescent="0.15">
      <c r="B571" t="e">
        <f>pm.rep!#REF!</f>
        <v>#REF!</v>
      </c>
      <c r="C571" s="27" t="e">
        <f>pm.rep!#REF!</f>
        <v>#REF!</v>
      </c>
      <c r="D571" s="27" t="e">
        <f>pm.rep!#REF!</f>
        <v>#REF!</v>
      </c>
      <c r="E571" s="23" t="e">
        <f>pm.rep!#REF!</f>
        <v>#REF!</v>
      </c>
    </row>
    <row r="572" spans="2:23" x14ac:dyDescent="0.15">
      <c r="B572" t="e">
        <f>pm.rep!#REF!</f>
        <v>#REF!</v>
      </c>
      <c r="C572" s="27" t="e">
        <f>pm.rep!#REF!</f>
        <v>#REF!</v>
      </c>
      <c r="D572" s="27" t="e">
        <f>pm.rep!#REF!</f>
        <v>#REF!</v>
      </c>
      <c r="E572" s="23" t="e">
        <f>pm.rep!#REF!</f>
        <v>#REF!</v>
      </c>
    </row>
    <row r="573" spans="2:23" x14ac:dyDescent="0.15">
      <c r="B573" t="e">
        <f>pm.rep!#REF!</f>
        <v>#REF!</v>
      </c>
      <c r="C573" s="27" t="e">
        <f>pm.rep!#REF!</f>
        <v>#REF!</v>
      </c>
      <c r="D573" s="27" t="e">
        <f>pm.rep!#REF!</f>
        <v>#REF!</v>
      </c>
      <c r="E573" s="23" t="e">
        <f>pm.rep!#REF!</f>
        <v>#REF!</v>
      </c>
    </row>
    <row r="574" spans="2:23" x14ac:dyDescent="0.15">
      <c r="B574" t="e">
        <f>pm.rep!#REF!</f>
        <v>#REF!</v>
      </c>
      <c r="C574" s="27" t="e">
        <f>pm.rep!#REF!</f>
        <v>#REF!</v>
      </c>
      <c r="D574" s="27" t="e">
        <f>pm.rep!#REF!</f>
        <v>#REF!</v>
      </c>
      <c r="E574" s="23" t="e">
        <f>pm.rep!#REF!</f>
        <v>#REF!</v>
      </c>
    </row>
    <row r="575" spans="2:23" x14ac:dyDescent="0.15">
      <c r="B575" t="e">
        <f>pm.rep!#REF!</f>
        <v>#REF!</v>
      </c>
      <c r="C575" s="27" t="e">
        <f>pm.rep!#REF!</f>
        <v>#REF!</v>
      </c>
      <c r="D575" s="27" t="e">
        <f>pm.rep!#REF!</f>
        <v>#REF!</v>
      </c>
      <c r="E575" s="23" t="e">
        <f>pm.rep!#REF!</f>
        <v>#REF!</v>
      </c>
    </row>
    <row r="576" spans="2:23" x14ac:dyDescent="0.15">
      <c r="B576" t="e">
        <f>pm.rep!#REF!</f>
        <v>#REF!</v>
      </c>
      <c r="C576" s="27" t="e">
        <f>pm.rep!#REF!</f>
        <v>#REF!</v>
      </c>
      <c r="D576" s="27" t="e">
        <f>pm.rep!#REF!</f>
        <v>#REF!</v>
      </c>
      <c r="E576" s="23" t="e">
        <f>pm.rep!#REF!</f>
        <v>#REF!</v>
      </c>
    </row>
    <row r="577" spans="2:11" x14ac:dyDescent="0.15">
      <c r="B577" t="e">
        <f>pm.rep!#REF!</f>
        <v>#REF!</v>
      </c>
      <c r="C577" s="27" t="e">
        <f>pm.rep!#REF!</f>
        <v>#REF!</v>
      </c>
      <c r="D577" s="27" t="e">
        <f>pm.rep!#REF!</f>
        <v>#REF!</v>
      </c>
      <c r="E577" s="23" t="e">
        <f>pm.rep!#REF!</f>
        <v>#REF!</v>
      </c>
    </row>
    <row r="578" spans="2:11" x14ac:dyDescent="0.15">
      <c r="B578" t="e">
        <f>pm.rep!#REF!</f>
        <v>#REF!</v>
      </c>
      <c r="C578" s="27" t="e">
        <f>pm.rep!#REF!</f>
        <v>#REF!</v>
      </c>
      <c r="D578" s="27" t="e">
        <f>pm.rep!#REF!</f>
        <v>#REF!</v>
      </c>
      <c r="E578" s="23" t="e">
        <f>pm.rep!#REF!</f>
        <v>#REF!</v>
      </c>
    </row>
    <row r="579" spans="2:11" x14ac:dyDescent="0.15">
      <c r="B579" t="e">
        <f>pm.rep!#REF!</f>
        <v>#REF!</v>
      </c>
      <c r="C579" s="27" t="e">
        <f>pm.rep!#REF!</f>
        <v>#REF!</v>
      </c>
      <c r="D579" s="27" t="e">
        <f>pm.rep!#REF!</f>
        <v>#REF!</v>
      </c>
      <c r="E579" s="23" t="e">
        <f>pm.rep!#REF!</f>
        <v>#REF!</v>
      </c>
    </row>
    <row r="580" spans="2:11" x14ac:dyDescent="0.15">
      <c r="B580" t="e">
        <f>pm.rep!#REF!</f>
        <v>#REF!</v>
      </c>
      <c r="C580" s="27" t="e">
        <f>pm.rep!#REF!</f>
        <v>#REF!</v>
      </c>
      <c r="D580" s="27" t="e">
        <f>pm.rep!#REF!</f>
        <v>#REF!</v>
      </c>
      <c r="E580" s="23" t="e">
        <f>pm.rep!#REF!</f>
        <v>#REF!</v>
      </c>
    </row>
    <row r="581" spans="2:11" x14ac:dyDescent="0.15">
      <c r="B581" t="e">
        <f>pm.rep!#REF!</f>
        <v>#REF!</v>
      </c>
      <c r="C581" s="27" t="e">
        <f>pm.rep!#REF!</f>
        <v>#REF!</v>
      </c>
      <c r="D581" s="27" t="e">
        <f>pm.rep!#REF!</f>
        <v>#REF!</v>
      </c>
      <c r="E581" s="23" t="e">
        <f>pm.rep!#REF!</f>
        <v>#REF!</v>
      </c>
    </row>
    <row r="582" spans="2:11" x14ac:dyDescent="0.15">
      <c r="B582" t="e">
        <f>pm.rep!#REF!</f>
        <v>#REF!</v>
      </c>
      <c r="C582" s="27" t="e">
        <f>pm.rep!#REF!</f>
        <v>#REF!</v>
      </c>
      <c r="D582" s="27" t="e">
        <f>pm.rep!#REF!</f>
        <v>#REF!</v>
      </c>
      <c r="E582" s="23" t="e">
        <f>pm.rep!#REF!</f>
        <v>#REF!</v>
      </c>
    </row>
    <row r="583" spans="2:11" x14ac:dyDescent="0.15">
      <c r="B583" t="e">
        <f>pm.rep!#REF!</f>
        <v>#REF!</v>
      </c>
      <c r="C583" s="27" t="e">
        <f>pm.rep!#REF!</f>
        <v>#REF!</v>
      </c>
      <c r="D583" s="27" t="e">
        <f>pm.rep!#REF!</f>
        <v>#REF!</v>
      </c>
      <c r="E583" s="23" t="e">
        <f>pm.rep!#REF!</f>
        <v>#REF!</v>
      </c>
    </row>
    <row r="584" spans="2:11" x14ac:dyDescent="0.15">
      <c r="B584" t="e">
        <f>pm.rep!#REF!</f>
        <v>#REF!</v>
      </c>
      <c r="C584" s="27" t="e">
        <f>pm.rep!#REF!</f>
        <v>#REF!</v>
      </c>
      <c r="D584" s="27" t="e">
        <f>pm.rep!#REF!</f>
        <v>#REF!</v>
      </c>
      <c r="E584" s="23" t="e">
        <f>pm.rep!#REF!</f>
        <v>#REF!</v>
      </c>
    </row>
    <row r="585" spans="2:11" x14ac:dyDescent="0.15">
      <c r="B585" t="e">
        <f>pm.rep!#REF!</f>
        <v>#REF!</v>
      </c>
      <c r="C585" s="27" t="e">
        <f>pm.rep!#REF!</f>
        <v>#REF!</v>
      </c>
      <c r="D585" s="27" t="e">
        <f>pm.rep!#REF!</f>
        <v>#REF!</v>
      </c>
      <c r="E585" s="23" t="e">
        <f>pm.rep!#REF!</f>
        <v>#REF!</v>
      </c>
    </row>
    <row r="586" spans="2:11" x14ac:dyDescent="0.15">
      <c r="B586" t="e">
        <f>pm.rep!#REF!</f>
        <v>#REF!</v>
      </c>
      <c r="C586" s="27" t="e">
        <f>pm.rep!#REF!</f>
        <v>#REF!</v>
      </c>
      <c r="D586" s="27" t="e">
        <f>pm.rep!#REF!</f>
        <v>#REF!</v>
      </c>
      <c r="E586" s="23" t="e">
        <f>pm.rep!#REF!</f>
        <v>#REF!</v>
      </c>
    </row>
    <row r="587" spans="2:11" x14ac:dyDescent="0.15">
      <c r="B587" t="e">
        <f>pm.rep!#REF!</f>
        <v>#REF!</v>
      </c>
      <c r="C587" s="27" t="e">
        <f>pm.rep!#REF!</f>
        <v>#REF!</v>
      </c>
      <c r="D587" s="27" t="e">
        <f>pm.rep!#REF!</f>
        <v>#REF!</v>
      </c>
      <c r="E587" s="23" t="e">
        <f>pm.rep!#REF!</f>
        <v>#REF!</v>
      </c>
    </row>
    <row r="588" spans="2:11" x14ac:dyDescent="0.15">
      <c r="B588" t="e">
        <f>pm.rep!#REF!</f>
        <v>#REF!</v>
      </c>
      <c r="C588" s="27" t="e">
        <f>pm.rep!#REF!</f>
        <v>#REF!</v>
      </c>
      <c r="D588" s="27" t="e">
        <f>pm.rep!#REF!</f>
        <v>#REF!</v>
      </c>
      <c r="E588" s="23" t="e">
        <f>pm.rep!#REF!</f>
        <v>#REF!</v>
      </c>
    </row>
    <row r="589" spans="2:11" x14ac:dyDescent="0.15">
      <c r="B589" t="e">
        <f>pm.rep!#REF!</f>
        <v>#REF!</v>
      </c>
      <c r="C589" s="27" t="e">
        <f>pm.rep!#REF!</f>
        <v>#REF!</v>
      </c>
      <c r="D589" s="27" t="e">
        <f>pm.rep!#REF!</f>
        <v>#REF!</v>
      </c>
      <c r="E589" s="23" t="e">
        <f>pm.rep!#REF!</f>
        <v>#REF!</v>
      </c>
    </row>
    <row r="591" spans="2:11" x14ac:dyDescent="0.15">
      <c r="H591" t="s">
        <v>1131</v>
      </c>
      <c r="I591" t="s">
        <v>1132</v>
      </c>
      <c r="J591" t="s">
        <v>1133</v>
      </c>
      <c r="K591" t="s">
        <v>1134</v>
      </c>
    </row>
    <row r="592" spans="2:11" x14ac:dyDescent="0.15">
      <c r="G592">
        <v>15.1</v>
      </c>
      <c r="H592" s="7">
        <v>0.34712090000000001</v>
      </c>
      <c r="I592" s="7">
        <v>0.8377156</v>
      </c>
      <c r="J592" s="7">
        <v>0.34411140000000001</v>
      </c>
      <c r="K592" s="7">
        <v>0.35942220000000002</v>
      </c>
    </row>
    <row r="593" spans="7:11" x14ac:dyDescent="0.15">
      <c r="G593">
        <v>16.100000000000001</v>
      </c>
      <c r="H593" s="7">
        <v>0.24510680000000001</v>
      </c>
      <c r="I593" s="7">
        <v>0.84648659999999998</v>
      </c>
      <c r="J593" s="7">
        <v>0.31034830000000002</v>
      </c>
      <c r="K593" s="7">
        <v>0.30803710000000001</v>
      </c>
    </row>
    <row r="596" spans="7:11" ht="80" x14ac:dyDescent="0.4">
      <c r="G596" s="276" t="s">
        <v>110</v>
      </c>
      <c r="H596" s="268" t="s">
        <v>1135</v>
      </c>
      <c r="I596" s="268" t="s">
        <v>1135</v>
      </c>
      <c r="J596" s="268" t="s">
        <v>1137</v>
      </c>
      <c r="K596" s="274" t="s">
        <v>1134</v>
      </c>
    </row>
    <row r="597" spans="7:11" ht="161" thickBot="1" x14ac:dyDescent="0.45">
      <c r="G597" s="277"/>
      <c r="H597" s="269" t="s">
        <v>140</v>
      </c>
      <c r="I597" s="269" t="s">
        <v>1136</v>
      </c>
      <c r="J597" s="269" t="s">
        <v>140</v>
      </c>
      <c r="K597" s="275"/>
    </row>
    <row r="598" spans="7:11" ht="41" thickBot="1" x14ac:dyDescent="0.45">
      <c r="G598" s="270">
        <v>15.1</v>
      </c>
      <c r="H598" s="270">
        <v>0.34710000000000002</v>
      </c>
      <c r="I598" s="271">
        <v>0.8377</v>
      </c>
      <c r="J598" s="270">
        <v>0.34410000000000002</v>
      </c>
      <c r="K598" s="271">
        <v>0.3594</v>
      </c>
    </row>
    <row r="599" spans="7:11" ht="41" thickBot="1" x14ac:dyDescent="0.45">
      <c r="G599" s="272">
        <v>16.100000000000001</v>
      </c>
      <c r="H599" s="273">
        <v>0.24510000000000001</v>
      </c>
      <c r="I599" s="272">
        <v>0.84650000000000003</v>
      </c>
      <c r="J599" s="273">
        <v>0.31030000000000002</v>
      </c>
      <c r="K599" s="272">
        <v>0.308</v>
      </c>
    </row>
  </sheetData>
  <mergeCells count="2">
    <mergeCell ref="K596:K597"/>
    <mergeCell ref="G596:G597"/>
  </mergeCells>
  <phoneticPr fontId="7" type="noConversion"/>
  <conditionalFormatting sqref="F226:F276">
    <cfRule type="colorScale" priority="30">
      <colorScale>
        <cfvo type="min"/>
        <cfvo type="max"/>
        <color rgb="FFFCFCFF"/>
        <color rgb="FFF8696B"/>
      </colorScale>
    </cfRule>
  </conditionalFormatting>
  <conditionalFormatting sqref="G226:G276">
    <cfRule type="colorScale" priority="29">
      <colorScale>
        <cfvo type="min"/>
        <cfvo type="max"/>
        <color rgb="FFFCFCFF"/>
        <color rgb="FFF8696B"/>
      </colorScale>
    </cfRule>
  </conditionalFormatting>
  <conditionalFormatting sqref="H226:H276">
    <cfRule type="colorScale" priority="28">
      <colorScale>
        <cfvo type="min"/>
        <cfvo type="max"/>
        <color rgb="FFFCFCFF"/>
        <color rgb="FFF8696B"/>
      </colorScale>
    </cfRule>
  </conditionalFormatting>
  <conditionalFormatting sqref="I226:I276">
    <cfRule type="colorScale" priority="27">
      <colorScale>
        <cfvo type="min"/>
        <cfvo type="max"/>
        <color rgb="FFFCFCFF"/>
        <color rgb="FFF8696B"/>
      </colorScale>
    </cfRule>
  </conditionalFormatting>
  <conditionalFormatting sqref="J226:J276">
    <cfRule type="colorScale" priority="26">
      <colorScale>
        <cfvo type="min"/>
        <cfvo type="max"/>
        <color rgb="FFFCFCFF"/>
        <color rgb="FFF8696B"/>
      </colorScale>
    </cfRule>
  </conditionalFormatting>
  <conditionalFormatting sqref="K226:K276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26:L276">
    <cfRule type="colorScale" priority="24">
      <colorScale>
        <cfvo type="min"/>
        <cfvo type="max"/>
        <color rgb="FFFCFCFF"/>
        <color rgb="FFF8696B"/>
      </colorScale>
    </cfRule>
  </conditionalFormatting>
  <conditionalFormatting sqref="M226:M276">
    <cfRule type="colorScale" priority="23">
      <colorScale>
        <cfvo type="min"/>
        <cfvo type="max"/>
        <color rgb="FFFCFCFF"/>
        <color rgb="FFF8696B"/>
      </colorScale>
    </cfRule>
  </conditionalFormatting>
  <conditionalFormatting sqref="N226:N276">
    <cfRule type="colorScale" priority="22">
      <colorScale>
        <cfvo type="min"/>
        <cfvo type="max"/>
        <color rgb="FFFCFCFF"/>
        <color rgb="FFF8696B"/>
      </colorScale>
    </cfRule>
  </conditionalFormatting>
  <conditionalFormatting sqref="O226:O276">
    <cfRule type="colorScale" priority="21">
      <colorScale>
        <cfvo type="min"/>
        <cfvo type="max"/>
        <color rgb="FFFCFCFF"/>
        <color rgb="FFF8696B"/>
      </colorScale>
    </cfRule>
  </conditionalFormatting>
  <conditionalFormatting sqref="P226:P276">
    <cfRule type="colorScale" priority="20">
      <colorScale>
        <cfvo type="min"/>
        <cfvo type="max"/>
        <color rgb="FFFCFCFF"/>
        <color rgb="FFF8696B"/>
      </colorScale>
    </cfRule>
  </conditionalFormatting>
  <conditionalFormatting sqref="Q226:Q276">
    <cfRule type="colorScale" priority="19">
      <colorScale>
        <cfvo type="min"/>
        <cfvo type="max"/>
        <color rgb="FFFCFCFF"/>
        <color rgb="FFF8696B"/>
      </colorScale>
    </cfRule>
  </conditionalFormatting>
  <conditionalFormatting sqref="R226:R276">
    <cfRule type="colorScale" priority="18">
      <colorScale>
        <cfvo type="min"/>
        <cfvo type="max"/>
        <color rgb="FFFCFCFF"/>
        <color rgb="FFF8696B"/>
      </colorScale>
    </cfRule>
  </conditionalFormatting>
  <conditionalFormatting sqref="S226:S276">
    <cfRule type="colorScale" priority="17">
      <colorScale>
        <cfvo type="min"/>
        <cfvo type="max"/>
        <color rgb="FFFCFCFF"/>
        <color rgb="FFF8696B"/>
      </colorScale>
    </cfRule>
  </conditionalFormatting>
  <conditionalFormatting sqref="E277:S279">
    <cfRule type="colorScale" priority="16">
      <colorScale>
        <cfvo type="min"/>
        <cfvo type="max"/>
        <color rgb="FFFCFCFF"/>
        <color rgb="FFF8696B"/>
      </colorScale>
    </cfRule>
  </conditionalFormatting>
  <conditionalFormatting sqref="G143:G160">
    <cfRule type="colorScale" priority="15">
      <colorScale>
        <cfvo type="min"/>
        <cfvo type="max"/>
        <color rgb="FFFCFCFF"/>
        <color rgb="FFF8696B"/>
      </colorScale>
    </cfRule>
  </conditionalFormatting>
  <conditionalFormatting sqref="F143:F160">
    <cfRule type="colorScale" priority="14">
      <colorScale>
        <cfvo type="min"/>
        <cfvo type="max"/>
        <color rgb="FFFCFCFF"/>
        <color rgb="FFF8696B"/>
      </colorScale>
    </cfRule>
  </conditionalFormatting>
  <conditionalFormatting sqref="E143:E160">
    <cfRule type="colorScale" priority="13">
      <colorScale>
        <cfvo type="min"/>
        <cfvo type="max"/>
        <color rgb="FFFCFCFF"/>
        <color rgb="FFF8696B"/>
      </colorScale>
    </cfRule>
  </conditionalFormatting>
  <conditionalFormatting sqref="H143:H160">
    <cfRule type="colorScale" priority="12">
      <colorScale>
        <cfvo type="min"/>
        <cfvo type="max"/>
        <color rgb="FFFCFCFF"/>
        <color rgb="FFF8696B"/>
      </colorScale>
    </cfRule>
  </conditionalFormatting>
  <conditionalFormatting sqref="I143:I160">
    <cfRule type="colorScale" priority="11">
      <colorScale>
        <cfvo type="min"/>
        <cfvo type="max"/>
        <color rgb="FFFCFCFF"/>
        <color rgb="FFF8696B"/>
      </colorScale>
    </cfRule>
  </conditionalFormatting>
  <conditionalFormatting sqref="J143:J160">
    <cfRule type="colorScale" priority="10">
      <colorScale>
        <cfvo type="min"/>
        <cfvo type="max"/>
        <color rgb="FFFCFCFF"/>
        <color rgb="FFF8696B"/>
      </colorScale>
    </cfRule>
  </conditionalFormatting>
  <conditionalFormatting sqref="K143:K160">
    <cfRule type="colorScale" priority="9">
      <colorScale>
        <cfvo type="min"/>
        <cfvo type="max"/>
        <color rgb="FFFCFCFF"/>
        <color rgb="FFF8696B"/>
      </colorScale>
    </cfRule>
  </conditionalFormatting>
  <conditionalFormatting sqref="L143:L160">
    <cfRule type="colorScale" priority="8">
      <colorScale>
        <cfvo type="min"/>
        <cfvo type="max"/>
        <color rgb="FFFCFCFF"/>
        <color rgb="FFF8696B"/>
      </colorScale>
    </cfRule>
  </conditionalFormatting>
  <conditionalFormatting sqref="M143:M160">
    <cfRule type="colorScale" priority="7">
      <colorScale>
        <cfvo type="min"/>
        <cfvo type="max"/>
        <color rgb="FFFCFCFF"/>
        <color rgb="FFF8696B"/>
      </colorScale>
    </cfRule>
  </conditionalFormatting>
  <conditionalFormatting sqref="N143:N160">
    <cfRule type="colorScale" priority="6">
      <colorScale>
        <cfvo type="min"/>
        <cfvo type="max"/>
        <color rgb="FFFCFCFF"/>
        <color rgb="FFF8696B"/>
      </colorScale>
    </cfRule>
  </conditionalFormatting>
  <conditionalFormatting sqref="O143:O160">
    <cfRule type="colorScale" priority="5">
      <colorScale>
        <cfvo type="min"/>
        <cfvo type="max"/>
        <color rgb="FFFCFCFF"/>
        <color rgb="FFF8696B"/>
      </colorScale>
    </cfRule>
  </conditionalFormatting>
  <conditionalFormatting sqref="P143:P160">
    <cfRule type="colorScale" priority="4">
      <colorScale>
        <cfvo type="min"/>
        <cfvo type="max"/>
        <color rgb="FFFCFCFF"/>
        <color rgb="FFF8696B"/>
      </colorScale>
    </cfRule>
  </conditionalFormatting>
  <conditionalFormatting sqref="Q143:Q160">
    <cfRule type="colorScale" priority="3">
      <colorScale>
        <cfvo type="min"/>
        <cfvo type="max"/>
        <color rgb="FFFCFCFF"/>
        <color rgb="FFF8696B"/>
      </colorScale>
    </cfRule>
  </conditionalFormatting>
  <conditionalFormatting sqref="R143:R160">
    <cfRule type="colorScale" priority="2">
      <colorScale>
        <cfvo type="min"/>
        <cfvo type="max"/>
        <color rgb="FFFCFCFF"/>
        <color rgb="FFF8696B"/>
      </colorScale>
    </cfRule>
  </conditionalFormatting>
  <conditionalFormatting sqref="S143:S160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D478" r:id="rId1"/>
    <hyperlink ref="D479" r:id="rId2"/>
    <hyperlink ref="D465" r:id="rId3"/>
    <hyperlink ref="D466" r:id="rId4"/>
    <hyperlink ref="D491" r:id="rId5"/>
    <hyperlink ref="D490" r:id="rId6"/>
  </hyperlinks>
  <pageMargins left="0.75" right="0.75" top="1" bottom="1" header="0.5" footer="0.5"/>
  <pageSetup orientation="portrait" horizontalDpi="300" r:id="rId7"/>
  <headerFooter alignWithMargins="0"/>
  <drawing r:id="rId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rgb="FFFF0000"/>
  </sheetPr>
  <dimension ref="A1:BB1235"/>
  <sheetViews>
    <sheetView topLeftCell="A458" zoomScale="130" zoomScaleNormal="130" zoomScalePageLayoutView="130" workbookViewId="0">
      <selection activeCell="B504" sqref="B504"/>
    </sheetView>
  </sheetViews>
  <sheetFormatPr baseColWidth="10" defaultColWidth="8.83203125" defaultRowHeight="13" customHeight="1" x14ac:dyDescent="0.15"/>
  <cols>
    <col min="1" max="1" width="9" bestFit="1" customWidth="1"/>
    <col min="2" max="2" width="12.33203125" bestFit="1" customWidth="1"/>
    <col min="3" max="3" width="9" bestFit="1" customWidth="1"/>
    <col min="4" max="4" width="12.1640625" bestFit="1" customWidth="1"/>
    <col min="5" max="35" width="9" bestFit="1" customWidth="1"/>
  </cols>
  <sheetData>
    <row r="1" spans="1:54" ht="13" customHeight="1" x14ac:dyDescent="0.15">
      <c r="A1">
        <v>1.0446899999999999</v>
      </c>
    </row>
    <row r="2" spans="1:54" ht="13" customHeight="1" x14ac:dyDescent="0.15">
      <c r="A2">
        <v>1.02841</v>
      </c>
    </row>
    <row r="3" spans="1:54" ht="13" customHeight="1" x14ac:dyDescent="0.15">
      <c r="A3" t="s">
        <v>1124</v>
      </c>
    </row>
    <row r="4" spans="1:54" ht="13" customHeight="1" x14ac:dyDescent="0.15">
      <c r="A4" t="s">
        <v>1125</v>
      </c>
      <c r="B4" t="s">
        <v>1126</v>
      </c>
      <c r="C4">
        <v>1</v>
      </c>
      <c r="D4">
        <v>0.34731699999999999</v>
      </c>
      <c r="E4">
        <v>0.89357799999999998</v>
      </c>
      <c r="F4">
        <v>1.1169899999999999</v>
      </c>
      <c r="G4">
        <v>4.1466999999999997E-2</v>
      </c>
      <c r="H4">
        <v>0.9</v>
      </c>
      <c r="I4" t="s">
        <v>20</v>
      </c>
      <c r="J4" t="s">
        <v>156</v>
      </c>
      <c r="K4" t="s">
        <v>21</v>
      </c>
    </row>
    <row r="5" spans="1:54" ht="13" customHeight="1" x14ac:dyDescent="0.15">
      <c r="A5" t="s">
        <v>154</v>
      </c>
      <c r="B5" t="s">
        <v>155</v>
      </c>
      <c r="C5" t="s">
        <v>156</v>
      </c>
      <c r="D5" t="s">
        <v>128</v>
      </c>
    </row>
    <row r="6" spans="1:54" ht="13" customHeight="1" x14ac:dyDescent="0.15">
      <c r="B6">
        <v>175.37</v>
      </c>
      <c r="C6">
        <v>231.39500000000001</v>
      </c>
      <c r="D6">
        <v>262.90699999999998</v>
      </c>
      <c r="E6">
        <v>551.66800000000001</v>
      </c>
      <c r="F6">
        <v>704.19100000000003</v>
      </c>
      <c r="G6">
        <v>865.62199999999996</v>
      </c>
      <c r="H6">
        <v>1256.72</v>
      </c>
      <c r="I6">
        <v>1734.98</v>
      </c>
      <c r="J6">
        <v>1863.98</v>
      </c>
      <c r="K6">
        <v>1751.03</v>
      </c>
      <c r="L6">
        <v>1585.99</v>
      </c>
      <c r="M6">
        <v>1355.08</v>
      </c>
      <c r="N6">
        <v>1177.48</v>
      </c>
      <c r="O6">
        <v>978.49199999999996</v>
      </c>
      <c r="P6">
        <v>980.15899999999999</v>
      </c>
      <c r="Q6">
        <v>936.82600000000002</v>
      </c>
      <c r="R6">
        <v>960.58100000000002</v>
      </c>
      <c r="S6">
        <v>976.61800000000005</v>
      </c>
      <c r="T6">
        <v>955.024</v>
      </c>
      <c r="U6">
        <v>980.64300000000003</v>
      </c>
      <c r="V6">
        <v>1097.99</v>
      </c>
      <c r="W6">
        <v>1140.29</v>
      </c>
      <c r="X6">
        <v>1134.43</v>
      </c>
      <c r="Y6">
        <v>854.99099999999999</v>
      </c>
      <c r="Z6">
        <v>1215.9100000000001</v>
      </c>
      <c r="AA6">
        <v>1215.03</v>
      </c>
      <c r="AB6">
        <v>1438.12</v>
      </c>
      <c r="AC6">
        <v>1189.47</v>
      </c>
      <c r="AD6">
        <v>1390.59</v>
      </c>
      <c r="AE6">
        <v>1335.79</v>
      </c>
      <c r="AF6">
        <v>1342.26</v>
      </c>
      <c r="AG6">
        <v>1282.94</v>
      </c>
      <c r="AH6">
        <v>1218.3800000000001</v>
      </c>
      <c r="AI6">
        <v>1138.28</v>
      </c>
      <c r="AJ6">
        <v>1098.4100000000001</v>
      </c>
      <c r="AK6">
        <v>980.78399999999999</v>
      </c>
      <c r="AL6">
        <v>1126.73</v>
      </c>
      <c r="AM6">
        <v>1388.43</v>
      </c>
      <c r="AN6">
        <v>1481.92</v>
      </c>
      <c r="AO6">
        <v>1493.3</v>
      </c>
      <c r="AP6">
        <v>1487.44</v>
      </c>
      <c r="AQ6">
        <v>1499.94</v>
      </c>
      <c r="AR6">
        <v>1487.41</v>
      </c>
      <c r="AS6">
        <v>1336.76</v>
      </c>
      <c r="AT6">
        <v>982.93899999999996</v>
      </c>
      <c r="AU6">
        <v>800.48599999999999</v>
      </c>
      <c r="AV6">
        <v>804.71299999999997</v>
      </c>
      <c r="AW6">
        <v>1209</v>
      </c>
      <c r="AX6">
        <v>1209.75</v>
      </c>
      <c r="AY6">
        <v>1252.1199999999999</v>
      </c>
      <c r="AZ6">
        <v>1289.8900000000001</v>
      </c>
      <c r="BA6">
        <v>1335.76</v>
      </c>
      <c r="BB6">
        <v>1350.19</v>
      </c>
    </row>
    <row r="7" spans="1:54" ht="13" customHeight="1" x14ac:dyDescent="0.15">
      <c r="B7">
        <v>174.792</v>
      </c>
      <c r="C7">
        <v>230.55099999999999</v>
      </c>
      <c r="D7">
        <v>261.678</v>
      </c>
      <c r="E7">
        <v>550.36199999999997</v>
      </c>
      <c r="F7">
        <v>702.18100000000004</v>
      </c>
      <c r="G7">
        <v>862.78899999999999</v>
      </c>
      <c r="H7">
        <v>1256.57</v>
      </c>
      <c r="I7">
        <v>1743.76</v>
      </c>
      <c r="J7">
        <v>1874.53</v>
      </c>
      <c r="K7">
        <v>1758.92</v>
      </c>
      <c r="L7">
        <v>1588.39</v>
      </c>
      <c r="M7">
        <v>1356.74</v>
      </c>
      <c r="N7">
        <v>1177.82</v>
      </c>
      <c r="O7">
        <v>978.37</v>
      </c>
      <c r="P7">
        <v>979.43100000000004</v>
      </c>
      <c r="Q7">
        <v>935.71400000000006</v>
      </c>
      <c r="R7">
        <v>958.28</v>
      </c>
      <c r="S7">
        <v>973.50199999999995</v>
      </c>
      <c r="T7">
        <v>955.96400000000006</v>
      </c>
      <c r="U7">
        <v>981.45</v>
      </c>
      <c r="V7">
        <v>1092.06</v>
      </c>
      <c r="W7">
        <v>1139.68</v>
      </c>
      <c r="X7">
        <v>1141.99</v>
      </c>
      <c r="Y7">
        <v>859.41600000000005</v>
      </c>
      <c r="Z7">
        <v>1228.72</v>
      </c>
      <c r="AA7">
        <v>1229.5999999999999</v>
      </c>
      <c r="AB7">
        <v>1455.19</v>
      </c>
      <c r="AC7">
        <v>1195.6099999999999</v>
      </c>
      <c r="AD7">
        <v>1390.33</v>
      </c>
      <c r="AE7">
        <v>1326.6</v>
      </c>
      <c r="AF7">
        <v>1329.35</v>
      </c>
      <c r="AG7">
        <v>1264.24</v>
      </c>
      <c r="AH7">
        <v>1192.78</v>
      </c>
      <c r="AI7">
        <v>1124.43</v>
      </c>
      <c r="AJ7">
        <v>1101.17</v>
      </c>
      <c r="AK7">
        <v>989.81600000000003</v>
      </c>
      <c r="AL7">
        <v>1132.71</v>
      </c>
      <c r="AM7">
        <v>1387.19</v>
      </c>
      <c r="AN7">
        <v>1480.19</v>
      </c>
      <c r="AO7">
        <v>1490.9</v>
      </c>
      <c r="AP7">
        <v>1480.54</v>
      </c>
      <c r="AQ7">
        <v>1483.29</v>
      </c>
      <c r="AR7">
        <v>1486.44</v>
      </c>
      <c r="AS7">
        <v>1354.1</v>
      </c>
      <c r="AT7">
        <v>990.56600000000003</v>
      </c>
      <c r="AU7">
        <v>807.947</v>
      </c>
      <c r="AV7">
        <v>810.21500000000003</v>
      </c>
      <c r="AW7">
        <v>1199.07</v>
      </c>
      <c r="AX7">
        <v>1205.53</v>
      </c>
      <c r="AY7">
        <v>1270.75</v>
      </c>
      <c r="AZ7">
        <v>1297.8499999999999</v>
      </c>
      <c r="BA7">
        <v>1322.31</v>
      </c>
      <c r="BB7">
        <v>1343.47</v>
      </c>
    </row>
    <row r="8" spans="1:54" ht="13" customHeight="1" x14ac:dyDescent="0.15">
      <c r="A8" t="s">
        <v>154</v>
      </c>
      <c r="B8" t="s">
        <v>157</v>
      </c>
      <c r="C8" t="s">
        <v>158</v>
      </c>
      <c r="D8" t="s">
        <v>159</v>
      </c>
    </row>
    <row r="9" spans="1:54" ht="13" customHeight="1" x14ac:dyDescent="0.15">
      <c r="A9">
        <v>1964</v>
      </c>
      <c r="B9">
        <v>0.40572399999999997</v>
      </c>
      <c r="C9">
        <v>0.62912500000000005</v>
      </c>
      <c r="D9">
        <v>0.70808400000000005</v>
      </c>
      <c r="E9">
        <v>0.63053199999999998</v>
      </c>
      <c r="F9">
        <v>0.629467</v>
      </c>
      <c r="G9">
        <v>0.63030200000000003</v>
      </c>
      <c r="H9">
        <v>0.63404099999999997</v>
      </c>
      <c r="I9">
        <v>0.63849900000000004</v>
      </c>
      <c r="J9">
        <v>0.64237</v>
      </c>
      <c r="K9">
        <v>0.64535100000000001</v>
      </c>
      <c r="L9">
        <v>0.64535100000000001</v>
      </c>
      <c r="M9">
        <v>0.64535100000000001</v>
      </c>
      <c r="N9">
        <v>0.64535100000000001</v>
      </c>
      <c r="O9">
        <v>0.64535100000000001</v>
      </c>
      <c r="P9">
        <v>0.64535100000000001</v>
      </c>
    </row>
    <row r="10" spans="1:54" ht="13" customHeight="1" x14ac:dyDescent="0.15">
      <c r="A10">
        <v>1965</v>
      </c>
      <c r="B10">
        <v>0.40573500000000001</v>
      </c>
      <c r="C10">
        <v>0.62886799999999998</v>
      </c>
      <c r="D10">
        <v>0.702843</v>
      </c>
      <c r="E10">
        <v>0.625942</v>
      </c>
      <c r="F10">
        <v>0.62953499999999996</v>
      </c>
      <c r="G10">
        <v>0.63429999999999997</v>
      </c>
      <c r="H10">
        <v>0.63849400000000001</v>
      </c>
      <c r="I10">
        <v>0.64201200000000003</v>
      </c>
      <c r="J10">
        <v>0.64504700000000004</v>
      </c>
      <c r="K10">
        <v>0.64751400000000003</v>
      </c>
      <c r="L10">
        <v>0.64751400000000003</v>
      </c>
      <c r="M10">
        <v>0.64751400000000003</v>
      </c>
      <c r="N10">
        <v>0.64751400000000003</v>
      </c>
      <c r="O10">
        <v>0.64751400000000003</v>
      </c>
      <c r="P10">
        <v>0.64751400000000003</v>
      </c>
    </row>
    <row r="11" spans="1:54" ht="13" customHeight="1" x14ac:dyDescent="0.15">
      <c r="A11">
        <v>1966</v>
      </c>
      <c r="B11">
        <v>0.40573199999999998</v>
      </c>
      <c r="C11">
        <v>0.62841599999999997</v>
      </c>
      <c r="D11">
        <v>0.70008899999999996</v>
      </c>
      <c r="E11">
        <v>0.63594099999999998</v>
      </c>
      <c r="F11">
        <v>0.63846400000000003</v>
      </c>
      <c r="G11">
        <v>0.64307000000000003</v>
      </c>
      <c r="H11">
        <v>0.64631499999999997</v>
      </c>
      <c r="I11">
        <v>0.64921799999999996</v>
      </c>
      <c r="J11">
        <v>0.65143099999999998</v>
      </c>
      <c r="K11">
        <v>0.65312599999999998</v>
      </c>
      <c r="L11">
        <v>0.65312599999999998</v>
      </c>
      <c r="M11">
        <v>0.65312599999999998</v>
      </c>
      <c r="N11">
        <v>0.65312599999999998</v>
      </c>
      <c r="O11">
        <v>0.65312599999999998</v>
      </c>
      <c r="P11">
        <v>0.65312599999999998</v>
      </c>
    </row>
    <row r="12" spans="1:54" ht="13" customHeight="1" x14ac:dyDescent="0.15">
      <c r="A12">
        <v>1967</v>
      </c>
      <c r="B12">
        <v>0.40501900000000002</v>
      </c>
      <c r="C12">
        <v>0.61991200000000002</v>
      </c>
      <c r="D12">
        <v>0.65437599999999996</v>
      </c>
      <c r="E12">
        <v>0.58618499999999996</v>
      </c>
      <c r="F12">
        <v>0.58524900000000002</v>
      </c>
      <c r="G12">
        <v>0.58859499999999998</v>
      </c>
      <c r="H12">
        <v>0.59039299999999995</v>
      </c>
      <c r="I12">
        <v>0.592225</v>
      </c>
      <c r="J12">
        <v>0.59396899999999997</v>
      </c>
      <c r="K12">
        <v>0.59503399999999995</v>
      </c>
      <c r="L12">
        <v>0.59503399999999995</v>
      </c>
      <c r="M12">
        <v>0.59503399999999995</v>
      </c>
      <c r="N12">
        <v>0.59503399999999995</v>
      </c>
      <c r="O12">
        <v>0.59503399999999995</v>
      </c>
      <c r="P12">
        <v>0.59503399999999995</v>
      </c>
    </row>
    <row r="13" spans="1:54" ht="13" customHeight="1" x14ac:dyDescent="0.15">
      <c r="A13">
        <v>1968</v>
      </c>
      <c r="B13">
        <v>0.40479300000000001</v>
      </c>
      <c r="C13">
        <v>0.61779099999999998</v>
      </c>
      <c r="D13">
        <v>0.65329800000000005</v>
      </c>
      <c r="E13">
        <v>0.58539399999999997</v>
      </c>
      <c r="F13">
        <v>0.58915200000000001</v>
      </c>
      <c r="G13">
        <v>0.59311800000000003</v>
      </c>
      <c r="H13">
        <v>0.594661</v>
      </c>
      <c r="I13">
        <v>0.59516899999999995</v>
      </c>
      <c r="J13">
        <v>0.59536100000000003</v>
      </c>
      <c r="K13">
        <v>0.59536500000000003</v>
      </c>
      <c r="L13">
        <v>0.59536500000000003</v>
      </c>
      <c r="M13">
        <v>0.59536500000000003</v>
      </c>
      <c r="N13">
        <v>0.59536500000000003</v>
      </c>
      <c r="O13">
        <v>0.59536500000000003</v>
      </c>
      <c r="P13">
        <v>0.59536500000000003</v>
      </c>
    </row>
    <row r="14" spans="1:54" ht="13" customHeight="1" x14ac:dyDescent="0.15">
      <c r="A14">
        <v>1969</v>
      </c>
      <c r="B14">
        <v>0.40442699999999998</v>
      </c>
      <c r="C14">
        <v>0.61521400000000004</v>
      </c>
      <c r="D14">
        <v>0.63422500000000004</v>
      </c>
      <c r="E14">
        <v>0.59144600000000003</v>
      </c>
      <c r="F14">
        <v>0.594499</v>
      </c>
      <c r="G14">
        <v>0.59694100000000005</v>
      </c>
      <c r="H14">
        <v>0.59709999999999996</v>
      </c>
      <c r="I14">
        <v>0.59139200000000003</v>
      </c>
      <c r="J14">
        <v>0.58907699999999996</v>
      </c>
      <c r="K14">
        <v>0.58601999999999999</v>
      </c>
      <c r="L14">
        <v>0.58601999999999999</v>
      </c>
      <c r="M14">
        <v>0.58601999999999999</v>
      </c>
      <c r="N14">
        <v>0.58601999999999999</v>
      </c>
      <c r="O14">
        <v>0.58601999999999999</v>
      </c>
      <c r="P14">
        <v>0.58601999999999999</v>
      </c>
    </row>
    <row r="15" spans="1:54" ht="13" customHeight="1" x14ac:dyDescent="0.15">
      <c r="A15">
        <v>1970</v>
      </c>
      <c r="B15">
        <v>0.40287400000000001</v>
      </c>
      <c r="C15">
        <v>0.60124500000000003</v>
      </c>
      <c r="D15">
        <v>0.59722200000000003</v>
      </c>
      <c r="E15">
        <v>0.57436200000000004</v>
      </c>
      <c r="F15">
        <v>0.56019399999999997</v>
      </c>
      <c r="G15">
        <v>0.56048799999999999</v>
      </c>
      <c r="H15">
        <v>0.55210700000000001</v>
      </c>
      <c r="I15">
        <v>0.53540600000000005</v>
      </c>
      <c r="J15">
        <v>0.52773400000000004</v>
      </c>
      <c r="K15">
        <v>0.51588500000000004</v>
      </c>
      <c r="L15">
        <v>0.51588500000000004</v>
      </c>
      <c r="M15">
        <v>0.51588500000000004</v>
      </c>
      <c r="N15">
        <v>0.51588500000000004</v>
      </c>
      <c r="O15">
        <v>0.51588500000000004</v>
      </c>
      <c r="P15">
        <v>0.51588500000000004</v>
      </c>
    </row>
    <row r="16" spans="1:54" ht="13" customHeight="1" x14ac:dyDescent="0.15">
      <c r="A16">
        <v>1971</v>
      </c>
      <c r="B16">
        <v>0.40137200000000001</v>
      </c>
      <c r="C16">
        <v>0.58622200000000002</v>
      </c>
      <c r="D16">
        <v>0.56162199999999995</v>
      </c>
      <c r="E16">
        <v>0.52733799999999997</v>
      </c>
      <c r="F16">
        <v>0.50116000000000005</v>
      </c>
      <c r="G16">
        <v>0.50415900000000002</v>
      </c>
      <c r="H16">
        <v>0.50110299999999997</v>
      </c>
      <c r="I16">
        <v>0.47001300000000001</v>
      </c>
      <c r="J16">
        <v>0.45619799999999999</v>
      </c>
      <c r="K16">
        <v>0.43704399999999999</v>
      </c>
      <c r="L16">
        <v>0.43704399999999999</v>
      </c>
      <c r="M16">
        <v>0.43704399999999999</v>
      </c>
      <c r="N16">
        <v>0.43704399999999999</v>
      </c>
      <c r="O16">
        <v>0.43704399999999999</v>
      </c>
      <c r="P16">
        <v>0.43704399999999999</v>
      </c>
    </row>
    <row r="17" spans="1:16" ht="13" customHeight="1" x14ac:dyDescent="0.15">
      <c r="A17">
        <v>1972</v>
      </c>
      <c r="B17">
        <v>0.40189900000000001</v>
      </c>
      <c r="C17">
        <v>0.56815199999999999</v>
      </c>
      <c r="D17">
        <v>0.52205999999999997</v>
      </c>
      <c r="E17">
        <v>0.48846699999999998</v>
      </c>
      <c r="F17">
        <v>0.48050399999999999</v>
      </c>
      <c r="G17">
        <v>0.48088999999999998</v>
      </c>
      <c r="H17">
        <v>0.47880099999999998</v>
      </c>
      <c r="I17">
        <v>0.44930700000000001</v>
      </c>
      <c r="J17">
        <v>0.43133899999999997</v>
      </c>
      <c r="K17">
        <v>0.41665200000000002</v>
      </c>
      <c r="L17">
        <v>0.41665200000000002</v>
      </c>
      <c r="M17">
        <v>0.41665200000000002</v>
      </c>
      <c r="N17">
        <v>0.41665200000000002</v>
      </c>
      <c r="O17">
        <v>0.41665200000000002</v>
      </c>
      <c r="P17">
        <v>0.41665200000000002</v>
      </c>
    </row>
    <row r="18" spans="1:16" ht="13" customHeight="1" x14ac:dyDescent="0.15">
      <c r="A18">
        <v>1973</v>
      </c>
      <c r="B18">
        <v>0.402422</v>
      </c>
      <c r="C18">
        <v>0.55099399999999998</v>
      </c>
      <c r="D18">
        <v>0.48483100000000001</v>
      </c>
      <c r="E18">
        <v>0.450791</v>
      </c>
      <c r="F18">
        <v>0.44353399999999998</v>
      </c>
      <c r="G18">
        <v>0.44267800000000002</v>
      </c>
      <c r="H18">
        <v>0.44313200000000003</v>
      </c>
      <c r="I18">
        <v>0.41824099999999997</v>
      </c>
      <c r="J18">
        <v>0.40204600000000001</v>
      </c>
      <c r="K18">
        <v>0.39387699999999998</v>
      </c>
      <c r="L18">
        <v>0.39387699999999998</v>
      </c>
      <c r="M18">
        <v>0.39387699999999998</v>
      </c>
      <c r="N18">
        <v>0.39387699999999998</v>
      </c>
      <c r="O18">
        <v>0.39387699999999998</v>
      </c>
      <c r="P18">
        <v>0.39387699999999998</v>
      </c>
    </row>
    <row r="19" spans="1:16" ht="13" customHeight="1" x14ac:dyDescent="0.15">
      <c r="A19">
        <v>1974</v>
      </c>
      <c r="B19">
        <v>0.40295700000000001</v>
      </c>
      <c r="C19">
        <v>0.53222400000000003</v>
      </c>
      <c r="D19">
        <v>0.431892</v>
      </c>
      <c r="E19">
        <v>0.42869000000000002</v>
      </c>
      <c r="F19">
        <v>0.427205</v>
      </c>
      <c r="G19">
        <v>0.42795899999999998</v>
      </c>
      <c r="H19">
        <v>0.42811500000000002</v>
      </c>
      <c r="I19">
        <v>0.40803800000000001</v>
      </c>
      <c r="J19">
        <v>0.38970700000000003</v>
      </c>
      <c r="K19">
        <v>0.38850099999999999</v>
      </c>
      <c r="L19">
        <v>0.38850099999999999</v>
      </c>
      <c r="M19">
        <v>0.38850099999999999</v>
      </c>
      <c r="N19">
        <v>0.38850099999999999</v>
      </c>
      <c r="O19">
        <v>0.38850099999999999</v>
      </c>
      <c r="P19">
        <v>0.38850099999999999</v>
      </c>
    </row>
    <row r="20" spans="1:16" ht="13" customHeight="1" x14ac:dyDescent="0.15">
      <c r="A20">
        <v>1975</v>
      </c>
      <c r="B20">
        <v>0.40416099999999999</v>
      </c>
      <c r="C20">
        <v>0.56444499999999997</v>
      </c>
      <c r="D20">
        <v>0.45292399999999999</v>
      </c>
      <c r="E20">
        <v>0.46081699999999998</v>
      </c>
      <c r="F20">
        <v>0.466229</v>
      </c>
      <c r="G20">
        <v>0.46878999999999998</v>
      </c>
      <c r="H20">
        <v>0.46947699999999998</v>
      </c>
      <c r="I20">
        <v>0.45882200000000001</v>
      </c>
      <c r="J20">
        <v>0.44005100000000003</v>
      </c>
      <c r="K20">
        <v>0.43693700000000002</v>
      </c>
      <c r="L20">
        <v>0.43693700000000002</v>
      </c>
      <c r="M20">
        <v>0.43693700000000002</v>
      </c>
      <c r="N20">
        <v>0.43693700000000002</v>
      </c>
      <c r="O20">
        <v>0.43693700000000002</v>
      </c>
      <c r="P20">
        <v>0.43693700000000002</v>
      </c>
    </row>
    <row r="21" spans="1:16" ht="13" customHeight="1" x14ac:dyDescent="0.15">
      <c r="A21">
        <v>1976</v>
      </c>
      <c r="B21">
        <v>0.40482899999999999</v>
      </c>
      <c r="C21">
        <v>0.57752300000000001</v>
      </c>
      <c r="D21">
        <v>0.49820799999999998</v>
      </c>
      <c r="E21">
        <v>0.472827</v>
      </c>
      <c r="F21">
        <v>0.48079100000000002</v>
      </c>
      <c r="G21">
        <v>0.48566300000000001</v>
      </c>
      <c r="H21">
        <v>0.48764099999999999</v>
      </c>
      <c r="I21">
        <v>0.484628</v>
      </c>
      <c r="J21">
        <v>0.46748699999999999</v>
      </c>
      <c r="K21">
        <v>0.46454000000000001</v>
      </c>
      <c r="L21">
        <v>0.46454000000000001</v>
      </c>
      <c r="M21">
        <v>0.46454000000000001</v>
      </c>
      <c r="N21">
        <v>0.46454000000000001</v>
      </c>
      <c r="O21">
        <v>0.46454000000000001</v>
      </c>
      <c r="P21">
        <v>0.46454000000000001</v>
      </c>
    </row>
    <row r="22" spans="1:16" ht="13" customHeight="1" x14ac:dyDescent="0.15">
      <c r="A22">
        <v>1977</v>
      </c>
      <c r="B22">
        <v>0.40531699999999998</v>
      </c>
      <c r="C22">
        <v>0.58432700000000004</v>
      </c>
      <c r="D22">
        <v>0.54781800000000003</v>
      </c>
      <c r="E22">
        <v>0.51135399999999998</v>
      </c>
      <c r="F22">
        <v>0.50170199999999998</v>
      </c>
      <c r="G22">
        <v>0.50524000000000002</v>
      </c>
      <c r="H22">
        <v>0.50739699999999999</v>
      </c>
      <c r="I22">
        <v>0.507795</v>
      </c>
      <c r="J22">
        <v>0.49294199999999999</v>
      </c>
      <c r="K22">
        <v>0.48811700000000002</v>
      </c>
      <c r="L22">
        <v>0.48811700000000002</v>
      </c>
      <c r="M22">
        <v>0.48811700000000002</v>
      </c>
      <c r="N22">
        <v>0.48811700000000002</v>
      </c>
      <c r="O22">
        <v>0.48811700000000002</v>
      </c>
      <c r="P22">
        <v>0.48811700000000002</v>
      </c>
    </row>
    <row r="23" spans="1:16" ht="13" customHeight="1" x14ac:dyDescent="0.15">
      <c r="A23">
        <v>1978</v>
      </c>
      <c r="B23">
        <v>0.405526</v>
      </c>
      <c r="C23">
        <v>0.588835</v>
      </c>
      <c r="D23">
        <v>0.54705800000000004</v>
      </c>
      <c r="E23">
        <v>0.5081</v>
      </c>
      <c r="F23">
        <v>0.485259</v>
      </c>
      <c r="G23">
        <v>0.487956</v>
      </c>
      <c r="H23">
        <v>0.488122</v>
      </c>
      <c r="I23">
        <v>0.48838500000000001</v>
      </c>
      <c r="J23">
        <v>0.473686</v>
      </c>
      <c r="K23">
        <v>0.46842099999999998</v>
      </c>
      <c r="L23">
        <v>0.46842099999999998</v>
      </c>
      <c r="M23">
        <v>0.46842099999999998</v>
      </c>
      <c r="N23">
        <v>0.46842099999999998</v>
      </c>
      <c r="O23">
        <v>0.46842099999999998</v>
      </c>
      <c r="P23">
        <v>0.46842099999999998</v>
      </c>
    </row>
    <row r="24" spans="1:16" ht="13" customHeight="1" x14ac:dyDescent="0.15">
      <c r="A24">
        <v>1979</v>
      </c>
      <c r="B24">
        <v>0.405719</v>
      </c>
      <c r="C24">
        <v>0.60455599999999998</v>
      </c>
      <c r="D24">
        <v>0.57611299999999999</v>
      </c>
      <c r="E24">
        <v>0.52046800000000004</v>
      </c>
      <c r="F24">
        <v>0.47336600000000001</v>
      </c>
      <c r="G24">
        <v>0.46775499999999998</v>
      </c>
      <c r="H24">
        <v>0.470858</v>
      </c>
      <c r="I24">
        <v>0.47102899999999998</v>
      </c>
      <c r="J24">
        <v>0.45890599999999998</v>
      </c>
      <c r="K24">
        <v>0.45838099999999998</v>
      </c>
      <c r="L24">
        <v>0.45838099999999998</v>
      </c>
      <c r="M24">
        <v>0.45838099999999998</v>
      </c>
      <c r="N24">
        <v>0.45838099999999998</v>
      </c>
      <c r="O24">
        <v>0.45838099999999998</v>
      </c>
      <c r="P24">
        <v>0.45838099999999998</v>
      </c>
    </row>
    <row r="25" spans="1:16" ht="13" customHeight="1" x14ac:dyDescent="0.15">
      <c r="A25">
        <v>1980</v>
      </c>
      <c r="B25">
        <v>0.40596700000000002</v>
      </c>
      <c r="C25">
        <v>0.62015900000000002</v>
      </c>
      <c r="D25">
        <v>0.62875599999999998</v>
      </c>
      <c r="E25">
        <v>0.53542900000000004</v>
      </c>
      <c r="F25">
        <v>0.484178</v>
      </c>
      <c r="G25">
        <v>0.47252300000000003</v>
      </c>
      <c r="H25">
        <v>0.47586299999999998</v>
      </c>
      <c r="I25">
        <v>0.47778500000000002</v>
      </c>
      <c r="J25">
        <v>0.47400799999999998</v>
      </c>
      <c r="K25">
        <v>0.474107</v>
      </c>
      <c r="L25">
        <v>0.474107</v>
      </c>
      <c r="M25">
        <v>0.474107</v>
      </c>
      <c r="N25">
        <v>0.474107</v>
      </c>
      <c r="O25">
        <v>0.474107</v>
      </c>
      <c r="P25">
        <v>0.474107</v>
      </c>
    </row>
    <row r="26" spans="1:16" ht="13" customHeight="1" x14ac:dyDescent="0.15">
      <c r="A26">
        <v>1981</v>
      </c>
      <c r="B26">
        <v>0.40621400000000002</v>
      </c>
      <c r="C26">
        <v>0.62830900000000001</v>
      </c>
      <c r="D26">
        <v>0.68134799999999995</v>
      </c>
      <c r="E26">
        <v>0.59588200000000002</v>
      </c>
      <c r="F26">
        <v>0.53414200000000001</v>
      </c>
      <c r="G26">
        <v>0.53083100000000005</v>
      </c>
      <c r="H26">
        <v>0.53179900000000002</v>
      </c>
      <c r="I26">
        <v>0.53188100000000005</v>
      </c>
      <c r="J26">
        <v>0.52962500000000001</v>
      </c>
      <c r="K26">
        <v>0.52995199999999998</v>
      </c>
      <c r="L26">
        <v>0.52995199999999998</v>
      </c>
      <c r="M26">
        <v>0.52995199999999998</v>
      </c>
      <c r="N26">
        <v>0.52995199999999998</v>
      </c>
      <c r="O26">
        <v>0.52995199999999998</v>
      </c>
      <c r="P26">
        <v>0.52995199999999998</v>
      </c>
    </row>
    <row r="27" spans="1:16" ht="13" customHeight="1" x14ac:dyDescent="0.15">
      <c r="A27">
        <v>1982</v>
      </c>
      <c r="B27">
        <v>0.40637000000000001</v>
      </c>
      <c r="C27">
        <v>0.63230799999999998</v>
      </c>
      <c r="D27">
        <v>0.712144</v>
      </c>
      <c r="E27">
        <v>0.65097700000000003</v>
      </c>
      <c r="F27">
        <v>0.60122600000000004</v>
      </c>
      <c r="G27">
        <v>0.59159899999999999</v>
      </c>
      <c r="H27">
        <v>0.592781</v>
      </c>
      <c r="I27">
        <v>0.59087900000000004</v>
      </c>
      <c r="J27">
        <v>0.58729799999999999</v>
      </c>
      <c r="K27">
        <v>0.58746100000000001</v>
      </c>
      <c r="L27">
        <v>0.58746100000000001</v>
      </c>
      <c r="M27">
        <v>0.58746100000000001</v>
      </c>
      <c r="N27">
        <v>0.58746100000000001</v>
      </c>
      <c r="O27">
        <v>0.58746100000000001</v>
      </c>
      <c r="P27">
        <v>0.58746100000000001</v>
      </c>
    </row>
    <row r="28" spans="1:16" ht="13" customHeight="1" x14ac:dyDescent="0.15">
      <c r="A28">
        <v>1983</v>
      </c>
      <c r="B28">
        <v>0.40642499999999998</v>
      </c>
      <c r="C28">
        <v>0.63283900000000004</v>
      </c>
      <c r="D28">
        <v>0.71912399999999999</v>
      </c>
      <c r="E28">
        <v>0.67637100000000006</v>
      </c>
      <c r="F28">
        <v>0.63461999999999996</v>
      </c>
      <c r="G28">
        <v>0.610568</v>
      </c>
      <c r="H28">
        <v>0.61129500000000003</v>
      </c>
      <c r="I28">
        <v>0.61031999999999997</v>
      </c>
      <c r="J28">
        <v>0.60408600000000001</v>
      </c>
      <c r="K28">
        <v>0.60165199999999996</v>
      </c>
      <c r="L28">
        <v>0.60165199999999996</v>
      </c>
      <c r="M28">
        <v>0.60165199999999996</v>
      </c>
      <c r="N28">
        <v>0.60165199999999996</v>
      </c>
      <c r="O28">
        <v>0.60165199999999996</v>
      </c>
      <c r="P28">
        <v>0.60165199999999996</v>
      </c>
    </row>
    <row r="29" spans="1:16" ht="13" customHeight="1" x14ac:dyDescent="0.15">
      <c r="A29">
        <v>1984</v>
      </c>
      <c r="B29">
        <v>0.406447</v>
      </c>
      <c r="C29">
        <v>0.63378900000000005</v>
      </c>
      <c r="D29">
        <v>0.71957400000000005</v>
      </c>
      <c r="E29">
        <v>0.68348200000000003</v>
      </c>
      <c r="F29">
        <v>0.63259699999999996</v>
      </c>
      <c r="G29">
        <v>0.61629299999999998</v>
      </c>
      <c r="H29">
        <v>0.610958</v>
      </c>
      <c r="I29">
        <v>0.61151500000000003</v>
      </c>
      <c r="J29">
        <v>0.60517200000000004</v>
      </c>
      <c r="K29">
        <v>0.60078200000000004</v>
      </c>
      <c r="L29">
        <v>0.60078200000000004</v>
      </c>
      <c r="M29">
        <v>0.60078200000000004</v>
      </c>
      <c r="N29">
        <v>0.60078200000000004</v>
      </c>
      <c r="O29">
        <v>0.60078200000000004</v>
      </c>
      <c r="P29">
        <v>0.60078200000000004</v>
      </c>
    </row>
    <row r="30" spans="1:16" ht="13" customHeight="1" x14ac:dyDescent="0.15">
      <c r="A30">
        <v>1985</v>
      </c>
      <c r="B30">
        <v>0.40646300000000002</v>
      </c>
      <c r="C30">
        <v>0.63364600000000004</v>
      </c>
      <c r="D30">
        <v>0.71774899999999997</v>
      </c>
      <c r="E30">
        <v>0.689083</v>
      </c>
      <c r="F30">
        <v>0.65265099999999998</v>
      </c>
      <c r="G30">
        <v>0.60672599999999999</v>
      </c>
      <c r="H30">
        <v>0.60836900000000005</v>
      </c>
      <c r="I30">
        <v>0.60836999999999997</v>
      </c>
      <c r="J30">
        <v>0.60327900000000001</v>
      </c>
      <c r="K30">
        <v>0.59714699999999998</v>
      </c>
      <c r="L30">
        <v>0.59714699999999998</v>
      </c>
      <c r="M30">
        <v>0.59714699999999998</v>
      </c>
      <c r="N30">
        <v>0.59714699999999998</v>
      </c>
      <c r="O30">
        <v>0.59714699999999998</v>
      </c>
      <c r="P30">
        <v>0.59714699999999998</v>
      </c>
    </row>
    <row r="31" spans="1:16" ht="13" customHeight="1" x14ac:dyDescent="0.15">
      <c r="A31">
        <v>1986</v>
      </c>
      <c r="B31">
        <v>0.40648400000000001</v>
      </c>
      <c r="C31">
        <v>0.63404700000000003</v>
      </c>
      <c r="D31">
        <v>0.71778299999999995</v>
      </c>
      <c r="E31">
        <v>0.68545</v>
      </c>
      <c r="F31">
        <v>0.66125900000000004</v>
      </c>
      <c r="G31">
        <v>0.62065199999999998</v>
      </c>
      <c r="H31">
        <v>0.61613799999999996</v>
      </c>
      <c r="I31">
        <v>0.62353899999999995</v>
      </c>
      <c r="J31">
        <v>0.60919699999999999</v>
      </c>
      <c r="K31">
        <v>0.60609400000000002</v>
      </c>
      <c r="L31">
        <v>0.60609400000000002</v>
      </c>
      <c r="M31">
        <v>0.60609400000000002</v>
      </c>
      <c r="N31">
        <v>0.60609400000000002</v>
      </c>
      <c r="O31">
        <v>0.60609400000000002</v>
      </c>
      <c r="P31">
        <v>0.60609400000000002</v>
      </c>
    </row>
    <row r="32" spans="1:16" ht="13" customHeight="1" x14ac:dyDescent="0.15">
      <c r="A32">
        <v>1987</v>
      </c>
      <c r="B32">
        <v>0.40651599999999999</v>
      </c>
      <c r="C32">
        <v>0.63518600000000003</v>
      </c>
      <c r="D32">
        <v>0.72220700000000004</v>
      </c>
      <c r="E32">
        <v>0.70358600000000004</v>
      </c>
      <c r="F32">
        <v>0.68225100000000005</v>
      </c>
      <c r="G32">
        <v>0.65834199999999998</v>
      </c>
      <c r="H32">
        <v>0.65502800000000005</v>
      </c>
      <c r="I32">
        <v>0.64328700000000005</v>
      </c>
      <c r="J32">
        <v>0.63736199999999998</v>
      </c>
      <c r="K32">
        <v>0.63939299999999999</v>
      </c>
      <c r="L32">
        <v>0.63939299999999999</v>
      </c>
      <c r="M32">
        <v>0.63939299999999999</v>
      </c>
      <c r="N32">
        <v>0.63939299999999999</v>
      </c>
      <c r="O32">
        <v>0.63939299999999999</v>
      </c>
      <c r="P32">
        <v>0.63939299999999999</v>
      </c>
    </row>
    <row r="33" spans="1:16" ht="13" customHeight="1" x14ac:dyDescent="0.15">
      <c r="A33">
        <v>1988</v>
      </c>
      <c r="B33">
        <v>0.40650700000000001</v>
      </c>
      <c r="C33">
        <v>0.63449</v>
      </c>
      <c r="D33">
        <v>0.69976000000000005</v>
      </c>
      <c r="E33">
        <v>0.68754300000000002</v>
      </c>
      <c r="F33">
        <v>0.65063000000000004</v>
      </c>
      <c r="G33">
        <v>0.63589799999999996</v>
      </c>
      <c r="H33">
        <v>0.61289700000000003</v>
      </c>
      <c r="I33">
        <v>0.61803600000000003</v>
      </c>
      <c r="J33">
        <v>0.61156900000000003</v>
      </c>
      <c r="K33">
        <v>0.61443800000000004</v>
      </c>
      <c r="L33">
        <v>0.61443800000000004</v>
      </c>
      <c r="M33">
        <v>0.61443800000000004</v>
      </c>
      <c r="N33">
        <v>0.61443800000000004</v>
      </c>
      <c r="O33">
        <v>0.61443800000000004</v>
      </c>
      <c r="P33">
        <v>0.61443800000000004</v>
      </c>
    </row>
    <row r="34" spans="1:16" ht="13" customHeight="1" x14ac:dyDescent="0.15">
      <c r="A34">
        <v>1989</v>
      </c>
      <c r="B34">
        <v>0.40651599999999999</v>
      </c>
      <c r="C34">
        <v>0.63459100000000002</v>
      </c>
      <c r="D34">
        <v>0.71058399999999999</v>
      </c>
      <c r="E34">
        <v>0.67750200000000005</v>
      </c>
      <c r="F34">
        <v>0.64815599999999995</v>
      </c>
      <c r="G34">
        <v>0.62802500000000006</v>
      </c>
      <c r="H34">
        <v>0.60065100000000005</v>
      </c>
      <c r="I34">
        <v>0.60830600000000001</v>
      </c>
      <c r="J34">
        <v>0.61432900000000001</v>
      </c>
      <c r="K34">
        <v>0.61546900000000004</v>
      </c>
      <c r="L34">
        <v>0.61546900000000004</v>
      </c>
      <c r="M34">
        <v>0.61546900000000004</v>
      </c>
      <c r="N34">
        <v>0.61546900000000004</v>
      </c>
      <c r="O34">
        <v>0.61546900000000004</v>
      </c>
      <c r="P34">
        <v>0.61546900000000004</v>
      </c>
    </row>
    <row r="35" spans="1:16" ht="13" customHeight="1" x14ac:dyDescent="0.15">
      <c r="A35">
        <v>1990</v>
      </c>
      <c r="B35">
        <v>0.40650500000000001</v>
      </c>
      <c r="C35">
        <v>0.63336599999999998</v>
      </c>
      <c r="D35">
        <v>0.70764800000000005</v>
      </c>
      <c r="E35">
        <v>0.64471299999999998</v>
      </c>
      <c r="F35">
        <v>0.58976300000000004</v>
      </c>
      <c r="G35">
        <v>0.57712699999999995</v>
      </c>
      <c r="H35">
        <v>0.55981599999999998</v>
      </c>
      <c r="I35">
        <v>0.55691800000000002</v>
      </c>
      <c r="J35">
        <v>0.56301599999999996</v>
      </c>
      <c r="K35">
        <v>0.56914299999999995</v>
      </c>
      <c r="L35">
        <v>0.56914299999999995</v>
      </c>
      <c r="M35">
        <v>0.56914299999999995</v>
      </c>
      <c r="N35">
        <v>0.56914299999999995</v>
      </c>
      <c r="O35">
        <v>0.56914299999999995</v>
      </c>
      <c r="P35">
        <v>0.56914299999999995</v>
      </c>
    </row>
    <row r="36" spans="1:16" ht="13" customHeight="1" x14ac:dyDescent="0.15">
      <c r="A36">
        <v>1991</v>
      </c>
      <c r="B36">
        <v>0.40650900000000001</v>
      </c>
      <c r="C36">
        <v>0.63310500000000003</v>
      </c>
      <c r="D36">
        <v>0.71424799999999999</v>
      </c>
      <c r="E36">
        <v>0.65946899999999997</v>
      </c>
      <c r="F36">
        <v>0.60325200000000001</v>
      </c>
      <c r="G36">
        <v>0.57524500000000001</v>
      </c>
      <c r="H36">
        <v>0.53327800000000003</v>
      </c>
      <c r="I36">
        <v>0.55243699999999996</v>
      </c>
      <c r="J36">
        <v>0.53133300000000006</v>
      </c>
      <c r="K36">
        <v>0.53209899999999999</v>
      </c>
      <c r="L36">
        <v>0.53209899999999999</v>
      </c>
      <c r="M36">
        <v>0.53209899999999999</v>
      </c>
      <c r="N36">
        <v>0.53209899999999999</v>
      </c>
      <c r="O36">
        <v>0.53209899999999999</v>
      </c>
      <c r="P36">
        <v>0.53209899999999999</v>
      </c>
    </row>
    <row r="37" spans="1:16" ht="13" customHeight="1" x14ac:dyDescent="0.15">
      <c r="A37">
        <v>1992</v>
      </c>
      <c r="B37">
        <v>0.40649999999999997</v>
      </c>
      <c r="C37">
        <v>0.63225399999999998</v>
      </c>
      <c r="D37">
        <v>0.69383799999999995</v>
      </c>
      <c r="E37">
        <v>0.65708599999999995</v>
      </c>
      <c r="F37">
        <v>0.60677000000000003</v>
      </c>
      <c r="G37">
        <v>0.53682200000000002</v>
      </c>
      <c r="H37">
        <v>0.48445100000000002</v>
      </c>
      <c r="I37">
        <v>0.47079799999999999</v>
      </c>
      <c r="J37">
        <v>0.46894799999999998</v>
      </c>
      <c r="K37">
        <v>0.47231299999999998</v>
      </c>
      <c r="L37">
        <v>0.47231299999999998</v>
      </c>
      <c r="M37">
        <v>0.47231299999999998</v>
      </c>
      <c r="N37">
        <v>0.47231299999999998</v>
      </c>
      <c r="O37">
        <v>0.47231299999999998</v>
      </c>
      <c r="P37">
        <v>0.47231299999999998</v>
      </c>
    </row>
    <row r="38" spans="1:16" ht="13" customHeight="1" x14ac:dyDescent="0.15">
      <c r="A38">
        <v>1993</v>
      </c>
      <c r="B38">
        <v>0.40652899999999997</v>
      </c>
      <c r="C38">
        <v>0.63526199999999999</v>
      </c>
      <c r="D38">
        <v>0.710978</v>
      </c>
      <c r="E38">
        <v>0.63631000000000004</v>
      </c>
      <c r="F38">
        <v>0.64765099999999998</v>
      </c>
      <c r="G38">
        <v>0.59678799999999999</v>
      </c>
      <c r="H38">
        <v>0.54742599999999997</v>
      </c>
      <c r="I38">
        <v>0.54767600000000005</v>
      </c>
      <c r="J38">
        <v>0.54800000000000004</v>
      </c>
      <c r="K38">
        <v>0.55438100000000001</v>
      </c>
      <c r="L38">
        <v>0.55438100000000001</v>
      </c>
      <c r="M38">
        <v>0.55438100000000001</v>
      </c>
      <c r="N38">
        <v>0.55438100000000001</v>
      </c>
      <c r="O38">
        <v>0.55438100000000001</v>
      </c>
      <c r="P38">
        <v>0.55438100000000001</v>
      </c>
    </row>
    <row r="39" spans="1:16" ht="13" customHeight="1" x14ac:dyDescent="0.15">
      <c r="A39">
        <v>1994</v>
      </c>
      <c r="B39">
        <v>0.40653499999999998</v>
      </c>
      <c r="C39">
        <v>0.635571</v>
      </c>
      <c r="D39">
        <v>0.72700500000000001</v>
      </c>
      <c r="E39">
        <v>0.68048299999999995</v>
      </c>
      <c r="F39">
        <v>0.59151299999999996</v>
      </c>
      <c r="G39">
        <v>0.59597599999999995</v>
      </c>
      <c r="H39">
        <v>0.56106400000000001</v>
      </c>
      <c r="I39">
        <v>0.56182900000000002</v>
      </c>
      <c r="J39">
        <v>0.563693</v>
      </c>
      <c r="K39">
        <v>0.567299</v>
      </c>
      <c r="L39">
        <v>0.567299</v>
      </c>
      <c r="M39">
        <v>0.567299</v>
      </c>
      <c r="N39">
        <v>0.567299</v>
      </c>
      <c r="O39">
        <v>0.567299</v>
      </c>
      <c r="P39">
        <v>0.567299</v>
      </c>
    </row>
    <row r="40" spans="1:16" ht="13" customHeight="1" x14ac:dyDescent="0.15">
      <c r="A40">
        <v>1995</v>
      </c>
      <c r="B40">
        <v>0.40654000000000001</v>
      </c>
      <c r="C40">
        <v>0.63550099999999998</v>
      </c>
      <c r="D40">
        <v>0.73179300000000003</v>
      </c>
      <c r="E40">
        <v>0.71164700000000003</v>
      </c>
      <c r="F40">
        <v>0.63938899999999999</v>
      </c>
      <c r="G40">
        <v>0.54642900000000005</v>
      </c>
      <c r="H40">
        <v>0.56028599999999995</v>
      </c>
      <c r="I40">
        <v>0.561191</v>
      </c>
      <c r="J40">
        <v>0.56582900000000003</v>
      </c>
      <c r="K40">
        <v>0.57054700000000003</v>
      </c>
      <c r="L40">
        <v>0.57054700000000003</v>
      </c>
      <c r="M40">
        <v>0.57054700000000003</v>
      </c>
      <c r="N40">
        <v>0.57054700000000003</v>
      </c>
      <c r="O40">
        <v>0.57054700000000003</v>
      </c>
      <c r="P40">
        <v>0.57054700000000003</v>
      </c>
    </row>
    <row r="41" spans="1:16" ht="13" customHeight="1" x14ac:dyDescent="0.15">
      <c r="A41">
        <v>1996</v>
      </c>
      <c r="B41">
        <v>0.40654000000000001</v>
      </c>
      <c r="C41">
        <v>0.63438000000000005</v>
      </c>
      <c r="D41">
        <v>0.72906300000000002</v>
      </c>
      <c r="E41">
        <v>0.72421100000000005</v>
      </c>
      <c r="F41">
        <v>0.68162500000000004</v>
      </c>
      <c r="G41">
        <v>0.57727200000000001</v>
      </c>
      <c r="H41">
        <v>0.49954300000000001</v>
      </c>
      <c r="I41">
        <v>0.503521</v>
      </c>
      <c r="J41">
        <v>0.52604099999999998</v>
      </c>
      <c r="K41">
        <v>0.54353600000000002</v>
      </c>
      <c r="L41">
        <v>0.54353600000000002</v>
      </c>
      <c r="M41">
        <v>0.54353600000000002</v>
      </c>
      <c r="N41">
        <v>0.54353600000000002</v>
      </c>
      <c r="O41">
        <v>0.54353600000000002</v>
      </c>
      <c r="P41">
        <v>0.54353600000000002</v>
      </c>
    </row>
    <row r="42" spans="1:16" ht="13" customHeight="1" x14ac:dyDescent="0.15">
      <c r="A42">
        <v>1997</v>
      </c>
      <c r="B42">
        <v>0.40654200000000001</v>
      </c>
      <c r="C42">
        <v>0.63318399999999997</v>
      </c>
      <c r="D42">
        <v>0.72685699999999998</v>
      </c>
      <c r="E42">
        <v>0.71251200000000003</v>
      </c>
      <c r="F42">
        <v>0.679338</v>
      </c>
      <c r="G42">
        <v>0.61925300000000005</v>
      </c>
      <c r="H42">
        <v>0.54788599999999998</v>
      </c>
      <c r="I42">
        <v>0.52380000000000004</v>
      </c>
      <c r="J42">
        <v>0.51407099999999994</v>
      </c>
      <c r="K42">
        <v>0.52573899999999996</v>
      </c>
      <c r="L42">
        <v>0.52573899999999996</v>
      </c>
      <c r="M42">
        <v>0.52573899999999996</v>
      </c>
      <c r="N42">
        <v>0.52573899999999996</v>
      </c>
      <c r="O42">
        <v>0.52573899999999996</v>
      </c>
      <c r="P42">
        <v>0.52573899999999996</v>
      </c>
    </row>
    <row r="43" spans="1:16" ht="13" customHeight="1" x14ac:dyDescent="0.15">
      <c r="A43">
        <v>1998</v>
      </c>
      <c r="B43">
        <v>0.40654800000000002</v>
      </c>
      <c r="C43">
        <v>0.63471699999999998</v>
      </c>
      <c r="D43">
        <v>0.72410799999999997</v>
      </c>
      <c r="E43">
        <v>0.70667400000000002</v>
      </c>
      <c r="F43">
        <v>0.67753099999999999</v>
      </c>
      <c r="G43">
        <v>0.61084899999999998</v>
      </c>
      <c r="H43">
        <v>0.60268200000000005</v>
      </c>
      <c r="I43">
        <v>0.558921</v>
      </c>
      <c r="J43">
        <v>0.54293800000000003</v>
      </c>
      <c r="K43">
        <v>0.55403500000000006</v>
      </c>
      <c r="L43">
        <v>0.55403500000000006</v>
      </c>
      <c r="M43">
        <v>0.55403500000000006</v>
      </c>
      <c r="N43">
        <v>0.55403500000000006</v>
      </c>
      <c r="O43">
        <v>0.55403500000000006</v>
      </c>
      <c r="P43">
        <v>0.55403500000000006</v>
      </c>
    </row>
    <row r="44" spans="1:16" ht="13" customHeight="1" x14ac:dyDescent="0.15">
      <c r="A44">
        <v>1999</v>
      </c>
      <c r="B44">
        <v>0.406555</v>
      </c>
      <c r="C44">
        <v>0.63602099999999995</v>
      </c>
      <c r="D44">
        <v>0.71152199999999999</v>
      </c>
      <c r="E44">
        <v>0.696052</v>
      </c>
      <c r="F44">
        <v>0.67833200000000005</v>
      </c>
      <c r="G44">
        <v>0.649953</v>
      </c>
      <c r="H44">
        <v>0.59277199999999997</v>
      </c>
      <c r="I44">
        <v>0.598607</v>
      </c>
      <c r="J44">
        <v>0.60289800000000004</v>
      </c>
      <c r="K44">
        <v>0.60994599999999999</v>
      </c>
      <c r="L44">
        <v>0.60994599999999999</v>
      </c>
      <c r="M44">
        <v>0.60994599999999999</v>
      </c>
      <c r="N44">
        <v>0.60994599999999999</v>
      </c>
      <c r="O44">
        <v>0.60994599999999999</v>
      </c>
      <c r="P44">
        <v>0.60994599999999999</v>
      </c>
    </row>
    <row r="45" spans="1:16" ht="13" customHeight="1" x14ac:dyDescent="0.15">
      <c r="A45">
        <v>2000</v>
      </c>
      <c r="B45">
        <v>0.406555</v>
      </c>
      <c r="C45">
        <v>0.63607000000000002</v>
      </c>
      <c r="D45">
        <v>0.72317900000000002</v>
      </c>
      <c r="E45">
        <v>0.67771700000000001</v>
      </c>
      <c r="F45">
        <v>0.64172600000000002</v>
      </c>
      <c r="G45">
        <v>0.64244800000000002</v>
      </c>
      <c r="H45">
        <v>0.58919900000000003</v>
      </c>
      <c r="I45">
        <v>0.553261</v>
      </c>
      <c r="J45">
        <v>0.58669099999999996</v>
      </c>
      <c r="K45">
        <v>0.60261500000000001</v>
      </c>
      <c r="L45">
        <v>0.60261500000000001</v>
      </c>
      <c r="M45">
        <v>0.60261500000000001</v>
      </c>
      <c r="N45">
        <v>0.60261500000000001</v>
      </c>
      <c r="O45">
        <v>0.60261500000000001</v>
      </c>
      <c r="P45">
        <v>0.60261500000000001</v>
      </c>
    </row>
    <row r="46" spans="1:16" ht="13" customHeight="1" x14ac:dyDescent="0.15">
      <c r="A46">
        <v>2001</v>
      </c>
      <c r="B46">
        <v>0.40655400000000003</v>
      </c>
      <c r="C46">
        <v>0.63627500000000003</v>
      </c>
      <c r="D46">
        <v>0.72754700000000005</v>
      </c>
      <c r="E46">
        <v>0.68969899999999995</v>
      </c>
      <c r="F46">
        <v>0.60942099999999999</v>
      </c>
      <c r="G46">
        <v>0.556925</v>
      </c>
      <c r="H46">
        <v>0.55988400000000005</v>
      </c>
      <c r="I46">
        <v>0.56050299999999997</v>
      </c>
      <c r="J46">
        <v>0.57325000000000004</v>
      </c>
      <c r="K46">
        <v>0.58301400000000003</v>
      </c>
      <c r="L46">
        <v>0.58301400000000003</v>
      </c>
      <c r="M46">
        <v>0.58301400000000003</v>
      </c>
      <c r="N46">
        <v>0.58301400000000003</v>
      </c>
      <c r="O46">
        <v>0.58301400000000003</v>
      </c>
      <c r="P46">
        <v>0.58301400000000003</v>
      </c>
    </row>
    <row r="47" spans="1:16" ht="13" customHeight="1" x14ac:dyDescent="0.15">
      <c r="A47">
        <v>2002</v>
      </c>
      <c r="B47">
        <v>0.406553</v>
      </c>
      <c r="C47">
        <v>0.63534000000000002</v>
      </c>
      <c r="D47">
        <v>0.72492599999999996</v>
      </c>
      <c r="E47">
        <v>0.68228</v>
      </c>
      <c r="F47">
        <v>0.61619699999999999</v>
      </c>
      <c r="G47">
        <v>0.51772700000000005</v>
      </c>
      <c r="H47">
        <v>0.52032599999999996</v>
      </c>
      <c r="I47">
        <v>0.52299200000000001</v>
      </c>
      <c r="J47">
        <v>0.538991</v>
      </c>
      <c r="K47">
        <v>0.56635000000000002</v>
      </c>
      <c r="L47">
        <v>0.56635000000000002</v>
      </c>
      <c r="M47">
        <v>0.56635000000000002</v>
      </c>
      <c r="N47">
        <v>0.56635000000000002</v>
      </c>
      <c r="O47">
        <v>0.56635000000000002</v>
      </c>
      <c r="P47">
        <v>0.56635000000000002</v>
      </c>
    </row>
    <row r="48" spans="1:16" ht="13" customHeight="1" x14ac:dyDescent="0.15">
      <c r="A48">
        <v>2003</v>
      </c>
      <c r="B48">
        <v>0.406553</v>
      </c>
      <c r="C48">
        <v>0.63602599999999998</v>
      </c>
      <c r="D48">
        <v>0.70617200000000002</v>
      </c>
      <c r="E48">
        <v>0.681006</v>
      </c>
      <c r="F48">
        <v>0.59568699999999997</v>
      </c>
      <c r="G48">
        <v>0.53076500000000004</v>
      </c>
      <c r="H48">
        <v>0.50392899999999996</v>
      </c>
      <c r="I48">
        <v>0.50840399999999997</v>
      </c>
      <c r="J48">
        <v>0.53327199999999997</v>
      </c>
      <c r="K48">
        <v>0.56678899999999999</v>
      </c>
      <c r="L48">
        <v>0.56678899999999999</v>
      </c>
      <c r="M48">
        <v>0.56678899999999999</v>
      </c>
      <c r="N48">
        <v>0.56678899999999999</v>
      </c>
      <c r="O48">
        <v>0.56678899999999999</v>
      </c>
      <c r="P48">
        <v>0.56678899999999999</v>
      </c>
    </row>
    <row r="49" spans="1:16" ht="13" customHeight="1" x14ac:dyDescent="0.15">
      <c r="A49">
        <v>2004</v>
      </c>
      <c r="B49">
        <v>0.406555</v>
      </c>
      <c r="C49">
        <v>0.63649699999999998</v>
      </c>
      <c r="D49">
        <v>0.72576600000000002</v>
      </c>
      <c r="E49">
        <v>0.632467</v>
      </c>
      <c r="F49">
        <v>0.61189400000000005</v>
      </c>
      <c r="G49">
        <v>0.57329699999999995</v>
      </c>
      <c r="H49">
        <v>0.53002700000000003</v>
      </c>
      <c r="I49">
        <v>0.53479100000000002</v>
      </c>
      <c r="J49">
        <v>0.558141</v>
      </c>
      <c r="K49">
        <v>0.58396999999999999</v>
      </c>
      <c r="L49">
        <v>0.58396999999999999</v>
      </c>
      <c r="M49">
        <v>0.58396999999999999</v>
      </c>
      <c r="N49">
        <v>0.58396999999999999</v>
      </c>
      <c r="O49">
        <v>0.58396999999999999</v>
      </c>
      <c r="P49">
        <v>0.58396999999999999</v>
      </c>
    </row>
    <row r="50" spans="1:16" ht="13" customHeight="1" x14ac:dyDescent="0.15">
      <c r="A50">
        <v>2005</v>
      </c>
      <c r="B50">
        <v>0.406557</v>
      </c>
      <c r="C50">
        <v>0.63644100000000003</v>
      </c>
      <c r="D50">
        <v>0.72620300000000004</v>
      </c>
      <c r="E50">
        <v>0.66537599999999997</v>
      </c>
      <c r="F50">
        <v>0.55974599999999997</v>
      </c>
      <c r="G50">
        <v>0.53944999999999999</v>
      </c>
      <c r="H50">
        <v>0.55677500000000002</v>
      </c>
      <c r="I50">
        <v>0.57045400000000002</v>
      </c>
      <c r="J50">
        <v>0.57920700000000003</v>
      </c>
      <c r="K50">
        <v>0.59870400000000001</v>
      </c>
      <c r="L50">
        <v>0.59870400000000001</v>
      </c>
      <c r="M50">
        <v>0.59870400000000001</v>
      </c>
      <c r="N50">
        <v>0.59870400000000001</v>
      </c>
      <c r="O50">
        <v>0.59870400000000001</v>
      </c>
      <c r="P50">
        <v>0.59870400000000001</v>
      </c>
    </row>
    <row r="51" spans="1:16" ht="13" customHeight="1" x14ac:dyDescent="0.15">
      <c r="A51">
        <v>2006</v>
      </c>
      <c r="B51">
        <v>0.40655400000000003</v>
      </c>
      <c r="C51">
        <v>0.63577399999999995</v>
      </c>
      <c r="D51">
        <v>0.70772400000000002</v>
      </c>
      <c r="E51">
        <v>0.65214499999999997</v>
      </c>
      <c r="F51">
        <v>0.56570200000000004</v>
      </c>
      <c r="G51">
        <v>0.51262200000000002</v>
      </c>
      <c r="H51">
        <v>0.52166800000000002</v>
      </c>
      <c r="I51">
        <v>0.53060300000000005</v>
      </c>
      <c r="J51">
        <v>0.54839199999999999</v>
      </c>
      <c r="K51">
        <v>0.56490499999999999</v>
      </c>
      <c r="L51">
        <v>0.56490499999999999</v>
      </c>
      <c r="M51">
        <v>0.56490499999999999</v>
      </c>
      <c r="N51">
        <v>0.56490499999999999</v>
      </c>
      <c r="O51">
        <v>0.56490499999999999</v>
      </c>
      <c r="P51">
        <v>0.56490499999999999</v>
      </c>
    </row>
    <row r="52" spans="1:16" ht="13" customHeight="1" x14ac:dyDescent="0.15">
      <c r="A52">
        <v>2007</v>
      </c>
      <c r="B52">
        <v>0.40655400000000003</v>
      </c>
      <c r="C52">
        <v>0.63553899999999997</v>
      </c>
      <c r="D52">
        <v>0.70822399999999996</v>
      </c>
      <c r="E52">
        <v>0.65373899999999996</v>
      </c>
      <c r="F52">
        <v>0.56589100000000003</v>
      </c>
      <c r="G52">
        <v>0.491151</v>
      </c>
      <c r="H52">
        <v>0.51344100000000004</v>
      </c>
      <c r="I52">
        <v>0.53178700000000001</v>
      </c>
      <c r="J52">
        <v>0.54327599999999998</v>
      </c>
      <c r="K52">
        <v>0.55422199999999999</v>
      </c>
      <c r="L52">
        <v>0.55422199999999999</v>
      </c>
      <c r="M52">
        <v>0.55422199999999999</v>
      </c>
      <c r="N52">
        <v>0.55422199999999999</v>
      </c>
      <c r="O52">
        <v>0.55422199999999999</v>
      </c>
      <c r="P52">
        <v>0.55422199999999999</v>
      </c>
    </row>
    <row r="53" spans="1:16" ht="13" customHeight="1" x14ac:dyDescent="0.15">
      <c r="A53">
        <v>2008</v>
      </c>
      <c r="B53">
        <v>0.40655400000000003</v>
      </c>
      <c r="C53">
        <v>0.63583599999999996</v>
      </c>
      <c r="D53">
        <v>0.72226299999999999</v>
      </c>
      <c r="E53">
        <v>0.66068800000000005</v>
      </c>
      <c r="F53">
        <v>0.57703099999999996</v>
      </c>
      <c r="G53">
        <v>0.48191299999999998</v>
      </c>
      <c r="H53">
        <v>0.49467499999999998</v>
      </c>
      <c r="I53">
        <v>0.51713500000000001</v>
      </c>
      <c r="J53">
        <v>0.52016300000000004</v>
      </c>
      <c r="K53">
        <v>0.53698599999999996</v>
      </c>
      <c r="L53">
        <v>0.53698599999999996</v>
      </c>
      <c r="M53">
        <v>0.53698599999999996</v>
      </c>
      <c r="N53">
        <v>0.53698599999999996</v>
      </c>
      <c r="O53">
        <v>0.53698599999999996</v>
      </c>
      <c r="P53">
        <v>0.53698599999999996</v>
      </c>
    </row>
    <row r="54" spans="1:16" ht="13" customHeight="1" x14ac:dyDescent="0.15">
      <c r="A54">
        <v>2009</v>
      </c>
      <c r="B54">
        <v>0.40655599999999997</v>
      </c>
      <c r="C54">
        <v>0.63644800000000001</v>
      </c>
      <c r="D54">
        <v>0.72297500000000003</v>
      </c>
      <c r="E54">
        <v>0.66852</v>
      </c>
      <c r="F54">
        <v>0.62236499999999995</v>
      </c>
      <c r="G54">
        <v>0.545435</v>
      </c>
      <c r="H54">
        <v>0.52415900000000004</v>
      </c>
      <c r="I54">
        <v>0.52865600000000001</v>
      </c>
      <c r="J54">
        <v>0.52405800000000002</v>
      </c>
      <c r="K54">
        <v>0.52766999999999997</v>
      </c>
      <c r="L54">
        <v>0.52766999999999997</v>
      </c>
      <c r="M54">
        <v>0.52766999999999997</v>
      </c>
      <c r="N54">
        <v>0.52766999999999997</v>
      </c>
      <c r="O54">
        <v>0.52766999999999997</v>
      </c>
      <c r="P54">
        <v>0.52766999999999997</v>
      </c>
    </row>
    <row r="55" spans="1:16" ht="13" customHeight="1" x14ac:dyDescent="0.15">
      <c r="A55">
        <v>2010</v>
      </c>
      <c r="B55">
        <v>0.40655799999999997</v>
      </c>
      <c r="C55">
        <v>0.63658700000000001</v>
      </c>
      <c r="D55">
        <v>0.73165500000000006</v>
      </c>
      <c r="E55">
        <v>0.64491200000000004</v>
      </c>
      <c r="F55">
        <v>0.61480599999999996</v>
      </c>
      <c r="G55">
        <v>0.59518599999999999</v>
      </c>
      <c r="H55">
        <v>0.57005600000000001</v>
      </c>
      <c r="I55">
        <v>0.55675399999999997</v>
      </c>
      <c r="J55">
        <v>0.56025999999999998</v>
      </c>
      <c r="K55">
        <v>0.56362400000000001</v>
      </c>
      <c r="L55">
        <v>0.56362400000000001</v>
      </c>
      <c r="M55">
        <v>0.56362400000000001</v>
      </c>
      <c r="N55">
        <v>0.56362400000000001</v>
      </c>
      <c r="O55">
        <v>0.56362400000000001</v>
      </c>
      <c r="P55">
        <v>0.56362400000000001</v>
      </c>
    </row>
    <row r="56" spans="1:16" ht="13" customHeight="1" x14ac:dyDescent="0.15">
      <c r="A56">
        <v>2011</v>
      </c>
      <c r="B56">
        <v>0.40655400000000003</v>
      </c>
      <c r="C56">
        <v>0.63615299999999997</v>
      </c>
      <c r="D56">
        <v>0.72894899999999996</v>
      </c>
      <c r="E56">
        <v>0.69646699999999995</v>
      </c>
      <c r="F56">
        <v>0.51508699999999996</v>
      </c>
      <c r="G56">
        <v>0.49061399999999999</v>
      </c>
      <c r="H56">
        <v>0.50325799999999998</v>
      </c>
      <c r="I56">
        <v>0.50959699999999997</v>
      </c>
      <c r="J56">
        <v>0.51574900000000001</v>
      </c>
      <c r="K56">
        <v>0.52287300000000003</v>
      </c>
      <c r="L56">
        <v>0.52287300000000003</v>
      </c>
      <c r="M56">
        <v>0.52287300000000003</v>
      </c>
      <c r="N56">
        <v>0.52287300000000003</v>
      </c>
      <c r="O56">
        <v>0.52287300000000003</v>
      </c>
      <c r="P56">
        <v>0.52287300000000003</v>
      </c>
    </row>
    <row r="57" spans="1:16" ht="13" customHeight="1" x14ac:dyDescent="0.15">
      <c r="A57">
        <v>2012</v>
      </c>
      <c r="B57">
        <v>0.406555</v>
      </c>
      <c r="C57">
        <v>0.63568199999999997</v>
      </c>
      <c r="D57">
        <v>0.72382199999999997</v>
      </c>
      <c r="E57">
        <v>0.66571400000000003</v>
      </c>
      <c r="F57">
        <v>0.65565799999999996</v>
      </c>
      <c r="G57">
        <v>0.50361500000000003</v>
      </c>
      <c r="H57">
        <v>0.50121000000000004</v>
      </c>
      <c r="I57">
        <v>0.50317400000000001</v>
      </c>
      <c r="J57">
        <v>0.51396900000000001</v>
      </c>
      <c r="K57">
        <v>0.51915199999999995</v>
      </c>
      <c r="L57">
        <v>0.51915199999999995</v>
      </c>
      <c r="M57">
        <v>0.51915199999999995</v>
      </c>
      <c r="N57">
        <v>0.51915199999999995</v>
      </c>
      <c r="O57">
        <v>0.51915199999999995</v>
      </c>
      <c r="P57">
        <v>0.51915199999999995</v>
      </c>
    </row>
    <row r="58" spans="1:16" ht="13" customHeight="1" x14ac:dyDescent="0.15">
      <c r="A58">
        <v>2013</v>
      </c>
      <c r="B58">
        <v>0.40655599999999997</v>
      </c>
      <c r="C58">
        <v>0.63633399999999996</v>
      </c>
      <c r="D58">
        <v>0.72402299999999997</v>
      </c>
      <c r="E58">
        <v>0.66950299999999996</v>
      </c>
      <c r="F58">
        <v>0.62480999999999998</v>
      </c>
      <c r="G58">
        <v>0.61294199999999999</v>
      </c>
      <c r="H58">
        <v>0.55628699999999998</v>
      </c>
      <c r="I58">
        <v>0.51414499999999996</v>
      </c>
      <c r="J58">
        <v>0.51603100000000002</v>
      </c>
      <c r="K58">
        <v>0.51660200000000001</v>
      </c>
      <c r="L58">
        <v>0.51660200000000001</v>
      </c>
      <c r="M58">
        <v>0.51660200000000001</v>
      </c>
      <c r="N58">
        <v>0.51660200000000001</v>
      </c>
      <c r="O58">
        <v>0.51660200000000001</v>
      </c>
      <c r="P58">
        <v>0.51660200000000001</v>
      </c>
    </row>
    <row r="59" spans="1:16" ht="13" customHeight="1" x14ac:dyDescent="0.15">
      <c r="A59">
        <v>2014</v>
      </c>
      <c r="B59">
        <v>0.40655799999999997</v>
      </c>
      <c r="C59">
        <v>0.63642900000000002</v>
      </c>
      <c r="D59">
        <v>0.72709500000000005</v>
      </c>
      <c r="E59">
        <v>0.67986800000000003</v>
      </c>
      <c r="F59">
        <v>0.61898900000000001</v>
      </c>
      <c r="G59">
        <v>0.59376399999999996</v>
      </c>
      <c r="H59">
        <v>0.54161899999999996</v>
      </c>
      <c r="I59">
        <v>0.55588400000000004</v>
      </c>
      <c r="J59">
        <v>0.55544700000000002</v>
      </c>
      <c r="K59">
        <v>0.53920599999999996</v>
      </c>
      <c r="L59">
        <v>0.53920599999999996</v>
      </c>
      <c r="M59">
        <v>0.53920599999999996</v>
      </c>
      <c r="N59">
        <v>0.53920599999999996</v>
      </c>
      <c r="O59">
        <v>0.53920599999999996</v>
      </c>
      <c r="P59">
        <v>0.53920599999999996</v>
      </c>
    </row>
    <row r="60" spans="1:16" ht="13" customHeight="1" x14ac:dyDescent="0.15">
      <c r="A60">
        <v>2015</v>
      </c>
      <c r="B60">
        <v>0.40655799999999997</v>
      </c>
      <c r="C60">
        <v>0.63656500000000005</v>
      </c>
      <c r="D60">
        <v>0.71158299999999997</v>
      </c>
      <c r="E60">
        <v>0.67152199999999995</v>
      </c>
      <c r="F60">
        <v>0.63537500000000002</v>
      </c>
      <c r="G60">
        <v>0.57464400000000004</v>
      </c>
      <c r="H60">
        <v>0.58513899999999996</v>
      </c>
      <c r="I60">
        <v>0.58176799999999995</v>
      </c>
      <c r="J60">
        <v>0.58430800000000005</v>
      </c>
      <c r="K60">
        <v>0.54269699999999998</v>
      </c>
      <c r="L60">
        <v>0.54269699999999998</v>
      </c>
      <c r="M60">
        <v>0.54269699999999998</v>
      </c>
      <c r="N60">
        <v>0.54269699999999998</v>
      </c>
      <c r="O60">
        <v>0.54269699999999998</v>
      </c>
      <c r="P60">
        <v>0.54269699999999998</v>
      </c>
    </row>
    <row r="61" spans="1:16" ht="13" customHeight="1" x14ac:dyDescent="0.15">
      <c r="A61">
        <v>2016</v>
      </c>
      <c r="B61">
        <v>0.406559</v>
      </c>
      <c r="C61">
        <v>0.63663899999999995</v>
      </c>
      <c r="D61">
        <v>0.71515200000000001</v>
      </c>
      <c r="E61">
        <v>0.67962800000000001</v>
      </c>
      <c r="F61">
        <v>0.64942699999999998</v>
      </c>
      <c r="G61">
        <v>0.58757499999999996</v>
      </c>
      <c r="H61">
        <v>0.58894800000000003</v>
      </c>
      <c r="I61">
        <v>0.58824699999999996</v>
      </c>
      <c r="J61">
        <v>0.589395</v>
      </c>
      <c r="K61">
        <v>0.55413500000000004</v>
      </c>
      <c r="L61">
        <v>0.55413500000000004</v>
      </c>
      <c r="M61">
        <v>0.55413500000000004</v>
      </c>
      <c r="N61">
        <v>0.55413500000000004</v>
      </c>
      <c r="O61">
        <v>0.55413500000000004</v>
      </c>
      <c r="P61">
        <v>0.55413500000000004</v>
      </c>
    </row>
    <row r="62" spans="1:16" ht="13" customHeight="1" x14ac:dyDescent="0.15">
      <c r="A62" t="s">
        <v>154</v>
      </c>
      <c r="B62" t="s">
        <v>160</v>
      </c>
      <c r="C62" t="s">
        <v>158</v>
      </c>
      <c r="D62" t="s">
        <v>159</v>
      </c>
    </row>
    <row r="63" spans="1:16" ht="13" customHeight="1" x14ac:dyDescent="0.15">
      <c r="A63">
        <v>1964</v>
      </c>
      <c r="B63">
        <v>6669.66</v>
      </c>
      <c r="C63">
        <v>3534.24</v>
      </c>
      <c r="D63">
        <v>2242.08</v>
      </c>
      <c r="E63">
        <v>482.50599999999997</v>
      </c>
      <c r="F63">
        <v>208.66399999999999</v>
      </c>
      <c r="G63">
        <v>406.18900000000002</v>
      </c>
      <c r="H63">
        <v>183.488</v>
      </c>
      <c r="I63">
        <v>59.002600000000001</v>
      </c>
      <c r="J63">
        <v>37.4255</v>
      </c>
      <c r="K63">
        <v>37.698599999999999</v>
      </c>
      <c r="L63">
        <v>37.605200000000004</v>
      </c>
      <c r="M63">
        <v>37.5319</v>
      </c>
      <c r="N63">
        <v>37.474200000000003</v>
      </c>
      <c r="O63">
        <v>37.416800000000002</v>
      </c>
      <c r="P63">
        <v>37.348599999999998</v>
      </c>
    </row>
    <row r="64" spans="1:16" ht="13" customHeight="1" x14ac:dyDescent="0.15">
      <c r="A64">
        <v>1965</v>
      </c>
      <c r="B64">
        <v>21534.799999999999</v>
      </c>
      <c r="C64">
        <v>2706.04</v>
      </c>
      <c r="D64">
        <v>2223.48</v>
      </c>
      <c r="E64">
        <v>1587.58</v>
      </c>
      <c r="F64">
        <v>304.23599999999999</v>
      </c>
      <c r="G64">
        <v>131.34700000000001</v>
      </c>
      <c r="H64">
        <v>256.02199999999999</v>
      </c>
      <c r="I64">
        <v>116.339</v>
      </c>
      <c r="J64">
        <v>37.673099999999998</v>
      </c>
      <c r="K64">
        <v>24.041</v>
      </c>
      <c r="L64">
        <v>24.328800000000001</v>
      </c>
      <c r="M64">
        <v>24.268599999999999</v>
      </c>
      <c r="N64">
        <v>24.2212</v>
      </c>
      <c r="O64">
        <v>24.184100000000001</v>
      </c>
      <c r="P64">
        <v>48.25</v>
      </c>
    </row>
    <row r="65" spans="1:16" ht="13" customHeight="1" x14ac:dyDescent="0.15">
      <c r="A65">
        <v>1966</v>
      </c>
      <c r="B65">
        <v>15436.5</v>
      </c>
      <c r="C65">
        <v>8737.42</v>
      </c>
      <c r="D65">
        <v>1701.74</v>
      </c>
      <c r="E65">
        <v>1562.76</v>
      </c>
      <c r="F65">
        <v>993.73400000000004</v>
      </c>
      <c r="G65">
        <v>191.52699999999999</v>
      </c>
      <c r="H65">
        <v>83.313400000000001</v>
      </c>
      <c r="I65">
        <v>163.46799999999999</v>
      </c>
      <c r="J65">
        <v>74.691000000000003</v>
      </c>
      <c r="K65">
        <v>24.300899999999999</v>
      </c>
      <c r="L65">
        <v>15.5669</v>
      </c>
      <c r="M65">
        <v>15.753299999999999</v>
      </c>
      <c r="N65">
        <v>15.7143</v>
      </c>
      <c r="O65">
        <v>15.6836</v>
      </c>
      <c r="P65">
        <v>46.902099999999997</v>
      </c>
    </row>
    <row r="66" spans="1:16" ht="13" customHeight="1" x14ac:dyDescent="0.15">
      <c r="A66">
        <v>1967</v>
      </c>
      <c r="B66">
        <v>25796</v>
      </c>
      <c r="C66">
        <v>6263.08</v>
      </c>
      <c r="D66">
        <v>5490.74</v>
      </c>
      <c r="E66">
        <v>1191.3699999999999</v>
      </c>
      <c r="F66">
        <v>993.82</v>
      </c>
      <c r="G66">
        <v>634.46299999999997</v>
      </c>
      <c r="H66">
        <v>123.16500000000001</v>
      </c>
      <c r="I66">
        <v>53.846600000000002</v>
      </c>
      <c r="J66">
        <v>106.127</v>
      </c>
      <c r="K66">
        <v>48.655999999999999</v>
      </c>
      <c r="L66">
        <v>15.871600000000001</v>
      </c>
      <c r="M66">
        <v>10.1671</v>
      </c>
      <c r="N66">
        <v>10.2889</v>
      </c>
      <c r="O66">
        <v>10.263400000000001</v>
      </c>
      <c r="P66">
        <v>40.876300000000001</v>
      </c>
    </row>
    <row r="67" spans="1:16" ht="13" customHeight="1" x14ac:dyDescent="0.15">
      <c r="A67">
        <v>1968</v>
      </c>
      <c r="B67">
        <v>22271.4</v>
      </c>
      <c r="C67">
        <v>10447.9</v>
      </c>
      <c r="D67">
        <v>3882.56</v>
      </c>
      <c r="E67">
        <v>3593.01</v>
      </c>
      <c r="F67">
        <v>698.36500000000001</v>
      </c>
      <c r="G67">
        <v>581.63199999999995</v>
      </c>
      <c r="H67">
        <v>373.44200000000001</v>
      </c>
      <c r="I67">
        <v>72.715800000000002</v>
      </c>
      <c r="J67">
        <v>31.889299999999999</v>
      </c>
      <c r="K67">
        <v>63.036000000000001</v>
      </c>
      <c r="L67">
        <v>28.952000000000002</v>
      </c>
      <c r="M67">
        <v>9.4441100000000002</v>
      </c>
      <c r="N67">
        <v>6.0497899999999998</v>
      </c>
      <c r="O67">
        <v>6.1222200000000004</v>
      </c>
      <c r="P67">
        <v>30.4298</v>
      </c>
    </row>
    <row r="68" spans="1:16" ht="13" customHeight="1" x14ac:dyDescent="0.15">
      <c r="A68">
        <v>1969</v>
      </c>
      <c r="B68">
        <v>26141.1</v>
      </c>
      <c r="C68">
        <v>9015.31</v>
      </c>
      <c r="D68">
        <v>6454.6</v>
      </c>
      <c r="E68">
        <v>2536.4699999999998</v>
      </c>
      <c r="F68">
        <v>2103.33</v>
      </c>
      <c r="G68">
        <v>411.44299999999998</v>
      </c>
      <c r="H68">
        <v>344.976</v>
      </c>
      <c r="I68">
        <v>222.071</v>
      </c>
      <c r="J68">
        <v>43.278199999999998</v>
      </c>
      <c r="K68">
        <v>18.985700000000001</v>
      </c>
      <c r="L68">
        <v>37.529400000000003</v>
      </c>
      <c r="M68">
        <v>17.236999999999998</v>
      </c>
      <c r="N68">
        <v>5.6226900000000004</v>
      </c>
      <c r="O68">
        <v>3.6018300000000001</v>
      </c>
      <c r="P68">
        <v>21.761800000000001</v>
      </c>
    </row>
    <row r="69" spans="1:16" ht="13" customHeight="1" x14ac:dyDescent="0.15">
      <c r="A69">
        <v>1970</v>
      </c>
      <c r="B69">
        <v>23500.1</v>
      </c>
      <c r="C69">
        <v>10572.2</v>
      </c>
      <c r="D69">
        <v>5546.35</v>
      </c>
      <c r="E69">
        <v>4093.67</v>
      </c>
      <c r="F69">
        <v>1500.18</v>
      </c>
      <c r="G69">
        <v>1250.42</v>
      </c>
      <c r="H69">
        <v>245.607</v>
      </c>
      <c r="I69">
        <v>205.98500000000001</v>
      </c>
      <c r="J69">
        <v>131.33099999999999</v>
      </c>
      <c r="K69">
        <v>25.494199999999999</v>
      </c>
      <c r="L69">
        <v>11.125999999999999</v>
      </c>
      <c r="M69">
        <v>21.992999999999999</v>
      </c>
      <c r="N69">
        <v>10.1012</v>
      </c>
      <c r="O69">
        <v>3.29501</v>
      </c>
      <c r="P69">
        <v>14.8636</v>
      </c>
    </row>
    <row r="70" spans="1:16" ht="13" customHeight="1" x14ac:dyDescent="0.15">
      <c r="A70">
        <v>1971</v>
      </c>
      <c r="B70">
        <v>14578.3</v>
      </c>
      <c r="C70">
        <v>9467.61</v>
      </c>
      <c r="D70">
        <v>6356.46</v>
      </c>
      <c r="E70">
        <v>3312.4</v>
      </c>
      <c r="F70">
        <v>2351.25</v>
      </c>
      <c r="G70">
        <v>840.39400000000001</v>
      </c>
      <c r="H70">
        <v>700.84799999999996</v>
      </c>
      <c r="I70">
        <v>135.601</v>
      </c>
      <c r="J70">
        <v>110.286</v>
      </c>
      <c r="K70">
        <v>69.308000000000007</v>
      </c>
      <c r="L70">
        <v>13.152100000000001</v>
      </c>
      <c r="M70">
        <v>5.7397299999999998</v>
      </c>
      <c r="N70">
        <v>11.345800000000001</v>
      </c>
      <c r="O70">
        <v>5.2110700000000003</v>
      </c>
      <c r="P70">
        <v>9.3677499999999991</v>
      </c>
    </row>
    <row r="71" spans="1:16" ht="13" customHeight="1" x14ac:dyDescent="0.15">
      <c r="A71">
        <v>1972</v>
      </c>
      <c r="B71">
        <v>11964.4</v>
      </c>
      <c r="C71">
        <v>5851.31</v>
      </c>
      <c r="D71">
        <v>5550.12</v>
      </c>
      <c r="E71">
        <v>3569.93</v>
      </c>
      <c r="F71">
        <v>1746.76</v>
      </c>
      <c r="G71">
        <v>1178.3499999999999</v>
      </c>
      <c r="H71">
        <v>423.69200000000001</v>
      </c>
      <c r="I71">
        <v>351.197</v>
      </c>
      <c r="J71">
        <v>63.734400000000001</v>
      </c>
      <c r="K71">
        <v>50.312199999999997</v>
      </c>
      <c r="L71">
        <v>30.290600000000001</v>
      </c>
      <c r="M71">
        <v>5.7480399999999996</v>
      </c>
      <c r="N71">
        <v>2.5085099999999998</v>
      </c>
      <c r="O71">
        <v>4.9586300000000003</v>
      </c>
      <c r="P71">
        <v>6.3715799999999998</v>
      </c>
    </row>
    <row r="72" spans="1:16" ht="13" customHeight="1" x14ac:dyDescent="0.15">
      <c r="A72">
        <v>1973</v>
      </c>
      <c r="B72">
        <v>26909</v>
      </c>
      <c r="C72">
        <v>4808.49</v>
      </c>
      <c r="D72">
        <v>3324.44</v>
      </c>
      <c r="E72">
        <v>2897.5</v>
      </c>
      <c r="F72">
        <v>1743.8</v>
      </c>
      <c r="G72">
        <v>839.32299999999998</v>
      </c>
      <c r="H72">
        <v>566.65800000000002</v>
      </c>
      <c r="I72">
        <v>202.86500000000001</v>
      </c>
      <c r="J72">
        <v>157.79499999999999</v>
      </c>
      <c r="K72">
        <v>27.491099999999999</v>
      </c>
      <c r="L72">
        <v>20.962700000000002</v>
      </c>
      <c r="M72">
        <v>12.620699999999999</v>
      </c>
      <c r="N72">
        <v>2.39493</v>
      </c>
      <c r="O72">
        <v>1.04518</v>
      </c>
      <c r="P72">
        <v>4.7207600000000003</v>
      </c>
    </row>
    <row r="73" spans="1:16" ht="13" customHeight="1" x14ac:dyDescent="0.15">
      <c r="A73">
        <v>1974</v>
      </c>
      <c r="B73">
        <v>19909.099999999999</v>
      </c>
      <c r="C73">
        <v>10828.8</v>
      </c>
      <c r="D73">
        <v>2649.45</v>
      </c>
      <c r="E73">
        <v>1611.79</v>
      </c>
      <c r="F73">
        <v>1306.17</v>
      </c>
      <c r="G73">
        <v>773.43200000000002</v>
      </c>
      <c r="H73">
        <v>371.54899999999998</v>
      </c>
      <c r="I73">
        <v>251.10400000000001</v>
      </c>
      <c r="J73">
        <v>84.846400000000003</v>
      </c>
      <c r="K73">
        <v>63.440899999999999</v>
      </c>
      <c r="L73">
        <v>10.828099999999999</v>
      </c>
      <c r="M73">
        <v>8.25671</v>
      </c>
      <c r="N73">
        <v>4.97098</v>
      </c>
      <c r="O73">
        <v>0.94330800000000004</v>
      </c>
      <c r="P73">
        <v>2.2710699999999999</v>
      </c>
    </row>
    <row r="74" spans="1:16" ht="13" customHeight="1" x14ac:dyDescent="0.15">
      <c r="A74">
        <v>1975</v>
      </c>
      <c r="B74">
        <v>17094.099999999999</v>
      </c>
      <c r="C74">
        <v>8022.51</v>
      </c>
      <c r="D74">
        <v>5763.34</v>
      </c>
      <c r="E74">
        <v>1144.27</v>
      </c>
      <c r="F74">
        <v>690.95799999999997</v>
      </c>
      <c r="G74">
        <v>558</v>
      </c>
      <c r="H74">
        <v>330.99700000000001</v>
      </c>
      <c r="I74">
        <v>159.066</v>
      </c>
      <c r="J74">
        <v>102.46</v>
      </c>
      <c r="K74">
        <v>33.065300000000001</v>
      </c>
      <c r="L74">
        <v>24.646799999999999</v>
      </c>
      <c r="M74">
        <v>4.2067300000000003</v>
      </c>
      <c r="N74">
        <v>3.2077399999999998</v>
      </c>
      <c r="O74">
        <v>1.93123</v>
      </c>
      <c r="P74">
        <v>1.2487900000000001</v>
      </c>
    </row>
    <row r="75" spans="1:16" ht="13" customHeight="1" x14ac:dyDescent="0.15">
      <c r="A75">
        <v>1976</v>
      </c>
      <c r="B75">
        <v>13137.6</v>
      </c>
      <c r="C75">
        <v>6908.76</v>
      </c>
      <c r="D75">
        <v>4528.26</v>
      </c>
      <c r="E75">
        <v>2610.36</v>
      </c>
      <c r="F75">
        <v>527.30100000000004</v>
      </c>
      <c r="G75">
        <v>322.14400000000001</v>
      </c>
      <c r="H75">
        <v>261.58499999999998</v>
      </c>
      <c r="I75">
        <v>155.39599999999999</v>
      </c>
      <c r="J75">
        <v>72.983000000000004</v>
      </c>
      <c r="K75">
        <v>45.087699999999998</v>
      </c>
      <c r="L75">
        <v>14.4474</v>
      </c>
      <c r="M75">
        <v>10.7691</v>
      </c>
      <c r="N75">
        <v>1.8380799999999999</v>
      </c>
      <c r="O75">
        <v>1.40158</v>
      </c>
      <c r="P75">
        <v>1.38947</v>
      </c>
    </row>
    <row r="76" spans="1:16" ht="13" customHeight="1" x14ac:dyDescent="0.15">
      <c r="A76">
        <v>1977</v>
      </c>
      <c r="B76">
        <v>13755.3</v>
      </c>
      <c r="C76">
        <v>5318.47</v>
      </c>
      <c r="D76">
        <v>3989.97</v>
      </c>
      <c r="E76">
        <v>2256.02</v>
      </c>
      <c r="F76">
        <v>1234.25</v>
      </c>
      <c r="G76">
        <v>253.52199999999999</v>
      </c>
      <c r="H76">
        <v>156.45400000000001</v>
      </c>
      <c r="I76">
        <v>127.56</v>
      </c>
      <c r="J76">
        <v>75.309100000000001</v>
      </c>
      <c r="K76">
        <v>34.118600000000001</v>
      </c>
      <c r="L76">
        <v>20.945</v>
      </c>
      <c r="M76">
        <v>6.7114099999999999</v>
      </c>
      <c r="N76">
        <v>5.0026799999999998</v>
      </c>
      <c r="O76">
        <v>0.85385999999999995</v>
      </c>
      <c r="P76">
        <v>1.2965500000000001</v>
      </c>
    </row>
    <row r="77" spans="1:16" ht="13" customHeight="1" x14ac:dyDescent="0.15">
      <c r="A77">
        <v>1978</v>
      </c>
      <c r="B77">
        <v>25352.3</v>
      </c>
      <c r="C77">
        <v>5575.28</v>
      </c>
      <c r="D77">
        <v>3107.72</v>
      </c>
      <c r="E77">
        <v>2185.7800000000002</v>
      </c>
      <c r="F77">
        <v>1153.6300000000001</v>
      </c>
      <c r="G77">
        <v>619.22400000000005</v>
      </c>
      <c r="H77">
        <v>128.09</v>
      </c>
      <c r="I77">
        <v>79.384</v>
      </c>
      <c r="J77">
        <v>64.774100000000004</v>
      </c>
      <c r="K77">
        <v>37.122999999999998</v>
      </c>
      <c r="L77">
        <v>16.6539</v>
      </c>
      <c r="M77">
        <v>10.223599999999999</v>
      </c>
      <c r="N77">
        <v>3.27596</v>
      </c>
      <c r="O77">
        <v>2.4419</v>
      </c>
      <c r="P77">
        <v>1.04965</v>
      </c>
    </row>
    <row r="78" spans="1:16" ht="13" customHeight="1" x14ac:dyDescent="0.15">
      <c r="A78">
        <v>1979</v>
      </c>
      <c r="B78">
        <v>61942.6</v>
      </c>
      <c r="C78">
        <v>10281</v>
      </c>
      <c r="D78">
        <v>3282.92</v>
      </c>
      <c r="E78">
        <v>1700.1</v>
      </c>
      <c r="F78">
        <v>1110.5899999999999</v>
      </c>
      <c r="G78">
        <v>559.80700000000002</v>
      </c>
      <c r="H78">
        <v>302.154</v>
      </c>
      <c r="I78">
        <v>62.523200000000003</v>
      </c>
      <c r="J78">
        <v>38.7699</v>
      </c>
      <c r="K78">
        <v>30.682600000000001</v>
      </c>
      <c r="L78">
        <v>17.389199999999999</v>
      </c>
      <c r="M78">
        <v>7.8010099999999998</v>
      </c>
      <c r="N78">
        <v>4.7889600000000003</v>
      </c>
      <c r="O78">
        <v>1.5345299999999999</v>
      </c>
      <c r="P78">
        <v>1.63551</v>
      </c>
    </row>
    <row r="79" spans="1:16" ht="13" customHeight="1" x14ac:dyDescent="0.15">
      <c r="A79">
        <v>1980</v>
      </c>
      <c r="B79">
        <v>27184.1</v>
      </c>
      <c r="C79">
        <v>25131.3</v>
      </c>
      <c r="D79">
        <v>6215.44</v>
      </c>
      <c r="E79">
        <v>1891.33</v>
      </c>
      <c r="F79">
        <v>884.84900000000005</v>
      </c>
      <c r="G79">
        <v>525.71699999999998</v>
      </c>
      <c r="H79">
        <v>261.85300000000001</v>
      </c>
      <c r="I79">
        <v>142.27199999999999</v>
      </c>
      <c r="J79">
        <v>29.450299999999999</v>
      </c>
      <c r="K79">
        <v>17.791799999999999</v>
      </c>
      <c r="L79">
        <v>14.064299999999999</v>
      </c>
      <c r="M79">
        <v>7.9708800000000002</v>
      </c>
      <c r="N79">
        <v>3.5758399999999999</v>
      </c>
      <c r="O79">
        <v>2.1951700000000001</v>
      </c>
      <c r="P79">
        <v>1.45309</v>
      </c>
    </row>
    <row r="80" spans="1:16" ht="13" customHeight="1" x14ac:dyDescent="0.15">
      <c r="A80">
        <v>1981</v>
      </c>
      <c r="B80">
        <v>30738.1</v>
      </c>
      <c r="C80">
        <v>11035.8</v>
      </c>
      <c r="D80">
        <v>15585.4</v>
      </c>
      <c r="E80">
        <v>3907.99</v>
      </c>
      <c r="F80">
        <v>1012.67</v>
      </c>
      <c r="G80">
        <v>428.42500000000001</v>
      </c>
      <c r="H80">
        <v>248.41300000000001</v>
      </c>
      <c r="I80">
        <v>124.60599999999999</v>
      </c>
      <c r="J80">
        <v>67.975300000000004</v>
      </c>
      <c r="K80">
        <v>13.9597</v>
      </c>
      <c r="L80">
        <v>8.4352099999999997</v>
      </c>
      <c r="M80">
        <v>6.6680000000000001</v>
      </c>
      <c r="N80">
        <v>3.7790499999999998</v>
      </c>
      <c r="O80">
        <v>1.69533</v>
      </c>
      <c r="P80">
        <v>1.72966</v>
      </c>
    </row>
    <row r="81" spans="1:16" ht="13" customHeight="1" x14ac:dyDescent="0.15">
      <c r="A81">
        <v>1982</v>
      </c>
      <c r="B81">
        <v>16305.4</v>
      </c>
      <c r="C81">
        <v>12486.2</v>
      </c>
      <c r="D81">
        <v>6933.92</v>
      </c>
      <c r="E81">
        <v>10619.1</v>
      </c>
      <c r="F81">
        <v>2328.6999999999998</v>
      </c>
      <c r="G81">
        <v>540.91099999999994</v>
      </c>
      <c r="H81">
        <v>227.42099999999999</v>
      </c>
      <c r="I81">
        <v>132.10599999999999</v>
      </c>
      <c r="J81">
        <v>66.275700000000001</v>
      </c>
      <c r="K81">
        <v>36.001399999999997</v>
      </c>
      <c r="L81">
        <v>7.3979600000000003</v>
      </c>
      <c r="M81">
        <v>4.4702599999999997</v>
      </c>
      <c r="N81">
        <v>3.5337200000000002</v>
      </c>
      <c r="O81">
        <v>2.0027200000000001</v>
      </c>
      <c r="P81">
        <v>1.81508</v>
      </c>
    </row>
    <row r="82" spans="1:16" ht="13" customHeight="1" x14ac:dyDescent="0.15">
      <c r="A82">
        <v>1983</v>
      </c>
      <c r="B82">
        <v>52162.3</v>
      </c>
      <c r="C82">
        <v>6626.01</v>
      </c>
      <c r="D82">
        <v>7895.15</v>
      </c>
      <c r="E82">
        <v>4937.95</v>
      </c>
      <c r="F82">
        <v>6912.79</v>
      </c>
      <c r="G82">
        <v>1400.08</v>
      </c>
      <c r="H82">
        <v>320.00200000000001</v>
      </c>
      <c r="I82">
        <v>134.81100000000001</v>
      </c>
      <c r="J82">
        <v>78.058700000000002</v>
      </c>
      <c r="K82">
        <v>38.923499999999997</v>
      </c>
      <c r="L82">
        <v>21.1494</v>
      </c>
      <c r="M82">
        <v>4.3460099999999997</v>
      </c>
      <c r="N82">
        <v>2.6261000000000001</v>
      </c>
      <c r="O82">
        <v>2.07592</v>
      </c>
      <c r="P82">
        <v>2.24281</v>
      </c>
    </row>
    <row r="83" spans="1:16" ht="13" customHeight="1" x14ac:dyDescent="0.15">
      <c r="A83">
        <v>1984</v>
      </c>
      <c r="B83">
        <v>13572.8</v>
      </c>
      <c r="C83">
        <v>21200.1</v>
      </c>
      <c r="D83">
        <v>4193.2</v>
      </c>
      <c r="E83">
        <v>5677.6</v>
      </c>
      <c r="F83">
        <v>3339.89</v>
      </c>
      <c r="G83">
        <v>4387</v>
      </c>
      <c r="H83">
        <v>854.84199999999998</v>
      </c>
      <c r="I83">
        <v>195.61600000000001</v>
      </c>
      <c r="J83">
        <v>82.277699999999996</v>
      </c>
      <c r="K83">
        <v>47.154200000000003</v>
      </c>
      <c r="L83">
        <v>23.418399999999998</v>
      </c>
      <c r="M83">
        <v>12.724600000000001</v>
      </c>
      <c r="N83">
        <v>2.6147900000000002</v>
      </c>
      <c r="O83">
        <v>1.58</v>
      </c>
      <c r="P83">
        <v>2.5983700000000001</v>
      </c>
    </row>
    <row r="84" spans="1:16" ht="13" customHeight="1" x14ac:dyDescent="0.15">
      <c r="A84">
        <v>1985</v>
      </c>
      <c r="B84">
        <v>34631.9</v>
      </c>
      <c r="C84">
        <v>5516.6</v>
      </c>
      <c r="D84">
        <v>13436.4</v>
      </c>
      <c r="E84">
        <v>3017.32</v>
      </c>
      <c r="F84">
        <v>3880.54</v>
      </c>
      <c r="G84">
        <v>2112.8000000000002</v>
      </c>
      <c r="H84">
        <v>2703.67</v>
      </c>
      <c r="I84">
        <v>522.27200000000005</v>
      </c>
      <c r="J84">
        <v>119.622</v>
      </c>
      <c r="K84">
        <v>49.792200000000001</v>
      </c>
      <c r="L84">
        <v>28.3294</v>
      </c>
      <c r="M84">
        <v>14.0694</v>
      </c>
      <c r="N84">
        <v>7.6447099999999999</v>
      </c>
      <c r="O84">
        <v>1.5709200000000001</v>
      </c>
      <c r="P84">
        <v>2.5102899999999999</v>
      </c>
    </row>
    <row r="85" spans="1:16" ht="13" customHeight="1" x14ac:dyDescent="0.15">
      <c r="A85">
        <v>1986</v>
      </c>
      <c r="B85">
        <v>14545.4</v>
      </c>
      <c r="C85">
        <v>14076.6</v>
      </c>
      <c r="D85">
        <v>3495.58</v>
      </c>
      <c r="E85">
        <v>9643.9500000000007</v>
      </c>
      <c r="F85">
        <v>2079.1799999999998</v>
      </c>
      <c r="G85">
        <v>2532.64</v>
      </c>
      <c r="H85">
        <v>1281.8900000000001</v>
      </c>
      <c r="I85">
        <v>1644.83</v>
      </c>
      <c r="J85">
        <v>317.73500000000001</v>
      </c>
      <c r="K85">
        <v>72.165400000000005</v>
      </c>
      <c r="L85">
        <v>29.7333</v>
      </c>
      <c r="M85">
        <v>16.916799999999999</v>
      </c>
      <c r="N85">
        <v>8.4014900000000008</v>
      </c>
      <c r="O85">
        <v>4.5650199999999996</v>
      </c>
      <c r="P85">
        <v>2.4370799999999999</v>
      </c>
    </row>
    <row r="86" spans="1:16" ht="13" customHeight="1" x14ac:dyDescent="0.15">
      <c r="A86">
        <v>1987</v>
      </c>
      <c r="B86">
        <v>7835.33</v>
      </c>
      <c r="C86">
        <v>5912.49</v>
      </c>
      <c r="D86">
        <v>8925.2199999999993</v>
      </c>
      <c r="E86">
        <v>2509.0700000000002</v>
      </c>
      <c r="F86">
        <v>6610.44</v>
      </c>
      <c r="G86">
        <v>1374.88</v>
      </c>
      <c r="H86">
        <v>1571.89</v>
      </c>
      <c r="I86">
        <v>789.82299999999998</v>
      </c>
      <c r="J86">
        <v>1025.6199999999999</v>
      </c>
      <c r="K86">
        <v>193.56299999999999</v>
      </c>
      <c r="L86">
        <v>43.738999999999997</v>
      </c>
      <c r="M86">
        <v>18.0212</v>
      </c>
      <c r="N86">
        <v>10.2532</v>
      </c>
      <c r="O86">
        <v>5.0921000000000003</v>
      </c>
      <c r="P86">
        <v>4.2439299999999998</v>
      </c>
    </row>
    <row r="87" spans="1:16" ht="13" customHeight="1" x14ac:dyDescent="0.15">
      <c r="A87">
        <v>1988</v>
      </c>
      <c r="B87">
        <v>5561.46</v>
      </c>
      <c r="C87">
        <v>3185.19</v>
      </c>
      <c r="D87">
        <v>3755.53</v>
      </c>
      <c r="E87">
        <v>6445.86</v>
      </c>
      <c r="F87">
        <v>1765.34</v>
      </c>
      <c r="G87">
        <v>4509.9799999999996</v>
      </c>
      <c r="H87">
        <v>905.13900000000001</v>
      </c>
      <c r="I87">
        <v>1029.6300000000001</v>
      </c>
      <c r="J87">
        <v>508.08300000000003</v>
      </c>
      <c r="K87">
        <v>653.68799999999999</v>
      </c>
      <c r="L87">
        <v>123.76300000000001</v>
      </c>
      <c r="M87">
        <v>27.9664</v>
      </c>
      <c r="N87">
        <v>11.522600000000001</v>
      </c>
      <c r="O87">
        <v>6.5558199999999998</v>
      </c>
      <c r="P87">
        <v>5.9693899999999998</v>
      </c>
    </row>
    <row r="88" spans="1:16" ht="13" customHeight="1" x14ac:dyDescent="0.15">
      <c r="A88">
        <v>1989</v>
      </c>
      <c r="B88">
        <v>11102.8</v>
      </c>
      <c r="C88">
        <v>2260.7800000000002</v>
      </c>
      <c r="D88">
        <v>2020.97</v>
      </c>
      <c r="E88">
        <v>2627.97</v>
      </c>
      <c r="F88">
        <v>4431.8100000000004</v>
      </c>
      <c r="G88">
        <v>1148.5899999999999</v>
      </c>
      <c r="H88">
        <v>2867.89</v>
      </c>
      <c r="I88">
        <v>554.75699999999995</v>
      </c>
      <c r="J88">
        <v>636.34799999999996</v>
      </c>
      <c r="K88">
        <v>310.72800000000001</v>
      </c>
      <c r="L88">
        <v>401.65100000000001</v>
      </c>
      <c r="M88">
        <v>76.044600000000003</v>
      </c>
      <c r="N88">
        <v>17.183599999999998</v>
      </c>
      <c r="O88">
        <v>7.0799300000000001</v>
      </c>
      <c r="P88">
        <v>7.6959600000000004</v>
      </c>
    </row>
    <row r="89" spans="1:16" ht="13" customHeight="1" x14ac:dyDescent="0.15">
      <c r="A89">
        <v>1990</v>
      </c>
      <c r="B89">
        <v>48848.1</v>
      </c>
      <c r="C89">
        <v>4513.45</v>
      </c>
      <c r="D89">
        <v>1434.67</v>
      </c>
      <c r="E89">
        <v>1436.07</v>
      </c>
      <c r="F89">
        <v>1780.46</v>
      </c>
      <c r="G89">
        <v>2872.5</v>
      </c>
      <c r="H89">
        <v>721.34100000000001</v>
      </c>
      <c r="I89">
        <v>1722.6</v>
      </c>
      <c r="J89">
        <v>337.46199999999999</v>
      </c>
      <c r="K89">
        <v>390.92700000000002</v>
      </c>
      <c r="L89">
        <v>191.24299999999999</v>
      </c>
      <c r="M89">
        <v>247.203</v>
      </c>
      <c r="N89">
        <v>46.803100000000001</v>
      </c>
      <c r="O89">
        <v>10.576000000000001</v>
      </c>
      <c r="P89">
        <v>9.0940999999999992</v>
      </c>
    </row>
    <row r="90" spans="1:16" ht="13" customHeight="1" x14ac:dyDescent="0.15">
      <c r="A90">
        <v>1991</v>
      </c>
      <c r="B90">
        <v>25581.3</v>
      </c>
      <c r="C90">
        <v>19857</v>
      </c>
      <c r="D90">
        <v>2858.66</v>
      </c>
      <c r="E90">
        <v>1015.24</v>
      </c>
      <c r="F90">
        <v>925.85299999999995</v>
      </c>
      <c r="G90">
        <v>1050.05</v>
      </c>
      <c r="H90">
        <v>1657.8</v>
      </c>
      <c r="I90">
        <v>403.81900000000002</v>
      </c>
      <c r="J90">
        <v>959.34799999999996</v>
      </c>
      <c r="K90">
        <v>189.99700000000001</v>
      </c>
      <c r="L90">
        <v>222.494</v>
      </c>
      <c r="M90">
        <v>108.845</v>
      </c>
      <c r="N90">
        <v>140.69399999999999</v>
      </c>
      <c r="O90">
        <v>26.637599999999999</v>
      </c>
      <c r="P90">
        <v>11.1951</v>
      </c>
    </row>
    <row r="91" spans="1:16" ht="13" customHeight="1" x14ac:dyDescent="0.15">
      <c r="A91">
        <v>1992</v>
      </c>
      <c r="B91">
        <v>22780.799999999999</v>
      </c>
      <c r="C91">
        <v>10399</v>
      </c>
      <c r="D91">
        <v>12571.5</v>
      </c>
      <c r="E91">
        <v>2041.8</v>
      </c>
      <c r="F91">
        <v>669.51900000000001</v>
      </c>
      <c r="G91">
        <v>558.52300000000002</v>
      </c>
      <c r="H91">
        <v>604.03499999999997</v>
      </c>
      <c r="I91">
        <v>884.06799999999998</v>
      </c>
      <c r="J91">
        <v>223.084</v>
      </c>
      <c r="K91">
        <v>509.733</v>
      </c>
      <c r="L91">
        <v>101.09699999999999</v>
      </c>
      <c r="M91">
        <v>118.389</v>
      </c>
      <c r="N91">
        <v>57.916200000000003</v>
      </c>
      <c r="O91">
        <v>74.863200000000006</v>
      </c>
      <c r="P91">
        <v>20.130700000000001</v>
      </c>
    </row>
    <row r="92" spans="1:16" ht="13" customHeight="1" x14ac:dyDescent="0.15">
      <c r="A92">
        <v>1993</v>
      </c>
      <c r="B92">
        <v>46863.199999999997</v>
      </c>
      <c r="C92">
        <v>9260.4</v>
      </c>
      <c r="D92">
        <v>6574.82</v>
      </c>
      <c r="E92">
        <v>8722.6200000000008</v>
      </c>
      <c r="F92">
        <v>1341.63</v>
      </c>
      <c r="G92">
        <v>406.24400000000003</v>
      </c>
      <c r="H92">
        <v>299.82799999999997</v>
      </c>
      <c r="I92">
        <v>292.62599999999998</v>
      </c>
      <c r="J92">
        <v>416.21800000000002</v>
      </c>
      <c r="K92">
        <v>104.61499999999999</v>
      </c>
      <c r="L92">
        <v>240.75299999999999</v>
      </c>
      <c r="M92">
        <v>47.749400000000001</v>
      </c>
      <c r="N92">
        <v>55.916499999999999</v>
      </c>
      <c r="O92">
        <v>27.354600000000001</v>
      </c>
      <c r="P92">
        <v>44.866799999999998</v>
      </c>
    </row>
    <row r="93" spans="1:16" ht="13" customHeight="1" x14ac:dyDescent="0.15">
      <c r="A93">
        <v>1994</v>
      </c>
      <c r="B93">
        <v>15942.8</v>
      </c>
      <c r="C93">
        <v>19051.2</v>
      </c>
      <c r="D93">
        <v>5882.78</v>
      </c>
      <c r="E93">
        <v>4674.55</v>
      </c>
      <c r="F93">
        <v>5550.3</v>
      </c>
      <c r="G93">
        <v>868.91099999999994</v>
      </c>
      <c r="H93">
        <v>242.44200000000001</v>
      </c>
      <c r="I93">
        <v>164.13300000000001</v>
      </c>
      <c r="J93">
        <v>160.26400000000001</v>
      </c>
      <c r="K93">
        <v>228.08699999999999</v>
      </c>
      <c r="L93">
        <v>57.996499999999997</v>
      </c>
      <c r="M93">
        <v>133.46899999999999</v>
      </c>
      <c r="N93">
        <v>26.471299999999999</v>
      </c>
      <c r="O93">
        <v>30.998999999999999</v>
      </c>
      <c r="P93">
        <v>40.038200000000003</v>
      </c>
    </row>
    <row r="94" spans="1:16" ht="13" customHeight="1" x14ac:dyDescent="0.15">
      <c r="A94">
        <v>1995</v>
      </c>
      <c r="B94">
        <v>10904.9</v>
      </c>
      <c r="C94">
        <v>6481.33</v>
      </c>
      <c r="D94">
        <v>12108.4</v>
      </c>
      <c r="E94">
        <v>4276.8100000000004</v>
      </c>
      <c r="F94">
        <v>3180.95</v>
      </c>
      <c r="G94">
        <v>3283.07</v>
      </c>
      <c r="H94">
        <v>517.85</v>
      </c>
      <c r="I94">
        <v>136.02500000000001</v>
      </c>
      <c r="J94">
        <v>92.2149</v>
      </c>
      <c r="K94">
        <v>90.339699999999993</v>
      </c>
      <c r="L94">
        <v>129.39400000000001</v>
      </c>
      <c r="M94">
        <v>32.901299999999999</v>
      </c>
      <c r="N94">
        <v>75.716899999999995</v>
      </c>
      <c r="O94">
        <v>15.017200000000001</v>
      </c>
      <c r="P94">
        <v>40.299300000000002</v>
      </c>
    </row>
    <row r="95" spans="1:16" ht="13" customHeight="1" x14ac:dyDescent="0.15">
      <c r="A95">
        <v>1996</v>
      </c>
      <c r="B95">
        <v>22878.1</v>
      </c>
      <c r="C95">
        <v>4433.28</v>
      </c>
      <c r="D95">
        <v>4118.8900000000003</v>
      </c>
      <c r="E95">
        <v>8860.85</v>
      </c>
      <c r="F95">
        <v>3043.58</v>
      </c>
      <c r="G95">
        <v>2033.87</v>
      </c>
      <c r="H95">
        <v>1793.97</v>
      </c>
      <c r="I95">
        <v>290.14400000000001</v>
      </c>
      <c r="J95">
        <v>76.336200000000005</v>
      </c>
      <c r="K95">
        <v>52.177900000000001</v>
      </c>
      <c r="L95">
        <v>51.543100000000003</v>
      </c>
      <c r="M95">
        <v>73.825100000000006</v>
      </c>
      <c r="N95">
        <v>18.771799999999999</v>
      </c>
      <c r="O95">
        <v>43.2</v>
      </c>
      <c r="P95">
        <v>31.560700000000001</v>
      </c>
    </row>
    <row r="96" spans="1:16" ht="13" customHeight="1" x14ac:dyDescent="0.15">
      <c r="A96">
        <v>1997</v>
      </c>
      <c r="B96">
        <v>31178.400000000001</v>
      </c>
      <c r="C96">
        <v>9300.86</v>
      </c>
      <c r="D96">
        <v>2812.38</v>
      </c>
      <c r="E96">
        <v>3002.93</v>
      </c>
      <c r="F96">
        <v>6417.13</v>
      </c>
      <c r="G96">
        <v>2074.58</v>
      </c>
      <c r="H96">
        <v>1174.0899999999999</v>
      </c>
      <c r="I96">
        <v>896.16200000000003</v>
      </c>
      <c r="J96">
        <v>146.09399999999999</v>
      </c>
      <c r="K96">
        <v>40.155999999999999</v>
      </c>
      <c r="L96">
        <v>28.360499999999998</v>
      </c>
      <c r="M96">
        <v>28.015499999999999</v>
      </c>
      <c r="N96">
        <v>40.126600000000003</v>
      </c>
      <c r="O96">
        <v>10.203099999999999</v>
      </c>
      <c r="P96">
        <v>40.635100000000001</v>
      </c>
    </row>
    <row r="97" spans="1:16" ht="13" customHeight="1" x14ac:dyDescent="0.15">
      <c r="A97">
        <v>1998</v>
      </c>
      <c r="B97">
        <v>15483</v>
      </c>
      <c r="C97">
        <v>12675.3</v>
      </c>
      <c r="D97">
        <v>5889.16</v>
      </c>
      <c r="E97">
        <v>2044.2</v>
      </c>
      <c r="F97">
        <v>2139.62</v>
      </c>
      <c r="G97">
        <v>4359.3999999999996</v>
      </c>
      <c r="H97">
        <v>1284.69</v>
      </c>
      <c r="I97">
        <v>643.26900000000001</v>
      </c>
      <c r="J97">
        <v>469.41</v>
      </c>
      <c r="K97">
        <v>75.102400000000003</v>
      </c>
      <c r="L97">
        <v>21.111599999999999</v>
      </c>
      <c r="M97">
        <v>14.9102</v>
      </c>
      <c r="N97">
        <v>14.7288</v>
      </c>
      <c r="O97">
        <v>21.0961</v>
      </c>
      <c r="P97">
        <v>26.727599999999999</v>
      </c>
    </row>
    <row r="98" spans="1:16" ht="13" customHeight="1" x14ac:dyDescent="0.15">
      <c r="A98">
        <v>1999</v>
      </c>
      <c r="B98">
        <v>16827.099999999999</v>
      </c>
      <c r="C98">
        <v>6294.6</v>
      </c>
      <c r="D98">
        <v>8045.23</v>
      </c>
      <c r="E98">
        <v>4264.38</v>
      </c>
      <c r="F98">
        <v>1444.58</v>
      </c>
      <c r="G98">
        <v>1449.66</v>
      </c>
      <c r="H98">
        <v>2662.93</v>
      </c>
      <c r="I98">
        <v>774.25800000000004</v>
      </c>
      <c r="J98">
        <v>359.53699999999998</v>
      </c>
      <c r="K98">
        <v>254.86099999999999</v>
      </c>
      <c r="L98">
        <v>41.609400000000001</v>
      </c>
      <c r="M98">
        <v>11.6966</v>
      </c>
      <c r="N98">
        <v>8.2607900000000001</v>
      </c>
      <c r="O98">
        <v>8.1602899999999998</v>
      </c>
      <c r="P98">
        <v>26.495999999999999</v>
      </c>
    </row>
    <row r="99" spans="1:16" ht="13" customHeight="1" x14ac:dyDescent="0.15">
      <c r="A99">
        <v>2000</v>
      </c>
      <c r="B99">
        <v>25850.3</v>
      </c>
      <c r="C99">
        <v>6841.15</v>
      </c>
      <c r="D99">
        <v>4003.5</v>
      </c>
      <c r="E99">
        <v>5724.36</v>
      </c>
      <c r="F99">
        <v>2968.23</v>
      </c>
      <c r="G99">
        <v>979.90800000000002</v>
      </c>
      <c r="H99">
        <v>942.21100000000001</v>
      </c>
      <c r="I99">
        <v>1578.51</v>
      </c>
      <c r="J99">
        <v>463.476</v>
      </c>
      <c r="K99">
        <v>216.76400000000001</v>
      </c>
      <c r="L99">
        <v>155.45099999999999</v>
      </c>
      <c r="M99">
        <v>25.3795</v>
      </c>
      <c r="N99">
        <v>7.1342699999999999</v>
      </c>
      <c r="O99">
        <v>5.03864</v>
      </c>
      <c r="P99">
        <v>21.138500000000001</v>
      </c>
    </row>
    <row r="100" spans="1:16" ht="13" customHeight="1" x14ac:dyDescent="0.15">
      <c r="A100">
        <v>2001</v>
      </c>
      <c r="B100">
        <v>35963.4</v>
      </c>
      <c r="C100">
        <v>10509.6</v>
      </c>
      <c r="D100">
        <v>4351.45</v>
      </c>
      <c r="E100">
        <v>2895.25</v>
      </c>
      <c r="F100">
        <v>3879.5</v>
      </c>
      <c r="G100">
        <v>1904.79</v>
      </c>
      <c r="H100">
        <v>629.54</v>
      </c>
      <c r="I100">
        <v>555.15</v>
      </c>
      <c r="J100">
        <v>873.32899999999995</v>
      </c>
      <c r="K100">
        <v>271.91699999999997</v>
      </c>
      <c r="L100">
        <v>130.625</v>
      </c>
      <c r="M100">
        <v>93.677199999999999</v>
      </c>
      <c r="N100">
        <v>15.294</v>
      </c>
      <c r="O100">
        <v>4.29922</v>
      </c>
      <c r="P100">
        <v>15.774699999999999</v>
      </c>
    </row>
    <row r="101" spans="1:16" ht="13" customHeight="1" x14ac:dyDescent="0.15">
      <c r="A101">
        <v>2002</v>
      </c>
      <c r="B101">
        <v>23951.8</v>
      </c>
      <c r="C101">
        <v>14621.1</v>
      </c>
      <c r="D101">
        <v>6686.97</v>
      </c>
      <c r="E101">
        <v>3165.89</v>
      </c>
      <c r="F101">
        <v>1996.85</v>
      </c>
      <c r="G101">
        <v>2364.25</v>
      </c>
      <c r="H101">
        <v>1060.83</v>
      </c>
      <c r="I101">
        <v>352.46899999999999</v>
      </c>
      <c r="J101">
        <v>311.16399999999999</v>
      </c>
      <c r="K101">
        <v>500.63600000000002</v>
      </c>
      <c r="L101">
        <v>158.53200000000001</v>
      </c>
      <c r="M101">
        <v>76.156300000000002</v>
      </c>
      <c r="N101">
        <v>54.615099999999998</v>
      </c>
      <c r="O101">
        <v>8.9166500000000006</v>
      </c>
      <c r="P101">
        <v>11.7034</v>
      </c>
    </row>
    <row r="102" spans="1:16" ht="13" customHeight="1" x14ac:dyDescent="0.15">
      <c r="A102">
        <v>2003</v>
      </c>
      <c r="B102">
        <v>14625.5</v>
      </c>
      <c r="C102">
        <v>9737.66</v>
      </c>
      <c r="D102">
        <v>9289.35</v>
      </c>
      <c r="E102">
        <v>4847.5600000000004</v>
      </c>
      <c r="F102">
        <v>2160.02</v>
      </c>
      <c r="G102">
        <v>1230.45</v>
      </c>
      <c r="H102">
        <v>1224.03</v>
      </c>
      <c r="I102">
        <v>551.97500000000002</v>
      </c>
      <c r="J102">
        <v>184.339</v>
      </c>
      <c r="K102">
        <v>167.715</v>
      </c>
      <c r="L102">
        <v>283.53500000000003</v>
      </c>
      <c r="M102">
        <v>89.784400000000005</v>
      </c>
      <c r="N102">
        <v>43.131100000000004</v>
      </c>
      <c r="O102">
        <v>30.9313</v>
      </c>
      <c r="P102">
        <v>11.6782</v>
      </c>
    </row>
    <row r="103" spans="1:16" ht="13" customHeight="1" x14ac:dyDescent="0.15">
      <c r="A103">
        <v>2004</v>
      </c>
      <c r="B103">
        <v>6640.46</v>
      </c>
      <c r="C103">
        <v>5946.02</v>
      </c>
      <c r="D103">
        <v>6193.41</v>
      </c>
      <c r="E103">
        <v>6559.88</v>
      </c>
      <c r="F103">
        <v>3301.22</v>
      </c>
      <c r="G103">
        <v>1286.7</v>
      </c>
      <c r="H103">
        <v>653.08100000000002</v>
      </c>
      <c r="I103">
        <v>616.82600000000002</v>
      </c>
      <c r="J103">
        <v>280.62599999999998</v>
      </c>
      <c r="K103">
        <v>98.302499999999995</v>
      </c>
      <c r="L103">
        <v>95.058800000000005</v>
      </c>
      <c r="M103">
        <v>160.70500000000001</v>
      </c>
      <c r="N103">
        <v>50.888800000000003</v>
      </c>
      <c r="O103">
        <v>24.446300000000001</v>
      </c>
      <c r="P103">
        <v>24.150600000000001</v>
      </c>
    </row>
    <row r="104" spans="1:16" ht="13" customHeight="1" x14ac:dyDescent="0.15">
      <c r="A104">
        <v>2005</v>
      </c>
      <c r="B104">
        <v>4831.7</v>
      </c>
      <c r="C104">
        <v>2699.71</v>
      </c>
      <c r="D104">
        <v>3784.62</v>
      </c>
      <c r="E104">
        <v>4494.97</v>
      </c>
      <c r="F104">
        <v>4148.91</v>
      </c>
      <c r="G104">
        <v>2019.99</v>
      </c>
      <c r="H104">
        <v>737.65899999999999</v>
      </c>
      <c r="I104">
        <v>346.15100000000001</v>
      </c>
      <c r="J104">
        <v>329.87299999999999</v>
      </c>
      <c r="K104">
        <v>156.62899999999999</v>
      </c>
      <c r="L104">
        <v>57.405700000000003</v>
      </c>
      <c r="M104">
        <v>55.511400000000002</v>
      </c>
      <c r="N104">
        <v>93.846699999999998</v>
      </c>
      <c r="O104">
        <v>29.717500000000001</v>
      </c>
      <c r="P104">
        <v>28.379100000000001</v>
      </c>
    </row>
    <row r="105" spans="1:16" ht="13" customHeight="1" x14ac:dyDescent="0.15">
      <c r="A105">
        <v>2006</v>
      </c>
      <c r="B105">
        <v>12207.5</v>
      </c>
      <c r="C105">
        <v>1964.36</v>
      </c>
      <c r="D105">
        <v>1718.21</v>
      </c>
      <c r="E105">
        <v>2748.41</v>
      </c>
      <c r="F105">
        <v>2990.84</v>
      </c>
      <c r="G105">
        <v>2322.33</v>
      </c>
      <c r="H105">
        <v>1089.69</v>
      </c>
      <c r="I105">
        <v>410.71</v>
      </c>
      <c r="J105">
        <v>197.46299999999999</v>
      </c>
      <c r="K105">
        <v>191.065</v>
      </c>
      <c r="L105">
        <v>93.774500000000003</v>
      </c>
      <c r="M105">
        <v>34.369</v>
      </c>
      <c r="N105">
        <v>33.234999999999999</v>
      </c>
      <c r="O105">
        <v>56.186399999999999</v>
      </c>
      <c r="P105">
        <v>34.782699999999998</v>
      </c>
    </row>
    <row r="106" spans="1:16" ht="13" customHeight="1" x14ac:dyDescent="0.15">
      <c r="A106">
        <v>2007</v>
      </c>
      <c r="B106">
        <v>26390.5</v>
      </c>
      <c r="C106">
        <v>4963.0200000000004</v>
      </c>
      <c r="D106">
        <v>1248.8900000000001</v>
      </c>
      <c r="E106">
        <v>1216.02</v>
      </c>
      <c r="F106">
        <v>1792.36</v>
      </c>
      <c r="G106">
        <v>1691.93</v>
      </c>
      <c r="H106">
        <v>1190.48</v>
      </c>
      <c r="I106">
        <v>568.45500000000004</v>
      </c>
      <c r="J106">
        <v>217.92400000000001</v>
      </c>
      <c r="K106">
        <v>108.28700000000001</v>
      </c>
      <c r="L106">
        <v>107.93300000000001</v>
      </c>
      <c r="M106">
        <v>52.973700000000001</v>
      </c>
      <c r="N106">
        <v>19.415199999999999</v>
      </c>
      <c r="O106">
        <v>18.7746</v>
      </c>
      <c r="P106">
        <v>51.3889</v>
      </c>
    </row>
    <row r="107" spans="1:16" ht="13" customHeight="1" x14ac:dyDescent="0.15">
      <c r="A107">
        <v>2008</v>
      </c>
      <c r="B107">
        <v>14622.4</v>
      </c>
      <c r="C107">
        <v>10729.2</v>
      </c>
      <c r="D107">
        <v>3154.19</v>
      </c>
      <c r="E107">
        <v>884.49300000000005</v>
      </c>
      <c r="F107">
        <v>794.95799999999997</v>
      </c>
      <c r="G107">
        <v>1014.28</v>
      </c>
      <c r="H107">
        <v>830.99199999999996</v>
      </c>
      <c r="I107">
        <v>611.24099999999999</v>
      </c>
      <c r="J107">
        <v>302.29700000000003</v>
      </c>
      <c r="K107">
        <v>118.393</v>
      </c>
      <c r="L107">
        <v>60.015099999999997</v>
      </c>
      <c r="M107">
        <v>59.819099999999999</v>
      </c>
      <c r="N107">
        <v>29.359200000000001</v>
      </c>
      <c r="O107">
        <v>10.760400000000001</v>
      </c>
      <c r="P107">
        <v>38.886200000000002</v>
      </c>
    </row>
    <row r="108" spans="1:16" ht="13" customHeight="1" x14ac:dyDescent="0.15">
      <c r="A108">
        <v>2009</v>
      </c>
      <c r="B108">
        <v>56930.6</v>
      </c>
      <c r="C108">
        <v>5944.81</v>
      </c>
      <c r="D108">
        <v>6821.99</v>
      </c>
      <c r="E108">
        <v>2278.16</v>
      </c>
      <c r="F108">
        <v>584.37400000000002</v>
      </c>
      <c r="G108">
        <v>458.71499999999997</v>
      </c>
      <c r="H108">
        <v>488.79399999999998</v>
      </c>
      <c r="I108">
        <v>411.07100000000003</v>
      </c>
      <c r="J108">
        <v>316.09399999999999</v>
      </c>
      <c r="K108">
        <v>157.244</v>
      </c>
      <c r="L108">
        <v>63.575400000000002</v>
      </c>
      <c r="M108">
        <v>32.2273</v>
      </c>
      <c r="N108">
        <v>32.122</v>
      </c>
      <c r="O108">
        <v>15.765499999999999</v>
      </c>
      <c r="P108">
        <v>26.659500000000001</v>
      </c>
    </row>
    <row r="109" spans="1:16" ht="13" customHeight="1" x14ac:dyDescent="0.15">
      <c r="A109">
        <v>2010</v>
      </c>
      <c r="B109">
        <v>22500.1</v>
      </c>
      <c r="C109">
        <v>23145.5</v>
      </c>
      <c r="D109">
        <v>3783.56</v>
      </c>
      <c r="E109">
        <v>4932.12</v>
      </c>
      <c r="F109">
        <v>1522.99</v>
      </c>
      <c r="G109">
        <v>363.69400000000002</v>
      </c>
      <c r="H109">
        <v>250.19900000000001</v>
      </c>
      <c r="I109">
        <v>256.20600000000002</v>
      </c>
      <c r="J109">
        <v>217.315</v>
      </c>
      <c r="K109">
        <v>165.65199999999999</v>
      </c>
      <c r="L109">
        <v>82.972800000000007</v>
      </c>
      <c r="M109">
        <v>33.546799999999998</v>
      </c>
      <c r="N109">
        <v>17.005400000000002</v>
      </c>
      <c r="O109">
        <v>16.9498</v>
      </c>
      <c r="P109">
        <v>22.386399999999998</v>
      </c>
    </row>
    <row r="110" spans="1:16" ht="13" customHeight="1" x14ac:dyDescent="0.15">
      <c r="A110">
        <v>2011</v>
      </c>
      <c r="B110">
        <v>13479.2</v>
      </c>
      <c r="C110">
        <v>9147.59</v>
      </c>
      <c r="D110">
        <v>14734.1</v>
      </c>
      <c r="E110">
        <v>2768.26</v>
      </c>
      <c r="F110">
        <v>3180.79</v>
      </c>
      <c r="G110">
        <v>936.346</v>
      </c>
      <c r="H110">
        <v>216.465</v>
      </c>
      <c r="I110">
        <v>142.62799999999999</v>
      </c>
      <c r="J110">
        <v>142.64400000000001</v>
      </c>
      <c r="K110">
        <v>121.753</v>
      </c>
      <c r="L110">
        <v>93.365300000000005</v>
      </c>
      <c r="M110">
        <v>46.7654</v>
      </c>
      <c r="N110">
        <v>18.907800000000002</v>
      </c>
      <c r="O110">
        <v>9.5846300000000006</v>
      </c>
      <c r="P110">
        <v>22.1708</v>
      </c>
    </row>
    <row r="111" spans="1:16" ht="13" customHeight="1" x14ac:dyDescent="0.15">
      <c r="A111">
        <v>2012</v>
      </c>
      <c r="B111">
        <v>11200.8</v>
      </c>
      <c r="C111">
        <v>5480.03</v>
      </c>
      <c r="D111">
        <v>5819.27</v>
      </c>
      <c r="E111">
        <v>10740.4</v>
      </c>
      <c r="F111">
        <v>1928</v>
      </c>
      <c r="G111">
        <v>1638.38</v>
      </c>
      <c r="H111">
        <v>459.38400000000001</v>
      </c>
      <c r="I111">
        <v>108.938</v>
      </c>
      <c r="J111">
        <v>72.682699999999997</v>
      </c>
      <c r="K111">
        <v>73.568299999999994</v>
      </c>
      <c r="L111">
        <v>63.661499999999997</v>
      </c>
      <c r="M111">
        <v>48.818199999999997</v>
      </c>
      <c r="N111">
        <v>24.452400000000001</v>
      </c>
      <c r="O111">
        <v>9.8863800000000008</v>
      </c>
      <c r="P111">
        <v>16.604099999999999</v>
      </c>
    </row>
    <row r="112" spans="1:16" ht="13" customHeight="1" x14ac:dyDescent="0.15">
      <c r="A112">
        <v>2013</v>
      </c>
      <c r="B112">
        <v>63521.7</v>
      </c>
      <c r="C112">
        <v>4553.7299999999996</v>
      </c>
      <c r="D112">
        <v>3483.56</v>
      </c>
      <c r="E112">
        <v>4212.12</v>
      </c>
      <c r="F112">
        <v>7150.04</v>
      </c>
      <c r="G112">
        <v>1264.1099999999999</v>
      </c>
      <c r="H112">
        <v>825.11400000000003</v>
      </c>
      <c r="I112">
        <v>230.24799999999999</v>
      </c>
      <c r="J112">
        <v>54.814799999999998</v>
      </c>
      <c r="K112">
        <v>37.356699999999996</v>
      </c>
      <c r="L112">
        <v>38.193199999999997</v>
      </c>
      <c r="M112">
        <v>33.049999999999997</v>
      </c>
      <c r="N112">
        <v>25.344100000000001</v>
      </c>
      <c r="O112">
        <v>12.6945</v>
      </c>
      <c r="P112">
        <v>13.752599999999999</v>
      </c>
    </row>
    <row r="113" spans="1:16" ht="13" customHeight="1" x14ac:dyDescent="0.15">
      <c r="A113">
        <v>2014</v>
      </c>
      <c r="B113">
        <v>31883.200000000001</v>
      </c>
      <c r="C113">
        <v>25825.200000000001</v>
      </c>
      <c r="D113">
        <v>2897.69</v>
      </c>
      <c r="E113">
        <v>2522.1799999999998</v>
      </c>
      <c r="F113">
        <v>2820.03</v>
      </c>
      <c r="G113">
        <v>4467.41</v>
      </c>
      <c r="H113">
        <v>774.82600000000002</v>
      </c>
      <c r="I113">
        <v>459</v>
      </c>
      <c r="J113">
        <v>118.381</v>
      </c>
      <c r="K113">
        <v>28.286100000000001</v>
      </c>
      <c r="L113">
        <v>19.2986</v>
      </c>
      <c r="M113">
        <v>19.730699999999999</v>
      </c>
      <c r="N113">
        <v>17.073699999999999</v>
      </c>
      <c r="O113">
        <v>13.0928</v>
      </c>
      <c r="P113">
        <v>13.662599999999999</v>
      </c>
    </row>
    <row r="114" spans="1:16" ht="13" customHeight="1" x14ac:dyDescent="0.15">
      <c r="A114">
        <v>2015</v>
      </c>
      <c r="B114">
        <v>18179.5</v>
      </c>
      <c r="C114">
        <v>12962.4</v>
      </c>
      <c r="D114">
        <v>16435.900000000001</v>
      </c>
      <c r="E114">
        <v>2106.9</v>
      </c>
      <c r="F114">
        <v>1714.75</v>
      </c>
      <c r="G114">
        <v>1745.56</v>
      </c>
      <c r="H114">
        <v>2652.59</v>
      </c>
      <c r="I114">
        <v>419.66</v>
      </c>
      <c r="J114">
        <v>255.15100000000001</v>
      </c>
      <c r="K114">
        <v>65.754199999999997</v>
      </c>
      <c r="L114">
        <v>15.252000000000001</v>
      </c>
      <c r="M114">
        <v>10.405900000000001</v>
      </c>
      <c r="N114">
        <v>10.6389</v>
      </c>
      <c r="O114">
        <v>9.2062399999999993</v>
      </c>
      <c r="P114">
        <v>14.4267</v>
      </c>
    </row>
    <row r="115" spans="1:16" ht="13" customHeight="1" x14ac:dyDescent="0.15">
      <c r="A115">
        <v>2016</v>
      </c>
      <c r="B115">
        <v>18950.7</v>
      </c>
      <c r="C115">
        <v>7391.01</v>
      </c>
      <c r="D115">
        <v>8251.39</v>
      </c>
      <c r="E115">
        <v>11695.5</v>
      </c>
      <c r="F115">
        <v>1414.83</v>
      </c>
      <c r="G115">
        <v>1089.51</v>
      </c>
      <c r="H115">
        <v>1003.08</v>
      </c>
      <c r="I115">
        <v>1552.13</v>
      </c>
      <c r="J115">
        <v>244.14500000000001</v>
      </c>
      <c r="K115">
        <v>149.08699999999999</v>
      </c>
      <c r="L115">
        <v>35.684600000000003</v>
      </c>
      <c r="M115">
        <v>8.2772400000000008</v>
      </c>
      <c r="N115">
        <v>5.64724</v>
      </c>
      <c r="O115">
        <v>5.7736999999999998</v>
      </c>
      <c r="P115">
        <v>12.8255</v>
      </c>
    </row>
    <row r="116" spans="1:16" ht="13" customHeight="1" x14ac:dyDescent="0.15">
      <c r="A116" t="s">
        <v>161</v>
      </c>
      <c r="B116" t="s">
        <v>22</v>
      </c>
      <c r="C116" t="s">
        <v>162</v>
      </c>
      <c r="D116" t="s">
        <v>23</v>
      </c>
      <c r="E116" t="s">
        <v>156</v>
      </c>
      <c r="F116" t="s">
        <v>163</v>
      </c>
      <c r="G116" t="s">
        <v>164</v>
      </c>
    </row>
    <row r="117" spans="1:16" ht="13" customHeight="1" x14ac:dyDescent="0.15">
      <c r="A117">
        <v>1964</v>
      </c>
      <c r="B117">
        <v>1.7158199999999998E-2</v>
      </c>
      <c r="C117">
        <v>0.11058800000000001</v>
      </c>
      <c r="D117">
        <v>0.37226399999999998</v>
      </c>
      <c r="E117">
        <v>1.32779</v>
      </c>
      <c r="F117">
        <v>1.3417300000000001</v>
      </c>
      <c r="G117">
        <v>1.33081</v>
      </c>
      <c r="H117">
        <v>1.28209</v>
      </c>
      <c r="I117">
        <v>1.22437</v>
      </c>
      <c r="J117">
        <v>1.17458</v>
      </c>
      <c r="K117">
        <v>1.1364399999999999</v>
      </c>
      <c r="L117">
        <v>1.1364399999999999</v>
      </c>
      <c r="M117">
        <v>1.1364399999999999</v>
      </c>
      <c r="N117">
        <v>1.1364399999999999</v>
      </c>
      <c r="O117">
        <v>1.1364399999999999</v>
      </c>
      <c r="P117">
        <v>1.1364399999999999</v>
      </c>
    </row>
    <row r="118" spans="1:16" ht="13" customHeight="1" x14ac:dyDescent="0.15">
      <c r="A118">
        <v>1965</v>
      </c>
      <c r="B118">
        <v>1.7189400000000001E-2</v>
      </c>
      <c r="C118">
        <v>0.115732</v>
      </c>
      <c r="D118">
        <v>0.44024999999999997</v>
      </c>
      <c r="E118">
        <v>1.4096900000000001</v>
      </c>
      <c r="F118">
        <v>1.3617999999999999</v>
      </c>
      <c r="G118">
        <v>1.2987200000000001</v>
      </c>
      <c r="H118">
        <v>1.2435700000000001</v>
      </c>
      <c r="I118">
        <v>1.1976100000000001</v>
      </c>
      <c r="J118">
        <v>1.15815</v>
      </c>
      <c r="K118">
        <v>1.12622</v>
      </c>
      <c r="L118">
        <v>1.12622</v>
      </c>
      <c r="M118">
        <v>1.12622</v>
      </c>
      <c r="N118">
        <v>1.12622</v>
      </c>
      <c r="O118">
        <v>1.12622</v>
      </c>
      <c r="P118">
        <v>1.12622</v>
      </c>
    </row>
    <row r="119" spans="1:16" ht="13" customHeight="1" x14ac:dyDescent="0.15">
      <c r="A119">
        <v>1966</v>
      </c>
      <c r="B119">
        <v>1.8529500000000001E-2</v>
      </c>
      <c r="C119">
        <v>0.13079099999999999</v>
      </c>
      <c r="D119">
        <v>0.50822699999999998</v>
      </c>
      <c r="E119">
        <v>1.3719600000000001</v>
      </c>
      <c r="F119">
        <v>1.3363799999999999</v>
      </c>
      <c r="G119">
        <v>1.2717700000000001</v>
      </c>
      <c r="H119">
        <v>1.2265299999999999</v>
      </c>
      <c r="I119">
        <v>1.18625</v>
      </c>
      <c r="J119">
        <v>1.1556599999999999</v>
      </c>
      <c r="K119">
        <v>1.13232</v>
      </c>
      <c r="L119">
        <v>1.13232</v>
      </c>
      <c r="M119">
        <v>1.13232</v>
      </c>
      <c r="N119">
        <v>1.13232</v>
      </c>
      <c r="O119">
        <v>1.13232</v>
      </c>
      <c r="P119">
        <v>1.13232</v>
      </c>
    </row>
    <row r="120" spans="1:16" ht="13" customHeight="1" x14ac:dyDescent="0.15">
      <c r="A120">
        <v>1967</v>
      </c>
      <c r="B120">
        <v>2.0158700000000002E-2</v>
      </c>
      <c r="C120">
        <v>0.148697</v>
      </c>
      <c r="D120">
        <v>0.65473800000000004</v>
      </c>
      <c r="E120">
        <v>1.2354499999999999</v>
      </c>
      <c r="F120">
        <v>1.2438899999999999</v>
      </c>
      <c r="G120">
        <v>1.2138</v>
      </c>
      <c r="H120">
        <v>1.1977100000000001</v>
      </c>
      <c r="I120">
        <v>1.18136</v>
      </c>
      <c r="J120">
        <v>1.16584</v>
      </c>
      <c r="K120">
        <v>1.15639</v>
      </c>
      <c r="L120">
        <v>1.15639</v>
      </c>
      <c r="M120">
        <v>1.15639</v>
      </c>
      <c r="N120">
        <v>1.15639</v>
      </c>
      <c r="O120">
        <v>1.15639</v>
      </c>
      <c r="P120">
        <v>1.15639</v>
      </c>
    </row>
    <row r="121" spans="1:16" ht="13" customHeight="1" x14ac:dyDescent="0.15">
      <c r="A121">
        <v>1968</v>
      </c>
      <c r="B121">
        <v>2.33137E-2</v>
      </c>
      <c r="C121">
        <v>0.168268</v>
      </c>
      <c r="D121">
        <v>0.66935699999999998</v>
      </c>
      <c r="E121">
        <v>1.2536799999999999</v>
      </c>
      <c r="F121">
        <v>1.2196100000000001</v>
      </c>
      <c r="G121">
        <v>1.1838900000000001</v>
      </c>
      <c r="H121">
        <v>1.1700600000000001</v>
      </c>
      <c r="I121">
        <v>1.1655</v>
      </c>
      <c r="J121">
        <v>1.1637900000000001</v>
      </c>
      <c r="K121">
        <v>1.1637599999999999</v>
      </c>
      <c r="L121">
        <v>1.1637599999999999</v>
      </c>
      <c r="M121">
        <v>1.1637599999999999</v>
      </c>
      <c r="N121">
        <v>1.1637599999999999</v>
      </c>
      <c r="O121">
        <v>1.1637599999999999</v>
      </c>
      <c r="P121">
        <v>1.1637599999999999</v>
      </c>
    </row>
    <row r="122" spans="1:16" ht="13" customHeight="1" x14ac:dyDescent="0.15">
      <c r="A122">
        <v>1969</v>
      </c>
      <c r="B122">
        <v>2.70157E-2</v>
      </c>
      <c r="C122">
        <v>0.18293899999999999</v>
      </c>
      <c r="D122">
        <v>0.79419099999999998</v>
      </c>
      <c r="E122">
        <v>1.1512</v>
      </c>
      <c r="F122">
        <v>1.1248800000000001</v>
      </c>
      <c r="G122">
        <v>1.1039300000000001</v>
      </c>
      <c r="H122">
        <v>1.10256</v>
      </c>
      <c r="I122">
        <v>1.15167</v>
      </c>
      <c r="J122">
        <v>1.1717200000000001</v>
      </c>
      <c r="K122">
        <v>1.1983200000000001</v>
      </c>
      <c r="L122">
        <v>1.1983200000000001</v>
      </c>
      <c r="M122">
        <v>1.1983200000000001</v>
      </c>
      <c r="N122">
        <v>1.1983200000000001</v>
      </c>
      <c r="O122">
        <v>1.1983200000000001</v>
      </c>
      <c r="P122">
        <v>1.1983200000000001</v>
      </c>
    </row>
    <row r="123" spans="1:16" ht="13" customHeight="1" x14ac:dyDescent="0.15">
      <c r="A123">
        <v>1970</v>
      </c>
      <c r="B123">
        <v>3.2412700000000003E-2</v>
      </c>
      <c r="C123">
        <v>0.20857200000000001</v>
      </c>
      <c r="D123">
        <v>0.76489700000000005</v>
      </c>
      <c r="E123">
        <v>0.90344800000000003</v>
      </c>
      <c r="F123">
        <v>0.99211400000000005</v>
      </c>
      <c r="G123">
        <v>0.99025399999999997</v>
      </c>
      <c r="H123">
        <v>1.0437399999999999</v>
      </c>
      <c r="I123">
        <v>1.1527799999999999</v>
      </c>
      <c r="J123">
        <v>1.20401</v>
      </c>
      <c r="K123">
        <v>1.2846299999999999</v>
      </c>
      <c r="L123">
        <v>1.2846299999999999</v>
      </c>
      <c r="M123">
        <v>1.2846299999999999</v>
      </c>
      <c r="N123">
        <v>1.2846299999999999</v>
      </c>
      <c r="O123">
        <v>1.2846299999999999</v>
      </c>
      <c r="P123">
        <v>1.2846299999999999</v>
      </c>
    </row>
    <row r="124" spans="1:16" ht="13" customHeight="1" x14ac:dyDescent="0.15">
      <c r="A124">
        <v>1971</v>
      </c>
      <c r="B124">
        <v>3.2238099999999999E-2</v>
      </c>
      <c r="C124">
        <v>0.21061299999999999</v>
      </c>
      <c r="D124">
        <v>0.69386899999999996</v>
      </c>
      <c r="E124">
        <v>0.85169300000000003</v>
      </c>
      <c r="F124">
        <v>0.979267</v>
      </c>
      <c r="G124">
        <v>0.96431999999999995</v>
      </c>
      <c r="H124">
        <v>0.97955400000000004</v>
      </c>
      <c r="I124">
        <v>1.1400399999999999</v>
      </c>
      <c r="J124">
        <v>1.21479</v>
      </c>
      <c r="K124">
        <v>1.3222700000000001</v>
      </c>
      <c r="L124">
        <v>1.3222700000000001</v>
      </c>
      <c r="M124">
        <v>1.3222700000000001</v>
      </c>
      <c r="N124">
        <v>1.3222700000000001</v>
      </c>
      <c r="O124">
        <v>1.3222700000000001</v>
      </c>
      <c r="P124">
        <v>1.3222700000000001</v>
      </c>
    </row>
    <row r="125" spans="1:16" ht="13" customHeight="1" x14ac:dyDescent="0.15">
      <c r="A125">
        <v>1972</v>
      </c>
      <c r="B125">
        <v>2.59116E-2</v>
      </c>
      <c r="C125">
        <v>0.25871300000000003</v>
      </c>
      <c r="D125">
        <v>0.78483099999999995</v>
      </c>
      <c r="E125">
        <v>0.93398300000000001</v>
      </c>
      <c r="F125">
        <v>0.97084499999999996</v>
      </c>
      <c r="G125">
        <v>0.96904299999999999</v>
      </c>
      <c r="H125">
        <v>0.97880400000000001</v>
      </c>
      <c r="I125">
        <v>1.12138</v>
      </c>
      <c r="J125">
        <v>1.2129099999999999</v>
      </c>
      <c r="K125">
        <v>1.2906</v>
      </c>
      <c r="L125">
        <v>1.2906</v>
      </c>
      <c r="M125">
        <v>1.2906</v>
      </c>
      <c r="N125">
        <v>1.2906</v>
      </c>
      <c r="O125">
        <v>1.2906</v>
      </c>
      <c r="P125">
        <v>1.2906</v>
      </c>
    </row>
    <row r="126" spans="1:16" ht="13" customHeight="1" x14ac:dyDescent="0.15">
      <c r="A126">
        <v>1973</v>
      </c>
      <c r="B126">
        <v>2.0257600000000001E-2</v>
      </c>
      <c r="C126">
        <v>0.28852499999999998</v>
      </c>
      <c r="D126">
        <v>0.83764000000000005</v>
      </c>
      <c r="E126">
        <v>0.98146800000000001</v>
      </c>
      <c r="F126">
        <v>1.0135400000000001</v>
      </c>
      <c r="G126">
        <v>1.01735</v>
      </c>
      <c r="H126">
        <v>1.0153300000000001</v>
      </c>
      <c r="I126">
        <v>1.12954</v>
      </c>
      <c r="J126">
        <v>1.20757</v>
      </c>
      <c r="K126">
        <v>1.24813</v>
      </c>
      <c r="L126">
        <v>1.24813</v>
      </c>
      <c r="M126">
        <v>1.24813</v>
      </c>
      <c r="N126">
        <v>1.24813</v>
      </c>
      <c r="O126">
        <v>1.24813</v>
      </c>
      <c r="P126">
        <v>1.24813</v>
      </c>
    </row>
    <row r="127" spans="1:16" ht="13" customHeight="1" x14ac:dyDescent="0.15">
      <c r="A127">
        <v>1974</v>
      </c>
      <c r="B127">
        <v>1.6660500000000002E-2</v>
      </c>
      <c r="C127">
        <v>0.33730599999999999</v>
      </c>
      <c r="D127">
        <v>1.0072700000000001</v>
      </c>
      <c r="E127">
        <v>1.0211600000000001</v>
      </c>
      <c r="F127">
        <v>1.0276400000000001</v>
      </c>
      <c r="G127">
        <v>1.02434</v>
      </c>
      <c r="H127">
        <v>1.02366</v>
      </c>
      <c r="I127">
        <v>1.1133200000000001</v>
      </c>
      <c r="J127">
        <v>1.19913</v>
      </c>
      <c r="K127">
        <v>1.20492</v>
      </c>
      <c r="L127">
        <v>1.20492</v>
      </c>
      <c r="M127">
        <v>1.20492</v>
      </c>
      <c r="N127">
        <v>1.20492</v>
      </c>
      <c r="O127">
        <v>1.20492</v>
      </c>
      <c r="P127">
        <v>1.20492</v>
      </c>
    </row>
    <row r="128" spans="1:16" ht="13" customHeight="1" x14ac:dyDescent="0.15">
      <c r="A128">
        <v>1975</v>
      </c>
      <c r="B128">
        <v>1.3425899999999999E-2</v>
      </c>
      <c r="C128">
        <v>0.27543699999999999</v>
      </c>
      <c r="D128">
        <v>1.11165</v>
      </c>
      <c r="E128">
        <v>1.0726100000000001</v>
      </c>
      <c r="F128">
        <v>1.0462400000000001</v>
      </c>
      <c r="G128">
        <v>1.03386</v>
      </c>
      <c r="H128">
        <v>1.0305500000000001</v>
      </c>
      <c r="I128">
        <v>1.0824199999999999</v>
      </c>
      <c r="J128">
        <v>1.17679</v>
      </c>
      <c r="K128">
        <v>1.1928399999999999</v>
      </c>
      <c r="L128">
        <v>1.1928399999999999</v>
      </c>
      <c r="M128">
        <v>1.1928399999999999</v>
      </c>
      <c r="N128">
        <v>1.1928399999999999</v>
      </c>
      <c r="O128">
        <v>1.1928399999999999</v>
      </c>
      <c r="P128">
        <v>1.1928399999999999</v>
      </c>
    </row>
    <row r="129" spans="1:16" ht="13" customHeight="1" x14ac:dyDescent="0.15">
      <c r="A129">
        <v>1976</v>
      </c>
      <c r="B129">
        <v>1.08968E-2</v>
      </c>
      <c r="C129">
        <v>0.25142199999999998</v>
      </c>
      <c r="D129">
        <v>1.00749</v>
      </c>
      <c r="E129">
        <v>1.14028</v>
      </c>
      <c r="F129">
        <v>1.0978600000000001</v>
      </c>
      <c r="G129">
        <v>1.07226</v>
      </c>
      <c r="H129">
        <v>1.06193</v>
      </c>
      <c r="I129">
        <v>1.0776699999999999</v>
      </c>
      <c r="J129">
        <v>1.1691199999999999</v>
      </c>
      <c r="K129">
        <v>1.1851799999999999</v>
      </c>
      <c r="L129">
        <v>1.1851799999999999</v>
      </c>
      <c r="M129">
        <v>1.1851799999999999</v>
      </c>
      <c r="N129">
        <v>1.1851799999999999</v>
      </c>
      <c r="O129">
        <v>1.1851799999999999</v>
      </c>
      <c r="P129">
        <v>1.1851799999999999</v>
      </c>
    </row>
    <row r="130" spans="1:16" ht="13" customHeight="1" x14ac:dyDescent="0.15">
      <c r="A130">
        <v>1977</v>
      </c>
      <c r="B130">
        <v>8.8949700000000003E-3</v>
      </c>
      <c r="C130">
        <v>0.25171300000000002</v>
      </c>
      <c r="D130">
        <v>0.87026899999999996</v>
      </c>
      <c r="E130">
        <v>1.0688800000000001</v>
      </c>
      <c r="F130">
        <v>1.1238300000000001</v>
      </c>
      <c r="G130">
        <v>1.1035699999999999</v>
      </c>
      <c r="H130">
        <v>1.0912900000000001</v>
      </c>
      <c r="I130">
        <v>1.0890200000000001</v>
      </c>
      <c r="J130">
        <v>1.17462</v>
      </c>
      <c r="K130">
        <v>1.20299</v>
      </c>
      <c r="L130">
        <v>1.20299</v>
      </c>
      <c r="M130">
        <v>1.20299</v>
      </c>
      <c r="N130">
        <v>1.20299</v>
      </c>
      <c r="O130">
        <v>1.20299</v>
      </c>
      <c r="P130">
        <v>1.20299</v>
      </c>
    </row>
    <row r="131" spans="1:16" ht="13" customHeight="1" x14ac:dyDescent="0.15">
      <c r="A131">
        <v>1978</v>
      </c>
      <c r="B131">
        <v>6.8439699999999996E-3</v>
      </c>
      <c r="C131">
        <v>0.21193699999999999</v>
      </c>
      <c r="D131">
        <v>0.80718100000000004</v>
      </c>
      <c r="E131">
        <v>1.0038499999999999</v>
      </c>
      <c r="F131">
        <v>1.1263000000000001</v>
      </c>
      <c r="G131">
        <v>1.11155</v>
      </c>
      <c r="H131">
        <v>1.1106400000000001</v>
      </c>
      <c r="I131">
        <v>1.10921</v>
      </c>
      <c r="J131">
        <v>1.1905600000000001</v>
      </c>
      <c r="K131">
        <v>1.2203200000000001</v>
      </c>
      <c r="L131">
        <v>1.2203200000000001</v>
      </c>
      <c r="M131">
        <v>1.2203200000000001</v>
      </c>
      <c r="N131">
        <v>1.2203200000000001</v>
      </c>
      <c r="O131">
        <v>1.2203200000000001</v>
      </c>
      <c r="P131">
        <v>1.2203200000000001</v>
      </c>
    </row>
    <row r="132" spans="1:16" ht="13" customHeight="1" x14ac:dyDescent="0.15">
      <c r="A132">
        <v>1979</v>
      </c>
      <c r="B132">
        <v>5.3851899999999998E-3</v>
      </c>
      <c r="C132">
        <v>0.13696900000000001</v>
      </c>
      <c r="D132">
        <v>0.64664999999999995</v>
      </c>
      <c r="E132">
        <v>0.90786599999999995</v>
      </c>
      <c r="F132">
        <v>1.15181</v>
      </c>
      <c r="G132">
        <v>1.18248</v>
      </c>
      <c r="H132">
        <v>1.16547</v>
      </c>
      <c r="I132">
        <v>1.1645399999999999</v>
      </c>
      <c r="J132">
        <v>1.23159</v>
      </c>
      <c r="K132">
        <v>1.23454</v>
      </c>
      <c r="L132">
        <v>1.23454</v>
      </c>
      <c r="M132">
        <v>1.23454</v>
      </c>
      <c r="N132">
        <v>1.23454</v>
      </c>
      <c r="O132">
        <v>1.23454</v>
      </c>
      <c r="P132">
        <v>1.23454</v>
      </c>
    </row>
    <row r="133" spans="1:16" ht="13" customHeight="1" x14ac:dyDescent="0.15">
      <c r="A133">
        <v>1980</v>
      </c>
      <c r="B133">
        <v>4.12371E-3</v>
      </c>
      <c r="C133">
        <v>7.7182500000000001E-2</v>
      </c>
      <c r="D133">
        <v>0.455708</v>
      </c>
      <c r="E133">
        <v>0.90214099999999997</v>
      </c>
      <c r="F133">
        <v>1.1817</v>
      </c>
      <c r="G133">
        <v>1.2494000000000001</v>
      </c>
      <c r="H133">
        <v>1.22983</v>
      </c>
      <c r="I133">
        <v>1.2186300000000001</v>
      </c>
      <c r="J133">
        <v>1.24068</v>
      </c>
      <c r="K133">
        <v>1.2401</v>
      </c>
      <c r="L133">
        <v>1.2401</v>
      </c>
      <c r="M133">
        <v>1.2401</v>
      </c>
      <c r="N133">
        <v>1.2401</v>
      </c>
      <c r="O133">
        <v>1.2401</v>
      </c>
      <c r="P133">
        <v>1.2401</v>
      </c>
    </row>
    <row r="134" spans="1:16" ht="13" customHeight="1" x14ac:dyDescent="0.15">
      <c r="A134">
        <v>1981</v>
      </c>
      <c r="B134">
        <v>3.2926000000000001E-3</v>
      </c>
      <c r="C134">
        <v>5.5412799999999998E-2</v>
      </c>
      <c r="D134">
        <v>0.314942</v>
      </c>
      <c r="E134">
        <v>0.81936500000000001</v>
      </c>
      <c r="F134">
        <v>1.2310300000000001</v>
      </c>
      <c r="G134">
        <v>1.2544299999999999</v>
      </c>
      <c r="H134">
        <v>1.2475700000000001</v>
      </c>
      <c r="I134">
        <v>1.24699</v>
      </c>
      <c r="J134">
        <v>1.2629900000000001</v>
      </c>
      <c r="K134">
        <v>1.2606599999999999</v>
      </c>
      <c r="L134">
        <v>1.2606599999999999</v>
      </c>
      <c r="M134">
        <v>1.2606599999999999</v>
      </c>
      <c r="N134">
        <v>1.2606599999999999</v>
      </c>
      <c r="O134">
        <v>1.2606599999999999</v>
      </c>
      <c r="P134">
        <v>1.2606599999999999</v>
      </c>
    </row>
    <row r="135" spans="1:16" ht="13" customHeight="1" x14ac:dyDescent="0.15">
      <c r="A135">
        <v>1982</v>
      </c>
      <c r="B135">
        <v>2.7445600000000001E-3</v>
      </c>
      <c r="C135">
        <v>4.6823099999999999E-2</v>
      </c>
      <c r="D135">
        <v>0.220585</v>
      </c>
      <c r="E135">
        <v>0.72242200000000001</v>
      </c>
      <c r="F135">
        <v>1.16669</v>
      </c>
      <c r="G135">
        <v>1.2568999999999999</v>
      </c>
      <c r="H135">
        <v>1.2457400000000001</v>
      </c>
      <c r="I135">
        <v>1.26369</v>
      </c>
      <c r="J135">
        <v>1.2976700000000001</v>
      </c>
      <c r="K135">
        <v>1.2961199999999999</v>
      </c>
      <c r="L135">
        <v>1.2961199999999999</v>
      </c>
      <c r="M135">
        <v>1.2961199999999999</v>
      </c>
      <c r="N135">
        <v>1.2961199999999999</v>
      </c>
      <c r="O135">
        <v>1.2961199999999999</v>
      </c>
      <c r="P135">
        <v>1.2961199999999999</v>
      </c>
    </row>
    <row r="136" spans="1:16" ht="13" customHeight="1" x14ac:dyDescent="0.15">
      <c r="A136">
        <v>1983</v>
      </c>
      <c r="B136">
        <v>2.3008999999999998E-3</v>
      </c>
      <c r="C136">
        <v>4.8842900000000002E-2</v>
      </c>
      <c r="D136">
        <v>0.19256200000000001</v>
      </c>
      <c r="E136">
        <v>0.58968200000000004</v>
      </c>
      <c r="F136">
        <v>1.0024900000000001</v>
      </c>
      <c r="G136">
        <v>1.25282</v>
      </c>
      <c r="H136">
        <v>1.2451099999999999</v>
      </c>
      <c r="I136">
        <v>1.25545</v>
      </c>
      <c r="J136">
        <v>1.3219700000000001</v>
      </c>
      <c r="K136">
        <v>1.3481300000000001</v>
      </c>
      <c r="L136">
        <v>1.3481300000000001</v>
      </c>
      <c r="M136">
        <v>1.3481300000000001</v>
      </c>
      <c r="N136">
        <v>1.3481300000000001</v>
      </c>
      <c r="O136">
        <v>1.3481300000000001</v>
      </c>
      <c r="P136">
        <v>1.3481300000000001</v>
      </c>
    </row>
    <row r="137" spans="1:16" ht="13" customHeight="1" x14ac:dyDescent="0.15">
      <c r="A137">
        <v>1984</v>
      </c>
      <c r="B137">
        <v>1.9656700000000001E-3</v>
      </c>
      <c r="C137">
        <v>3.9357000000000003E-2</v>
      </c>
      <c r="D137">
        <v>0.18960399999999999</v>
      </c>
      <c r="E137">
        <v>0.52492899999999998</v>
      </c>
      <c r="F137">
        <v>1.0290900000000001</v>
      </c>
      <c r="G137">
        <v>1.1992400000000001</v>
      </c>
      <c r="H137">
        <v>1.2559</v>
      </c>
      <c r="I137">
        <v>1.24996</v>
      </c>
      <c r="J137">
        <v>1.3179000000000001</v>
      </c>
      <c r="K137">
        <v>1.36534</v>
      </c>
      <c r="L137">
        <v>1.36534</v>
      </c>
      <c r="M137">
        <v>1.36534</v>
      </c>
      <c r="N137">
        <v>1.36534</v>
      </c>
      <c r="O137">
        <v>1.36534</v>
      </c>
      <c r="P137">
        <v>1.36534</v>
      </c>
    </row>
    <row r="138" spans="1:16" ht="13" customHeight="1" x14ac:dyDescent="0.15">
      <c r="A138">
        <v>1985</v>
      </c>
      <c r="B138">
        <v>1.6849600000000001E-3</v>
      </c>
      <c r="C138">
        <v>4.03308E-2</v>
      </c>
      <c r="D138">
        <v>0.20367499999999999</v>
      </c>
      <c r="E138">
        <v>0.46609200000000001</v>
      </c>
      <c r="F138">
        <v>0.81581300000000001</v>
      </c>
      <c r="G138">
        <v>1.2855799999999999</v>
      </c>
      <c r="H138">
        <v>1.26817</v>
      </c>
      <c r="I138">
        <v>1.26816</v>
      </c>
      <c r="J138">
        <v>1.3222700000000001</v>
      </c>
      <c r="K138">
        <v>1.3880399999999999</v>
      </c>
      <c r="L138">
        <v>1.3880399999999999</v>
      </c>
      <c r="M138">
        <v>1.3880399999999999</v>
      </c>
      <c r="N138">
        <v>1.3880399999999999</v>
      </c>
      <c r="O138">
        <v>1.3880399999999999</v>
      </c>
      <c r="P138">
        <v>1.3880399999999999</v>
      </c>
    </row>
    <row r="139" spans="1:16" ht="13" customHeight="1" x14ac:dyDescent="0.15">
      <c r="A139">
        <v>1986</v>
      </c>
      <c r="B139">
        <v>1.4615100000000001E-3</v>
      </c>
      <c r="C139">
        <v>3.9074200000000003E-2</v>
      </c>
      <c r="D139">
        <v>0.21912799999999999</v>
      </c>
      <c r="E139">
        <v>0.53888000000000003</v>
      </c>
      <c r="F139">
        <v>0.78813200000000005</v>
      </c>
      <c r="G139">
        <v>1.22777</v>
      </c>
      <c r="H139">
        <v>1.27841</v>
      </c>
      <c r="I139">
        <v>1.1955800000000001</v>
      </c>
      <c r="J139">
        <v>1.35701</v>
      </c>
      <c r="K139">
        <v>1.3924300000000001</v>
      </c>
      <c r="L139">
        <v>1.3924300000000001</v>
      </c>
      <c r="M139">
        <v>1.3924300000000001</v>
      </c>
      <c r="N139">
        <v>1.3924300000000001</v>
      </c>
      <c r="O139">
        <v>1.3924300000000001</v>
      </c>
      <c r="P139">
        <v>1.3924300000000001</v>
      </c>
    </row>
    <row r="140" spans="1:16" ht="13" customHeight="1" x14ac:dyDescent="0.15">
      <c r="A140">
        <v>1987</v>
      </c>
      <c r="B140">
        <v>1.24993E-3</v>
      </c>
      <c r="C140">
        <v>3.6436799999999998E-2</v>
      </c>
      <c r="D140">
        <v>0.24163899999999999</v>
      </c>
      <c r="E140">
        <v>0.48971500000000001</v>
      </c>
      <c r="F140">
        <v>0.78215100000000004</v>
      </c>
      <c r="G140">
        <v>1.1209499999999999</v>
      </c>
      <c r="H140">
        <v>1.1688700000000001</v>
      </c>
      <c r="I140">
        <v>1.3406400000000001</v>
      </c>
      <c r="J140">
        <v>1.42852</v>
      </c>
      <c r="K140">
        <v>1.3983000000000001</v>
      </c>
      <c r="L140">
        <v>1.3983000000000001</v>
      </c>
      <c r="M140">
        <v>1.3983000000000001</v>
      </c>
      <c r="N140">
        <v>1.3983000000000001</v>
      </c>
      <c r="O140">
        <v>1.3983000000000001</v>
      </c>
      <c r="P140">
        <v>1.3983000000000001</v>
      </c>
    </row>
    <row r="141" spans="1:16" ht="13" customHeight="1" x14ac:dyDescent="0.15">
      <c r="A141">
        <v>1988</v>
      </c>
      <c r="B141">
        <v>1.0923E-3</v>
      </c>
      <c r="C141">
        <v>3.5168600000000001E-2</v>
      </c>
      <c r="D141">
        <v>0.40648400000000001</v>
      </c>
      <c r="E141">
        <v>0.53204799999999997</v>
      </c>
      <c r="F141">
        <v>0.92545900000000003</v>
      </c>
      <c r="G141">
        <v>1.08874</v>
      </c>
      <c r="H141">
        <v>1.3513900000000001</v>
      </c>
      <c r="I141">
        <v>1.29186</v>
      </c>
      <c r="J141">
        <v>1.3668400000000001</v>
      </c>
      <c r="K141">
        <v>1.3334900000000001</v>
      </c>
      <c r="L141">
        <v>1.3334900000000001</v>
      </c>
      <c r="M141">
        <v>1.3334900000000001</v>
      </c>
      <c r="N141">
        <v>1.3334900000000001</v>
      </c>
      <c r="O141">
        <v>1.3334900000000001</v>
      </c>
      <c r="P141">
        <v>1.3334900000000001</v>
      </c>
    </row>
    <row r="142" spans="1:16" ht="13" customHeight="1" x14ac:dyDescent="0.15">
      <c r="A142">
        <v>1989</v>
      </c>
      <c r="B142">
        <v>9.2460800000000005E-4</v>
      </c>
      <c r="C142">
        <v>3.3453799999999999E-2</v>
      </c>
      <c r="D142">
        <v>0.29193599999999997</v>
      </c>
      <c r="E142">
        <v>0.62594700000000003</v>
      </c>
      <c r="F142">
        <v>0.93618199999999996</v>
      </c>
      <c r="G142">
        <v>1.15724</v>
      </c>
      <c r="H142">
        <v>1.4694700000000001</v>
      </c>
      <c r="I142">
        <v>1.3807499999999999</v>
      </c>
      <c r="J142">
        <v>1.3117099999999999</v>
      </c>
      <c r="K142">
        <v>1.2987299999999999</v>
      </c>
      <c r="L142">
        <v>1.2987299999999999</v>
      </c>
      <c r="M142">
        <v>1.2987299999999999</v>
      </c>
      <c r="N142">
        <v>1.2987299999999999</v>
      </c>
      <c r="O142">
        <v>1.2987299999999999</v>
      </c>
      <c r="P142">
        <v>1.2987299999999999</v>
      </c>
    </row>
    <row r="143" spans="1:16" ht="13" customHeight="1" x14ac:dyDescent="0.15">
      <c r="A143">
        <v>1990</v>
      </c>
      <c r="B143">
        <v>7.7772799999999999E-4</v>
      </c>
      <c r="C143">
        <v>3.2546600000000002E-2</v>
      </c>
      <c r="D143">
        <v>0.22229499999999999</v>
      </c>
      <c r="E143">
        <v>0.674288</v>
      </c>
      <c r="F143">
        <v>1.1066</v>
      </c>
      <c r="G143">
        <v>1.2117</v>
      </c>
      <c r="H143">
        <v>1.35948</v>
      </c>
      <c r="I143">
        <v>1.3846700000000001</v>
      </c>
      <c r="J143">
        <v>1.33182</v>
      </c>
      <c r="K143">
        <v>1.2793000000000001</v>
      </c>
      <c r="L143">
        <v>1.2793000000000001</v>
      </c>
      <c r="M143">
        <v>1.2793000000000001</v>
      </c>
      <c r="N143">
        <v>1.2793000000000001</v>
      </c>
      <c r="O143">
        <v>1.2793000000000001</v>
      </c>
      <c r="P143">
        <v>1.2793000000000001</v>
      </c>
    </row>
    <row r="144" spans="1:16" ht="13" customHeight="1" x14ac:dyDescent="0.15">
      <c r="A144">
        <v>1991</v>
      </c>
      <c r="B144">
        <v>6.3346300000000002E-4</v>
      </c>
      <c r="C144">
        <v>3.0010100000000001E-2</v>
      </c>
      <c r="D144">
        <v>0.15395900000000001</v>
      </c>
      <c r="E144">
        <v>0.490315</v>
      </c>
      <c r="F144">
        <v>0.86588699999999996</v>
      </c>
      <c r="G144">
        <v>1.0662799999999999</v>
      </c>
      <c r="H144">
        <v>1.3855900000000001</v>
      </c>
      <c r="I144">
        <v>1.23681</v>
      </c>
      <c r="J144">
        <v>1.40099</v>
      </c>
      <c r="K144">
        <v>1.3949199999999999</v>
      </c>
      <c r="L144">
        <v>1.3949199999999999</v>
      </c>
      <c r="M144">
        <v>1.3949199999999999</v>
      </c>
      <c r="N144">
        <v>1.3949199999999999</v>
      </c>
      <c r="O144">
        <v>1.3949199999999999</v>
      </c>
      <c r="P144">
        <v>1.3949199999999999</v>
      </c>
    </row>
    <row r="145" spans="1:16" ht="13" customHeight="1" x14ac:dyDescent="0.15">
      <c r="A145">
        <v>1992</v>
      </c>
      <c r="B145">
        <v>5.3899299999999998E-4</v>
      </c>
      <c r="C145">
        <v>2.6718599999999999E-2</v>
      </c>
      <c r="D145">
        <v>0.206815</v>
      </c>
      <c r="E145">
        <v>0.37861800000000001</v>
      </c>
      <c r="F145">
        <v>0.63009499999999996</v>
      </c>
      <c r="G145">
        <v>1.01674</v>
      </c>
      <c r="H145">
        <v>1.34077</v>
      </c>
      <c r="I145">
        <v>1.43102</v>
      </c>
      <c r="J145">
        <v>1.4434499999999999</v>
      </c>
      <c r="K145">
        <v>1.4208700000000001</v>
      </c>
      <c r="L145">
        <v>1.4208700000000001</v>
      </c>
      <c r="M145">
        <v>1.4208700000000001</v>
      </c>
      <c r="N145">
        <v>1.4208700000000001</v>
      </c>
      <c r="O145">
        <v>1.4208700000000001</v>
      </c>
      <c r="P145">
        <v>1.4208700000000001</v>
      </c>
    </row>
    <row r="146" spans="1:16" ht="13" customHeight="1" x14ac:dyDescent="0.15">
      <c r="A146">
        <v>1993</v>
      </c>
      <c r="B146" s="1">
        <v>4.75234E-4</v>
      </c>
      <c r="C146">
        <v>1.7467900000000001E-2</v>
      </c>
      <c r="D146">
        <v>0.19313900000000001</v>
      </c>
      <c r="E146">
        <v>0.71436200000000005</v>
      </c>
      <c r="F146">
        <v>0.63137799999999999</v>
      </c>
      <c r="G146">
        <v>1.0156000000000001</v>
      </c>
      <c r="H146">
        <v>1.42116</v>
      </c>
      <c r="I146">
        <v>1.4190199999999999</v>
      </c>
      <c r="J146">
        <v>1.4162399999999999</v>
      </c>
      <c r="K146">
        <v>1.3618600000000001</v>
      </c>
      <c r="L146">
        <v>1.3618600000000001</v>
      </c>
      <c r="M146">
        <v>1.3618600000000001</v>
      </c>
      <c r="N146">
        <v>1.3618600000000001</v>
      </c>
      <c r="O146">
        <v>1.3618600000000001</v>
      </c>
      <c r="P146">
        <v>1.3618600000000001</v>
      </c>
    </row>
    <row r="147" spans="1:16" ht="13" customHeight="1" x14ac:dyDescent="0.15">
      <c r="A147">
        <v>1994</v>
      </c>
      <c r="B147" s="1">
        <v>4.2784000000000002E-4</v>
      </c>
      <c r="C147">
        <v>1.6273300000000001E-2</v>
      </c>
      <c r="D147">
        <v>9.4785599999999998E-2</v>
      </c>
      <c r="E147">
        <v>0.42780400000000002</v>
      </c>
      <c r="F147">
        <v>1.1334200000000001</v>
      </c>
      <c r="G147">
        <v>1.0955699999999999</v>
      </c>
      <c r="H147">
        <v>1.3995599999999999</v>
      </c>
      <c r="I147">
        <v>1.3927</v>
      </c>
      <c r="J147">
        <v>1.37602</v>
      </c>
      <c r="K147">
        <v>1.3439099999999999</v>
      </c>
      <c r="L147">
        <v>1.3439099999999999</v>
      </c>
      <c r="M147">
        <v>1.3439099999999999</v>
      </c>
      <c r="N147">
        <v>1.3439099999999999</v>
      </c>
      <c r="O147">
        <v>1.3439099999999999</v>
      </c>
      <c r="P147">
        <v>1.3439099999999999</v>
      </c>
    </row>
    <row r="148" spans="1:16" ht="13" customHeight="1" x14ac:dyDescent="0.15">
      <c r="A148">
        <v>1995</v>
      </c>
      <c r="B148" s="1">
        <v>3.7747799999999999E-4</v>
      </c>
      <c r="C148">
        <v>1.7277399999999998E-2</v>
      </c>
      <c r="D148">
        <v>6.3384099999999999E-2</v>
      </c>
      <c r="E148">
        <v>0.207731</v>
      </c>
      <c r="F148">
        <v>0.761374</v>
      </c>
      <c r="G148">
        <v>1.57376</v>
      </c>
      <c r="H148">
        <v>1.4442699999999999</v>
      </c>
      <c r="I148">
        <v>1.4359200000000001</v>
      </c>
      <c r="J148">
        <v>1.3933599999999999</v>
      </c>
      <c r="K148">
        <v>1.35042</v>
      </c>
      <c r="L148">
        <v>1.35042</v>
      </c>
      <c r="M148">
        <v>1.35042</v>
      </c>
      <c r="N148">
        <v>1.35042</v>
      </c>
      <c r="O148">
        <v>1.35042</v>
      </c>
      <c r="P148">
        <v>1.35042</v>
      </c>
    </row>
    <row r="149" spans="1:16" ht="13" customHeight="1" x14ac:dyDescent="0.15">
      <c r="A149">
        <v>1996</v>
      </c>
      <c r="B149" s="1">
        <v>3.3111099999999998E-4</v>
      </c>
      <c r="C149">
        <v>2.2821999999999999E-2</v>
      </c>
      <c r="D149">
        <v>7.1469500000000005E-2</v>
      </c>
      <c r="E149">
        <v>0.101302</v>
      </c>
      <c r="F149">
        <v>0.372089</v>
      </c>
      <c r="G149">
        <v>1.1145400000000001</v>
      </c>
      <c r="H149">
        <v>1.7607299999999999</v>
      </c>
      <c r="I149">
        <v>1.7252799999999999</v>
      </c>
      <c r="J149">
        <v>1.5297799999999999</v>
      </c>
      <c r="K149">
        <v>1.38361</v>
      </c>
      <c r="L149">
        <v>1.38361</v>
      </c>
      <c r="M149">
        <v>1.38361</v>
      </c>
      <c r="N149">
        <v>1.38361</v>
      </c>
      <c r="O149">
        <v>1.38361</v>
      </c>
      <c r="P149">
        <v>1.38361</v>
      </c>
    </row>
    <row r="150" spans="1:16" ht="13" customHeight="1" x14ac:dyDescent="0.15">
      <c r="A150">
        <v>1997</v>
      </c>
      <c r="B150" s="1">
        <v>3.0193599999999999E-4</v>
      </c>
      <c r="C150">
        <v>3.08335E-2</v>
      </c>
      <c r="D150">
        <v>8.3875500000000006E-2</v>
      </c>
      <c r="E150">
        <v>0.17175799999999999</v>
      </c>
      <c r="F150">
        <v>0.38195299999999999</v>
      </c>
      <c r="G150">
        <v>0.79022300000000001</v>
      </c>
      <c r="H150">
        <v>1.33006</v>
      </c>
      <c r="I150">
        <v>1.5282500000000001</v>
      </c>
      <c r="J150">
        <v>1.6109199999999999</v>
      </c>
      <c r="K150">
        <v>1.51197</v>
      </c>
      <c r="L150">
        <v>1.51197</v>
      </c>
      <c r="M150">
        <v>1.51197</v>
      </c>
      <c r="N150">
        <v>1.51197</v>
      </c>
      <c r="O150">
        <v>1.51197</v>
      </c>
      <c r="P150">
        <v>1.51197</v>
      </c>
    </row>
    <row r="151" spans="1:16" ht="13" customHeight="1" x14ac:dyDescent="0.15">
      <c r="A151">
        <v>1998</v>
      </c>
      <c r="B151" s="1">
        <v>2.7212699999999999E-4</v>
      </c>
      <c r="C151">
        <v>2.3681899999999999E-2</v>
      </c>
      <c r="D151">
        <v>0.11805400000000001</v>
      </c>
      <c r="E151">
        <v>0.24415700000000001</v>
      </c>
      <c r="F151">
        <v>0.46207799999999999</v>
      </c>
      <c r="G151">
        <v>0.99817999999999996</v>
      </c>
      <c r="H151">
        <v>1.0678300000000001</v>
      </c>
      <c r="I151">
        <v>1.4578800000000001</v>
      </c>
      <c r="J151">
        <v>1.6080099999999999</v>
      </c>
      <c r="K151">
        <v>1.5033099999999999</v>
      </c>
      <c r="L151">
        <v>1.5033099999999999</v>
      </c>
      <c r="M151">
        <v>1.5033099999999999</v>
      </c>
      <c r="N151">
        <v>1.5033099999999999</v>
      </c>
      <c r="O151">
        <v>1.5033099999999999</v>
      </c>
      <c r="P151">
        <v>1.5033099999999999</v>
      </c>
    </row>
    <row r="152" spans="1:16" ht="13" customHeight="1" x14ac:dyDescent="0.15">
      <c r="A152">
        <v>1999</v>
      </c>
      <c r="B152" s="1">
        <v>2.5149500000000002E-4</v>
      </c>
      <c r="C152">
        <v>1.7746000000000001E-2</v>
      </c>
      <c r="D152">
        <v>0.28379700000000002</v>
      </c>
      <c r="E152">
        <v>0.438411</v>
      </c>
      <c r="F152">
        <v>0.61979099999999998</v>
      </c>
      <c r="G152">
        <v>0.92037999999999998</v>
      </c>
      <c r="H152">
        <v>1.5681</v>
      </c>
      <c r="I152">
        <v>1.4992099999999999</v>
      </c>
      <c r="J152">
        <v>1.4489700000000001</v>
      </c>
      <c r="K152">
        <v>1.3672200000000001</v>
      </c>
      <c r="L152">
        <v>1.3672200000000001</v>
      </c>
      <c r="M152">
        <v>1.3672200000000001</v>
      </c>
      <c r="N152">
        <v>1.3672200000000001</v>
      </c>
      <c r="O152">
        <v>1.3672200000000001</v>
      </c>
      <c r="P152">
        <v>1.3672200000000001</v>
      </c>
    </row>
    <row r="153" spans="1:16" ht="13" customHeight="1" x14ac:dyDescent="0.15">
      <c r="A153">
        <v>2000</v>
      </c>
      <c r="B153" s="1">
        <v>2.2258999999999999E-4</v>
      </c>
      <c r="C153">
        <v>1.5327800000000001E-2</v>
      </c>
      <c r="D153">
        <v>0.150949</v>
      </c>
      <c r="E153">
        <v>0.557639</v>
      </c>
      <c r="F153">
        <v>0.899451</v>
      </c>
      <c r="G153">
        <v>0.89240299999999995</v>
      </c>
      <c r="H153">
        <v>1.4343600000000001</v>
      </c>
      <c r="I153">
        <v>1.82857</v>
      </c>
      <c r="J153">
        <v>1.4610799999999999</v>
      </c>
      <c r="K153">
        <v>1.2933300000000001</v>
      </c>
      <c r="L153">
        <v>1.2933300000000001</v>
      </c>
      <c r="M153">
        <v>1.2933300000000001</v>
      </c>
      <c r="N153">
        <v>1.2933300000000001</v>
      </c>
      <c r="O153">
        <v>1.2933300000000001</v>
      </c>
      <c r="P153">
        <v>1.2933300000000001</v>
      </c>
    </row>
    <row r="154" spans="1:16" ht="13" customHeight="1" x14ac:dyDescent="0.15">
      <c r="A154">
        <v>2001</v>
      </c>
      <c r="B154" s="1">
        <v>1.9941100000000001E-4</v>
      </c>
      <c r="C154">
        <v>1.12844E-2</v>
      </c>
      <c r="D154">
        <v>9.5981200000000003E-2</v>
      </c>
      <c r="E154">
        <v>0.37965199999999999</v>
      </c>
      <c r="F154">
        <v>1.0367200000000001</v>
      </c>
      <c r="G154">
        <v>1.5150300000000001</v>
      </c>
      <c r="H154">
        <v>1.48688</v>
      </c>
      <c r="I154">
        <v>1.48102</v>
      </c>
      <c r="J154">
        <v>1.3616200000000001</v>
      </c>
      <c r="K154">
        <v>1.2719400000000001</v>
      </c>
      <c r="L154">
        <v>1.2719400000000001</v>
      </c>
      <c r="M154">
        <v>1.2719400000000001</v>
      </c>
      <c r="N154">
        <v>1.2719400000000001</v>
      </c>
      <c r="O154">
        <v>1.2719400000000001</v>
      </c>
      <c r="P154">
        <v>1.2719400000000001</v>
      </c>
    </row>
    <row r="155" spans="1:16" ht="13" customHeight="1" x14ac:dyDescent="0.15">
      <c r="A155">
        <v>2002</v>
      </c>
      <c r="B155" s="1">
        <v>1.91261E-4</v>
      </c>
      <c r="C155">
        <v>1.6433799999999998E-2</v>
      </c>
      <c r="D155">
        <v>9.9142900000000006E-2</v>
      </c>
      <c r="E155">
        <v>0.37633499999999998</v>
      </c>
      <c r="F155">
        <v>0.842086</v>
      </c>
      <c r="G155">
        <v>1.6381300000000001</v>
      </c>
      <c r="H155">
        <v>1.61524</v>
      </c>
      <c r="I155">
        <v>1.59188</v>
      </c>
      <c r="J155">
        <v>1.45411</v>
      </c>
      <c r="K155">
        <v>1.2277400000000001</v>
      </c>
      <c r="L155">
        <v>1.2277400000000001</v>
      </c>
      <c r="M155">
        <v>1.2277400000000001</v>
      </c>
      <c r="N155">
        <v>1.2277400000000001</v>
      </c>
      <c r="O155">
        <v>1.2277400000000001</v>
      </c>
      <c r="P155">
        <v>1.2277400000000001</v>
      </c>
    </row>
    <row r="156" spans="1:16" ht="13" customHeight="1" x14ac:dyDescent="0.15">
      <c r="A156">
        <v>2003</v>
      </c>
      <c r="B156" s="1">
        <v>1.8518199999999999E-4</v>
      </c>
      <c r="C156">
        <v>1.11526E-2</v>
      </c>
      <c r="D156">
        <v>0.21235399999999999</v>
      </c>
      <c r="E156">
        <v>0.37323800000000001</v>
      </c>
      <c r="F156">
        <v>0.96670400000000001</v>
      </c>
      <c r="G156">
        <v>1.4783299999999999</v>
      </c>
      <c r="H156">
        <v>1.7083600000000001</v>
      </c>
      <c r="I156">
        <v>1.66916</v>
      </c>
      <c r="J156">
        <v>1.4574400000000001</v>
      </c>
      <c r="K156">
        <v>1.1871799999999999</v>
      </c>
      <c r="L156">
        <v>1.1871799999999999</v>
      </c>
      <c r="M156">
        <v>1.1871799999999999</v>
      </c>
      <c r="N156">
        <v>1.1871799999999999</v>
      </c>
      <c r="O156">
        <v>1.1871799999999999</v>
      </c>
      <c r="P156">
        <v>1.1871799999999999</v>
      </c>
    </row>
    <row r="157" spans="1:16" ht="13" customHeight="1" x14ac:dyDescent="0.15">
      <c r="A157">
        <v>2004</v>
      </c>
      <c r="B157" s="1">
        <v>1.7610299999999999E-4</v>
      </c>
      <c r="C157">
        <v>8.8765600000000004E-3</v>
      </c>
      <c r="D157">
        <v>0.10266</v>
      </c>
      <c r="E157">
        <v>0.79082300000000005</v>
      </c>
      <c r="F157">
        <v>0.956206</v>
      </c>
      <c r="G157">
        <v>1.2820499999999999</v>
      </c>
      <c r="H157">
        <v>1.6745300000000001</v>
      </c>
      <c r="I157">
        <v>1.6297699999999999</v>
      </c>
      <c r="J157">
        <v>1.41605</v>
      </c>
      <c r="K157">
        <v>1.18981</v>
      </c>
      <c r="L157">
        <v>1.18981</v>
      </c>
      <c r="M157">
        <v>1.18981</v>
      </c>
      <c r="N157">
        <v>1.18981</v>
      </c>
      <c r="O157">
        <v>1.18981</v>
      </c>
      <c r="P157">
        <v>1.18981</v>
      </c>
    </row>
    <row r="158" spans="1:16" ht="13" customHeight="1" x14ac:dyDescent="0.15">
      <c r="A158">
        <v>2005</v>
      </c>
      <c r="B158" s="1">
        <v>1.70743E-4</v>
      </c>
      <c r="C158">
        <v>9.9922199999999996E-3</v>
      </c>
      <c r="D158">
        <v>0.106833</v>
      </c>
      <c r="E158">
        <v>0.57586000000000004</v>
      </c>
      <c r="F158">
        <v>1.5027200000000001</v>
      </c>
      <c r="G158">
        <v>1.70075</v>
      </c>
      <c r="H158">
        <v>1.5312600000000001</v>
      </c>
      <c r="I158">
        <v>1.4011199999999999</v>
      </c>
      <c r="J158">
        <v>1.3194900000000001</v>
      </c>
      <c r="K158">
        <v>1.1419699999999999</v>
      </c>
      <c r="L158">
        <v>1.1419699999999999</v>
      </c>
      <c r="M158">
        <v>1.1419699999999999</v>
      </c>
      <c r="N158">
        <v>1.1419699999999999</v>
      </c>
      <c r="O158">
        <v>1.1419699999999999</v>
      </c>
      <c r="P158">
        <v>1.1419699999999999</v>
      </c>
    </row>
    <row r="159" spans="1:16" ht="13" customHeight="1" x14ac:dyDescent="0.15">
      <c r="A159">
        <v>2006</v>
      </c>
      <c r="B159" s="1">
        <v>1.6685800000000001E-4</v>
      </c>
      <c r="C159">
        <v>1.27527E-2</v>
      </c>
      <c r="D159">
        <v>0.200103</v>
      </c>
      <c r="E159">
        <v>0.55820199999999998</v>
      </c>
      <c r="F159">
        <v>1.18082</v>
      </c>
      <c r="G159">
        <v>1.61222</v>
      </c>
      <c r="H159">
        <v>1.5356300000000001</v>
      </c>
      <c r="I159">
        <v>1.4612700000000001</v>
      </c>
      <c r="J159">
        <v>1.3168899999999999</v>
      </c>
      <c r="K159">
        <v>1.18699</v>
      </c>
      <c r="L159">
        <v>1.18699</v>
      </c>
      <c r="M159">
        <v>1.18699</v>
      </c>
      <c r="N159">
        <v>1.18699</v>
      </c>
      <c r="O159">
        <v>1.18699</v>
      </c>
      <c r="P159">
        <v>1.18699</v>
      </c>
    </row>
    <row r="160" spans="1:16" ht="13" customHeight="1" x14ac:dyDescent="0.15">
      <c r="A160">
        <v>2007</v>
      </c>
      <c r="B160" s="1">
        <v>1.59304E-4</v>
      </c>
      <c r="C160">
        <v>1.36601E-2</v>
      </c>
      <c r="D160">
        <v>0.18731400000000001</v>
      </c>
      <c r="E160">
        <v>0.52057500000000001</v>
      </c>
      <c r="F160">
        <v>1.12134</v>
      </c>
      <c r="G160">
        <v>1.71102</v>
      </c>
      <c r="H160">
        <v>1.52626</v>
      </c>
      <c r="I160">
        <v>1.3801000000000001</v>
      </c>
      <c r="J160">
        <v>1.29112</v>
      </c>
      <c r="K160">
        <v>1.20808</v>
      </c>
      <c r="L160">
        <v>1.20808</v>
      </c>
      <c r="M160">
        <v>1.20808</v>
      </c>
      <c r="N160">
        <v>1.20808</v>
      </c>
      <c r="O160">
        <v>1.20808</v>
      </c>
      <c r="P160">
        <v>1.20808</v>
      </c>
    </row>
    <row r="161" spans="1:16" ht="13" customHeight="1" x14ac:dyDescent="0.15">
      <c r="A161">
        <v>2008</v>
      </c>
      <c r="B161" s="1">
        <v>1.46811E-4</v>
      </c>
      <c r="C161">
        <v>1.09119E-2</v>
      </c>
      <c r="D161">
        <v>9.8313399999999995E-2</v>
      </c>
      <c r="E161">
        <v>0.44367600000000001</v>
      </c>
      <c r="F161">
        <v>0.96840899999999996</v>
      </c>
      <c r="G161">
        <v>1.6665700000000001</v>
      </c>
      <c r="H161">
        <v>1.5652600000000001</v>
      </c>
      <c r="I161">
        <v>1.39317</v>
      </c>
      <c r="J161">
        <v>1.3705400000000001</v>
      </c>
      <c r="K161">
        <v>1.2471699999999999</v>
      </c>
      <c r="L161">
        <v>1.2471699999999999</v>
      </c>
      <c r="M161">
        <v>1.2471699999999999</v>
      </c>
      <c r="N161">
        <v>1.2471699999999999</v>
      </c>
      <c r="O161">
        <v>1.2471699999999999</v>
      </c>
      <c r="P161">
        <v>1.2471699999999999</v>
      </c>
    </row>
    <row r="162" spans="1:16" ht="13" customHeight="1" x14ac:dyDescent="0.15">
      <c r="A162">
        <v>2009</v>
      </c>
      <c r="B162" s="1">
        <v>1.3771200000000001E-4</v>
      </c>
      <c r="C162">
        <v>7.5641399999999996E-3</v>
      </c>
      <c r="D162">
        <v>9.9524799999999997E-2</v>
      </c>
      <c r="E162">
        <v>0.419186</v>
      </c>
      <c r="F162">
        <v>0.71121400000000001</v>
      </c>
      <c r="G162">
        <v>1.2498199999999999</v>
      </c>
      <c r="H162">
        <v>1.4122399999999999</v>
      </c>
      <c r="I162">
        <v>1.37737</v>
      </c>
      <c r="J162">
        <v>1.4130199999999999</v>
      </c>
      <c r="K162">
        <v>1.3849899999999999</v>
      </c>
      <c r="L162">
        <v>1.3849899999999999</v>
      </c>
      <c r="M162">
        <v>1.3849899999999999</v>
      </c>
      <c r="N162">
        <v>1.3849899999999999</v>
      </c>
      <c r="O162">
        <v>1.3849899999999999</v>
      </c>
      <c r="P162">
        <v>1.3849899999999999</v>
      </c>
    </row>
    <row r="163" spans="1:16" ht="13" customHeight="1" x14ac:dyDescent="0.15">
      <c r="A163">
        <v>2010</v>
      </c>
      <c r="B163" s="1">
        <v>1.40715E-4</v>
      </c>
      <c r="C163">
        <v>8.1065000000000009E-3</v>
      </c>
      <c r="D163">
        <v>6.1707999999999999E-2</v>
      </c>
      <c r="E163">
        <v>0.68741099999999999</v>
      </c>
      <c r="F163">
        <v>0.92444499999999996</v>
      </c>
      <c r="G163">
        <v>1.0852599999999999</v>
      </c>
      <c r="H163">
        <v>1.29915</v>
      </c>
      <c r="I163">
        <v>1.41622</v>
      </c>
      <c r="J163">
        <v>1.3850899999999999</v>
      </c>
      <c r="K163">
        <v>1.35541</v>
      </c>
      <c r="L163">
        <v>1.35541</v>
      </c>
      <c r="M163">
        <v>1.35541</v>
      </c>
      <c r="N163">
        <v>1.35541</v>
      </c>
      <c r="O163">
        <v>1.35541</v>
      </c>
      <c r="P163">
        <v>1.35541</v>
      </c>
    </row>
    <row r="164" spans="1:16" ht="13" customHeight="1" x14ac:dyDescent="0.15">
      <c r="A164">
        <v>2011</v>
      </c>
      <c r="B164" s="1">
        <v>1.3757900000000001E-4</v>
      </c>
      <c r="C164">
        <v>8.5359600000000004E-3</v>
      </c>
      <c r="D164">
        <v>5.95363E-2</v>
      </c>
      <c r="E164">
        <v>0.227572</v>
      </c>
      <c r="F164">
        <v>1.3396600000000001</v>
      </c>
      <c r="G164">
        <v>1.5190999999999999</v>
      </c>
      <c r="H164">
        <v>1.4253</v>
      </c>
      <c r="I164">
        <v>1.3791500000000001</v>
      </c>
      <c r="J164">
        <v>1.3349200000000001</v>
      </c>
      <c r="K164">
        <v>1.2843500000000001</v>
      </c>
      <c r="L164">
        <v>1.2843500000000001</v>
      </c>
      <c r="M164">
        <v>1.2843500000000001</v>
      </c>
      <c r="N164">
        <v>1.2843500000000001</v>
      </c>
      <c r="O164">
        <v>1.2843500000000001</v>
      </c>
      <c r="P164">
        <v>1.2843500000000001</v>
      </c>
    </row>
    <row r="165" spans="1:16" ht="13" customHeight="1" x14ac:dyDescent="0.15">
      <c r="A165">
        <v>2012</v>
      </c>
      <c r="B165" s="1">
        <v>1.3829099999999999E-4</v>
      </c>
      <c r="C165">
        <v>1.17016E-2</v>
      </c>
      <c r="D165">
        <v>8.8862700000000003E-2</v>
      </c>
      <c r="E165">
        <v>0.409275</v>
      </c>
      <c r="F165">
        <v>0.46755000000000002</v>
      </c>
      <c r="G165">
        <v>1.47767</v>
      </c>
      <c r="H165">
        <v>1.4960100000000001</v>
      </c>
      <c r="I165">
        <v>1.4810300000000001</v>
      </c>
      <c r="J165">
        <v>1.39975</v>
      </c>
      <c r="K165">
        <v>1.36134</v>
      </c>
      <c r="L165">
        <v>1.36134</v>
      </c>
      <c r="M165">
        <v>1.36134</v>
      </c>
      <c r="N165">
        <v>1.36134</v>
      </c>
      <c r="O165">
        <v>1.36134</v>
      </c>
      <c r="P165">
        <v>1.36134</v>
      </c>
    </row>
    <row r="166" spans="1:16" ht="13" customHeight="1" x14ac:dyDescent="0.15">
      <c r="A166">
        <v>2013</v>
      </c>
      <c r="B166" s="1">
        <v>1.33953E-4</v>
      </c>
      <c r="C166">
        <v>8.31988E-3</v>
      </c>
      <c r="D166">
        <v>9.3927899999999995E-2</v>
      </c>
      <c r="E166">
        <v>0.41458299999999998</v>
      </c>
      <c r="F166">
        <v>0.69756099999999999</v>
      </c>
      <c r="G166">
        <v>0.77610999999999997</v>
      </c>
      <c r="H166">
        <v>1.1733499999999999</v>
      </c>
      <c r="I166">
        <v>1.4960199999999999</v>
      </c>
      <c r="J166">
        <v>1.48102</v>
      </c>
      <c r="K166">
        <v>1.4764900000000001</v>
      </c>
      <c r="L166">
        <v>1.4764900000000001</v>
      </c>
      <c r="M166">
        <v>1.4764900000000001</v>
      </c>
      <c r="N166">
        <v>1.4764900000000001</v>
      </c>
      <c r="O166">
        <v>1.4764900000000001</v>
      </c>
      <c r="P166">
        <v>1.4764900000000001</v>
      </c>
    </row>
    <row r="167" spans="1:16" ht="13" customHeight="1" x14ac:dyDescent="0.15">
      <c r="A167">
        <v>2014</v>
      </c>
      <c r="B167" s="1">
        <v>1.3110500000000001E-4</v>
      </c>
      <c r="C167">
        <v>8.5542399999999994E-3</v>
      </c>
      <c r="D167">
        <v>8.4946199999999999E-2</v>
      </c>
      <c r="E167">
        <v>0.39005200000000001</v>
      </c>
      <c r="F167">
        <v>0.81624699999999994</v>
      </c>
      <c r="G167">
        <v>1.00526</v>
      </c>
      <c r="H167">
        <v>1.42286</v>
      </c>
      <c r="I167">
        <v>1.3047500000000001</v>
      </c>
      <c r="J167">
        <v>1.30833</v>
      </c>
      <c r="K167">
        <v>1.4431499999999999</v>
      </c>
      <c r="L167">
        <v>1.4431499999999999</v>
      </c>
      <c r="M167">
        <v>1.4431499999999999</v>
      </c>
      <c r="N167">
        <v>1.4431499999999999</v>
      </c>
      <c r="O167">
        <v>1.4431499999999999</v>
      </c>
      <c r="P167">
        <v>1.4431499999999999</v>
      </c>
    </row>
    <row r="168" spans="1:16" ht="13" customHeight="1" x14ac:dyDescent="0.15">
      <c r="A168">
        <v>2015</v>
      </c>
      <c r="B168" s="1">
        <v>1.33249E-4</v>
      </c>
      <c r="C168">
        <v>7.9993100000000008E-3</v>
      </c>
      <c r="D168">
        <v>0.192963</v>
      </c>
      <c r="E168">
        <v>0.47067100000000001</v>
      </c>
      <c r="F168">
        <v>0.73584799999999995</v>
      </c>
      <c r="G168">
        <v>1.21733</v>
      </c>
      <c r="H168">
        <v>1.13059</v>
      </c>
      <c r="I168">
        <v>1.15828</v>
      </c>
      <c r="J168">
        <v>1.1374</v>
      </c>
      <c r="K168">
        <v>1.49146</v>
      </c>
      <c r="L168">
        <v>1.49146</v>
      </c>
      <c r="M168">
        <v>1.49146</v>
      </c>
      <c r="N168">
        <v>1.49146</v>
      </c>
      <c r="O168">
        <v>1.49146</v>
      </c>
      <c r="P168">
        <v>1.49146</v>
      </c>
    </row>
    <row r="169" spans="1:16" ht="13" customHeight="1" x14ac:dyDescent="0.15">
      <c r="A169">
        <v>2016</v>
      </c>
      <c r="B169" s="1">
        <v>1.3349400000000001E-4</v>
      </c>
      <c r="C169">
        <v>7.9802199999999997E-3</v>
      </c>
      <c r="D169">
        <v>0.18130399999999999</v>
      </c>
      <c r="E169">
        <v>0.44327800000000001</v>
      </c>
      <c r="F169">
        <v>0.67699900000000002</v>
      </c>
      <c r="G169">
        <v>1.19163</v>
      </c>
      <c r="H169">
        <v>1.17963</v>
      </c>
      <c r="I169">
        <v>1.1857599999999999</v>
      </c>
      <c r="J169">
        <v>1.1757299999999999</v>
      </c>
      <c r="K169">
        <v>1.4929300000000001</v>
      </c>
      <c r="L169">
        <v>1.4929300000000001</v>
      </c>
      <c r="M169">
        <v>1.4929300000000001</v>
      </c>
      <c r="N169">
        <v>1.4929300000000001</v>
      </c>
      <c r="O169">
        <v>1.4929300000000001</v>
      </c>
      <c r="P169">
        <v>1.4929300000000001</v>
      </c>
    </row>
    <row r="170" spans="1:16" ht="13" customHeight="1" x14ac:dyDescent="0.15">
      <c r="A170" t="s">
        <v>269</v>
      </c>
      <c r="B170" s="1">
        <v>1.12378E-4</v>
      </c>
      <c r="C170">
        <v>7.3870100000000003E-3</v>
      </c>
      <c r="D170">
        <v>9.7611000000000003E-2</v>
      </c>
      <c r="E170">
        <v>0.32773000000000002</v>
      </c>
      <c r="F170">
        <v>0.65866100000000005</v>
      </c>
      <c r="G170">
        <v>1</v>
      </c>
      <c r="H170">
        <v>1.08914</v>
      </c>
      <c r="I170">
        <v>1.1137999999999999</v>
      </c>
      <c r="J170">
        <v>1.0904499999999999</v>
      </c>
      <c r="K170">
        <v>1.1895899999999999</v>
      </c>
      <c r="L170">
        <v>1.1895899999999999</v>
      </c>
      <c r="M170">
        <v>1.1895899999999999</v>
      </c>
      <c r="N170">
        <v>1.1895899999999999</v>
      </c>
      <c r="O170">
        <v>1.1895899999999999</v>
      </c>
      <c r="P170">
        <v>1.1895899999999999</v>
      </c>
    </row>
    <row r="171" spans="1:16" ht="13" customHeight="1" x14ac:dyDescent="0.15">
      <c r="A171">
        <v>1964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</row>
    <row r="172" spans="1:16" ht="13" customHeight="1" x14ac:dyDescent="0.15">
      <c r="A172">
        <v>1965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</row>
    <row r="173" spans="1:16" ht="13" customHeight="1" x14ac:dyDescent="0.15">
      <c r="A173">
        <v>1966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</row>
    <row r="174" spans="1:16" ht="13" customHeight="1" x14ac:dyDescent="0.15">
      <c r="A174">
        <v>1967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</row>
    <row r="175" spans="1:16" ht="13" customHeight="1" x14ac:dyDescent="0.15">
      <c r="A175">
        <v>1968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</row>
    <row r="176" spans="1:16" ht="13" customHeight="1" x14ac:dyDescent="0.15">
      <c r="A176">
        <v>1969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</row>
    <row r="177" spans="1:16" ht="13" customHeight="1" x14ac:dyDescent="0.15">
      <c r="A177">
        <v>1970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</row>
    <row r="178" spans="1:16" ht="13" customHeight="1" x14ac:dyDescent="0.15">
      <c r="A178">
        <v>1971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</row>
    <row r="179" spans="1:16" ht="13" customHeight="1" x14ac:dyDescent="0.15">
      <c r="A179">
        <v>1972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</row>
    <row r="180" spans="1:16" ht="13" customHeight="1" x14ac:dyDescent="0.15">
      <c r="A180">
        <v>1973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</row>
    <row r="181" spans="1:16" ht="13" customHeight="1" x14ac:dyDescent="0.15">
      <c r="A181">
        <v>1974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</row>
    <row r="182" spans="1:16" ht="13" customHeight="1" x14ac:dyDescent="0.15">
      <c r="A182">
        <v>1975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</row>
    <row r="183" spans="1:16" ht="13" customHeight="1" x14ac:dyDescent="0.15">
      <c r="A183">
        <v>1976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</row>
    <row r="184" spans="1:16" ht="13" customHeight="1" x14ac:dyDescent="0.15">
      <c r="A184">
        <v>1977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</row>
    <row r="185" spans="1:16" ht="13" customHeight="1" x14ac:dyDescent="0.15">
      <c r="A185">
        <v>1978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</row>
    <row r="186" spans="1:16" ht="13" customHeight="1" x14ac:dyDescent="0.15">
      <c r="A186">
        <v>1979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</row>
    <row r="187" spans="1:16" ht="13" customHeight="1" x14ac:dyDescent="0.15">
      <c r="A187">
        <v>1980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</row>
    <row r="188" spans="1:16" ht="13" customHeight="1" x14ac:dyDescent="0.15">
      <c r="A188">
        <v>1981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</row>
    <row r="189" spans="1:16" ht="13" customHeight="1" x14ac:dyDescent="0.15">
      <c r="A189">
        <v>1982</v>
      </c>
      <c r="B189">
        <v>6.8502099999999996E-2</v>
      </c>
      <c r="C189">
        <v>0.113314</v>
      </c>
      <c r="D189">
        <v>0.211704</v>
      </c>
      <c r="E189">
        <v>0.36076599999999998</v>
      </c>
      <c r="F189">
        <v>0.54254800000000003</v>
      </c>
      <c r="G189">
        <v>0.71366399999999997</v>
      </c>
      <c r="H189">
        <v>0.83968600000000004</v>
      </c>
      <c r="I189">
        <v>0.91671599999999998</v>
      </c>
      <c r="J189">
        <v>0.95855999999999997</v>
      </c>
      <c r="K189">
        <v>0.97984300000000002</v>
      </c>
      <c r="L189">
        <v>0.99030600000000002</v>
      </c>
      <c r="M189">
        <v>0.995363</v>
      </c>
      <c r="N189">
        <v>0.99778800000000001</v>
      </c>
      <c r="O189">
        <v>0.998946</v>
      </c>
      <c r="P189">
        <v>0.999498</v>
      </c>
    </row>
    <row r="190" spans="1:16" ht="13" customHeight="1" x14ac:dyDescent="0.15">
      <c r="A190">
        <v>1983</v>
      </c>
      <c r="B190">
        <v>7.4277300000000004E-2</v>
      </c>
      <c r="C190">
        <v>9.0508400000000003E-2</v>
      </c>
      <c r="D190">
        <v>0.193631</v>
      </c>
      <c r="E190">
        <v>0.36685400000000001</v>
      </c>
      <c r="F190">
        <v>0.58300399999999997</v>
      </c>
      <c r="G190">
        <v>0.77135299999999996</v>
      </c>
      <c r="H190">
        <v>0.890594</v>
      </c>
      <c r="I190">
        <v>0.95155500000000004</v>
      </c>
      <c r="J190">
        <v>0.97933700000000001</v>
      </c>
      <c r="K190">
        <v>0.99133199999999999</v>
      </c>
      <c r="L190">
        <v>0.99638899999999997</v>
      </c>
      <c r="M190">
        <v>0.99850000000000005</v>
      </c>
      <c r="N190">
        <v>0.99937799999999999</v>
      </c>
      <c r="O190">
        <v>0.99974200000000002</v>
      </c>
      <c r="P190">
        <v>0.99989300000000003</v>
      </c>
    </row>
    <row r="191" spans="1:16" ht="13" customHeight="1" x14ac:dyDescent="0.15">
      <c r="A191">
        <v>1984</v>
      </c>
      <c r="B191">
        <v>4.7319800000000002E-2</v>
      </c>
      <c r="C191">
        <v>3.5758400000000003E-2</v>
      </c>
      <c r="D191">
        <v>8.7860499999999994E-2</v>
      </c>
      <c r="E191">
        <v>0.20012199999999999</v>
      </c>
      <c r="F191">
        <v>0.39388299999999998</v>
      </c>
      <c r="G191">
        <v>0.627965</v>
      </c>
      <c r="H191">
        <v>0.814272</v>
      </c>
      <c r="I191">
        <v>0.91927400000000004</v>
      </c>
      <c r="J191">
        <v>0.96729699999999996</v>
      </c>
      <c r="K191">
        <v>0.987151</v>
      </c>
      <c r="L191">
        <v>0.99501399999999995</v>
      </c>
      <c r="M191">
        <v>0.99807400000000002</v>
      </c>
      <c r="N191">
        <v>0.99925799999999998</v>
      </c>
      <c r="O191">
        <v>0.99971399999999999</v>
      </c>
      <c r="P191">
        <v>0.99988999999999995</v>
      </c>
    </row>
    <row r="192" spans="1:16" ht="13" customHeight="1" x14ac:dyDescent="0.15">
      <c r="A192">
        <v>1985</v>
      </c>
      <c r="B192">
        <v>0.10985399999999999</v>
      </c>
      <c r="C192">
        <v>5.28794E-2</v>
      </c>
      <c r="D192">
        <v>0.111267</v>
      </c>
      <c r="E192">
        <v>0.21920400000000001</v>
      </c>
      <c r="F192">
        <v>0.38633099999999998</v>
      </c>
      <c r="G192">
        <v>0.58535300000000001</v>
      </c>
      <c r="H192">
        <v>0.759938</v>
      </c>
      <c r="I192">
        <v>0.87652099999999999</v>
      </c>
      <c r="J192">
        <v>0.94089100000000003</v>
      </c>
      <c r="K192">
        <v>0.97274799999999995</v>
      </c>
      <c r="L192">
        <v>0.98766100000000001</v>
      </c>
      <c r="M192">
        <v>0.99445899999999998</v>
      </c>
      <c r="N192">
        <v>0.99752200000000002</v>
      </c>
      <c r="O192">
        <v>0.99889300000000003</v>
      </c>
      <c r="P192">
        <v>0.99950600000000001</v>
      </c>
    </row>
    <row r="193" spans="1:16" ht="13" customHeight="1" x14ac:dyDescent="0.15">
      <c r="A193">
        <v>1986</v>
      </c>
      <c r="B193">
        <v>0.142647</v>
      </c>
      <c r="C193">
        <v>3.5809000000000001E-2</v>
      </c>
      <c r="D193">
        <v>7.9672800000000002E-2</v>
      </c>
      <c r="E193">
        <v>0.16791</v>
      </c>
      <c r="F193">
        <v>0.31990200000000002</v>
      </c>
      <c r="G193">
        <v>0.52300000000000002</v>
      </c>
      <c r="H193">
        <v>0.71876700000000004</v>
      </c>
      <c r="I193">
        <v>0.85626899999999995</v>
      </c>
      <c r="J193">
        <v>0.93282600000000004</v>
      </c>
      <c r="K193">
        <v>0.97003300000000003</v>
      </c>
      <c r="L193">
        <v>0.98692000000000002</v>
      </c>
      <c r="M193">
        <v>0.99434599999999995</v>
      </c>
      <c r="N193">
        <v>0.99756699999999998</v>
      </c>
      <c r="O193">
        <v>0.99895500000000004</v>
      </c>
      <c r="P193">
        <v>0.99955099999999997</v>
      </c>
    </row>
    <row r="194" spans="1:16" ht="13" customHeight="1" x14ac:dyDescent="0.15">
      <c r="A194">
        <v>1987</v>
      </c>
      <c r="B194">
        <v>8.6392700000000003E-2</v>
      </c>
      <c r="C194">
        <v>5.53897E-2</v>
      </c>
      <c r="D194">
        <v>0.12076199999999999</v>
      </c>
      <c r="E194">
        <v>0.24340700000000001</v>
      </c>
      <c r="F194">
        <v>0.42973099999999997</v>
      </c>
      <c r="G194">
        <v>0.638347</v>
      </c>
      <c r="H194">
        <v>0.80523500000000003</v>
      </c>
      <c r="I194">
        <v>0.90640299999999996</v>
      </c>
      <c r="J194">
        <v>0.95777599999999996</v>
      </c>
      <c r="K194">
        <v>0.98152600000000001</v>
      </c>
      <c r="L194">
        <v>0.99202900000000005</v>
      </c>
      <c r="M194">
        <v>0.99658100000000005</v>
      </c>
      <c r="N194">
        <v>0.99853800000000004</v>
      </c>
      <c r="O194">
        <v>0.99937500000000001</v>
      </c>
      <c r="P194">
        <v>0.99973299999999998</v>
      </c>
    </row>
    <row r="195" spans="1:16" ht="13" customHeight="1" x14ac:dyDescent="0.15">
      <c r="A195">
        <v>1988</v>
      </c>
      <c r="B195">
        <v>0.117604</v>
      </c>
      <c r="C195">
        <v>8.7395399999999998E-2</v>
      </c>
      <c r="D195">
        <v>0.18635599999999999</v>
      </c>
      <c r="E195">
        <v>0.35391499999999998</v>
      </c>
      <c r="F195">
        <v>0.56712300000000004</v>
      </c>
      <c r="G195">
        <v>0.75806799999999996</v>
      </c>
      <c r="H195">
        <v>0.88227100000000003</v>
      </c>
      <c r="I195">
        <v>0.94715499999999997</v>
      </c>
      <c r="J195">
        <v>0.97720399999999996</v>
      </c>
      <c r="K195">
        <v>0.99034</v>
      </c>
      <c r="L195">
        <v>0.99593799999999999</v>
      </c>
      <c r="M195">
        <v>0.99829800000000002</v>
      </c>
      <c r="N195">
        <v>0.99928799999999995</v>
      </c>
      <c r="O195">
        <v>0.99970199999999998</v>
      </c>
      <c r="P195">
        <v>0.99987499999999996</v>
      </c>
    </row>
    <row r="196" spans="1:16" ht="13" customHeight="1" x14ac:dyDescent="0.15">
      <c r="A196">
        <v>1989</v>
      </c>
      <c r="B196">
        <v>7.1787100000000006E-2</v>
      </c>
      <c r="C196">
        <v>8.4401900000000002E-2</v>
      </c>
      <c r="D196">
        <v>0.191745</v>
      </c>
      <c r="E196">
        <v>0.37908399999999998</v>
      </c>
      <c r="F196">
        <v>0.61107599999999995</v>
      </c>
      <c r="G196">
        <v>0.80172500000000002</v>
      </c>
      <c r="H196">
        <v>0.912327</v>
      </c>
      <c r="I196">
        <v>0.96400300000000005</v>
      </c>
      <c r="J196">
        <v>0.98569799999999996</v>
      </c>
      <c r="K196">
        <v>0.994394</v>
      </c>
      <c r="L196">
        <v>0.99781399999999998</v>
      </c>
      <c r="M196">
        <v>0.99914899999999995</v>
      </c>
      <c r="N196">
        <v>0.99966900000000003</v>
      </c>
      <c r="O196">
        <v>0.99987099999999995</v>
      </c>
      <c r="P196">
        <v>0.99995000000000001</v>
      </c>
    </row>
    <row r="197" spans="1:16" ht="13" customHeight="1" x14ac:dyDescent="0.15">
      <c r="A197">
        <v>1990</v>
      </c>
      <c r="B197">
        <v>3.7098199999999998E-2</v>
      </c>
      <c r="C197">
        <v>5.6126799999999998E-2</v>
      </c>
      <c r="D197">
        <v>0.145228</v>
      </c>
      <c r="E197">
        <v>0.32680199999999998</v>
      </c>
      <c r="F197">
        <v>0.58106899999999995</v>
      </c>
      <c r="G197">
        <v>0.79851000000000005</v>
      </c>
      <c r="H197">
        <v>0.918852</v>
      </c>
      <c r="I197">
        <v>0.97001800000000005</v>
      </c>
      <c r="J197">
        <v>0.98929800000000001</v>
      </c>
      <c r="K197">
        <v>0.996228</v>
      </c>
      <c r="L197">
        <v>0.99867700000000004</v>
      </c>
      <c r="M197">
        <v>0.99953599999999998</v>
      </c>
      <c r="N197">
        <v>0.999838</v>
      </c>
      <c r="O197">
        <v>0.99994300000000003</v>
      </c>
      <c r="P197">
        <v>0.99997999999999998</v>
      </c>
    </row>
    <row r="198" spans="1:16" ht="13" customHeight="1" x14ac:dyDescent="0.15">
      <c r="A198">
        <v>1991</v>
      </c>
      <c r="B198">
        <v>8.1551899999999997E-2</v>
      </c>
      <c r="C198">
        <v>2.8471099999999999E-2</v>
      </c>
      <c r="D198">
        <v>8.0374699999999993E-2</v>
      </c>
      <c r="E198">
        <v>0.206762</v>
      </c>
      <c r="F198">
        <v>0.43736999999999998</v>
      </c>
      <c r="G198">
        <v>0.69864800000000005</v>
      </c>
      <c r="H198">
        <v>0.873645</v>
      </c>
      <c r="I198">
        <v>0.95374800000000004</v>
      </c>
      <c r="J198">
        <v>0.98399999999999999</v>
      </c>
      <c r="K198">
        <v>0.99457700000000004</v>
      </c>
      <c r="L198">
        <v>0.99817500000000003</v>
      </c>
      <c r="M198">
        <v>0.99938700000000003</v>
      </c>
      <c r="N198">
        <v>0.99979399999999996</v>
      </c>
      <c r="O198">
        <v>0.99993100000000001</v>
      </c>
      <c r="P198">
        <v>0.999977</v>
      </c>
    </row>
    <row r="199" spans="1:16" ht="13" customHeight="1" x14ac:dyDescent="0.15">
      <c r="A199">
        <v>1992</v>
      </c>
      <c r="B199">
        <v>5.6694099999999997E-2</v>
      </c>
      <c r="C199">
        <v>3.34927E-2</v>
      </c>
      <c r="D199">
        <v>9.5076300000000002E-2</v>
      </c>
      <c r="E199">
        <v>0.24159</v>
      </c>
      <c r="F199">
        <v>0.49130299999999999</v>
      </c>
      <c r="G199">
        <v>0.74543199999999998</v>
      </c>
      <c r="H199">
        <v>0.89876599999999995</v>
      </c>
      <c r="I199">
        <v>0.96418000000000004</v>
      </c>
      <c r="J199">
        <v>0.98789499999999997</v>
      </c>
      <c r="K199">
        <v>0.99597500000000005</v>
      </c>
      <c r="L199">
        <v>0.99866900000000003</v>
      </c>
      <c r="M199">
        <v>0.99956100000000003</v>
      </c>
      <c r="N199">
        <v>0.99985500000000005</v>
      </c>
      <c r="O199">
        <v>0.99995199999999995</v>
      </c>
      <c r="P199">
        <v>0.99998399999999998</v>
      </c>
    </row>
    <row r="200" spans="1:16" ht="13" customHeight="1" x14ac:dyDescent="0.15">
      <c r="A200">
        <v>1993</v>
      </c>
      <c r="B200">
        <v>4.7585200000000001E-2</v>
      </c>
      <c r="C200">
        <v>3.4880099999999997E-2</v>
      </c>
      <c r="D200">
        <v>0.101262</v>
      </c>
      <c r="E200">
        <v>0.25994899999999999</v>
      </c>
      <c r="F200">
        <v>0.52268999999999999</v>
      </c>
      <c r="G200">
        <v>0.77344599999999997</v>
      </c>
      <c r="H200">
        <v>0.91411299999999995</v>
      </c>
      <c r="I200">
        <v>0.97074400000000005</v>
      </c>
      <c r="J200">
        <v>0.99042600000000003</v>
      </c>
      <c r="K200">
        <v>0.99690900000000005</v>
      </c>
      <c r="L200">
        <v>0.99900599999999995</v>
      </c>
      <c r="M200">
        <v>0.99968100000000004</v>
      </c>
      <c r="N200">
        <v>0.99989799999999995</v>
      </c>
      <c r="O200">
        <v>0.99996700000000005</v>
      </c>
      <c r="P200">
        <v>0.99998900000000002</v>
      </c>
    </row>
    <row r="201" spans="1:16" ht="13" customHeight="1" x14ac:dyDescent="0.15">
      <c r="A201">
        <v>1994</v>
      </c>
      <c r="B201">
        <v>7.0868299999999995E-2</v>
      </c>
      <c r="C201">
        <v>2.4059000000000001E-2</v>
      </c>
      <c r="D201">
        <v>7.1488300000000005E-2</v>
      </c>
      <c r="E201">
        <v>0.19384699999999999</v>
      </c>
      <c r="F201">
        <v>0.428894</v>
      </c>
      <c r="G201">
        <v>0.70108700000000002</v>
      </c>
      <c r="H201">
        <v>0.87988299999999997</v>
      </c>
      <c r="I201">
        <v>0.95811999999999997</v>
      </c>
      <c r="J201">
        <v>0.98619800000000002</v>
      </c>
      <c r="K201">
        <v>0.99553899999999995</v>
      </c>
      <c r="L201">
        <v>0.99856699999999998</v>
      </c>
      <c r="M201">
        <v>0.99954100000000001</v>
      </c>
      <c r="N201">
        <v>0.99985299999999999</v>
      </c>
      <c r="O201">
        <v>0.99995299999999998</v>
      </c>
      <c r="P201">
        <v>0.99998500000000001</v>
      </c>
    </row>
    <row r="202" spans="1:16" ht="13" customHeight="1" x14ac:dyDescent="0.15">
      <c r="A202">
        <v>1995</v>
      </c>
      <c r="B202">
        <v>7.6112799999999994E-2</v>
      </c>
      <c r="C202">
        <v>1.2233900000000001E-2</v>
      </c>
      <c r="D202">
        <v>3.6290099999999999E-2</v>
      </c>
      <c r="E202">
        <v>0.10273</v>
      </c>
      <c r="F202">
        <v>0.25821499999999997</v>
      </c>
      <c r="G202">
        <v>0.51417800000000002</v>
      </c>
      <c r="H202">
        <v>0.76291299999999995</v>
      </c>
      <c r="I202">
        <v>0.90726700000000005</v>
      </c>
      <c r="J202">
        <v>0.967476</v>
      </c>
      <c r="K202">
        <v>0.98906400000000005</v>
      </c>
      <c r="L202">
        <v>0.99637600000000004</v>
      </c>
      <c r="M202">
        <v>0.99880500000000005</v>
      </c>
      <c r="N202">
        <v>0.99960700000000002</v>
      </c>
      <c r="O202">
        <v>0.99987099999999995</v>
      </c>
      <c r="P202">
        <v>0.99995699999999998</v>
      </c>
    </row>
    <row r="203" spans="1:16" ht="13" customHeight="1" x14ac:dyDescent="0.15">
      <c r="A203">
        <v>1996</v>
      </c>
      <c r="B203">
        <v>5.60289E-2</v>
      </c>
      <c r="C203">
        <v>1.00272E-2</v>
      </c>
      <c r="D203">
        <v>2.6279799999999999E-2</v>
      </c>
      <c r="E203">
        <v>6.7090700000000003E-2</v>
      </c>
      <c r="F203">
        <v>0.16081100000000001</v>
      </c>
      <c r="G203">
        <v>0.33801700000000001</v>
      </c>
      <c r="H203">
        <v>0.576376</v>
      </c>
      <c r="I203">
        <v>0.78380399999999995</v>
      </c>
      <c r="J203">
        <v>0.90619499999999997</v>
      </c>
      <c r="K203">
        <v>0.96260400000000002</v>
      </c>
      <c r="L203">
        <v>0.98563000000000001</v>
      </c>
      <c r="M203">
        <v>0.99455800000000005</v>
      </c>
      <c r="N203">
        <v>0.99795100000000003</v>
      </c>
      <c r="O203">
        <v>0.99922999999999995</v>
      </c>
      <c r="P203">
        <v>0.99971100000000002</v>
      </c>
    </row>
    <row r="204" spans="1:16" ht="13" customHeight="1" x14ac:dyDescent="0.15">
      <c r="A204">
        <v>1997</v>
      </c>
      <c r="B204">
        <v>5.3754499999999997E-2</v>
      </c>
      <c r="C204">
        <v>1.9001299999999999E-2</v>
      </c>
      <c r="D204">
        <v>4.3343600000000003E-2</v>
      </c>
      <c r="E204">
        <v>9.5824099999999995E-2</v>
      </c>
      <c r="F204">
        <v>0.198653</v>
      </c>
      <c r="G204">
        <v>0.367035</v>
      </c>
      <c r="H204">
        <v>0.57562000000000002</v>
      </c>
      <c r="I204">
        <v>0.76034900000000005</v>
      </c>
      <c r="J204">
        <v>0.88125500000000001</v>
      </c>
      <c r="K204">
        <v>0.94553299999999996</v>
      </c>
      <c r="L204">
        <v>0.97596499999999997</v>
      </c>
      <c r="M204">
        <v>0.98958199999999996</v>
      </c>
      <c r="N204">
        <v>0.99551900000000004</v>
      </c>
      <c r="O204">
        <v>0.99807999999999997</v>
      </c>
      <c r="P204">
        <v>0.99917800000000001</v>
      </c>
    </row>
    <row r="205" spans="1:16" ht="13" customHeight="1" x14ac:dyDescent="0.15">
      <c r="A205">
        <v>1998</v>
      </c>
      <c r="B205">
        <v>3.9538499999999997E-2</v>
      </c>
      <c r="C205">
        <v>1.89649E-2</v>
      </c>
      <c r="D205">
        <v>3.9634999999999997E-2</v>
      </c>
      <c r="E205">
        <v>8.0973900000000001E-2</v>
      </c>
      <c r="F205">
        <v>0.15832099999999999</v>
      </c>
      <c r="G205">
        <v>0.28651700000000002</v>
      </c>
      <c r="H205">
        <v>0.46159</v>
      </c>
      <c r="I205">
        <v>0.64667799999999998</v>
      </c>
      <c r="J205">
        <v>0.79622800000000005</v>
      </c>
      <c r="K205">
        <v>0.89295599999999997</v>
      </c>
      <c r="L205">
        <v>0.94683399999999995</v>
      </c>
      <c r="M205">
        <v>0.97437300000000004</v>
      </c>
      <c r="N205">
        <v>0.98782999999999999</v>
      </c>
      <c r="O205">
        <v>0.99426199999999998</v>
      </c>
      <c r="P205">
        <v>0.99730399999999997</v>
      </c>
    </row>
    <row r="206" spans="1:16" ht="13" customHeight="1" x14ac:dyDescent="0.15">
      <c r="A206">
        <v>1999</v>
      </c>
      <c r="B206">
        <v>4.7252500000000003E-2</v>
      </c>
      <c r="C206">
        <v>4.3188200000000003E-2</v>
      </c>
      <c r="D206">
        <v>8.54911E-2</v>
      </c>
      <c r="E206">
        <v>0.16220499999999999</v>
      </c>
      <c r="F206">
        <v>0.28621400000000002</v>
      </c>
      <c r="G206">
        <v>0.45368799999999998</v>
      </c>
      <c r="H206">
        <v>0.63234400000000002</v>
      </c>
      <c r="I206">
        <v>0.78080300000000002</v>
      </c>
      <c r="J206">
        <v>0.88063000000000002</v>
      </c>
      <c r="K206">
        <v>0.93857100000000004</v>
      </c>
      <c r="L206">
        <v>0.96936599999999995</v>
      </c>
      <c r="M206">
        <v>0.98497100000000004</v>
      </c>
      <c r="N206">
        <v>0.99268599999999996</v>
      </c>
      <c r="O206">
        <v>0.99645499999999998</v>
      </c>
      <c r="P206">
        <v>0.99828499999999998</v>
      </c>
    </row>
    <row r="207" spans="1:16" ht="13" customHeight="1" x14ac:dyDescent="0.15">
      <c r="A207">
        <v>2000</v>
      </c>
      <c r="B207">
        <v>3.1841099999999997E-2</v>
      </c>
      <c r="C207">
        <v>4.1831100000000003E-2</v>
      </c>
      <c r="D207">
        <v>8.6451399999999998E-2</v>
      </c>
      <c r="E207">
        <v>0.170212</v>
      </c>
      <c r="F207">
        <v>0.30778499999999998</v>
      </c>
      <c r="G207">
        <v>0.49078500000000003</v>
      </c>
      <c r="H207">
        <v>0.67628900000000003</v>
      </c>
      <c r="I207">
        <v>0.81911999999999996</v>
      </c>
      <c r="J207">
        <v>0.90754599999999996</v>
      </c>
      <c r="K207">
        <v>0.95511199999999996</v>
      </c>
      <c r="L207">
        <v>0.97877800000000004</v>
      </c>
      <c r="M207">
        <v>0.990097</v>
      </c>
      <c r="N207">
        <v>0.99540700000000004</v>
      </c>
      <c r="O207">
        <v>0.99787599999999999</v>
      </c>
      <c r="P207">
        <v>0.99901899999999999</v>
      </c>
    </row>
    <row r="208" spans="1:16" ht="13" customHeight="1" x14ac:dyDescent="0.15">
      <c r="A208">
        <v>2001</v>
      </c>
      <c r="B208">
        <v>3.61374E-2</v>
      </c>
      <c r="C208">
        <v>3.2509299999999998E-2</v>
      </c>
      <c r="D208">
        <v>6.8155800000000002E-2</v>
      </c>
      <c r="E208">
        <v>0.13733999999999999</v>
      </c>
      <c r="F208">
        <v>0.257357</v>
      </c>
      <c r="G208">
        <v>0.429977</v>
      </c>
      <c r="H208">
        <v>0.62148700000000001</v>
      </c>
      <c r="I208">
        <v>0.78137100000000004</v>
      </c>
      <c r="J208">
        <v>0.88609700000000002</v>
      </c>
      <c r="K208">
        <v>0.94423800000000002</v>
      </c>
      <c r="L208">
        <v>0.97358599999999995</v>
      </c>
      <c r="M208">
        <v>0.98768900000000004</v>
      </c>
      <c r="N208">
        <v>0.99430600000000002</v>
      </c>
      <c r="O208">
        <v>0.99737600000000004</v>
      </c>
      <c r="P208">
        <v>0.99879300000000004</v>
      </c>
    </row>
    <row r="209" spans="1:16" ht="13" customHeight="1" x14ac:dyDescent="0.15">
      <c r="A209">
        <v>2002</v>
      </c>
      <c r="B209">
        <v>2.21698E-2</v>
      </c>
      <c r="C209">
        <v>2.53367E-2</v>
      </c>
      <c r="D209">
        <v>5.9341100000000001E-2</v>
      </c>
      <c r="E209">
        <v>0.132766</v>
      </c>
      <c r="F209">
        <v>0.27088099999999998</v>
      </c>
      <c r="G209">
        <v>0.47412399999999999</v>
      </c>
      <c r="H209">
        <v>0.68631799999999998</v>
      </c>
      <c r="I209">
        <v>0.84151200000000004</v>
      </c>
      <c r="J209">
        <v>0.92798099999999994</v>
      </c>
      <c r="K209">
        <v>0.96901099999999996</v>
      </c>
      <c r="L209">
        <v>0.98699300000000001</v>
      </c>
      <c r="M209">
        <v>0.99459900000000001</v>
      </c>
      <c r="N209">
        <v>0.99776699999999996</v>
      </c>
      <c r="O209">
        <v>0.99907900000000005</v>
      </c>
      <c r="P209">
        <v>0.99961999999999995</v>
      </c>
    </row>
    <row r="210" spans="1:16" ht="13" customHeight="1" x14ac:dyDescent="0.15">
      <c r="A210">
        <v>2003</v>
      </c>
      <c r="B210">
        <v>1.4895E-2</v>
      </c>
      <c r="C210">
        <v>1.13843E-2</v>
      </c>
      <c r="D210">
        <v>3.0444800000000001E-2</v>
      </c>
      <c r="E210">
        <v>7.8871800000000006E-2</v>
      </c>
      <c r="F210">
        <v>0.18929099999999999</v>
      </c>
      <c r="G210">
        <v>0.38900899999999999</v>
      </c>
      <c r="H210">
        <v>0.63452299999999995</v>
      </c>
      <c r="I210">
        <v>0.82560900000000004</v>
      </c>
      <c r="J210">
        <v>0.92810700000000002</v>
      </c>
      <c r="K210">
        <v>0.97237799999999996</v>
      </c>
      <c r="L210">
        <v>0.98968999999999996</v>
      </c>
      <c r="M210">
        <v>0.99619400000000002</v>
      </c>
      <c r="N210">
        <v>0.99860099999999996</v>
      </c>
      <c r="O210">
        <v>0.99948599999999999</v>
      </c>
      <c r="P210">
        <v>0.99981200000000003</v>
      </c>
    </row>
    <row r="211" spans="1:16" ht="13" customHeight="1" x14ac:dyDescent="0.15">
      <c r="A211">
        <v>2004</v>
      </c>
      <c r="B211">
        <v>3.9308799999999998E-2</v>
      </c>
      <c r="C211">
        <v>1.49877E-2</v>
      </c>
      <c r="D211">
        <v>4.0847899999999999E-2</v>
      </c>
      <c r="E211">
        <v>0.106503</v>
      </c>
      <c r="F211">
        <v>0.250164</v>
      </c>
      <c r="G211">
        <v>0.48287999999999998</v>
      </c>
      <c r="H211">
        <v>0.72326699999999999</v>
      </c>
      <c r="I211">
        <v>0.87973800000000002</v>
      </c>
      <c r="J211">
        <v>0.95343299999999997</v>
      </c>
      <c r="K211">
        <v>0.98284899999999997</v>
      </c>
      <c r="L211">
        <v>0.99380400000000002</v>
      </c>
      <c r="M211">
        <v>0.99777700000000003</v>
      </c>
      <c r="N211">
        <v>0.99920500000000001</v>
      </c>
      <c r="O211">
        <v>0.99971600000000005</v>
      </c>
      <c r="P211">
        <v>0.99989799999999995</v>
      </c>
    </row>
    <row r="212" spans="1:16" ht="13" customHeight="1" x14ac:dyDescent="0.15">
      <c r="A212">
        <v>2005</v>
      </c>
      <c r="B212">
        <v>5.3004200000000001E-2</v>
      </c>
      <c r="C212">
        <v>2.14138E-2</v>
      </c>
      <c r="D212">
        <v>6.0550300000000001E-2</v>
      </c>
      <c r="E212">
        <v>0.159552</v>
      </c>
      <c r="F212">
        <v>0.35863200000000001</v>
      </c>
      <c r="G212">
        <v>0.62221199999999999</v>
      </c>
      <c r="H212">
        <v>0.82909100000000002</v>
      </c>
      <c r="I212">
        <v>0.93459199999999998</v>
      </c>
      <c r="J212">
        <v>0.97679099999999996</v>
      </c>
      <c r="K212">
        <v>0.99199800000000005</v>
      </c>
      <c r="L212">
        <v>0.99726899999999996</v>
      </c>
      <c r="M212">
        <v>0.99907100000000004</v>
      </c>
      <c r="N212">
        <v>0.99968400000000002</v>
      </c>
      <c r="O212">
        <v>0.99989300000000003</v>
      </c>
      <c r="P212">
        <v>0.99996399999999996</v>
      </c>
    </row>
    <row r="213" spans="1:16" ht="13" customHeight="1" x14ac:dyDescent="0.15">
      <c r="A213">
        <v>2006</v>
      </c>
      <c r="B213">
        <v>5.8191800000000002E-2</v>
      </c>
      <c r="C213">
        <v>9.3378699999999999E-3</v>
      </c>
      <c r="D213">
        <v>2.7198799999999999E-2</v>
      </c>
      <c r="E213">
        <v>7.6581999999999997E-2</v>
      </c>
      <c r="F213">
        <v>0.19742999999999999</v>
      </c>
      <c r="G213">
        <v>0.42185899999999998</v>
      </c>
      <c r="H213">
        <v>0.68398400000000004</v>
      </c>
      <c r="I213">
        <v>0.86523000000000005</v>
      </c>
      <c r="J213">
        <v>0.95010799999999995</v>
      </c>
      <c r="K213">
        <v>0.98260499999999995</v>
      </c>
      <c r="L213">
        <v>0.99406700000000003</v>
      </c>
      <c r="M213">
        <v>0.99799199999999999</v>
      </c>
      <c r="N213">
        <v>0.99932200000000004</v>
      </c>
      <c r="O213">
        <v>0.99977099999999997</v>
      </c>
      <c r="P213">
        <v>0.99992300000000001</v>
      </c>
    </row>
    <row r="214" spans="1:16" ht="13" customHeight="1" x14ac:dyDescent="0.15">
      <c r="A214">
        <v>2007</v>
      </c>
      <c r="B214">
        <v>5.8312099999999999E-2</v>
      </c>
      <c r="C214">
        <v>1.7276300000000001E-2</v>
      </c>
      <c r="D214">
        <v>5.5549099999999997E-2</v>
      </c>
      <c r="E214">
        <v>0.16442300000000001</v>
      </c>
      <c r="F214">
        <v>0.39698899999999998</v>
      </c>
      <c r="G214">
        <v>0.687751</v>
      </c>
      <c r="H214">
        <v>0.88051100000000004</v>
      </c>
      <c r="I214">
        <v>0.96101999999999999</v>
      </c>
      <c r="J214">
        <v>0.98802100000000004</v>
      </c>
      <c r="K214">
        <v>0.99638899999999997</v>
      </c>
      <c r="L214">
        <v>0.99891799999999997</v>
      </c>
      <c r="M214">
        <v>0.99967600000000001</v>
      </c>
      <c r="N214">
        <v>0.99990299999999999</v>
      </c>
      <c r="O214">
        <v>0.99997100000000005</v>
      </c>
      <c r="P214">
        <v>0.99999099999999996</v>
      </c>
    </row>
    <row r="215" spans="1:16" ht="13" customHeight="1" x14ac:dyDescent="0.15">
      <c r="A215">
        <v>2008</v>
      </c>
      <c r="B215">
        <v>3.01617E-2</v>
      </c>
      <c r="C215">
        <v>1.08568E-2</v>
      </c>
      <c r="D215">
        <v>4.0389899999999999E-2</v>
      </c>
      <c r="E215">
        <v>0.13897300000000001</v>
      </c>
      <c r="F215">
        <v>0.38230999999999998</v>
      </c>
      <c r="G215">
        <v>0.70356700000000005</v>
      </c>
      <c r="H215">
        <v>0.90100499999999994</v>
      </c>
      <c r="I215">
        <v>0.97214599999999995</v>
      </c>
      <c r="J215">
        <v>0.99258400000000002</v>
      </c>
      <c r="K215">
        <v>0.99805500000000003</v>
      </c>
      <c r="L215">
        <v>0.99949200000000005</v>
      </c>
      <c r="M215">
        <v>0.99986799999999998</v>
      </c>
      <c r="N215">
        <v>0.99996499999999999</v>
      </c>
      <c r="O215">
        <v>0.99999099999999996</v>
      </c>
      <c r="P215">
        <v>0.99999800000000005</v>
      </c>
    </row>
    <row r="216" spans="1:16" ht="13" customHeight="1" x14ac:dyDescent="0.15">
      <c r="A216">
        <v>2009</v>
      </c>
      <c r="B216">
        <v>1.4244700000000001E-2</v>
      </c>
      <c r="C216">
        <v>1.1980599999999999E-2</v>
      </c>
      <c r="D216">
        <v>4.6351000000000003E-2</v>
      </c>
      <c r="E216">
        <v>0.163052</v>
      </c>
      <c r="F216">
        <v>0.43847999999999998</v>
      </c>
      <c r="G216">
        <v>0.75786799999999999</v>
      </c>
      <c r="H216">
        <v>0.926176</v>
      </c>
      <c r="I216">
        <v>0.98050199999999998</v>
      </c>
      <c r="J216">
        <v>0.99506300000000003</v>
      </c>
      <c r="K216">
        <v>0.99876399999999999</v>
      </c>
      <c r="L216">
        <v>0.999691</v>
      </c>
      <c r="M216">
        <v>0.99992300000000001</v>
      </c>
      <c r="N216">
        <v>0.99998100000000001</v>
      </c>
      <c r="O216">
        <v>0.99999499999999997</v>
      </c>
      <c r="P216">
        <v>0.99999899999999997</v>
      </c>
    </row>
    <row r="217" spans="1:16" ht="13" customHeight="1" x14ac:dyDescent="0.15">
      <c r="A217">
        <v>2010</v>
      </c>
      <c r="B217">
        <v>1.89905E-2</v>
      </c>
      <c r="C217">
        <v>1.32847E-2</v>
      </c>
      <c r="D217">
        <v>6.0748299999999998E-2</v>
      </c>
      <c r="E217">
        <v>0.23705000000000001</v>
      </c>
      <c r="F217">
        <v>0.59880800000000001</v>
      </c>
      <c r="G217">
        <v>0.87760300000000002</v>
      </c>
      <c r="H217">
        <v>0.97178699999999996</v>
      </c>
      <c r="I217">
        <v>0.99399300000000002</v>
      </c>
      <c r="J217">
        <v>0.99874399999999997</v>
      </c>
      <c r="K217">
        <v>0.99973800000000002</v>
      </c>
      <c r="L217">
        <v>0.99994499999999997</v>
      </c>
      <c r="M217">
        <v>0.99998900000000002</v>
      </c>
      <c r="N217">
        <v>0.99999800000000005</v>
      </c>
      <c r="O217">
        <v>1</v>
      </c>
      <c r="P217">
        <v>1</v>
      </c>
    </row>
    <row r="218" spans="1:16" ht="13" customHeight="1" x14ac:dyDescent="0.15">
      <c r="A218">
        <v>2011</v>
      </c>
      <c r="B218">
        <v>5.8052899999999998E-2</v>
      </c>
      <c r="C218">
        <v>4.5048800000000002E-3</v>
      </c>
      <c r="D218">
        <v>2.11024E-2</v>
      </c>
      <c r="E218">
        <v>9.3130199999999996E-2</v>
      </c>
      <c r="F218">
        <v>0.32850400000000002</v>
      </c>
      <c r="G218">
        <v>0.69974400000000003</v>
      </c>
      <c r="H218">
        <v>0.91736799999999996</v>
      </c>
      <c r="I218">
        <v>0.98144299999999995</v>
      </c>
      <c r="J218">
        <v>0.99604700000000002</v>
      </c>
      <c r="K218">
        <v>0.99916700000000003</v>
      </c>
      <c r="L218">
        <v>0.99982499999999996</v>
      </c>
      <c r="M218">
        <v>0.99996300000000005</v>
      </c>
      <c r="N218">
        <v>0.99999199999999999</v>
      </c>
      <c r="O218">
        <v>0.99999800000000005</v>
      </c>
      <c r="P218">
        <v>1</v>
      </c>
    </row>
    <row r="219" spans="1:16" ht="13" customHeight="1" x14ac:dyDescent="0.15">
      <c r="A219">
        <v>2012</v>
      </c>
      <c r="B219">
        <v>6.8277900000000002E-2</v>
      </c>
      <c r="C219">
        <v>1.23838E-2</v>
      </c>
      <c r="D219">
        <v>4.5172799999999999E-2</v>
      </c>
      <c r="E219" s="4">
        <v>0.15146399999999999</v>
      </c>
      <c r="F219">
        <v>0.402443</v>
      </c>
      <c r="G219">
        <v>0.71759700000000004</v>
      </c>
      <c r="H219">
        <v>0.90554800000000002</v>
      </c>
      <c r="I219">
        <v>0.97309900000000005</v>
      </c>
      <c r="J219">
        <v>0.992726</v>
      </c>
      <c r="K219">
        <v>0.998062</v>
      </c>
      <c r="L219">
        <v>0.99948599999999999</v>
      </c>
      <c r="M219">
        <v>0.99986399999999998</v>
      </c>
      <c r="N219">
        <v>0.99996399999999996</v>
      </c>
      <c r="O219">
        <v>0.99999000000000005</v>
      </c>
      <c r="P219">
        <v>0.99999700000000002</v>
      </c>
    </row>
    <row r="220" spans="1:16" ht="13" customHeight="1" x14ac:dyDescent="0.15">
      <c r="A220">
        <v>2013</v>
      </c>
      <c r="B220">
        <v>1.91588E-2</v>
      </c>
      <c r="C220">
        <v>1.28051E-2</v>
      </c>
      <c r="D220">
        <v>4.7149900000000002E-2</v>
      </c>
      <c r="E220">
        <v>0.15879399999999999</v>
      </c>
      <c r="F220" s="4">
        <v>0.41864499999999999</v>
      </c>
      <c r="G220">
        <v>0.73312900000000003</v>
      </c>
      <c r="H220">
        <v>0.91289100000000001</v>
      </c>
      <c r="I220">
        <v>0.97559700000000005</v>
      </c>
      <c r="J220">
        <v>0.99348599999999998</v>
      </c>
      <c r="K220">
        <v>0.99828399999999995</v>
      </c>
      <c r="L220">
        <v>0.99955000000000005</v>
      </c>
      <c r="M220">
        <v>0.99988200000000005</v>
      </c>
      <c r="N220">
        <v>0.999969</v>
      </c>
      <c r="O220">
        <v>0.99999199999999999</v>
      </c>
      <c r="P220">
        <v>0.99999800000000005</v>
      </c>
    </row>
    <row r="221" spans="1:16" ht="13" customHeight="1" x14ac:dyDescent="0.15">
      <c r="A221">
        <v>2014</v>
      </c>
      <c r="B221">
        <v>4.2179099999999997E-2</v>
      </c>
      <c r="C221">
        <v>1.3810100000000001E-2</v>
      </c>
      <c r="D221">
        <v>5.2898100000000003E-2</v>
      </c>
      <c r="E221">
        <v>0.18218300000000001</v>
      </c>
      <c r="F221" s="4">
        <v>0.47048000000000001</v>
      </c>
      <c r="G221">
        <v>0.779918</v>
      </c>
      <c r="H221">
        <v>0.93392500000000001</v>
      </c>
      <c r="I221">
        <v>0.98257099999999997</v>
      </c>
      <c r="J221">
        <v>0.99557200000000001</v>
      </c>
      <c r="K221">
        <v>0.99888600000000005</v>
      </c>
      <c r="L221">
        <v>0.99972099999999997</v>
      </c>
      <c r="M221">
        <v>0.99992999999999999</v>
      </c>
      <c r="N221">
        <v>0.99998200000000004</v>
      </c>
      <c r="O221">
        <v>0.999996</v>
      </c>
      <c r="P221">
        <v>0.99999899999999997</v>
      </c>
    </row>
    <row r="222" spans="1:16" ht="13" customHeight="1" x14ac:dyDescent="0.15">
      <c r="A222">
        <v>2015</v>
      </c>
      <c r="B222">
        <v>4.1726300000000001E-2</v>
      </c>
      <c r="C222">
        <v>2.1284000000000001E-2</v>
      </c>
      <c r="D222">
        <v>6.8815000000000001E-2</v>
      </c>
      <c r="E222">
        <v>0.20072200000000001</v>
      </c>
      <c r="F222" s="4">
        <v>0.460449</v>
      </c>
      <c r="G222">
        <v>0.743591</v>
      </c>
      <c r="H222">
        <v>0.90787499999999999</v>
      </c>
      <c r="I222">
        <v>0.97100500000000001</v>
      </c>
      <c r="J222">
        <v>0.99128899999999998</v>
      </c>
      <c r="K222">
        <v>0.997421</v>
      </c>
      <c r="L222">
        <v>0.99924000000000002</v>
      </c>
      <c r="M222">
        <v>0.999776</v>
      </c>
      <c r="N222">
        <v>0.99993399999999999</v>
      </c>
      <c r="O222">
        <v>0.99998100000000001</v>
      </c>
      <c r="P222">
        <v>0.99999400000000005</v>
      </c>
    </row>
    <row r="223" spans="1:16" ht="13" customHeight="1" x14ac:dyDescent="0.15">
      <c r="A223">
        <v>2016</v>
      </c>
      <c r="B223">
        <v>3.3969399999999997E-2</v>
      </c>
      <c r="C223">
        <v>2.0253400000000001E-2</v>
      </c>
      <c r="D223">
        <v>6.2653E-2</v>
      </c>
      <c r="E223">
        <v>0.17771400000000001</v>
      </c>
      <c r="F223" s="4">
        <v>0.411352</v>
      </c>
      <c r="G223">
        <v>0.69320700000000002</v>
      </c>
      <c r="H223">
        <v>0.87960400000000005</v>
      </c>
      <c r="I223">
        <v>0.95938699999999999</v>
      </c>
      <c r="J223">
        <v>0.98707699999999998</v>
      </c>
      <c r="K223">
        <v>0.99596700000000005</v>
      </c>
      <c r="L223">
        <v>0.998749</v>
      </c>
      <c r="M223">
        <v>0.99961299999999997</v>
      </c>
      <c r="N223">
        <v>0.99987999999999999</v>
      </c>
      <c r="O223">
        <v>0.99996300000000005</v>
      </c>
      <c r="P223">
        <v>0.99998900000000002</v>
      </c>
    </row>
    <row r="224" spans="1:16" ht="13" customHeight="1" x14ac:dyDescent="0.15">
      <c r="A224">
        <v>1964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</row>
    <row r="225" spans="1:16" ht="13" customHeight="1" x14ac:dyDescent="0.15">
      <c r="A225">
        <v>1965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</row>
    <row r="226" spans="1:16" ht="13" customHeight="1" x14ac:dyDescent="0.15">
      <c r="A226">
        <v>1966</v>
      </c>
      <c r="B226">
        <v>0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</row>
    <row r="227" spans="1:16" ht="13" customHeight="1" x14ac:dyDescent="0.15">
      <c r="A227">
        <v>1967</v>
      </c>
      <c r="B227">
        <v>0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</row>
    <row r="228" spans="1:16" ht="13" customHeight="1" x14ac:dyDescent="0.15">
      <c r="A228">
        <v>1968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</row>
    <row r="229" spans="1:16" ht="13" customHeight="1" x14ac:dyDescent="0.15">
      <c r="A229">
        <v>1969</v>
      </c>
      <c r="B229">
        <v>0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</row>
    <row r="230" spans="1:16" ht="13" customHeight="1" x14ac:dyDescent="0.15">
      <c r="A230">
        <v>1970</v>
      </c>
      <c r="B230">
        <v>0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</row>
    <row r="231" spans="1:16" ht="13" customHeight="1" x14ac:dyDescent="0.15">
      <c r="A231">
        <v>1971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</row>
    <row r="232" spans="1:16" ht="13" customHeight="1" x14ac:dyDescent="0.15">
      <c r="A232">
        <v>1972</v>
      </c>
      <c r="B232">
        <v>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</row>
    <row r="233" spans="1:16" ht="13" customHeight="1" x14ac:dyDescent="0.15">
      <c r="A233">
        <v>1973</v>
      </c>
      <c r="B233">
        <v>0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</row>
    <row r="234" spans="1:16" ht="13" customHeight="1" x14ac:dyDescent="0.15">
      <c r="A234">
        <v>1974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</row>
    <row r="235" spans="1:16" ht="13" customHeight="1" x14ac:dyDescent="0.15">
      <c r="A235">
        <v>1975</v>
      </c>
      <c r="B235">
        <v>0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</row>
    <row r="236" spans="1:16" ht="13" customHeight="1" x14ac:dyDescent="0.15">
      <c r="A236">
        <v>1976</v>
      </c>
      <c r="B236">
        <v>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</row>
    <row r="237" spans="1:16" ht="13" customHeight="1" x14ac:dyDescent="0.15">
      <c r="A237">
        <v>1977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</row>
    <row r="238" spans="1:16" ht="13" customHeight="1" x14ac:dyDescent="0.15">
      <c r="A238">
        <v>1978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</row>
    <row r="239" spans="1:16" ht="13" customHeight="1" x14ac:dyDescent="0.15">
      <c r="A239">
        <v>1979</v>
      </c>
      <c r="B239">
        <v>0</v>
      </c>
      <c r="C239">
        <v>3.82572</v>
      </c>
      <c r="D239">
        <v>1.14351</v>
      </c>
      <c r="E239">
        <v>0.64885999999999999</v>
      </c>
      <c r="F239">
        <v>0.67562900000000004</v>
      </c>
      <c r="G239">
        <v>0.69731100000000001</v>
      </c>
      <c r="H239">
        <v>0.72634900000000002</v>
      </c>
      <c r="I239">
        <v>0.75990999999999997</v>
      </c>
      <c r="J239">
        <v>0.75990999999999997</v>
      </c>
      <c r="K239">
        <v>0.75990999999999997</v>
      </c>
      <c r="L239">
        <v>0.75990999999999997</v>
      </c>
      <c r="M239">
        <v>0.75990999999999997</v>
      </c>
      <c r="N239">
        <v>0.75990999999999997</v>
      </c>
      <c r="O239">
        <v>0.75990999999999997</v>
      </c>
      <c r="P239">
        <v>0.75990999999999997</v>
      </c>
    </row>
    <row r="240" spans="1:16" ht="13" customHeight="1" x14ac:dyDescent="0.15">
      <c r="A240">
        <v>1980</v>
      </c>
      <c r="B240">
        <v>0</v>
      </c>
      <c r="C240">
        <v>1.00617</v>
      </c>
      <c r="D240">
        <v>1.2048700000000001</v>
      </c>
      <c r="E240">
        <v>1.28284</v>
      </c>
      <c r="F240">
        <v>1.31125</v>
      </c>
      <c r="G240">
        <v>1.10782</v>
      </c>
      <c r="H240">
        <v>1.1216299999999999</v>
      </c>
      <c r="I240">
        <v>0.94114500000000001</v>
      </c>
      <c r="J240">
        <v>0.94114500000000001</v>
      </c>
      <c r="K240">
        <v>0.94114500000000001</v>
      </c>
      <c r="L240">
        <v>0.94114500000000001</v>
      </c>
      <c r="M240">
        <v>0.94114500000000001</v>
      </c>
      <c r="N240">
        <v>0.94114500000000001</v>
      </c>
      <c r="O240">
        <v>0.94114500000000001</v>
      </c>
      <c r="P240">
        <v>0.94114500000000001</v>
      </c>
    </row>
    <row r="241" spans="1:16" ht="13" customHeight="1" x14ac:dyDescent="0.15">
      <c r="A241">
        <v>1981</v>
      </c>
      <c r="B241">
        <v>0</v>
      </c>
      <c r="C241">
        <v>1.00617</v>
      </c>
      <c r="D241">
        <v>1.2048700000000001</v>
      </c>
      <c r="E241">
        <v>1.28284</v>
      </c>
      <c r="F241">
        <v>1.31125</v>
      </c>
      <c r="G241">
        <v>1.10782</v>
      </c>
      <c r="H241">
        <v>1.1216299999999999</v>
      </c>
      <c r="I241">
        <v>0.94114500000000001</v>
      </c>
      <c r="J241">
        <v>0.94114500000000001</v>
      </c>
      <c r="K241">
        <v>0.94114500000000001</v>
      </c>
      <c r="L241">
        <v>0.94114500000000001</v>
      </c>
      <c r="M241">
        <v>0.94114500000000001</v>
      </c>
      <c r="N241">
        <v>0.94114500000000001</v>
      </c>
      <c r="O241">
        <v>0.94114500000000001</v>
      </c>
      <c r="P241">
        <v>0.94114500000000001</v>
      </c>
    </row>
    <row r="242" spans="1:16" ht="13" customHeight="1" x14ac:dyDescent="0.15">
      <c r="A242">
        <v>1982</v>
      </c>
      <c r="B242">
        <v>0</v>
      </c>
      <c r="C242">
        <v>1.00617</v>
      </c>
      <c r="D242">
        <v>1.2048700000000001</v>
      </c>
      <c r="E242">
        <v>1.28284</v>
      </c>
      <c r="F242">
        <v>1.31125</v>
      </c>
      <c r="G242">
        <v>1.10782</v>
      </c>
      <c r="H242">
        <v>1.1216299999999999</v>
      </c>
      <c r="I242">
        <v>0.94114500000000001</v>
      </c>
      <c r="J242">
        <v>0.94114500000000001</v>
      </c>
      <c r="K242">
        <v>0.94114500000000001</v>
      </c>
      <c r="L242">
        <v>0.94114500000000001</v>
      </c>
      <c r="M242">
        <v>0.94114500000000001</v>
      </c>
      <c r="N242">
        <v>0.94114500000000001</v>
      </c>
      <c r="O242">
        <v>0.94114500000000001</v>
      </c>
      <c r="P242">
        <v>0.94114500000000001</v>
      </c>
    </row>
    <row r="243" spans="1:16" ht="13" customHeight="1" x14ac:dyDescent="0.15">
      <c r="A243">
        <v>1983</v>
      </c>
      <c r="B243">
        <v>0</v>
      </c>
      <c r="C243">
        <v>1.00617</v>
      </c>
      <c r="D243">
        <v>1.2048700000000001</v>
      </c>
      <c r="E243">
        <v>1.28284</v>
      </c>
      <c r="F243">
        <v>1.31125</v>
      </c>
      <c r="G243">
        <v>1.10782</v>
      </c>
      <c r="H243">
        <v>1.1216299999999999</v>
      </c>
      <c r="I243">
        <v>0.94114500000000001</v>
      </c>
      <c r="J243">
        <v>0.94114500000000001</v>
      </c>
      <c r="K243">
        <v>0.94114500000000001</v>
      </c>
      <c r="L243">
        <v>0.94114500000000001</v>
      </c>
      <c r="M243">
        <v>0.94114500000000001</v>
      </c>
      <c r="N243">
        <v>0.94114500000000001</v>
      </c>
      <c r="O243">
        <v>0.94114500000000001</v>
      </c>
      <c r="P243">
        <v>0.94114500000000001</v>
      </c>
    </row>
    <row r="244" spans="1:16" ht="13" customHeight="1" x14ac:dyDescent="0.15">
      <c r="A244">
        <v>1984</v>
      </c>
      <c r="B244">
        <v>0</v>
      </c>
      <c r="C244">
        <v>1.00617</v>
      </c>
      <c r="D244">
        <v>1.2048700000000001</v>
      </c>
      <c r="E244">
        <v>1.28284</v>
      </c>
      <c r="F244">
        <v>1.31125</v>
      </c>
      <c r="G244">
        <v>1.10782</v>
      </c>
      <c r="H244">
        <v>1.1216299999999999</v>
      </c>
      <c r="I244">
        <v>0.94114500000000001</v>
      </c>
      <c r="J244">
        <v>0.94114500000000001</v>
      </c>
      <c r="K244">
        <v>0.94114500000000001</v>
      </c>
      <c r="L244">
        <v>0.94114500000000001</v>
      </c>
      <c r="M244">
        <v>0.94114500000000001</v>
      </c>
      <c r="N244">
        <v>0.94114500000000001</v>
      </c>
      <c r="O244">
        <v>0.94114500000000001</v>
      </c>
      <c r="P244">
        <v>0.94114500000000001</v>
      </c>
    </row>
    <row r="245" spans="1:16" ht="13" customHeight="1" x14ac:dyDescent="0.15">
      <c r="A245">
        <v>1985</v>
      </c>
      <c r="B245">
        <v>0</v>
      </c>
      <c r="C245">
        <v>1.00617</v>
      </c>
      <c r="D245">
        <v>1.2048700000000001</v>
      </c>
      <c r="E245">
        <v>1.28284</v>
      </c>
      <c r="F245">
        <v>1.31125</v>
      </c>
      <c r="G245">
        <v>1.10782</v>
      </c>
      <c r="H245">
        <v>1.1216299999999999</v>
      </c>
      <c r="I245">
        <v>0.94114500000000001</v>
      </c>
      <c r="J245">
        <v>0.94114500000000001</v>
      </c>
      <c r="K245">
        <v>0.94114500000000001</v>
      </c>
      <c r="L245">
        <v>0.94114500000000001</v>
      </c>
      <c r="M245">
        <v>0.94114500000000001</v>
      </c>
      <c r="N245">
        <v>0.94114500000000001</v>
      </c>
      <c r="O245">
        <v>0.94114500000000001</v>
      </c>
      <c r="P245">
        <v>0.94114500000000001</v>
      </c>
    </row>
    <row r="246" spans="1:16" ht="13" customHeight="1" x14ac:dyDescent="0.15">
      <c r="A246">
        <v>1986</v>
      </c>
      <c r="B246">
        <v>0</v>
      </c>
      <c r="C246">
        <v>1.00617</v>
      </c>
      <c r="D246">
        <v>1.2048700000000001</v>
      </c>
      <c r="E246">
        <v>1.28284</v>
      </c>
      <c r="F246">
        <v>1.31125</v>
      </c>
      <c r="G246">
        <v>1.10782</v>
      </c>
      <c r="H246">
        <v>1.1216299999999999</v>
      </c>
      <c r="I246">
        <v>0.94114500000000001</v>
      </c>
      <c r="J246">
        <v>0.94114500000000001</v>
      </c>
      <c r="K246">
        <v>0.94114500000000001</v>
      </c>
      <c r="L246">
        <v>0.94114500000000001</v>
      </c>
      <c r="M246">
        <v>0.94114500000000001</v>
      </c>
      <c r="N246">
        <v>0.94114500000000001</v>
      </c>
      <c r="O246">
        <v>0.94114500000000001</v>
      </c>
      <c r="P246">
        <v>0.94114500000000001</v>
      </c>
    </row>
    <row r="247" spans="1:16" ht="13" customHeight="1" x14ac:dyDescent="0.15">
      <c r="A247">
        <v>1987</v>
      </c>
      <c r="B247">
        <v>0</v>
      </c>
      <c r="C247">
        <v>1.00617</v>
      </c>
      <c r="D247">
        <v>1.2048700000000001</v>
      </c>
      <c r="E247">
        <v>1.28284</v>
      </c>
      <c r="F247">
        <v>1.31125</v>
      </c>
      <c r="G247">
        <v>1.10782</v>
      </c>
      <c r="H247">
        <v>1.1216299999999999</v>
      </c>
      <c r="I247">
        <v>0.94114500000000001</v>
      </c>
      <c r="J247">
        <v>0.94114500000000001</v>
      </c>
      <c r="K247">
        <v>0.94114500000000001</v>
      </c>
      <c r="L247">
        <v>0.94114500000000001</v>
      </c>
      <c r="M247">
        <v>0.94114500000000001</v>
      </c>
      <c r="N247">
        <v>0.94114500000000001</v>
      </c>
      <c r="O247">
        <v>0.94114500000000001</v>
      </c>
      <c r="P247">
        <v>0.94114500000000001</v>
      </c>
    </row>
    <row r="248" spans="1:16" ht="13" customHeight="1" x14ac:dyDescent="0.15">
      <c r="A248">
        <v>1988</v>
      </c>
      <c r="B248">
        <v>0</v>
      </c>
      <c r="C248">
        <v>1.00617</v>
      </c>
      <c r="D248">
        <v>1.2048700000000001</v>
      </c>
      <c r="E248">
        <v>1.28284</v>
      </c>
      <c r="F248">
        <v>1.31125</v>
      </c>
      <c r="G248">
        <v>1.10782</v>
      </c>
      <c r="H248">
        <v>1.1216299999999999</v>
      </c>
      <c r="I248">
        <v>0.94114500000000001</v>
      </c>
      <c r="J248">
        <v>0.94114500000000001</v>
      </c>
      <c r="K248">
        <v>0.94114500000000001</v>
      </c>
      <c r="L248">
        <v>0.94114500000000001</v>
      </c>
      <c r="M248">
        <v>0.94114500000000001</v>
      </c>
      <c r="N248">
        <v>0.94114500000000001</v>
      </c>
      <c r="O248">
        <v>0.94114500000000001</v>
      </c>
      <c r="P248">
        <v>0.94114500000000001</v>
      </c>
    </row>
    <row r="249" spans="1:16" ht="13" customHeight="1" x14ac:dyDescent="0.15">
      <c r="A249">
        <v>1989</v>
      </c>
      <c r="B249">
        <v>0</v>
      </c>
      <c r="C249">
        <v>1.00617</v>
      </c>
      <c r="D249">
        <v>1.2048700000000001</v>
      </c>
      <c r="E249">
        <v>1.28284</v>
      </c>
      <c r="F249">
        <v>1.31125</v>
      </c>
      <c r="G249">
        <v>1.10782</v>
      </c>
      <c r="H249">
        <v>1.1216299999999999</v>
      </c>
      <c r="I249">
        <v>0.94114500000000001</v>
      </c>
      <c r="J249">
        <v>0.94114500000000001</v>
      </c>
      <c r="K249">
        <v>0.94114500000000001</v>
      </c>
      <c r="L249">
        <v>0.94114500000000001</v>
      </c>
      <c r="M249">
        <v>0.94114500000000001</v>
      </c>
      <c r="N249">
        <v>0.94114500000000001</v>
      </c>
      <c r="O249">
        <v>0.94114500000000001</v>
      </c>
      <c r="P249">
        <v>0.94114500000000001</v>
      </c>
    </row>
    <row r="250" spans="1:16" ht="13" customHeight="1" x14ac:dyDescent="0.15">
      <c r="A250">
        <v>1990</v>
      </c>
      <c r="B250">
        <v>0</v>
      </c>
      <c r="C250">
        <v>1.00617</v>
      </c>
      <c r="D250">
        <v>1.2048700000000001</v>
      </c>
      <c r="E250">
        <v>1.28284</v>
      </c>
      <c r="F250">
        <v>1.31125</v>
      </c>
      <c r="G250">
        <v>1.10782</v>
      </c>
      <c r="H250">
        <v>1.1216299999999999</v>
      </c>
      <c r="I250">
        <v>0.94114500000000001</v>
      </c>
      <c r="J250">
        <v>0.94114500000000001</v>
      </c>
      <c r="K250">
        <v>0.94114500000000001</v>
      </c>
      <c r="L250">
        <v>0.94114500000000001</v>
      </c>
      <c r="M250">
        <v>0.94114500000000001</v>
      </c>
      <c r="N250">
        <v>0.94114500000000001</v>
      </c>
      <c r="O250">
        <v>0.94114500000000001</v>
      </c>
      <c r="P250">
        <v>0.94114500000000001</v>
      </c>
    </row>
    <row r="251" spans="1:16" ht="13" customHeight="1" x14ac:dyDescent="0.15">
      <c r="A251">
        <v>1991</v>
      </c>
      <c r="B251">
        <v>0</v>
      </c>
      <c r="C251">
        <v>1.00617</v>
      </c>
      <c r="D251">
        <v>1.2048700000000001</v>
      </c>
      <c r="E251">
        <v>1.28284</v>
      </c>
      <c r="F251">
        <v>1.31125</v>
      </c>
      <c r="G251">
        <v>1.10782</v>
      </c>
      <c r="H251">
        <v>1.1216299999999999</v>
      </c>
      <c r="I251">
        <v>0.94114500000000001</v>
      </c>
      <c r="J251">
        <v>0.94114500000000001</v>
      </c>
      <c r="K251">
        <v>0.94114500000000001</v>
      </c>
      <c r="L251">
        <v>0.94114500000000001</v>
      </c>
      <c r="M251">
        <v>0.94114500000000001</v>
      </c>
      <c r="N251">
        <v>0.94114500000000001</v>
      </c>
      <c r="O251">
        <v>0.94114500000000001</v>
      </c>
      <c r="P251">
        <v>0.94114500000000001</v>
      </c>
    </row>
    <row r="252" spans="1:16" ht="13" customHeight="1" x14ac:dyDescent="0.15">
      <c r="A252">
        <v>1992</v>
      </c>
      <c r="B252">
        <v>0</v>
      </c>
      <c r="C252">
        <v>1.00617</v>
      </c>
      <c r="D252">
        <v>1.2048700000000001</v>
      </c>
      <c r="E252">
        <v>1.28284</v>
      </c>
      <c r="F252">
        <v>1.31125</v>
      </c>
      <c r="G252">
        <v>1.10782</v>
      </c>
      <c r="H252">
        <v>1.1216299999999999</v>
      </c>
      <c r="I252">
        <v>0.94114500000000001</v>
      </c>
      <c r="J252">
        <v>0.94114500000000001</v>
      </c>
      <c r="K252">
        <v>0.94114500000000001</v>
      </c>
      <c r="L252">
        <v>0.94114500000000001</v>
      </c>
      <c r="M252">
        <v>0.94114500000000001</v>
      </c>
      <c r="N252">
        <v>0.94114500000000001</v>
      </c>
      <c r="O252">
        <v>0.94114500000000001</v>
      </c>
      <c r="P252">
        <v>0.94114500000000001</v>
      </c>
    </row>
    <row r="253" spans="1:16" ht="13" customHeight="1" x14ac:dyDescent="0.15">
      <c r="A253">
        <v>1993</v>
      </c>
      <c r="B253">
        <v>0</v>
      </c>
      <c r="C253">
        <v>1.00617</v>
      </c>
      <c r="D253">
        <v>1.2048700000000001</v>
      </c>
      <c r="E253">
        <v>1.28284</v>
      </c>
      <c r="F253">
        <v>1.31125</v>
      </c>
      <c r="G253">
        <v>1.10782</v>
      </c>
      <c r="H253">
        <v>1.1216299999999999</v>
      </c>
      <c r="I253">
        <v>0.94114500000000001</v>
      </c>
      <c r="J253">
        <v>0.94114500000000001</v>
      </c>
      <c r="K253">
        <v>0.94114500000000001</v>
      </c>
      <c r="L253">
        <v>0.94114500000000001</v>
      </c>
      <c r="M253">
        <v>0.94114500000000001</v>
      </c>
      <c r="N253">
        <v>0.94114500000000001</v>
      </c>
      <c r="O253">
        <v>0.94114500000000001</v>
      </c>
      <c r="P253">
        <v>0.94114500000000001</v>
      </c>
    </row>
    <row r="254" spans="1:16" ht="13" customHeight="1" x14ac:dyDescent="0.15">
      <c r="A254">
        <v>1994</v>
      </c>
      <c r="B254">
        <v>0</v>
      </c>
      <c r="C254">
        <v>1.00617</v>
      </c>
      <c r="D254">
        <v>1.2048700000000001</v>
      </c>
      <c r="E254">
        <v>1.28284</v>
      </c>
      <c r="F254">
        <v>1.31125</v>
      </c>
      <c r="G254">
        <v>1.10782</v>
      </c>
      <c r="H254">
        <v>1.1216299999999999</v>
      </c>
      <c r="I254">
        <v>0.94114500000000001</v>
      </c>
      <c r="J254">
        <v>0.94114500000000001</v>
      </c>
      <c r="K254">
        <v>0.94114500000000001</v>
      </c>
      <c r="L254">
        <v>0.94114500000000001</v>
      </c>
      <c r="M254">
        <v>0.94114500000000001</v>
      </c>
      <c r="N254">
        <v>0.94114500000000001</v>
      </c>
      <c r="O254">
        <v>0.94114500000000001</v>
      </c>
      <c r="P254">
        <v>0.94114500000000001</v>
      </c>
    </row>
    <row r="255" spans="1:16" ht="13" customHeight="1" x14ac:dyDescent="0.15">
      <c r="A255">
        <v>1995</v>
      </c>
      <c r="B255">
        <v>0</v>
      </c>
      <c r="C255">
        <v>1.00617</v>
      </c>
      <c r="D255">
        <v>1.2048700000000001</v>
      </c>
      <c r="E255">
        <v>1.28284</v>
      </c>
      <c r="F255">
        <v>1.31125</v>
      </c>
      <c r="G255">
        <v>1.10782</v>
      </c>
      <c r="H255">
        <v>1.1216299999999999</v>
      </c>
      <c r="I255">
        <v>0.94114500000000001</v>
      </c>
      <c r="J255">
        <v>0.94114500000000001</v>
      </c>
      <c r="K255">
        <v>0.94114500000000001</v>
      </c>
      <c r="L255">
        <v>0.94114500000000001</v>
      </c>
      <c r="M255">
        <v>0.94114500000000001</v>
      </c>
      <c r="N255">
        <v>0.94114500000000001</v>
      </c>
      <c r="O255">
        <v>0.94114500000000001</v>
      </c>
      <c r="P255">
        <v>0.94114500000000001</v>
      </c>
    </row>
    <row r="256" spans="1:16" ht="13" customHeight="1" x14ac:dyDescent="0.15">
      <c r="A256">
        <v>1996</v>
      </c>
      <c r="B256">
        <v>0</v>
      </c>
      <c r="C256">
        <v>1.00617</v>
      </c>
      <c r="D256">
        <v>1.2048700000000001</v>
      </c>
      <c r="E256">
        <v>1.28284</v>
      </c>
      <c r="F256">
        <v>1.31125</v>
      </c>
      <c r="G256">
        <v>1.10782</v>
      </c>
      <c r="H256">
        <v>1.1216299999999999</v>
      </c>
      <c r="I256">
        <v>0.94114500000000001</v>
      </c>
      <c r="J256">
        <v>0.94114500000000001</v>
      </c>
      <c r="K256">
        <v>0.94114500000000001</v>
      </c>
      <c r="L256">
        <v>0.94114500000000001</v>
      </c>
      <c r="M256">
        <v>0.94114500000000001</v>
      </c>
      <c r="N256">
        <v>0.94114500000000001</v>
      </c>
      <c r="O256">
        <v>0.94114500000000001</v>
      </c>
      <c r="P256">
        <v>0.94114500000000001</v>
      </c>
    </row>
    <row r="257" spans="1:16" ht="13" customHeight="1" x14ac:dyDescent="0.15">
      <c r="A257">
        <v>1997</v>
      </c>
      <c r="B257">
        <v>0</v>
      </c>
      <c r="C257">
        <v>1.00617</v>
      </c>
      <c r="D257">
        <v>1.2048700000000001</v>
      </c>
      <c r="E257">
        <v>1.28284</v>
      </c>
      <c r="F257">
        <v>1.31125</v>
      </c>
      <c r="G257">
        <v>1.10782</v>
      </c>
      <c r="H257">
        <v>1.1216299999999999</v>
      </c>
      <c r="I257">
        <v>0.94114500000000001</v>
      </c>
      <c r="J257">
        <v>0.94114500000000001</v>
      </c>
      <c r="K257">
        <v>0.94114500000000001</v>
      </c>
      <c r="L257">
        <v>0.94114500000000001</v>
      </c>
      <c r="M257">
        <v>0.94114500000000001</v>
      </c>
      <c r="N257">
        <v>0.94114500000000001</v>
      </c>
      <c r="O257">
        <v>0.94114500000000001</v>
      </c>
      <c r="P257">
        <v>0.94114500000000001</v>
      </c>
    </row>
    <row r="258" spans="1:16" ht="13" customHeight="1" x14ac:dyDescent="0.15">
      <c r="A258">
        <v>1998</v>
      </c>
      <c r="B258">
        <v>0</v>
      </c>
      <c r="C258">
        <v>1.00617</v>
      </c>
      <c r="D258">
        <v>1.2048700000000001</v>
      </c>
      <c r="E258">
        <v>1.28284</v>
      </c>
      <c r="F258">
        <v>1.31125</v>
      </c>
      <c r="G258">
        <v>1.10782</v>
      </c>
      <c r="H258">
        <v>1.1216299999999999</v>
      </c>
      <c r="I258">
        <v>0.94114500000000001</v>
      </c>
      <c r="J258">
        <v>0.94114500000000001</v>
      </c>
      <c r="K258">
        <v>0.94114500000000001</v>
      </c>
      <c r="L258">
        <v>0.94114500000000001</v>
      </c>
      <c r="M258">
        <v>0.94114500000000001</v>
      </c>
      <c r="N258">
        <v>0.94114500000000001</v>
      </c>
      <c r="O258">
        <v>0.94114500000000001</v>
      </c>
      <c r="P258">
        <v>0.94114500000000001</v>
      </c>
    </row>
    <row r="259" spans="1:16" ht="13" customHeight="1" x14ac:dyDescent="0.15">
      <c r="A259">
        <v>1999</v>
      </c>
      <c r="B259">
        <v>0</v>
      </c>
      <c r="C259">
        <v>1.00617</v>
      </c>
      <c r="D259">
        <v>1.2048700000000001</v>
      </c>
      <c r="E259">
        <v>1.28284</v>
      </c>
      <c r="F259">
        <v>1.31125</v>
      </c>
      <c r="G259">
        <v>1.10782</v>
      </c>
      <c r="H259">
        <v>1.1216299999999999</v>
      </c>
      <c r="I259">
        <v>0.94114500000000001</v>
      </c>
      <c r="J259">
        <v>0.94114500000000001</v>
      </c>
      <c r="K259">
        <v>0.94114500000000001</v>
      </c>
      <c r="L259">
        <v>0.94114500000000001</v>
      </c>
      <c r="M259">
        <v>0.94114500000000001</v>
      </c>
      <c r="N259">
        <v>0.94114500000000001</v>
      </c>
      <c r="O259">
        <v>0.94114500000000001</v>
      </c>
      <c r="P259">
        <v>0.94114500000000001</v>
      </c>
    </row>
    <row r="260" spans="1:16" ht="13" customHeight="1" x14ac:dyDescent="0.15">
      <c r="A260">
        <v>2000</v>
      </c>
      <c r="B260">
        <v>0</v>
      </c>
      <c r="C260">
        <v>1.00617</v>
      </c>
      <c r="D260">
        <v>1.2048700000000001</v>
      </c>
      <c r="E260">
        <v>1.28284</v>
      </c>
      <c r="F260">
        <v>1.31125</v>
      </c>
      <c r="G260">
        <v>1.10782</v>
      </c>
      <c r="H260">
        <v>1.1216299999999999</v>
      </c>
      <c r="I260">
        <v>0.94114500000000001</v>
      </c>
      <c r="J260">
        <v>0.94114500000000001</v>
      </c>
      <c r="K260">
        <v>0.94114500000000001</v>
      </c>
      <c r="L260">
        <v>0.94114500000000001</v>
      </c>
      <c r="M260">
        <v>0.94114500000000001</v>
      </c>
      <c r="N260">
        <v>0.94114500000000001</v>
      </c>
      <c r="O260">
        <v>0.94114500000000001</v>
      </c>
      <c r="P260">
        <v>0.94114500000000001</v>
      </c>
    </row>
    <row r="261" spans="1:16" ht="13" customHeight="1" x14ac:dyDescent="0.15">
      <c r="A261">
        <v>2001</v>
      </c>
      <c r="B261">
        <v>0</v>
      </c>
      <c r="C261">
        <v>1.00617</v>
      </c>
      <c r="D261">
        <v>1.2048700000000001</v>
      </c>
      <c r="E261">
        <v>1.28284</v>
      </c>
      <c r="F261">
        <v>1.31125</v>
      </c>
      <c r="G261">
        <v>1.10782</v>
      </c>
      <c r="H261">
        <v>1.1216299999999999</v>
      </c>
      <c r="I261">
        <v>0.94114500000000001</v>
      </c>
      <c r="J261">
        <v>0.94114500000000001</v>
      </c>
      <c r="K261">
        <v>0.94114500000000001</v>
      </c>
      <c r="L261">
        <v>0.94114500000000001</v>
      </c>
      <c r="M261">
        <v>0.94114500000000001</v>
      </c>
      <c r="N261">
        <v>0.94114500000000001</v>
      </c>
      <c r="O261">
        <v>0.94114500000000001</v>
      </c>
      <c r="P261">
        <v>0.94114500000000001</v>
      </c>
    </row>
    <row r="262" spans="1:16" ht="13" customHeight="1" x14ac:dyDescent="0.15">
      <c r="A262">
        <v>2002</v>
      </c>
      <c r="B262">
        <v>0</v>
      </c>
      <c r="C262">
        <v>1.00617</v>
      </c>
      <c r="D262">
        <v>1.2048700000000001</v>
      </c>
      <c r="E262">
        <v>1.28284</v>
      </c>
      <c r="F262">
        <v>1.31125</v>
      </c>
      <c r="G262">
        <v>1.10782</v>
      </c>
      <c r="H262">
        <v>1.1216299999999999</v>
      </c>
      <c r="I262">
        <v>0.94114500000000001</v>
      </c>
      <c r="J262">
        <v>0.94114500000000001</v>
      </c>
      <c r="K262">
        <v>0.94114500000000001</v>
      </c>
      <c r="L262">
        <v>0.94114500000000001</v>
      </c>
      <c r="M262">
        <v>0.94114500000000001</v>
      </c>
      <c r="N262">
        <v>0.94114500000000001</v>
      </c>
      <c r="O262">
        <v>0.94114500000000001</v>
      </c>
      <c r="P262">
        <v>0.94114500000000001</v>
      </c>
    </row>
    <row r="263" spans="1:16" ht="13" customHeight="1" x14ac:dyDescent="0.15">
      <c r="A263">
        <v>2003</v>
      </c>
      <c r="B263">
        <v>0</v>
      </c>
      <c r="C263">
        <v>1.00617</v>
      </c>
      <c r="D263">
        <v>1.2048700000000001</v>
      </c>
      <c r="E263">
        <v>1.28284</v>
      </c>
      <c r="F263">
        <v>1.31125</v>
      </c>
      <c r="G263">
        <v>1.10782</v>
      </c>
      <c r="H263">
        <v>1.1216299999999999</v>
      </c>
      <c r="I263">
        <v>0.94114500000000001</v>
      </c>
      <c r="J263">
        <v>0.94114500000000001</v>
      </c>
      <c r="K263">
        <v>0.94114500000000001</v>
      </c>
      <c r="L263">
        <v>0.94114500000000001</v>
      </c>
      <c r="M263">
        <v>0.94114500000000001</v>
      </c>
      <c r="N263">
        <v>0.94114500000000001</v>
      </c>
      <c r="O263">
        <v>0.94114500000000001</v>
      </c>
      <c r="P263">
        <v>0.94114500000000001</v>
      </c>
    </row>
    <row r="264" spans="1:16" ht="13" customHeight="1" x14ac:dyDescent="0.15">
      <c r="A264">
        <v>2004</v>
      </c>
      <c r="B264">
        <v>0</v>
      </c>
      <c r="C264">
        <v>1.00617</v>
      </c>
      <c r="D264">
        <v>1.2048700000000001</v>
      </c>
      <c r="E264">
        <v>1.28284</v>
      </c>
      <c r="F264">
        <v>1.31125</v>
      </c>
      <c r="G264">
        <v>1.10782</v>
      </c>
      <c r="H264">
        <v>1.1216299999999999</v>
      </c>
      <c r="I264">
        <v>0.94114500000000001</v>
      </c>
      <c r="J264">
        <v>0.94114500000000001</v>
      </c>
      <c r="K264">
        <v>0.94114500000000001</v>
      </c>
      <c r="L264">
        <v>0.94114500000000001</v>
      </c>
      <c r="M264">
        <v>0.94114500000000001</v>
      </c>
      <c r="N264">
        <v>0.94114500000000001</v>
      </c>
      <c r="O264">
        <v>0.94114500000000001</v>
      </c>
      <c r="P264">
        <v>0.94114500000000001</v>
      </c>
    </row>
    <row r="265" spans="1:16" ht="13" customHeight="1" x14ac:dyDescent="0.15">
      <c r="A265">
        <v>2005</v>
      </c>
      <c r="B265">
        <v>0</v>
      </c>
      <c r="C265">
        <v>1.00617</v>
      </c>
      <c r="D265">
        <v>1.2048700000000001</v>
      </c>
      <c r="E265">
        <v>1.28284</v>
      </c>
      <c r="F265">
        <v>1.31125</v>
      </c>
      <c r="G265">
        <v>1.10782</v>
      </c>
      <c r="H265">
        <v>1.1216299999999999</v>
      </c>
      <c r="I265">
        <v>0.94114500000000001</v>
      </c>
      <c r="J265">
        <v>0.94114500000000001</v>
      </c>
      <c r="K265">
        <v>0.94114500000000001</v>
      </c>
      <c r="L265">
        <v>0.94114500000000001</v>
      </c>
      <c r="M265">
        <v>0.94114500000000001</v>
      </c>
      <c r="N265">
        <v>0.94114500000000001</v>
      </c>
      <c r="O265">
        <v>0.94114500000000001</v>
      </c>
      <c r="P265">
        <v>0.94114500000000001</v>
      </c>
    </row>
    <row r="266" spans="1:16" ht="13" customHeight="1" x14ac:dyDescent="0.15">
      <c r="A266">
        <v>2006</v>
      </c>
      <c r="B266">
        <v>0</v>
      </c>
      <c r="C266">
        <v>1.00617</v>
      </c>
      <c r="D266">
        <v>1.2048700000000001</v>
      </c>
      <c r="E266">
        <v>1.28284</v>
      </c>
      <c r="F266">
        <v>1.31125</v>
      </c>
      <c r="G266">
        <v>1.10782</v>
      </c>
      <c r="H266">
        <v>1.1216299999999999</v>
      </c>
      <c r="I266">
        <v>0.94114500000000001</v>
      </c>
      <c r="J266">
        <v>0.94114500000000001</v>
      </c>
      <c r="K266">
        <v>0.94114500000000001</v>
      </c>
      <c r="L266">
        <v>0.94114500000000001</v>
      </c>
      <c r="M266">
        <v>0.94114500000000001</v>
      </c>
      <c r="N266">
        <v>0.94114500000000001</v>
      </c>
      <c r="O266">
        <v>0.94114500000000001</v>
      </c>
      <c r="P266">
        <v>0.94114500000000001</v>
      </c>
    </row>
    <row r="267" spans="1:16" ht="13" customHeight="1" x14ac:dyDescent="0.15">
      <c r="A267">
        <v>2007</v>
      </c>
      <c r="B267">
        <v>0</v>
      </c>
      <c r="C267">
        <v>1.00617</v>
      </c>
      <c r="D267">
        <v>1.2048700000000001</v>
      </c>
      <c r="E267">
        <v>1.28284</v>
      </c>
      <c r="F267">
        <v>1.31125</v>
      </c>
      <c r="G267">
        <v>1.10782</v>
      </c>
      <c r="H267">
        <v>1.1216299999999999</v>
      </c>
      <c r="I267">
        <v>0.94114500000000001</v>
      </c>
      <c r="J267">
        <v>0.94114500000000001</v>
      </c>
      <c r="K267">
        <v>0.94114500000000001</v>
      </c>
      <c r="L267">
        <v>0.94114500000000001</v>
      </c>
      <c r="M267">
        <v>0.94114500000000001</v>
      </c>
      <c r="N267">
        <v>0.94114500000000001</v>
      </c>
      <c r="O267">
        <v>0.94114500000000001</v>
      </c>
      <c r="P267">
        <v>0.94114500000000001</v>
      </c>
    </row>
    <row r="268" spans="1:16" ht="13" customHeight="1" x14ac:dyDescent="0.15">
      <c r="A268">
        <v>2008</v>
      </c>
      <c r="B268">
        <v>0</v>
      </c>
      <c r="C268">
        <v>1.00617</v>
      </c>
      <c r="D268">
        <v>1.2048700000000001</v>
      </c>
      <c r="E268">
        <v>1.28284</v>
      </c>
      <c r="F268">
        <v>1.31125</v>
      </c>
      <c r="G268">
        <v>1.10782</v>
      </c>
      <c r="H268">
        <v>1.1216299999999999</v>
      </c>
      <c r="I268">
        <v>0.94114500000000001</v>
      </c>
      <c r="J268">
        <v>0.94114500000000001</v>
      </c>
      <c r="K268">
        <v>0.94114500000000001</v>
      </c>
      <c r="L268">
        <v>0.94114500000000001</v>
      </c>
      <c r="M268">
        <v>0.94114500000000001</v>
      </c>
      <c r="N268">
        <v>0.94114500000000001</v>
      </c>
      <c r="O268">
        <v>0.94114500000000001</v>
      </c>
      <c r="P268">
        <v>0.94114500000000001</v>
      </c>
    </row>
    <row r="269" spans="1:16" ht="13" customHeight="1" x14ac:dyDescent="0.15">
      <c r="A269">
        <v>2009</v>
      </c>
      <c r="B269">
        <v>0</v>
      </c>
      <c r="C269">
        <v>1.00617</v>
      </c>
      <c r="D269">
        <v>1.2048700000000001</v>
      </c>
      <c r="E269">
        <v>1.28284</v>
      </c>
      <c r="F269">
        <v>1.31125</v>
      </c>
      <c r="G269">
        <v>1.10782</v>
      </c>
      <c r="H269">
        <v>1.1216299999999999</v>
      </c>
      <c r="I269">
        <v>0.94114500000000001</v>
      </c>
      <c r="J269">
        <v>0.94114500000000001</v>
      </c>
      <c r="K269">
        <v>0.94114500000000001</v>
      </c>
      <c r="L269">
        <v>0.94114500000000001</v>
      </c>
      <c r="M269">
        <v>0.94114500000000001</v>
      </c>
      <c r="N269">
        <v>0.94114500000000001</v>
      </c>
      <c r="O269">
        <v>0.94114500000000001</v>
      </c>
      <c r="P269">
        <v>0.94114500000000001</v>
      </c>
    </row>
    <row r="270" spans="1:16" ht="13" customHeight="1" x14ac:dyDescent="0.15">
      <c r="A270">
        <v>2010</v>
      </c>
      <c r="B270">
        <v>0</v>
      </c>
      <c r="C270">
        <v>1.00617</v>
      </c>
      <c r="D270">
        <v>1.2048700000000001</v>
      </c>
      <c r="E270">
        <v>1.28284</v>
      </c>
      <c r="F270">
        <v>1.31125</v>
      </c>
      <c r="G270">
        <v>1.10782</v>
      </c>
      <c r="H270">
        <v>1.1216299999999999</v>
      </c>
      <c r="I270">
        <v>0.94114500000000001</v>
      </c>
      <c r="J270">
        <v>0.94114500000000001</v>
      </c>
      <c r="K270">
        <v>0.94114500000000001</v>
      </c>
      <c r="L270">
        <v>0.94114500000000001</v>
      </c>
      <c r="M270">
        <v>0.94114500000000001</v>
      </c>
      <c r="N270">
        <v>0.94114500000000001</v>
      </c>
      <c r="O270">
        <v>0.94114500000000001</v>
      </c>
      <c r="P270">
        <v>0.94114500000000001</v>
      </c>
    </row>
    <row r="271" spans="1:16" ht="13" customHeight="1" x14ac:dyDescent="0.15">
      <c r="A271">
        <v>2011</v>
      </c>
      <c r="B271">
        <v>0</v>
      </c>
      <c r="C271">
        <v>1.00617</v>
      </c>
      <c r="D271">
        <v>1.2048700000000001</v>
      </c>
      <c r="E271">
        <v>1.28284</v>
      </c>
      <c r="F271">
        <v>1.31125</v>
      </c>
      <c r="G271">
        <v>1.10782</v>
      </c>
      <c r="H271">
        <v>1.1216299999999999</v>
      </c>
      <c r="I271">
        <v>0.94114500000000001</v>
      </c>
      <c r="J271">
        <v>0.94114500000000001</v>
      </c>
      <c r="K271">
        <v>0.94114500000000001</v>
      </c>
      <c r="L271">
        <v>0.94114500000000001</v>
      </c>
      <c r="M271">
        <v>0.94114500000000001</v>
      </c>
      <c r="N271">
        <v>0.94114500000000001</v>
      </c>
      <c r="O271">
        <v>0.94114500000000001</v>
      </c>
      <c r="P271">
        <v>0.94114500000000001</v>
      </c>
    </row>
    <row r="272" spans="1:16" ht="13" customHeight="1" x14ac:dyDescent="0.15">
      <c r="A272">
        <v>2012</v>
      </c>
      <c r="B272">
        <v>0</v>
      </c>
      <c r="C272">
        <v>1.00617</v>
      </c>
      <c r="D272">
        <v>1.2048700000000001</v>
      </c>
      <c r="E272">
        <v>1.28284</v>
      </c>
      <c r="F272">
        <v>1.31125</v>
      </c>
      <c r="G272">
        <v>1.10782</v>
      </c>
      <c r="H272">
        <v>1.1216299999999999</v>
      </c>
      <c r="I272">
        <v>0.94114500000000001</v>
      </c>
      <c r="J272">
        <v>0.94114500000000001</v>
      </c>
      <c r="K272">
        <v>0.94114500000000001</v>
      </c>
      <c r="L272">
        <v>0.94114500000000001</v>
      </c>
      <c r="M272">
        <v>0.94114500000000001</v>
      </c>
      <c r="N272">
        <v>0.94114500000000001</v>
      </c>
      <c r="O272">
        <v>0.94114500000000001</v>
      </c>
      <c r="P272">
        <v>0.94114500000000001</v>
      </c>
    </row>
    <row r="273" spans="1:16" ht="13" customHeight="1" x14ac:dyDescent="0.15">
      <c r="A273">
        <v>2013</v>
      </c>
      <c r="B273">
        <v>0</v>
      </c>
      <c r="C273">
        <v>1.00617</v>
      </c>
      <c r="D273">
        <v>1.2048700000000001</v>
      </c>
      <c r="E273">
        <v>1.28284</v>
      </c>
      <c r="F273">
        <v>1.31125</v>
      </c>
      <c r="G273">
        <v>1.10782</v>
      </c>
      <c r="H273">
        <v>1.1216299999999999</v>
      </c>
      <c r="I273">
        <v>0.94114500000000001</v>
      </c>
      <c r="J273">
        <v>0.94114500000000001</v>
      </c>
      <c r="K273">
        <v>0.94114500000000001</v>
      </c>
      <c r="L273">
        <v>0.94114500000000001</v>
      </c>
      <c r="M273">
        <v>0.94114500000000001</v>
      </c>
      <c r="N273">
        <v>0.94114500000000001</v>
      </c>
      <c r="O273">
        <v>0.94114500000000001</v>
      </c>
      <c r="P273">
        <v>0.94114500000000001</v>
      </c>
    </row>
    <row r="274" spans="1:16" ht="13" customHeight="1" x14ac:dyDescent="0.15">
      <c r="A274">
        <v>2014</v>
      </c>
      <c r="B274">
        <v>0</v>
      </c>
      <c r="C274">
        <v>1.00617</v>
      </c>
      <c r="D274">
        <v>1.2048700000000001</v>
      </c>
      <c r="E274">
        <v>1.28284</v>
      </c>
      <c r="F274">
        <v>1.31125</v>
      </c>
      <c r="G274">
        <v>1.10782</v>
      </c>
      <c r="H274">
        <v>1.1216299999999999</v>
      </c>
      <c r="I274">
        <v>0.94114500000000001</v>
      </c>
      <c r="J274">
        <v>0.94114500000000001</v>
      </c>
      <c r="K274">
        <v>0.94114500000000001</v>
      </c>
      <c r="L274">
        <v>0.94114500000000001</v>
      </c>
      <c r="M274">
        <v>0.94114500000000001</v>
      </c>
      <c r="N274">
        <v>0.94114500000000001</v>
      </c>
      <c r="O274">
        <v>0.94114500000000001</v>
      </c>
      <c r="P274">
        <v>0.94114500000000001</v>
      </c>
    </row>
    <row r="275" spans="1:16" ht="13" customHeight="1" x14ac:dyDescent="0.15">
      <c r="A275">
        <v>2015</v>
      </c>
      <c r="B275">
        <v>0</v>
      </c>
      <c r="C275">
        <v>1.00617</v>
      </c>
      <c r="D275">
        <v>1.2048700000000001</v>
      </c>
      <c r="E275">
        <v>1.28284</v>
      </c>
      <c r="F275">
        <v>1.31125</v>
      </c>
      <c r="G275">
        <v>1.10782</v>
      </c>
      <c r="H275">
        <v>1.1216299999999999</v>
      </c>
      <c r="I275">
        <v>0.94114500000000001</v>
      </c>
      <c r="J275">
        <v>0.94114500000000001</v>
      </c>
      <c r="K275">
        <v>0.94114500000000001</v>
      </c>
      <c r="L275">
        <v>0.94114500000000001</v>
      </c>
      <c r="M275">
        <v>0.94114500000000001</v>
      </c>
      <c r="N275">
        <v>0.94114500000000001</v>
      </c>
      <c r="O275">
        <v>0.94114500000000001</v>
      </c>
      <c r="P275">
        <v>0.94114500000000001</v>
      </c>
    </row>
    <row r="276" spans="1:16" ht="13" customHeight="1" x14ac:dyDescent="0.15">
      <c r="A276">
        <v>2016</v>
      </c>
      <c r="B276">
        <v>0</v>
      </c>
      <c r="C276">
        <v>1.00617</v>
      </c>
      <c r="D276">
        <v>1.2048700000000001</v>
      </c>
      <c r="E276">
        <v>1.28284</v>
      </c>
      <c r="F276">
        <v>1.31125</v>
      </c>
      <c r="G276">
        <v>1.10782</v>
      </c>
      <c r="H276">
        <v>1.1216299999999999</v>
      </c>
      <c r="I276">
        <v>0.94114500000000001</v>
      </c>
      <c r="J276">
        <v>0.94114500000000001</v>
      </c>
      <c r="K276">
        <v>0.94114500000000001</v>
      </c>
      <c r="L276">
        <v>0.94114500000000001</v>
      </c>
      <c r="M276">
        <v>0.94114500000000001</v>
      </c>
      <c r="N276">
        <v>0.94114500000000001</v>
      </c>
      <c r="O276">
        <v>0.94114500000000001</v>
      </c>
      <c r="P276">
        <v>0.94114500000000001</v>
      </c>
    </row>
    <row r="277" spans="1:16" ht="13" customHeight="1" x14ac:dyDescent="0.15">
      <c r="A277" t="s">
        <v>165</v>
      </c>
      <c r="B277" t="s">
        <v>166</v>
      </c>
      <c r="C277" t="s">
        <v>167</v>
      </c>
      <c r="D277" t="s">
        <v>158</v>
      </c>
      <c r="E277" t="s">
        <v>159</v>
      </c>
    </row>
    <row r="278" spans="1:16" ht="13" customHeight="1" x14ac:dyDescent="0.15">
      <c r="A278">
        <v>1964</v>
      </c>
      <c r="B278">
        <v>2.5321E-2</v>
      </c>
      <c r="C278">
        <v>0.105571</v>
      </c>
      <c r="D278">
        <v>0.16556299999999999</v>
      </c>
      <c r="E278">
        <v>0.19361100000000001</v>
      </c>
      <c r="F278">
        <v>9.5441999999999999E-2</v>
      </c>
      <c r="G278">
        <v>0.26840700000000001</v>
      </c>
      <c r="H278">
        <v>0.120764</v>
      </c>
      <c r="I278">
        <v>2.5321E-2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ht="13" customHeight="1" x14ac:dyDescent="0.15">
      <c r="A279">
        <v>1965</v>
      </c>
      <c r="B279">
        <v>1.417E-2</v>
      </c>
      <c r="C279">
        <v>1.5327E-2</v>
      </c>
      <c r="D279">
        <v>0.20416400000000001</v>
      </c>
      <c r="E279">
        <v>0.55031799999999997</v>
      </c>
      <c r="F279">
        <v>0.13475999999999999</v>
      </c>
      <c r="G279">
        <v>3.3544999999999998E-2</v>
      </c>
      <c r="H279">
        <v>3.2389000000000001E-2</v>
      </c>
      <c r="I279">
        <v>1.5327E-2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ht="13" customHeight="1" x14ac:dyDescent="0.15">
      <c r="A280">
        <v>1966</v>
      </c>
      <c r="B280">
        <v>2.8427999999999998E-2</v>
      </c>
      <c r="C280">
        <v>0.16830200000000001</v>
      </c>
      <c r="D280">
        <v>5.7357999999999999E-2</v>
      </c>
      <c r="E280">
        <v>0.420126</v>
      </c>
      <c r="F280">
        <v>0.26490599999999997</v>
      </c>
      <c r="G280">
        <v>2.4150999999999999E-2</v>
      </c>
      <c r="H280">
        <v>2.6415000000000001E-2</v>
      </c>
      <c r="I280">
        <v>1.0314E-2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ht="13" customHeight="1" x14ac:dyDescent="0.15">
      <c r="A281">
        <v>1967</v>
      </c>
      <c r="B281">
        <v>9.4670099999999997E-3</v>
      </c>
      <c r="C281">
        <v>0.110178</v>
      </c>
      <c r="D281">
        <v>0.57751600000000003</v>
      </c>
      <c r="E281">
        <v>8.7692099999999995E-2</v>
      </c>
      <c r="F281">
        <v>0.16</v>
      </c>
      <c r="G281">
        <v>3.7988000000000001E-2</v>
      </c>
      <c r="H281">
        <v>1.1479E-2</v>
      </c>
      <c r="I281">
        <v>5.6800100000000001E-3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ht="13" customHeight="1" x14ac:dyDescent="0.15">
      <c r="A282">
        <v>1968</v>
      </c>
      <c r="B282">
        <v>3.2939000000000003E-2</v>
      </c>
      <c r="C282">
        <v>0.178617</v>
      </c>
      <c r="D282">
        <v>0.14021800000000001</v>
      </c>
      <c r="E282">
        <v>0.46851700000000002</v>
      </c>
      <c r="F282">
        <v>0.10736999999999999</v>
      </c>
      <c r="G282">
        <v>3.0572999999999999E-2</v>
      </c>
      <c r="H282">
        <v>3.6579E-2</v>
      </c>
      <c r="I282">
        <v>5.1869999999999998E-3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ht="13" customHeight="1" x14ac:dyDescent="0.15">
      <c r="A283">
        <v>1969</v>
      </c>
      <c r="B283">
        <v>1.4678E-2</v>
      </c>
      <c r="C283">
        <v>7.9766100000000006E-2</v>
      </c>
      <c r="D283">
        <v>0.459233</v>
      </c>
      <c r="E283">
        <v>0.31568400000000002</v>
      </c>
      <c r="F283">
        <v>0.10843</v>
      </c>
      <c r="G283">
        <v>2.3050000000000002E-3</v>
      </c>
      <c r="H283">
        <v>1.2142E-2</v>
      </c>
      <c r="I283">
        <v>7.7610099999999996E-3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ht="13" customHeight="1" x14ac:dyDescent="0.15">
      <c r="A284">
        <v>1970</v>
      </c>
      <c r="B284">
        <v>0.15676200000000001</v>
      </c>
      <c r="C284">
        <v>0.238147</v>
      </c>
      <c r="D284">
        <v>0.37426300000000001</v>
      </c>
      <c r="E284">
        <v>0.17669899999999999</v>
      </c>
      <c r="F284">
        <v>3.4247E-2</v>
      </c>
      <c r="G284">
        <v>1.1143E-2</v>
      </c>
      <c r="H284">
        <v>5.5710000000000004E-3</v>
      </c>
      <c r="I284">
        <v>3.1679999999999998E-3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ht="13" customHeight="1" x14ac:dyDescent="0.15">
      <c r="A285">
        <v>1971</v>
      </c>
      <c r="B285">
        <v>0.165462</v>
      </c>
      <c r="C285">
        <v>4.9415000000000001E-2</v>
      </c>
      <c r="D285">
        <v>0.27603</v>
      </c>
      <c r="E285">
        <v>0.18528700000000001</v>
      </c>
      <c r="F285">
        <v>0.27468900000000002</v>
      </c>
      <c r="G285">
        <v>2.6682999999999998E-2</v>
      </c>
      <c r="H285">
        <v>1.7514999999999999E-2</v>
      </c>
      <c r="I285">
        <v>4.9189999999999998E-3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ht="13" customHeight="1" x14ac:dyDescent="0.15">
      <c r="A286">
        <v>1972</v>
      </c>
      <c r="B286">
        <v>3.1427999999999998E-2</v>
      </c>
      <c r="C286">
        <v>0.15159600000000001</v>
      </c>
      <c r="D286">
        <v>0.349715</v>
      </c>
      <c r="E286">
        <v>0.28007900000000002</v>
      </c>
      <c r="F286">
        <v>0.11734700000000001</v>
      </c>
      <c r="G286">
        <v>4.6027999999999999E-2</v>
      </c>
      <c r="H286">
        <v>1.7471E-2</v>
      </c>
      <c r="I286">
        <v>6.3350100000000003E-3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ht="13" customHeight="1" x14ac:dyDescent="0.15">
      <c r="A287">
        <v>1973</v>
      </c>
      <c r="B287">
        <v>1.1129E-2</v>
      </c>
      <c r="C287">
        <v>0.100338</v>
      </c>
      <c r="D287">
        <v>0.121466</v>
      </c>
      <c r="E287">
        <v>0.26405400000000001</v>
      </c>
      <c r="F287">
        <v>0.202123</v>
      </c>
      <c r="G287">
        <v>0.13807</v>
      </c>
      <c r="H287">
        <v>7.6821899999999999E-2</v>
      </c>
      <c r="I287">
        <v>5.5642900000000002E-2</v>
      </c>
      <c r="J287">
        <v>2.4972000000000001E-2</v>
      </c>
      <c r="K287">
        <v>4.4979900000000003E-3</v>
      </c>
      <c r="L287">
        <v>5.6599899999999997E-4</v>
      </c>
      <c r="M287">
        <v>1.4999999999999999E-4</v>
      </c>
      <c r="N287" s="1">
        <v>3.2499999999999997E-5</v>
      </c>
      <c r="O287">
        <v>1.3799999999999999E-4</v>
      </c>
      <c r="P287">
        <v>0</v>
      </c>
    </row>
    <row r="288" spans="1:16" ht="13" customHeight="1" x14ac:dyDescent="0.15">
      <c r="A288">
        <v>1974</v>
      </c>
      <c r="B288">
        <v>2.4247000000000001E-2</v>
      </c>
      <c r="C288">
        <v>0.52727999999999997</v>
      </c>
      <c r="D288">
        <v>0.19487099999999999</v>
      </c>
      <c r="E288">
        <v>5.54271E-2</v>
      </c>
      <c r="F288">
        <v>7.4453099999999994E-2</v>
      </c>
      <c r="G288">
        <v>4.0191999999999999E-2</v>
      </c>
      <c r="H288">
        <v>2.5745000000000001E-2</v>
      </c>
      <c r="I288">
        <v>2.1690000000000001E-2</v>
      </c>
      <c r="J288">
        <v>2.1288999999999999E-2</v>
      </c>
      <c r="K288">
        <v>8.9540100000000001E-3</v>
      </c>
      <c r="L288">
        <v>3.6380000000000002E-3</v>
      </c>
      <c r="M288">
        <v>9.5000100000000001E-4</v>
      </c>
      <c r="N288">
        <v>9.4800099999999997E-4</v>
      </c>
      <c r="O288">
        <v>1.6899999999999999E-4</v>
      </c>
      <c r="P288">
        <v>1.47E-4</v>
      </c>
    </row>
    <row r="289" spans="1:16" ht="13" customHeight="1" x14ac:dyDescent="0.15">
      <c r="A289">
        <v>1975</v>
      </c>
      <c r="B289">
        <v>8.5430000000000002E-3</v>
      </c>
      <c r="C289">
        <v>0.150288</v>
      </c>
      <c r="D289">
        <v>0.69184299999999999</v>
      </c>
      <c r="E289">
        <v>5.3185000000000003E-2</v>
      </c>
      <c r="F289">
        <v>1.4149E-2</v>
      </c>
      <c r="G289">
        <v>2.6572999999999999E-2</v>
      </c>
      <c r="H289">
        <v>2.5451999999999999E-2</v>
      </c>
      <c r="I289">
        <v>1.3868999999999999E-2</v>
      </c>
      <c r="J289">
        <v>8.1620000000000009E-3</v>
      </c>
      <c r="K289">
        <v>5.7470000000000004E-3</v>
      </c>
      <c r="L289">
        <v>1.421E-3</v>
      </c>
      <c r="M289">
        <v>5.62E-4</v>
      </c>
      <c r="N289" s="1">
        <v>9.0400000000000002E-5</v>
      </c>
      <c r="O289">
        <v>1.16E-4</v>
      </c>
      <c r="P289">
        <v>0</v>
      </c>
    </row>
    <row r="290" spans="1:16" ht="13" customHeight="1" x14ac:dyDescent="0.15">
      <c r="A290">
        <v>1976</v>
      </c>
      <c r="B290">
        <v>2.0000000000000001E-4</v>
      </c>
      <c r="C290">
        <v>0.120162</v>
      </c>
      <c r="D290">
        <v>0.45461600000000002</v>
      </c>
      <c r="E290">
        <v>0.30598599999999998</v>
      </c>
      <c r="F290">
        <v>3.0152000000000002E-2</v>
      </c>
      <c r="G290">
        <v>1.3916E-2</v>
      </c>
      <c r="H290">
        <v>1.9279000000000001E-2</v>
      </c>
      <c r="I290">
        <v>2.2363000000000001E-2</v>
      </c>
      <c r="J290">
        <v>1.7395999999999998E-2</v>
      </c>
      <c r="K290">
        <v>8.5719899999999998E-3</v>
      </c>
      <c r="L290">
        <v>3.9560000000000003E-3</v>
      </c>
      <c r="M290">
        <v>2.7060000000000001E-3</v>
      </c>
      <c r="N290">
        <v>6.9699900000000001E-4</v>
      </c>
      <c r="O290">
        <v>0</v>
      </c>
      <c r="P290">
        <v>0</v>
      </c>
    </row>
    <row r="291" spans="1:16" ht="13" customHeight="1" x14ac:dyDescent="0.15">
      <c r="A291">
        <v>1977</v>
      </c>
      <c r="B291">
        <v>3.7671999999999997E-2</v>
      </c>
      <c r="C291">
        <v>0.247673</v>
      </c>
      <c r="D291">
        <v>0.331098</v>
      </c>
      <c r="E291">
        <v>0.23990500000000001</v>
      </c>
      <c r="F291">
        <v>8.6128999999999997E-2</v>
      </c>
      <c r="G291">
        <v>1.9158000000000001E-2</v>
      </c>
      <c r="H291">
        <v>7.0299999999999998E-3</v>
      </c>
      <c r="I291">
        <v>1.0141000000000001E-2</v>
      </c>
      <c r="J291">
        <v>8.1110000000000002E-3</v>
      </c>
      <c r="K291">
        <v>6.5139999999999998E-3</v>
      </c>
      <c r="L291">
        <v>3.3600000000000001E-3</v>
      </c>
      <c r="M291">
        <v>1.6670000000000001E-3</v>
      </c>
      <c r="N291">
        <v>1.2290000000000001E-3</v>
      </c>
      <c r="O291">
        <v>2.4499999999999999E-4</v>
      </c>
      <c r="P291" s="1">
        <v>6.7799999999999995E-5</v>
      </c>
    </row>
    <row r="292" spans="1:16" ht="13" customHeight="1" x14ac:dyDescent="0.15">
      <c r="A292">
        <v>1978</v>
      </c>
      <c r="B292">
        <v>1.2042000000000001E-2</v>
      </c>
      <c r="C292">
        <v>0.186306</v>
      </c>
      <c r="D292">
        <v>0.308118</v>
      </c>
      <c r="E292">
        <v>0.26135900000000001</v>
      </c>
      <c r="F292">
        <v>0.15068000000000001</v>
      </c>
      <c r="G292">
        <v>4.0794999999999998E-2</v>
      </c>
      <c r="H292">
        <v>1.1771999999999999E-2</v>
      </c>
      <c r="I292">
        <v>7.0980000000000001E-3</v>
      </c>
      <c r="J292">
        <v>8.0470000000000003E-3</v>
      </c>
      <c r="K292">
        <v>6.4710000000000002E-3</v>
      </c>
      <c r="L292">
        <v>4.5589999999999997E-3</v>
      </c>
      <c r="M292">
        <v>1.7409999999999999E-3</v>
      </c>
      <c r="N292">
        <v>7.2199999999999999E-4</v>
      </c>
      <c r="O292">
        <v>2.2100000000000001E-4</v>
      </c>
      <c r="P292" s="1">
        <v>6.9200000000000002E-5</v>
      </c>
    </row>
    <row r="293" spans="1:16" ht="13" customHeight="1" x14ac:dyDescent="0.15">
      <c r="A293">
        <v>1979</v>
      </c>
      <c r="B293">
        <v>3.95E-2</v>
      </c>
      <c r="C293">
        <v>0.21152499999999999</v>
      </c>
      <c r="D293">
        <v>0.28037299999999998</v>
      </c>
      <c r="E293">
        <v>0.16364799999999999</v>
      </c>
      <c r="F293">
        <v>0.152892</v>
      </c>
      <c r="G293">
        <v>8.3938899999999997E-2</v>
      </c>
      <c r="H293">
        <v>2.1921E-2</v>
      </c>
      <c r="I293">
        <v>1.0012E-2</v>
      </c>
      <c r="J293">
        <v>1.3972999999999999E-2</v>
      </c>
      <c r="K293">
        <v>1.0706E-2</v>
      </c>
      <c r="L293">
        <v>6.8619900000000001E-3</v>
      </c>
      <c r="M293">
        <v>3.0690000000000001E-3</v>
      </c>
      <c r="N293">
        <v>1.1529999999999999E-3</v>
      </c>
      <c r="O293">
        <v>2.0599999999999999E-4</v>
      </c>
      <c r="P293">
        <v>2.22E-4</v>
      </c>
    </row>
    <row r="294" spans="1:16" ht="13" customHeight="1" x14ac:dyDescent="0.15">
      <c r="A294">
        <v>1980</v>
      </c>
      <c r="B294">
        <v>4.0340000000000003E-3</v>
      </c>
      <c r="C294">
        <v>0.19093199999999999</v>
      </c>
      <c r="D294">
        <v>0.33992600000000001</v>
      </c>
      <c r="E294">
        <v>0.183116</v>
      </c>
      <c r="F294">
        <v>0.10412399999999999</v>
      </c>
      <c r="G294">
        <v>8.7116899999999997E-2</v>
      </c>
      <c r="H294">
        <v>3.4571999999999999E-2</v>
      </c>
      <c r="I294">
        <v>1.5525000000000001E-2</v>
      </c>
      <c r="J294">
        <v>8.9809899999999995E-3</v>
      </c>
      <c r="K294">
        <v>9.8769900000000004E-3</v>
      </c>
      <c r="L294">
        <v>1.0508E-2</v>
      </c>
      <c r="M294">
        <v>6.5609900000000001E-3</v>
      </c>
      <c r="N294">
        <v>3.192E-3</v>
      </c>
      <c r="O294">
        <v>1.036E-3</v>
      </c>
      <c r="P294">
        <v>5.0000000000000001E-4</v>
      </c>
    </row>
    <row r="295" spans="1:16" ht="13" customHeight="1" x14ac:dyDescent="0.15">
      <c r="A295">
        <v>1981</v>
      </c>
      <c r="B295">
        <v>2.6200000000000003E-4</v>
      </c>
      <c r="C295">
        <v>3.3202000000000002E-2</v>
      </c>
      <c r="D295">
        <v>0.46571299999999999</v>
      </c>
      <c r="E295">
        <v>0.29335</v>
      </c>
      <c r="F295">
        <v>0.10438699999999999</v>
      </c>
      <c r="G295">
        <v>4.7308000000000003E-2</v>
      </c>
      <c r="H295">
        <v>2.3758000000000001E-2</v>
      </c>
      <c r="I295">
        <v>1.3610000000000001E-2</v>
      </c>
      <c r="J295">
        <v>7.4029899999999999E-3</v>
      </c>
      <c r="K295">
        <v>4.2989999999999999E-3</v>
      </c>
      <c r="L295">
        <v>3.4529999999999999E-3</v>
      </c>
      <c r="M295">
        <v>2.1150000000000001E-3</v>
      </c>
      <c r="N295">
        <v>6.9899899999999995E-4</v>
      </c>
      <c r="O295">
        <v>2.9E-4</v>
      </c>
      <c r="P295">
        <v>1.5200000000000001E-4</v>
      </c>
    </row>
    <row r="296" spans="1:16" ht="13" customHeight="1" x14ac:dyDescent="0.15">
      <c r="A296">
        <v>1982</v>
      </c>
      <c r="B296">
        <v>2.3700000000000001E-3</v>
      </c>
      <c r="C296">
        <v>1.2649000000000001E-2</v>
      </c>
      <c r="D296">
        <v>8.0549999999999997E-2</v>
      </c>
      <c r="E296">
        <v>0.58499100000000004</v>
      </c>
      <c r="F296">
        <v>0.21074300000000001</v>
      </c>
      <c r="G296">
        <v>5.1754000000000001E-2</v>
      </c>
      <c r="H296">
        <v>1.7953E-2</v>
      </c>
      <c r="I296">
        <v>1.7972999999999999E-2</v>
      </c>
      <c r="J296">
        <v>1.0743000000000001E-2</v>
      </c>
      <c r="K296">
        <v>4.5310000000000003E-3</v>
      </c>
      <c r="L296">
        <v>2.7039999999999998E-3</v>
      </c>
      <c r="M296">
        <v>1.5870000000000001E-3</v>
      </c>
      <c r="N296">
        <v>9.2800000000000001E-4</v>
      </c>
      <c r="O296">
        <v>3.4400000000000001E-4</v>
      </c>
      <c r="P296">
        <v>1.8000000000000001E-4</v>
      </c>
    </row>
    <row r="297" spans="1:16" ht="13" customHeight="1" x14ac:dyDescent="0.15">
      <c r="A297">
        <v>1983</v>
      </c>
      <c r="B297">
        <v>2.9060100000000001E-3</v>
      </c>
      <c r="C297">
        <v>6.7965100000000001E-2</v>
      </c>
      <c r="D297">
        <v>9.0431200000000003E-2</v>
      </c>
      <c r="E297">
        <v>0.17937800000000001</v>
      </c>
      <c r="F297">
        <v>0.46821000000000002</v>
      </c>
      <c r="G297">
        <v>0.12509300000000001</v>
      </c>
      <c r="H297">
        <v>2.3737999999999999E-2</v>
      </c>
      <c r="I297">
        <v>1.4167000000000001E-2</v>
      </c>
      <c r="J297">
        <v>1.1353E-2</v>
      </c>
      <c r="K297">
        <v>6.3620100000000004E-3</v>
      </c>
      <c r="L297">
        <v>4.3560099999999996E-3</v>
      </c>
      <c r="M297">
        <v>2.8080100000000001E-3</v>
      </c>
      <c r="N297">
        <v>2.0170000000000001E-3</v>
      </c>
      <c r="O297">
        <v>9.9700200000000009E-4</v>
      </c>
      <c r="P297">
        <v>2.1800000000000001E-4</v>
      </c>
    </row>
    <row r="298" spans="1:16" ht="13" customHeight="1" x14ac:dyDescent="0.15">
      <c r="A298">
        <v>1984</v>
      </c>
      <c r="B298">
        <v>1.0820000000000001E-3</v>
      </c>
      <c r="C298">
        <v>2.3623000000000002E-2</v>
      </c>
      <c r="D298">
        <v>4.5693999999999999E-2</v>
      </c>
      <c r="E298">
        <v>0.22206999999999999</v>
      </c>
      <c r="F298">
        <v>0.25354900000000002</v>
      </c>
      <c r="G298">
        <v>0.33724700000000002</v>
      </c>
      <c r="H298">
        <v>6.9013099999999994E-2</v>
      </c>
      <c r="I298">
        <v>1.8339999999999999E-2</v>
      </c>
      <c r="J298">
        <v>1.2938E-2</v>
      </c>
      <c r="K298">
        <v>8.0670099999999995E-3</v>
      </c>
      <c r="L298">
        <v>3.6600000000000001E-3</v>
      </c>
      <c r="M298">
        <v>1.299E-3</v>
      </c>
      <c r="N298">
        <v>1.5100000000000001E-3</v>
      </c>
      <c r="O298">
        <v>8.6100100000000002E-4</v>
      </c>
      <c r="P298">
        <v>1.0460000000000001E-3</v>
      </c>
    </row>
    <row r="299" spans="1:16" ht="13" customHeight="1" x14ac:dyDescent="0.15">
      <c r="A299">
        <v>1985</v>
      </c>
      <c r="B299">
        <v>1.377E-3</v>
      </c>
      <c r="C299">
        <v>2.8742E-2</v>
      </c>
      <c r="D299">
        <v>0.198541</v>
      </c>
      <c r="E299">
        <v>6.3409999999999994E-2</v>
      </c>
      <c r="F299">
        <v>0.190469</v>
      </c>
      <c r="G299">
        <v>0.16742599999999999</v>
      </c>
      <c r="H299">
        <v>0.23080999999999999</v>
      </c>
      <c r="I299">
        <v>5.8574000000000001E-2</v>
      </c>
      <c r="J299">
        <v>1.9047999999999999E-2</v>
      </c>
      <c r="K299">
        <v>1.3448999999999999E-2</v>
      </c>
      <c r="L299">
        <v>1.2929E-2</v>
      </c>
      <c r="M299">
        <v>5.5529999999999998E-3</v>
      </c>
      <c r="N299">
        <v>4.9090000000000002E-3</v>
      </c>
      <c r="O299">
        <v>2.088E-3</v>
      </c>
      <c r="P299">
        <v>2.6749999999999999E-3</v>
      </c>
    </row>
    <row r="300" spans="1:16" ht="13" customHeight="1" x14ac:dyDescent="0.15">
      <c r="A300">
        <v>1986</v>
      </c>
      <c r="B300">
        <v>1.5139999999999999E-3</v>
      </c>
      <c r="C300">
        <v>4.2153999999999997E-2</v>
      </c>
      <c r="D300">
        <v>4.5221999999999998E-2</v>
      </c>
      <c r="E300">
        <v>0.36684699999999998</v>
      </c>
      <c r="F300">
        <v>0.10492600000000001</v>
      </c>
      <c r="G300">
        <v>0.18529300000000001</v>
      </c>
      <c r="H300">
        <v>0.108734</v>
      </c>
      <c r="I300">
        <v>0.105004</v>
      </c>
      <c r="J300">
        <v>2.9249000000000001E-2</v>
      </c>
      <c r="K300">
        <v>7.4400100000000004E-3</v>
      </c>
      <c r="L300">
        <v>1.637E-3</v>
      </c>
      <c r="M300">
        <v>1.2639999999999999E-3</v>
      </c>
      <c r="N300">
        <v>1.3200000000000001E-4</v>
      </c>
      <c r="O300">
        <v>5.8300099999999998E-4</v>
      </c>
      <c r="P300">
        <v>0</v>
      </c>
    </row>
    <row r="301" spans="1:16" ht="13" customHeight="1" x14ac:dyDescent="0.15">
      <c r="A301">
        <v>1987</v>
      </c>
      <c r="B301">
        <v>0</v>
      </c>
      <c r="C301">
        <v>1.4352999999999999E-2</v>
      </c>
      <c r="D301">
        <v>8.0901899999999999E-2</v>
      </c>
      <c r="E301">
        <v>5.62789E-2</v>
      </c>
      <c r="F301">
        <v>0.29985800000000001</v>
      </c>
      <c r="G301">
        <v>0.100715</v>
      </c>
      <c r="H301">
        <v>8.8820899999999994E-2</v>
      </c>
      <c r="I301">
        <v>6.5741900000000006E-2</v>
      </c>
      <c r="J301">
        <v>0.179309</v>
      </c>
      <c r="K301">
        <v>3.9206999999999999E-2</v>
      </c>
      <c r="L301">
        <v>2.8063999999999999E-2</v>
      </c>
      <c r="M301">
        <v>1.5557E-2</v>
      </c>
      <c r="N301">
        <v>2.0974E-2</v>
      </c>
      <c r="O301">
        <v>4.4209999999999996E-3</v>
      </c>
      <c r="P301">
        <v>5.7989900000000004E-3</v>
      </c>
    </row>
    <row r="302" spans="1:16" ht="13" customHeight="1" x14ac:dyDescent="0.15">
      <c r="A302">
        <v>1988</v>
      </c>
      <c r="B302">
        <v>0</v>
      </c>
      <c r="C302">
        <v>4.8669999999999998E-3</v>
      </c>
      <c r="D302">
        <v>0.20707800000000001</v>
      </c>
      <c r="E302">
        <v>0.19230800000000001</v>
      </c>
      <c r="F302">
        <v>0.115004</v>
      </c>
      <c r="G302">
        <v>0.24830199999999999</v>
      </c>
      <c r="H302">
        <v>0.10252699999999999</v>
      </c>
      <c r="I302">
        <v>4.7865999999999999E-2</v>
      </c>
      <c r="J302">
        <v>1.7871999999999999E-2</v>
      </c>
      <c r="K302">
        <v>4.4149000000000001E-2</v>
      </c>
      <c r="L302">
        <v>8.3239899999999999E-3</v>
      </c>
      <c r="M302">
        <v>4.6579999999999998E-3</v>
      </c>
      <c r="N302">
        <v>1.7149999999999999E-3</v>
      </c>
      <c r="O302">
        <v>2.506E-3</v>
      </c>
      <c r="P302">
        <v>2.8249999999999998E-3</v>
      </c>
    </row>
    <row r="303" spans="1:16" ht="13" customHeight="1" x14ac:dyDescent="0.15">
      <c r="A303">
        <v>1989</v>
      </c>
      <c r="B303">
        <v>0</v>
      </c>
      <c r="C303">
        <v>2.6710000000000002E-3</v>
      </c>
      <c r="D303">
        <v>3.0904000000000001E-2</v>
      </c>
      <c r="E303">
        <v>8.3526900000000001E-2</v>
      </c>
      <c r="F303">
        <v>0.25288300000000002</v>
      </c>
      <c r="G303">
        <v>9.3472899999999998E-2</v>
      </c>
      <c r="H303">
        <v>0.32077600000000001</v>
      </c>
      <c r="I303">
        <v>5.39969E-2</v>
      </c>
      <c r="J303">
        <v>5.81659E-2</v>
      </c>
      <c r="K303">
        <v>1.8176000000000001E-2</v>
      </c>
      <c r="L303">
        <v>7.2329900000000003E-2</v>
      </c>
      <c r="M303">
        <v>6.1019899999999998E-3</v>
      </c>
      <c r="N303">
        <v>2.235E-3</v>
      </c>
      <c r="O303">
        <v>1.436E-3</v>
      </c>
      <c r="P303">
        <v>3.3249999999999998E-3</v>
      </c>
    </row>
    <row r="304" spans="1:16" ht="13" customHeight="1" x14ac:dyDescent="0.15">
      <c r="A304">
        <v>1990</v>
      </c>
      <c r="B304">
        <v>7.5199999999999996E-4</v>
      </c>
      <c r="C304">
        <v>1.8901000000000001E-2</v>
      </c>
      <c r="D304">
        <v>3.2625000000000001E-2</v>
      </c>
      <c r="E304">
        <v>0.12570799999999999</v>
      </c>
      <c r="F304">
        <v>0.114964</v>
      </c>
      <c r="G304">
        <v>0.27363300000000002</v>
      </c>
      <c r="H304">
        <v>7.4005000000000001E-2</v>
      </c>
      <c r="I304">
        <v>0.21101500000000001</v>
      </c>
      <c r="J304">
        <v>3.7631999999999999E-2</v>
      </c>
      <c r="K304">
        <v>5.8368000000000003E-2</v>
      </c>
      <c r="L304">
        <v>5.1780000000000003E-3</v>
      </c>
      <c r="M304">
        <v>3.4402000000000002E-2</v>
      </c>
      <c r="N304">
        <v>4.8650000000000004E-3</v>
      </c>
      <c r="O304">
        <v>2.6770000000000001E-3</v>
      </c>
      <c r="P304">
        <v>5.2750000000000002E-3</v>
      </c>
    </row>
    <row r="305" spans="1:16" ht="13" customHeight="1" x14ac:dyDescent="0.15">
      <c r="A305">
        <v>1991</v>
      </c>
      <c r="B305">
        <v>4.6045E-4</v>
      </c>
      <c r="C305">
        <v>7.6072600000000004E-2</v>
      </c>
      <c r="D305">
        <v>2.7155200000000001E-2</v>
      </c>
      <c r="E305">
        <v>5.8872599999999997E-2</v>
      </c>
      <c r="F305">
        <v>9.4697600000000007E-2</v>
      </c>
      <c r="G305">
        <v>0.103979</v>
      </c>
      <c r="H305">
        <v>0.26279200000000003</v>
      </c>
      <c r="I305">
        <v>3.5341400000000002E-2</v>
      </c>
      <c r="J305">
        <v>0.14860999999999999</v>
      </c>
      <c r="K305">
        <v>1.4827999999999999E-2</v>
      </c>
      <c r="L305">
        <v>7.8252299999999997E-2</v>
      </c>
      <c r="M305">
        <v>9.3670699999999999E-3</v>
      </c>
      <c r="N305">
        <v>4.9434199999999998E-2</v>
      </c>
      <c r="O305">
        <v>1.16125E-2</v>
      </c>
      <c r="P305">
        <v>2.8524899999999999E-2</v>
      </c>
    </row>
    <row r="306" spans="1:16" ht="13" customHeight="1" x14ac:dyDescent="0.15">
      <c r="A306">
        <v>1992</v>
      </c>
      <c r="B306">
        <v>0</v>
      </c>
      <c r="C306">
        <v>4.8702799999999997E-2</v>
      </c>
      <c r="D306">
        <v>0.35137499999999999</v>
      </c>
      <c r="E306">
        <v>6.9120699999999993E-2</v>
      </c>
      <c r="F306">
        <v>4.14104E-2</v>
      </c>
      <c r="G306">
        <v>5.9468699999999999E-2</v>
      </c>
      <c r="H306">
        <v>6.99293E-2</v>
      </c>
      <c r="I306">
        <v>0.13129099999999999</v>
      </c>
      <c r="J306">
        <v>5.21205E-2</v>
      </c>
      <c r="K306">
        <v>8.0742999999999995E-2</v>
      </c>
      <c r="L306">
        <v>2.82823E-2</v>
      </c>
      <c r="M306">
        <v>2.24298E-2</v>
      </c>
      <c r="N306">
        <v>6.4984600000000002E-3</v>
      </c>
      <c r="O306">
        <v>2.17889E-2</v>
      </c>
      <c r="P306">
        <v>1.6839199999999999E-2</v>
      </c>
    </row>
    <row r="307" spans="1:16" ht="13" customHeight="1" x14ac:dyDescent="0.15">
      <c r="A307">
        <v>1993</v>
      </c>
      <c r="B307" s="1">
        <v>8.7097999999999999E-5</v>
      </c>
      <c r="C307">
        <v>4.2855999999999997E-3</v>
      </c>
      <c r="D307">
        <v>0.13875000000000001</v>
      </c>
      <c r="E307">
        <v>0.60531100000000004</v>
      </c>
      <c r="F307">
        <v>5.3946500000000001E-2</v>
      </c>
      <c r="G307">
        <v>3.4765400000000002E-2</v>
      </c>
      <c r="H307">
        <v>3.3647000000000003E-2</v>
      </c>
      <c r="I307">
        <v>2.8126100000000001E-2</v>
      </c>
      <c r="J307">
        <v>4.81754E-2</v>
      </c>
      <c r="K307">
        <v>1.08196E-2</v>
      </c>
      <c r="L307">
        <v>1.70609E-2</v>
      </c>
      <c r="M307">
        <v>6.1771700000000001E-3</v>
      </c>
      <c r="N307">
        <v>6.6121900000000004E-3</v>
      </c>
      <c r="O307">
        <v>3.5210100000000002E-3</v>
      </c>
      <c r="P307">
        <v>8.7145999999999994E-3</v>
      </c>
    </row>
    <row r="308" spans="1:16" ht="13" customHeight="1" x14ac:dyDescent="0.15">
      <c r="A308">
        <v>1994</v>
      </c>
      <c r="B308">
        <v>8.9005599999999996E-4</v>
      </c>
      <c r="C308">
        <v>1.9537700000000002E-2</v>
      </c>
      <c r="D308">
        <v>3.0823300000000001E-2</v>
      </c>
      <c r="E308">
        <v>0.195297</v>
      </c>
      <c r="F308">
        <v>0.57924699999999996</v>
      </c>
      <c r="G308">
        <v>9.5446400000000001E-2</v>
      </c>
      <c r="H308">
        <v>2.9574300000000001E-2</v>
      </c>
      <c r="I308">
        <v>1.0966999999999999E-2</v>
      </c>
      <c r="J308">
        <v>7.2579200000000002E-3</v>
      </c>
      <c r="K308">
        <v>1.12467E-2</v>
      </c>
      <c r="L308">
        <v>4.6451299999999999E-3</v>
      </c>
      <c r="M308">
        <v>5.1085699999999998E-3</v>
      </c>
      <c r="N308">
        <v>3.8176799999999999E-3</v>
      </c>
      <c r="O308">
        <v>2.0198199999999999E-3</v>
      </c>
      <c r="P308">
        <v>4.1211199999999998E-3</v>
      </c>
    </row>
    <row r="309" spans="1:16" ht="13" customHeight="1" x14ac:dyDescent="0.15">
      <c r="A309">
        <v>1995</v>
      </c>
      <c r="B309">
        <v>0</v>
      </c>
      <c r="C309">
        <v>2.9289600000000001E-4</v>
      </c>
      <c r="D309">
        <v>5.0363100000000001E-2</v>
      </c>
      <c r="E309">
        <v>9.39223E-2</v>
      </c>
      <c r="F309">
        <v>0.246087</v>
      </c>
      <c r="G309">
        <v>0.47128500000000001</v>
      </c>
      <c r="H309">
        <v>8.0852999999999994E-2</v>
      </c>
      <c r="I309">
        <v>1.9942000000000001E-2</v>
      </c>
      <c r="J309">
        <v>6.8588499999999997E-3</v>
      </c>
      <c r="K309">
        <v>5.2520600000000002E-3</v>
      </c>
      <c r="L309">
        <v>1.1285099999999999E-2</v>
      </c>
      <c r="M309">
        <v>3.3881900000000001E-3</v>
      </c>
      <c r="N309">
        <v>3.9102099999999999E-3</v>
      </c>
      <c r="O309">
        <v>9.5909100000000002E-4</v>
      </c>
      <c r="P309">
        <v>5.6012299999999996E-3</v>
      </c>
    </row>
    <row r="310" spans="1:16" ht="13" customHeight="1" x14ac:dyDescent="0.15">
      <c r="A310">
        <v>1996</v>
      </c>
      <c r="B310">
        <v>0</v>
      </c>
      <c r="C310">
        <v>1.6193599999999999E-2</v>
      </c>
      <c r="D310">
        <v>3.9191700000000003E-2</v>
      </c>
      <c r="E310">
        <v>5.7006899999999999E-2</v>
      </c>
      <c r="F310">
        <v>0.11598799999999999</v>
      </c>
      <c r="G310">
        <v>0.256795</v>
      </c>
      <c r="H310">
        <v>0.331094</v>
      </c>
      <c r="I310">
        <v>0.12934699999999999</v>
      </c>
      <c r="J310">
        <v>2.1890099999999999E-2</v>
      </c>
      <c r="K310">
        <v>9.3588500000000002E-3</v>
      </c>
      <c r="L310">
        <v>6.1417800000000003E-3</v>
      </c>
      <c r="M310">
        <v>5.96614E-3</v>
      </c>
      <c r="N310">
        <v>3.3301799999999999E-3</v>
      </c>
      <c r="O310">
        <v>3.6975699999999998E-3</v>
      </c>
      <c r="P310">
        <v>3.9995300000000003E-3</v>
      </c>
    </row>
    <row r="311" spans="1:16" ht="13" customHeight="1" x14ac:dyDescent="0.15">
      <c r="A311">
        <v>1997</v>
      </c>
      <c r="B311">
        <v>1.5192599999999999E-3</v>
      </c>
      <c r="C311">
        <v>5.3697599999999998E-2</v>
      </c>
      <c r="D311">
        <v>2.4262300000000001E-2</v>
      </c>
      <c r="E311">
        <v>7.1756399999999998E-2</v>
      </c>
      <c r="F311">
        <v>0.307506</v>
      </c>
      <c r="G311">
        <v>0.18525</v>
      </c>
      <c r="H311">
        <v>0.161498</v>
      </c>
      <c r="I311">
        <v>0.12640599999999999</v>
      </c>
      <c r="J311">
        <v>3.9569699999999999E-2</v>
      </c>
      <c r="K311">
        <v>8.7151499999999996E-3</v>
      </c>
      <c r="L311">
        <v>4.1252700000000003E-3</v>
      </c>
      <c r="M311">
        <v>3.1979199999999999E-3</v>
      </c>
      <c r="N311">
        <v>2.2527799999999998E-3</v>
      </c>
      <c r="O311">
        <v>3.06435E-3</v>
      </c>
      <c r="P311">
        <v>7.1796899999999999E-3</v>
      </c>
    </row>
    <row r="312" spans="1:16" ht="13" customHeight="1" x14ac:dyDescent="0.15">
      <c r="A312">
        <v>1998</v>
      </c>
      <c r="B312">
        <v>3.9895099999999998E-4</v>
      </c>
      <c r="C312">
        <v>3.3067800000000001E-2</v>
      </c>
      <c r="D312">
        <v>5.8066899999999998E-2</v>
      </c>
      <c r="E312">
        <v>4.6541699999999998E-2</v>
      </c>
      <c r="F312">
        <v>0.101453</v>
      </c>
      <c r="G312">
        <v>0.444133</v>
      </c>
      <c r="H312">
        <v>0.128693</v>
      </c>
      <c r="I312">
        <v>8.2978200000000002E-2</v>
      </c>
      <c r="J312">
        <v>7.0285399999999998E-2</v>
      </c>
      <c r="K312">
        <v>1.9068499999999999E-2</v>
      </c>
      <c r="L312">
        <v>4.0903199999999997E-3</v>
      </c>
      <c r="M312">
        <v>3.7444700000000002E-3</v>
      </c>
      <c r="N312">
        <v>1.8544E-3</v>
      </c>
      <c r="O312">
        <v>2.0789699999999999E-3</v>
      </c>
      <c r="P312">
        <v>3.5451699999999998E-3</v>
      </c>
    </row>
    <row r="313" spans="1:16" ht="13" customHeight="1" x14ac:dyDescent="0.15">
      <c r="A313">
        <v>1999</v>
      </c>
      <c r="B313">
        <v>2.7375799999999998E-4</v>
      </c>
      <c r="C313">
        <v>7.7235000000000003E-3</v>
      </c>
      <c r="D313">
        <v>0.19648399999999999</v>
      </c>
      <c r="E313">
        <v>0.15170800000000001</v>
      </c>
      <c r="F313">
        <v>7.0108900000000002E-2</v>
      </c>
      <c r="G313">
        <v>0.103698</v>
      </c>
      <c r="H313">
        <v>0.31556899999999999</v>
      </c>
      <c r="I313">
        <v>8.8403099999999998E-2</v>
      </c>
      <c r="J313">
        <v>3.83205E-2</v>
      </c>
      <c r="K313">
        <v>2.1909700000000001E-2</v>
      </c>
      <c r="L313">
        <v>2.3183399999999999E-3</v>
      </c>
      <c r="M313">
        <v>1.48507E-3</v>
      </c>
      <c r="N313">
        <v>4.9211999999999997E-4</v>
      </c>
      <c r="O313">
        <v>2.5911E-4</v>
      </c>
      <c r="P313">
        <v>1.2477499999999999E-3</v>
      </c>
    </row>
    <row r="314" spans="1:16" ht="13" customHeight="1" x14ac:dyDescent="0.15">
      <c r="A314">
        <v>2000</v>
      </c>
      <c r="B314">
        <v>0</v>
      </c>
      <c r="C314">
        <v>1.0544400000000001E-2</v>
      </c>
      <c r="D314">
        <v>4.8673599999999997E-2</v>
      </c>
      <c r="E314">
        <v>0.25691900000000001</v>
      </c>
      <c r="F314">
        <v>0.208256</v>
      </c>
      <c r="G314">
        <v>6.3979499999999995E-2</v>
      </c>
      <c r="H314">
        <v>0.102642</v>
      </c>
      <c r="I314">
        <v>0.21825</v>
      </c>
      <c r="J314">
        <v>5.2189399999999997E-2</v>
      </c>
      <c r="K314">
        <v>1.79699E-2</v>
      </c>
      <c r="L314">
        <v>1.4796800000000001E-2</v>
      </c>
      <c r="M314">
        <v>3.44159E-3</v>
      </c>
      <c r="N314">
        <v>9.4149700000000002E-4</v>
      </c>
      <c r="O314">
        <v>4.9062699999999999E-4</v>
      </c>
      <c r="P314">
        <v>9.0559899999999999E-4</v>
      </c>
    </row>
    <row r="315" spans="1:16" ht="13" customHeight="1" x14ac:dyDescent="0.15">
      <c r="A315">
        <v>2001</v>
      </c>
      <c r="B315">
        <v>0</v>
      </c>
      <c r="C315">
        <v>2.1389999999999998E-3</v>
      </c>
      <c r="D315">
        <v>3.2501099999999998E-2</v>
      </c>
      <c r="E315">
        <v>9.2801300000000003E-2</v>
      </c>
      <c r="F315">
        <v>0.32914900000000002</v>
      </c>
      <c r="G315">
        <v>0.232373</v>
      </c>
      <c r="H315">
        <v>7.7923699999999999E-2</v>
      </c>
      <c r="I315">
        <v>7.3977399999999999E-2</v>
      </c>
      <c r="J315">
        <v>9.0637700000000002E-2</v>
      </c>
      <c r="K315">
        <v>3.2953799999999998E-2</v>
      </c>
      <c r="L315">
        <v>2.01034E-2</v>
      </c>
      <c r="M315">
        <v>9.1878700000000008E-3</v>
      </c>
      <c r="N315">
        <v>3.3596099999999999E-3</v>
      </c>
      <c r="O315">
        <v>1.67446E-3</v>
      </c>
      <c r="P315">
        <v>1.21861E-3</v>
      </c>
    </row>
    <row r="316" spans="1:16" ht="13" customHeight="1" x14ac:dyDescent="0.15">
      <c r="A316">
        <v>2002</v>
      </c>
      <c r="B316">
        <v>4.8801200000000002E-4</v>
      </c>
      <c r="C316">
        <v>3.0075500000000002E-2</v>
      </c>
      <c r="D316">
        <v>5.8902200000000002E-2</v>
      </c>
      <c r="E316">
        <v>0.113915</v>
      </c>
      <c r="F316">
        <v>0.15065400000000001</v>
      </c>
      <c r="G316">
        <v>0.31936599999999998</v>
      </c>
      <c r="H316">
        <v>0.141706</v>
      </c>
      <c r="I316">
        <v>5.2672099999999999E-2</v>
      </c>
      <c r="J316">
        <v>4.6340399999999997E-2</v>
      </c>
      <c r="K316">
        <v>5.06823E-2</v>
      </c>
      <c r="L316">
        <v>1.84929E-2</v>
      </c>
      <c r="M316">
        <v>7.6696000000000004E-3</v>
      </c>
      <c r="N316">
        <v>6.6906800000000001E-3</v>
      </c>
      <c r="O316">
        <v>1.4715399999999999E-3</v>
      </c>
      <c r="P316">
        <v>8.7359700000000005E-4</v>
      </c>
    </row>
    <row r="317" spans="1:16" ht="13" customHeight="1" x14ac:dyDescent="0.15">
      <c r="A317">
        <v>2003</v>
      </c>
      <c r="B317">
        <v>0</v>
      </c>
      <c r="C317">
        <v>8.3603700000000006E-3</v>
      </c>
      <c r="D317">
        <v>0.194383</v>
      </c>
      <c r="E317">
        <v>0.155026</v>
      </c>
      <c r="F317">
        <v>0.17727100000000001</v>
      </c>
      <c r="G317">
        <v>0.14752399999999999</v>
      </c>
      <c r="H317">
        <v>0.16048200000000001</v>
      </c>
      <c r="I317">
        <v>7.6044899999999999E-2</v>
      </c>
      <c r="J317">
        <v>2.5630900000000002E-2</v>
      </c>
      <c r="K317">
        <v>1.94124E-2</v>
      </c>
      <c r="L317">
        <v>1.76452E-2</v>
      </c>
      <c r="M317">
        <v>1.14728E-2</v>
      </c>
      <c r="N317">
        <v>3.3589599999999998E-3</v>
      </c>
      <c r="O317">
        <v>1.45535E-3</v>
      </c>
      <c r="P317">
        <v>1.93341E-3</v>
      </c>
    </row>
    <row r="318" spans="1:16" ht="13" customHeight="1" x14ac:dyDescent="0.15">
      <c r="A318">
        <v>2004</v>
      </c>
      <c r="B318">
        <v>0</v>
      </c>
      <c r="C318">
        <v>5.35269E-4</v>
      </c>
      <c r="D318">
        <v>4.2571999999999999E-2</v>
      </c>
      <c r="E318">
        <v>0.39236300000000002</v>
      </c>
      <c r="F318">
        <v>0.226882</v>
      </c>
      <c r="G318">
        <v>0.11264299999999999</v>
      </c>
      <c r="H318">
        <v>7.9776299999999994E-2</v>
      </c>
      <c r="I318">
        <v>7.4194999999999997E-2</v>
      </c>
      <c r="J318">
        <v>3.02896E-2</v>
      </c>
      <c r="K318">
        <v>8.0024099999999997E-3</v>
      </c>
      <c r="L318">
        <v>8.9217900000000006E-3</v>
      </c>
      <c r="M318">
        <v>1.2350699999999999E-2</v>
      </c>
      <c r="N318">
        <v>5.0169000000000004E-3</v>
      </c>
      <c r="O318">
        <v>3.13934E-3</v>
      </c>
      <c r="P318">
        <v>3.3128400000000001E-3</v>
      </c>
    </row>
    <row r="319" spans="1:16" ht="13" customHeight="1" x14ac:dyDescent="0.15">
      <c r="A319">
        <v>2005</v>
      </c>
      <c r="B319">
        <v>0</v>
      </c>
      <c r="C319">
        <v>1.4522199999999999E-3</v>
      </c>
      <c r="D319">
        <v>2.49523E-2</v>
      </c>
      <c r="E319">
        <v>0.181587</v>
      </c>
      <c r="F319">
        <v>0.400084</v>
      </c>
      <c r="G319">
        <v>0.22706100000000001</v>
      </c>
      <c r="H319">
        <v>7.2624400000000006E-2</v>
      </c>
      <c r="I319">
        <v>3.13231E-2</v>
      </c>
      <c r="J319">
        <v>3.11431E-2</v>
      </c>
      <c r="K319">
        <v>1.5660199999999999E-2</v>
      </c>
      <c r="L319">
        <v>5.2210599999999996E-3</v>
      </c>
      <c r="M319">
        <v>4.7501399999999999E-3</v>
      </c>
      <c r="N319">
        <v>1.58314E-3</v>
      </c>
      <c r="O319">
        <v>9.0914800000000003E-4</v>
      </c>
      <c r="P319">
        <v>1.64963E-3</v>
      </c>
    </row>
    <row r="320" spans="1:16" ht="13" customHeight="1" x14ac:dyDescent="0.15">
      <c r="A320">
        <v>2006</v>
      </c>
      <c r="B320">
        <v>0</v>
      </c>
      <c r="C320">
        <v>5.7305300000000002E-3</v>
      </c>
      <c r="D320">
        <v>3.9573499999999998E-2</v>
      </c>
      <c r="E320">
        <v>0.136406</v>
      </c>
      <c r="F320">
        <v>0.29281099999999999</v>
      </c>
      <c r="G320">
        <v>0.27843899999999999</v>
      </c>
      <c r="H320">
        <v>0.131602</v>
      </c>
      <c r="I320">
        <v>5.1201499999999997E-2</v>
      </c>
      <c r="J320">
        <v>2.33288E-2</v>
      </c>
      <c r="K320">
        <v>1.8032800000000002E-2</v>
      </c>
      <c r="L320">
        <v>7.72019E-3</v>
      </c>
      <c r="M320">
        <v>4.5197800000000002E-3</v>
      </c>
      <c r="N320">
        <v>4.4866300000000001E-3</v>
      </c>
      <c r="O320">
        <v>2.4092200000000001E-3</v>
      </c>
      <c r="P320">
        <v>3.7394500000000001E-3</v>
      </c>
    </row>
    <row r="321" spans="1:26" ht="13" customHeight="1" x14ac:dyDescent="0.15">
      <c r="A321">
        <v>2007</v>
      </c>
      <c r="B321">
        <v>1.09808E-3</v>
      </c>
      <c r="C321">
        <v>1.1658E-2</v>
      </c>
      <c r="D321">
        <v>3.424E-2</v>
      </c>
      <c r="E321">
        <v>7.4370000000000006E-2</v>
      </c>
      <c r="F321">
        <v>0.22390199999999999</v>
      </c>
      <c r="G321">
        <v>0.30812200000000001</v>
      </c>
      <c r="H321">
        <v>0.18335899999999999</v>
      </c>
      <c r="I321">
        <v>8.3187899999999995E-2</v>
      </c>
      <c r="J321">
        <v>3.00471E-2</v>
      </c>
      <c r="K321">
        <v>1.6783599999999999E-2</v>
      </c>
      <c r="L321">
        <v>1.3959900000000001E-2</v>
      </c>
      <c r="M321">
        <v>5.6478600000000002E-3</v>
      </c>
      <c r="N321">
        <v>3.8807799999999999E-3</v>
      </c>
      <c r="O321">
        <v>2.0499099999999998E-3</v>
      </c>
      <c r="P321">
        <v>7.6937999999999998E-3</v>
      </c>
    </row>
    <row r="322" spans="1:26" ht="13" customHeight="1" x14ac:dyDescent="0.15">
      <c r="A322">
        <v>2008</v>
      </c>
      <c r="B322">
        <v>0</v>
      </c>
      <c r="C322">
        <v>2.2931099999999999E-2</v>
      </c>
      <c r="D322">
        <v>4.9933100000000001E-2</v>
      </c>
      <c r="E322">
        <v>6.6941500000000001E-2</v>
      </c>
      <c r="F322">
        <v>0.12584400000000001</v>
      </c>
      <c r="G322">
        <v>0.26188699999999998</v>
      </c>
      <c r="H322">
        <v>0.20641000000000001</v>
      </c>
      <c r="I322">
        <v>0.12704699999999999</v>
      </c>
      <c r="J322">
        <v>7.0958599999999997E-2</v>
      </c>
      <c r="K322">
        <v>1.89981E-2</v>
      </c>
      <c r="L322">
        <v>1.6275999999999999E-2</v>
      </c>
      <c r="M322">
        <v>1.23257E-2</v>
      </c>
      <c r="N322">
        <v>7.2951600000000002E-3</v>
      </c>
      <c r="O322">
        <v>2.3503399999999998E-3</v>
      </c>
      <c r="P322">
        <v>1.0802900000000001E-2</v>
      </c>
    </row>
    <row r="323" spans="1:26" ht="13" customHeight="1" x14ac:dyDescent="0.15">
      <c r="A323">
        <v>2009</v>
      </c>
      <c r="B323">
        <v>7.9943500000000003E-4</v>
      </c>
      <c r="C323">
        <v>3.58202E-3</v>
      </c>
      <c r="D323">
        <v>0.16050200000000001</v>
      </c>
      <c r="E323">
        <v>0.199602</v>
      </c>
      <c r="F323">
        <v>7.7635599999999999E-2</v>
      </c>
      <c r="G323">
        <v>0.107806</v>
      </c>
      <c r="H323">
        <v>0.13417599999999999</v>
      </c>
      <c r="I323">
        <v>0.112955</v>
      </c>
      <c r="J323">
        <v>9.0556999999999999E-2</v>
      </c>
      <c r="K323">
        <v>4.29895E-2</v>
      </c>
      <c r="L323">
        <v>2.7888400000000001E-2</v>
      </c>
      <c r="M323">
        <v>1.11498E-2</v>
      </c>
      <c r="N323">
        <v>9.5044199999999995E-3</v>
      </c>
      <c r="O323">
        <v>4.3776900000000001E-3</v>
      </c>
      <c r="P323">
        <v>1.6475099999999999E-2</v>
      </c>
    </row>
    <row r="324" spans="1:26" ht="13" customHeight="1" x14ac:dyDescent="0.15">
      <c r="A324">
        <v>2010</v>
      </c>
      <c r="B324">
        <v>2.0827699999999998E-3</v>
      </c>
      <c r="C324">
        <v>2.7822E-2</v>
      </c>
      <c r="D324">
        <v>2.8166E-2</v>
      </c>
      <c r="E324">
        <v>0.49668499999999999</v>
      </c>
      <c r="F324">
        <v>0.197127</v>
      </c>
      <c r="G324">
        <v>4.7621499999999997E-2</v>
      </c>
      <c r="H324">
        <v>3.9251800000000003E-2</v>
      </c>
      <c r="I324">
        <v>4.9494299999999998E-2</v>
      </c>
      <c r="J324">
        <v>4.3741000000000002E-2</v>
      </c>
      <c r="K324">
        <v>3.0731399999999999E-2</v>
      </c>
      <c r="L324">
        <v>1.23559E-2</v>
      </c>
      <c r="M324">
        <v>8.0283799999999999E-3</v>
      </c>
      <c r="N324">
        <v>5.0923799999999996E-3</v>
      </c>
      <c r="O324">
        <v>5.5481599999999999E-3</v>
      </c>
      <c r="P324">
        <v>6.2523400000000003E-3</v>
      </c>
    </row>
    <row r="325" spans="1:26" ht="13" customHeight="1" x14ac:dyDescent="0.15">
      <c r="A325">
        <v>2011</v>
      </c>
      <c r="B325">
        <v>5.6030999999999995E-4</v>
      </c>
      <c r="C325">
        <v>8.9343700000000005E-3</v>
      </c>
      <c r="D325">
        <v>0.116218</v>
      </c>
      <c r="E325">
        <v>7.1376099999999998E-2</v>
      </c>
      <c r="F325">
        <v>0.48979800000000001</v>
      </c>
      <c r="G325">
        <v>0.17211499999999999</v>
      </c>
      <c r="H325">
        <v>3.8850700000000002E-2</v>
      </c>
      <c r="I325">
        <v>2.3865500000000001E-2</v>
      </c>
      <c r="J325">
        <v>2.32068E-2</v>
      </c>
      <c r="K325">
        <v>2.43155E-2</v>
      </c>
      <c r="L325">
        <v>1.53531E-2</v>
      </c>
      <c r="M325">
        <v>8.0515799999999992E-3</v>
      </c>
      <c r="N325">
        <v>1.0459E-3</v>
      </c>
      <c r="O325">
        <v>2.8398799999999999E-3</v>
      </c>
      <c r="P325">
        <v>3.4688200000000001E-3</v>
      </c>
    </row>
    <row r="326" spans="1:26" ht="13" customHeight="1" x14ac:dyDescent="0.15">
      <c r="A326">
        <v>2012</v>
      </c>
      <c r="B326">
        <v>0</v>
      </c>
      <c r="C326">
        <v>1.44548E-2</v>
      </c>
      <c r="D326">
        <v>6.1606599999999997E-2</v>
      </c>
      <c r="E326">
        <v>0.481846</v>
      </c>
      <c r="F326">
        <v>8.8430800000000004E-2</v>
      </c>
      <c r="G326">
        <v>0.22120500000000001</v>
      </c>
      <c r="H326">
        <v>7.0718500000000004E-2</v>
      </c>
      <c r="I326">
        <v>1.9350099999999999E-2</v>
      </c>
      <c r="J326">
        <v>9.1026400000000004E-3</v>
      </c>
      <c r="K326">
        <v>6.8496499999999997E-3</v>
      </c>
      <c r="L326">
        <v>8.11483E-3</v>
      </c>
      <c r="M326">
        <v>8.1827099999999993E-3</v>
      </c>
      <c r="N326">
        <v>4.2339099999999996E-3</v>
      </c>
      <c r="O326">
        <v>4.0735399999999996E-3</v>
      </c>
      <c r="P326">
        <v>1.8302800000000001E-3</v>
      </c>
    </row>
    <row r="327" spans="1:26" ht="13" customHeight="1" x14ac:dyDescent="0.15">
      <c r="A327">
        <v>2013</v>
      </c>
      <c r="B327">
        <v>1.8345099999999999E-3</v>
      </c>
      <c r="C327">
        <v>9.1916600000000002E-4</v>
      </c>
      <c r="D327">
        <v>3.7766800000000003E-2</v>
      </c>
      <c r="E327">
        <v>0.18399399999999999</v>
      </c>
      <c r="F327">
        <v>0.50783599999999995</v>
      </c>
      <c r="G327">
        <v>0.101058</v>
      </c>
      <c r="H327">
        <v>8.3210000000000006E-2</v>
      </c>
      <c r="I327">
        <v>3.6828600000000003E-2</v>
      </c>
      <c r="J327">
        <v>1.1068E-2</v>
      </c>
      <c r="K327">
        <v>9.5195499999999999E-3</v>
      </c>
      <c r="L327">
        <v>7.3208600000000002E-3</v>
      </c>
      <c r="M327">
        <v>6.67507E-3</v>
      </c>
      <c r="N327">
        <v>4.8552600000000001E-3</v>
      </c>
      <c r="O327">
        <v>3.15169E-3</v>
      </c>
      <c r="P327">
        <v>3.9633400000000001E-3</v>
      </c>
    </row>
    <row r="328" spans="1:26" ht="13" customHeight="1" x14ac:dyDescent="0.15">
      <c r="A328">
        <v>2014</v>
      </c>
      <c r="B328">
        <v>0</v>
      </c>
      <c r="C328">
        <v>2.4027799999999998E-2</v>
      </c>
      <c r="D328">
        <v>1.7835199999999999E-2</v>
      </c>
      <c r="E328">
        <v>9.7244700000000003E-2</v>
      </c>
      <c r="F328">
        <v>0.22703300000000001</v>
      </c>
      <c r="G328">
        <v>0.42752499999999999</v>
      </c>
      <c r="H328">
        <v>0.119696</v>
      </c>
      <c r="I328">
        <v>5.0185500000000001E-2</v>
      </c>
      <c r="J328">
        <v>1.6556999999999999E-2</v>
      </c>
      <c r="K328">
        <v>5.1963599999999997E-3</v>
      </c>
      <c r="L328">
        <v>2.7258199999999999E-3</v>
      </c>
      <c r="M328">
        <v>2.8439699999999999E-3</v>
      </c>
      <c r="N328">
        <v>2.4238100000000002E-3</v>
      </c>
      <c r="O328">
        <v>1.64931E-3</v>
      </c>
      <c r="P328">
        <v>5.0570399999999996E-3</v>
      </c>
    </row>
    <row r="329" spans="1:26" ht="13" customHeight="1" x14ac:dyDescent="0.15">
      <c r="A329">
        <v>2015</v>
      </c>
      <c r="B329">
        <v>0</v>
      </c>
      <c r="C329">
        <v>8.76855E-3</v>
      </c>
      <c r="D329">
        <v>0.297346</v>
      </c>
      <c r="E329">
        <v>9.1599700000000006E-2</v>
      </c>
      <c r="F329">
        <v>0.107011</v>
      </c>
      <c r="G329">
        <v>0.18038100000000001</v>
      </c>
      <c r="H329">
        <v>0.238985</v>
      </c>
      <c r="I329">
        <v>4.0776100000000003E-2</v>
      </c>
      <c r="J329">
        <v>1.9935000000000001E-2</v>
      </c>
      <c r="K329">
        <v>8.6954700000000003E-3</v>
      </c>
      <c r="L329">
        <v>1.33712E-3</v>
      </c>
      <c r="M329">
        <v>1.2520299999999999E-3</v>
      </c>
      <c r="N329">
        <v>1.4634800000000001E-3</v>
      </c>
      <c r="O329">
        <v>1.6064300000000001E-3</v>
      </c>
      <c r="P329">
        <v>8.4273400000000004E-4</v>
      </c>
    </row>
    <row r="330" spans="1:26" ht="13" customHeight="1" x14ac:dyDescent="0.15">
      <c r="A330" t="s">
        <v>165</v>
      </c>
      <c r="B330" t="s">
        <v>166</v>
      </c>
      <c r="C330" t="s">
        <v>167</v>
      </c>
      <c r="D330" t="s">
        <v>158</v>
      </c>
      <c r="E330" t="s">
        <v>168</v>
      </c>
    </row>
    <row r="331" spans="1:26" ht="13" customHeight="1" x14ac:dyDescent="0.15">
      <c r="A331">
        <v>2016</v>
      </c>
      <c r="B331">
        <v>2.0570599999999999E-3</v>
      </c>
      <c r="C331">
        <v>1.73226E-3</v>
      </c>
      <c r="D331">
        <v>2.2394099999999998E-3</v>
      </c>
      <c r="E331">
        <v>3.61838E-3</v>
      </c>
      <c r="F331">
        <v>5.11701E-3</v>
      </c>
      <c r="G331">
        <v>2.72376E-3</v>
      </c>
      <c r="H331">
        <v>3.09984E-3</v>
      </c>
      <c r="I331">
        <v>4.0400499999999999E-3</v>
      </c>
      <c r="J331">
        <v>5.6184599999999996E-3</v>
      </c>
      <c r="K331">
        <v>7.9148499999999993E-3</v>
      </c>
      <c r="L331">
        <v>1.15275E-2</v>
      </c>
      <c r="M331">
        <v>1.62969E-2</v>
      </c>
      <c r="N331">
        <v>2.30437E-2</v>
      </c>
      <c r="O331">
        <v>3.3021300000000003E-2</v>
      </c>
      <c r="P331">
        <v>4.4400599999999998E-2</v>
      </c>
      <c r="Q331">
        <v>6.0167600000000002E-2</v>
      </c>
      <c r="R331">
        <v>0.15392600000000001</v>
      </c>
      <c r="S331">
        <v>0.16247400000000001</v>
      </c>
      <c r="T331">
        <v>0.13808000000000001</v>
      </c>
      <c r="U331">
        <v>0.10397000000000001</v>
      </c>
      <c r="V331">
        <v>7.4401800000000004E-2</v>
      </c>
      <c r="W331">
        <v>5.0423700000000002E-2</v>
      </c>
      <c r="X331">
        <v>3.3289100000000002E-2</v>
      </c>
      <c r="Y331">
        <v>2.1459499999999999E-2</v>
      </c>
      <c r="Z331">
        <v>3.53575E-2</v>
      </c>
    </row>
    <row r="332" spans="1:26" ht="13" customHeight="1" x14ac:dyDescent="0.15">
      <c r="A332" t="s">
        <v>165</v>
      </c>
      <c r="B332" t="s">
        <v>127</v>
      </c>
      <c r="C332" t="s">
        <v>167</v>
      </c>
      <c r="D332" t="s">
        <v>158</v>
      </c>
      <c r="E332" t="s">
        <v>159</v>
      </c>
    </row>
    <row r="333" spans="1:26" ht="13" customHeight="1" x14ac:dyDescent="0.15">
      <c r="A333">
        <v>1964</v>
      </c>
      <c r="B333">
        <v>2.7373499999999999E-2</v>
      </c>
      <c r="C333">
        <v>0.11357</v>
      </c>
      <c r="D333">
        <v>0.25627800000000001</v>
      </c>
      <c r="E333">
        <v>0.18635499999999999</v>
      </c>
      <c r="F333">
        <v>8.1373200000000007E-2</v>
      </c>
      <c r="G333">
        <v>0.15720899999999999</v>
      </c>
      <c r="H333">
        <v>6.8603499999999998E-2</v>
      </c>
      <c r="I333">
        <v>2.1135500000000002E-2</v>
      </c>
      <c r="J333">
        <v>1.2897199999999999E-2</v>
      </c>
      <c r="K333">
        <v>1.2596400000000001E-2</v>
      </c>
      <c r="L333">
        <v>1.25652E-2</v>
      </c>
      <c r="M333">
        <v>1.25407E-2</v>
      </c>
      <c r="N333">
        <v>1.25214E-2</v>
      </c>
      <c r="O333">
        <v>1.25022E-2</v>
      </c>
      <c r="P333">
        <v>1.24794E-2</v>
      </c>
    </row>
    <row r="334" spans="1:26" ht="13" customHeight="1" x14ac:dyDescent="0.15">
      <c r="A334">
        <v>1965</v>
      </c>
      <c r="B334">
        <v>5.8990300000000002E-2</v>
      </c>
      <c r="C334">
        <v>6.0616000000000003E-2</v>
      </c>
      <c r="D334">
        <v>0.199545</v>
      </c>
      <c r="E334">
        <v>0.43223699999999998</v>
      </c>
      <c r="F334">
        <v>8.0229700000000001E-2</v>
      </c>
      <c r="G334">
        <v>3.3147999999999997E-2</v>
      </c>
      <c r="H334">
        <v>6.2057599999999997E-2</v>
      </c>
      <c r="I334">
        <v>2.7226500000000001E-2</v>
      </c>
      <c r="J334">
        <v>8.5447000000000006E-3</v>
      </c>
      <c r="K334">
        <v>5.31183E-3</v>
      </c>
      <c r="L334">
        <v>5.3754199999999997E-3</v>
      </c>
      <c r="M334">
        <v>5.3621099999999998E-3</v>
      </c>
      <c r="N334">
        <v>5.3516400000000004E-3</v>
      </c>
      <c r="O334">
        <v>5.3434299999999997E-3</v>
      </c>
      <c r="P334">
        <v>1.06608E-2</v>
      </c>
    </row>
    <row r="335" spans="1:26" ht="13" customHeight="1" x14ac:dyDescent="0.15">
      <c r="A335">
        <v>1966</v>
      </c>
      <c r="B335">
        <v>3.5855699999999997E-2</v>
      </c>
      <c r="C335">
        <v>0.173933</v>
      </c>
      <c r="D335">
        <v>0.138429</v>
      </c>
      <c r="E335">
        <v>0.328127</v>
      </c>
      <c r="F335">
        <v>0.20361199999999999</v>
      </c>
      <c r="G335">
        <v>3.7470400000000001E-2</v>
      </c>
      <c r="H335">
        <v>1.57564E-2</v>
      </c>
      <c r="I335">
        <v>2.9962300000000001E-2</v>
      </c>
      <c r="J335">
        <v>1.33583E-2</v>
      </c>
      <c r="K335">
        <v>4.2635199999999998E-3</v>
      </c>
      <c r="L335">
        <v>2.7311599999999998E-3</v>
      </c>
      <c r="M335">
        <v>2.7638599999999999E-3</v>
      </c>
      <c r="N335">
        <v>2.7570099999999998E-3</v>
      </c>
      <c r="O335">
        <v>2.7516300000000001E-3</v>
      </c>
      <c r="P335">
        <v>8.2287999999999997E-3</v>
      </c>
    </row>
    <row r="336" spans="1:26" ht="13" customHeight="1" x14ac:dyDescent="0.15">
      <c r="A336">
        <v>1967</v>
      </c>
      <c r="B336">
        <v>4.8274699999999997E-2</v>
      </c>
      <c r="C336">
        <v>0.104393</v>
      </c>
      <c r="D336">
        <v>0.413186</v>
      </c>
      <c r="E336">
        <v>0.16081400000000001</v>
      </c>
      <c r="F336">
        <v>0.134966</v>
      </c>
      <c r="G336">
        <v>8.4298100000000001E-2</v>
      </c>
      <c r="H336">
        <v>1.6169900000000001E-2</v>
      </c>
      <c r="I336">
        <v>6.9826899999999997E-3</v>
      </c>
      <c r="J336">
        <v>1.3599699999999999E-2</v>
      </c>
      <c r="K336">
        <v>6.1896E-3</v>
      </c>
      <c r="L336">
        <v>2.0190400000000002E-3</v>
      </c>
      <c r="M336">
        <v>1.29338E-3</v>
      </c>
      <c r="N336">
        <v>1.30886E-3</v>
      </c>
      <c r="O336">
        <v>1.30562E-3</v>
      </c>
      <c r="P336">
        <v>5.1999200000000002E-3</v>
      </c>
    </row>
    <row r="337" spans="1:16" ht="13" customHeight="1" x14ac:dyDescent="0.15">
      <c r="A337">
        <v>1968</v>
      </c>
      <c r="B337">
        <v>3.7529399999999997E-2</v>
      </c>
      <c r="C337">
        <v>0.153227</v>
      </c>
      <c r="D337">
        <v>0.232436</v>
      </c>
      <c r="E337">
        <v>0.38303599999999999</v>
      </c>
      <c r="F337">
        <v>7.2638300000000003E-2</v>
      </c>
      <c r="G337">
        <v>5.8905100000000002E-2</v>
      </c>
      <c r="H337">
        <v>3.7422999999999998E-2</v>
      </c>
      <c r="I337">
        <v>7.2614100000000003E-3</v>
      </c>
      <c r="J337">
        <v>3.18024E-3</v>
      </c>
      <c r="K337">
        <v>6.28628E-3</v>
      </c>
      <c r="L337">
        <v>2.8872500000000001E-3</v>
      </c>
      <c r="M337">
        <v>9.4181699999999996E-4</v>
      </c>
      <c r="N337">
        <v>6.0331800000000004E-4</v>
      </c>
      <c r="O337">
        <v>6.1054000000000002E-4</v>
      </c>
      <c r="P337">
        <v>3.03462E-3</v>
      </c>
    </row>
    <row r="338" spans="1:16" ht="13" customHeight="1" x14ac:dyDescent="0.15">
      <c r="A338">
        <v>1969</v>
      </c>
      <c r="B338">
        <v>4.2265400000000002E-2</v>
      </c>
      <c r="C338">
        <v>0.118839</v>
      </c>
      <c r="D338">
        <v>0.37459100000000001</v>
      </c>
      <c r="E338">
        <v>0.20663999999999999</v>
      </c>
      <c r="F338">
        <v>0.167828</v>
      </c>
      <c r="G338">
        <v>3.22787E-2</v>
      </c>
      <c r="H338">
        <v>2.7033999999999999E-2</v>
      </c>
      <c r="I338">
        <v>1.8098099999999999E-2</v>
      </c>
      <c r="J338">
        <v>3.5820299999999999E-3</v>
      </c>
      <c r="K338">
        <v>1.60326E-3</v>
      </c>
      <c r="L338">
        <v>3.16921E-3</v>
      </c>
      <c r="M338">
        <v>1.4555900000000001E-3</v>
      </c>
      <c r="N338">
        <v>4.74814E-4</v>
      </c>
      <c r="O338">
        <v>3.0415999999999999E-4</v>
      </c>
      <c r="P338">
        <v>1.8377000000000001E-3</v>
      </c>
    </row>
    <row r="339" spans="1:16" ht="13" customHeight="1" x14ac:dyDescent="0.15">
      <c r="A339">
        <v>1970</v>
      </c>
      <c r="B339">
        <v>4.5396899999999997E-2</v>
      </c>
      <c r="C339">
        <v>0.15682599999999999</v>
      </c>
      <c r="D339">
        <v>0.30079800000000001</v>
      </c>
      <c r="E339">
        <v>0.25760699999999997</v>
      </c>
      <c r="F339">
        <v>0.102503</v>
      </c>
      <c r="G339">
        <v>8.5297300000000006E-2</v>
      </c>
      <c r="H339">
        <v>1.7539200000000001E-2</v>
      </c>
      <c r="I339">
        <v>1.6023699999999998E-2</v>
      </c>
      <c r="J339">
        <v>1.06017E-2</v>
      </c>
      <c r="K339">
        <v>2.1736699999999999E-3</v>
      </c>
      <c r="L339">
        <v>9.4861700000000001E-4</v>
      </c>
      <c r="M339">
        <v>1.8751499999999999E-3</v>
      </c>
      <c r="N339">
        <v>8.6124400000000005E-4</v>
      </c>
      <c r="O339">
        <v>2.8093699999999998E-4</v>
      </c>
      <c r="P339">
        <v>1.2672899999999999E-3</v>
      </c>
    </row>
    <row r="340" spans="1:16" ht="13" customHeight="1" x14ac:dyDescent="0.15">
      <c r="A340">
        <v>1971</v>
      </c>
      <c r="B340">
        <v>2.9813800000000001E-2</v>
      </c>
      <c r="C340">
        <v>0.149451</v>
      </c>
      <c r="D340">
        <v>0.32420100000000002</v>
      </c>
      <c r="E340">
        <v>0.20158000000000001</v>
      </c>
      <c r="F340">
        <v>0.16083600000000001</v>
      </c>
      <c r="G340">
        <v>5.67591E-2</v>
      </c>
      <c r="H340">
        <v>4.7952700000000001E-2</v>
      </c>
      <c r="I340">
        <v>1.04978E-2</v>
      </c>
      <c r="J340">
        <v>8.9801099999999995E-3</v>
      </c>
      <c r="K340">
        <v>6.0295599999999998E-3</v>
      </c>
      <c r="L340">
        <v>1.14419E-3</v>
      </c>
      <c r="M340">
        <v>4.9933699999999998E-4</v>
      </c>
      <c r="N340">
        <v>9.8704999999999995E-4</v>
      </c>
      <c r="O340">
        <v>4.5334500000000002E-4</v>
      </c>
      <c r="P340">
        <v>8.1496200000000002E-4</v>
      </c>
    </row>
    <row r="341" spans="1:16" ht="13" customHeight="1" x14ac:dyDescent="0.15">
      <c r="A341">
        <v>1972</v>
      </c>
      <c r="B341">
        <v>2.1061799999999999E-2</v>
      </c>
      <c r="C341">
        <v>0.119727</v>
      </c>
      <c r="D341">
        <v>0.331646</v>
      </c>
      <c r="E341">
        <v>0.24648200000000001</v>
      </c>
      <c r="F341">
        <v>0.124459</v>
      </c>
      <c r="G341">
        <v>8.3833199999999997E-2</v>
      </c>
      <c r="H341">
        <v>3.0388800000000001E-2</v>
      </c>
      <c r="I341">
        <v>2.80684E-2</v>
      </c>
      <c r="J341">
        <v>5.4131400000000003E-3</v>
      </c>
      <c r="K341">
        <v>4.4797300000000003E-3</v>
      </c>
      <c r="L341">
        <v>2.6970399999999999E-3</v>
      </c>
      <c r="M341">
        <v>5.1179700000000003E-4</v>
      </c>
      <c r="N341" s="1">
        <v>2.2335500000000001E-4</v>
      </c>
      <c r="O341" s="1">
        <v>4.4150999999999999E-4</v>
      </c>
      <c r="P341" s="1">
        <v>5.6731700000000002E-4</v>
      </c>
    </row>
    <row r="342" spans="1:16" ht="13" customHeight="1" x14ac:dyDescent="0.15">
      <c r="A342">
        <v>1973</v>
      </c>
      <c r="B342">
        <v>4.5492699999999997E-2</v>
      </c>
      <c r="C342">
        <v>0.13286100000000001</v>
      </c>
      <c r="D342">
        <v>0.25190499999999999</v>
      </c>
      <c r="E342">
        <v>0.249194</v>
      </c>
      <c r="F342">
        <v>0.15378600000000001</v>
      </c>
      <c r="G342">
        <v>7.42366E-2</v>
      </c>
      <c r="H342">
        <v>5.0042400000000001E-2</v>
      </c>
      <c r="I342">
        <v>1.9440599999999999E-2</v>
      </c>
      <c r="J342">
        <v>1.58961E-2</v>
      </c>
      <c r="K342">
        <v>2.83761E-3</v>
      </c>
      <c r="L342">
        <v>2.1637399999999999E-3</v>
      </c>
      <c r="M342">
        <v>1.30269E-3</v>
      </c>
      <c r="N342" s="1">
        <v>2.4720200000000002E-4</v>
      </c>
      <c r="O342" s="1">
        <v>1.0788199999999999E-4</v>
      </c>
      <c r="P342" s="1">
        <v>4.87271E-4</v>
      </c>
    </row>
    <row r="343" spans="1:16" ht="13" customHeight="1" x14ac:dyDescent="0.15">
      <c r="A343">
        <v>1974</v>
      </c>
      <c r="B343">
        <v>2.7725400000000001E-2</v>
      </c>
      <c r="C343">
        <v>0.34473599999999999</v>
      </c>
      <c r="D343">
        <v>0.22978899999999999</v>
      </c>
      <c r="E343">
        <v>0.141267</v>
      </c>
      <c r="F343">
        <v>0.115035</v>
      </c>
      <c r="G343">
        <v>6.7949599999999999E-2</v>
      </c>
      <c r="H343">
        <v>3.2625800000000003E-2</v>
      </c>
      <c r="I343">
        <v>2.3492599999999999E-2</v>
      </c>
      <c r="J343">
        <v>8.3846000000000007E-3</v>
      </c>
      <c r="K343">
        <v>6.2913099999999996E-3</v>
      </c>
      <c r="L343">
        <v>1.0738E-3</v>
      </c>
      <c r="M343">
        <v>8.1880199999999998E-4</v>
      </c>
      <c r="N343" s="1">
        <v>4.9296300000000002E-4</v>
      </c>
      <c r="O343" s="1">
        <v>9.3546000000000002E-5</v>
      </c>
      <c r="P343" s="1">
        <v>2.25217E-4</v>
      </c>
    </row>
    <row r="344" spans="1:16" ht="13" customHeight="1" x14ac:dyDescent="0.15">
      <c r="A344">
        <v>1975</v>
      </c>
      <c r="B344">
        <v>1.77164E-2</v>
      </c>
      <c r="C344">
        <v>0.197516</v>
      </c>
      <c r="D344">
        <v>0.51940200000000003</v>
      </c>
      <c r="E344">
        <v>0.100254</v>
      </c>
      <c r="F344">
        <v>5.93505E-2</v>
      </c>
      <c r="G344">
        <v>4.7476499999999998E-2</v>
      </c>
      <c r="H344">
        <v>2.8090199999999999E-2</v>
      </c>
      <c r="I344">
        <v>1.40372E-2</v>
      </c>
      <c r="J344">
        <v>9.6535900000000001E-3</v>
      </c>
      <c r="K344">
        <v>3.1481399999999998E-3</v>
      </c>
      <c r="L344">
        <v>2.3466200000000002E-3</v>
      </c>
      <c r="M344" s="1">
        <v>4.0052300000000001E-4</v>
      </c>
      <c r="N344" s="1">
        <v>3.0540800000000001E-4</v>
      </c>
      <c r="O344" s="1">
        <v>1.8387199999999999E-4</v>
      </c>
      <c r="P344" s="1">
        <v>1.18897E-4</v>
      </c>
    </row>
    <row r="345" spans="1:16" ht="13" customHeight="1" x14ac:dyDescent="0.15">
      <c r="A345">
        <v>1976</v>
      </c>
      <c r="B345">
        <v>1.1916100000000001E-2</v>
      </c>
      <c r="C345">
        <v>0.16905000000000001</v>
      </c>
      <c r="D345">
        <v>0.41554000000000002</v>
      </c>
      <c r="E345">
        <v>0.26494299999999998</v>
      </c>
      <c r="F345">
        <v>5.1907599999999998E-2</v>
      </c>
      <c r="G345">
        <v>3.1110100000000002E-2</v>
      </c>
      <c r="H345">
        <v>2.50633E-2</v>
      </c>
      <c r="I345">
        <v>1.50685E-2</v>
      </c>
      <c r="J345">
        <v>7.5572499999999997E-3</v>
      </c>
      <c r="K345">
        <v>4.7198099999999996E-3</v>
      </c>
      <c r="L345" s="1">
        <v>1.5123700000000001E-3</v>
      </c>
      <c r="M345" s="1">
        <v>1.12732E-3</v>
      </c>
      <c r="N345" s="1">
        <v>1.92411E-4</v>
      </c>
      <c r="O345" s="1">
        <v>1.46718E-4</v>
      </c>
      <c r="P345" s="1">
        <v>1.4545000000000001E-4</v>
      </c>
    </row>
    <row r="346" spans="1:16" ht="13" customHeight="1" x14ac:dyDescent="0.15">
      <c r="A346">
        <v>1977</v>
      </c>
      <c r="B346">
        <v>1.14536E-2</v>
      </c>
      <c r="C346">
        <v>0.147232</v>
      </c>
      <c r="D346">
        <v>0.37089100000000003</v>
      </c>
      <c r="E346">
        <v>0.249755</v>
      </c>
      <c r="F346">
        <v>0.142453</v>
      </c>
      <c r="G346">
        <v>2.8822799999999999E-2</v>
      </c>
      <c r="H346">
        <v>1.76224E-2</v>
      </c>
      <c r="I346">
        <v>1.4343099999999999E-2</v>
      </c>
      <c r="J346">
        <v>9.0142799999999995E-3</v>
      </c>
      <c r="K346">
        <v>4.1644000000000004E-3</v>
      </c>
      <c r="L346">
        <v>2.5564799999999999E-3</v>
      </c>
      <c r="M346" s="1">
        <v>8.1917299999999997E-4</v>
      </c>
      <c r="N346" s="1">
        <v>6.1061100000000005E-4</v>
      </c>
      <c r="O346" s="1">
        <v>1.04219E-4</v>
      </c>
      <c r="P346" s="1">
        <v>1.5825299999999999E-4</v>
      </c>
    </row>
    <row r="347" spans="1:16" ht="13" customHeight="1" x14ac:dyDescent="0.15">
      <c r="A347">
        <v>1978</v>
      </c>
      <c r="B347">
        <v>1.8418400000000001E-2</v>
      </c>
      <c r="C347">
        <v>0.14784600000000001</v>
      </c>
      <c r="D347">
        <v>0.30357800000000001</v>
      </c>
      <c r="E347">
        <v>0.25691599999999998</v>
      </c>
      <c r="F347">
        <v>0.14907400000000001</v>
      </c>
      <c r="G347">
        <v>7.9162499999999997E-2</v>
      </c>
      <c r="H347">
        <v>1.6364299999999998E-2</v>
      </c>
      <c r="I347">
        <v>1.0131100000000001E-2</v>
      </c>
      <c r="J347">
        <v>8.7545000000000001E-3</v>
      </c>
      <c r="K347">
        <v>5.1176299999999997E-3</v>
      </c>
      <c r="L347" s="1">
        <v>2.29583E-3</v>
      </c>
      <c r="M347" s="1">
        <v>1.4093899999999999E-3</v>
      </c>
      <c r="N347" s="1">
        <v>4.5161000000000002E-4</v>
      </c>
      <c r="O347" s="1">
        <v>3.3662999999999998E-4</v>
      </c>
      <c r="P347" s="1">
        <v>1.4470100000000001E-4</v>
      </c>
    </row>
    <row r="348" spans="1:16" ht="13" customHeight="1" x14ac:dyDescent="0.15">
      <c r="A348">
        <v>1979</v>
      </c>
      <c r="B348">
        <v>3.7613300000000002E-2</v>
      </c>
      <c r="C348">
        <v>0.189392</v>
      </c>
      <c r="D348">
        <v>0.27930700000000003</v>
      </c>
      <c r="E348">
        <v>0.193997</v>
      </c>
      <c r="F348">
        <v>0.15417700000000001</v>
      </c>
      <c r="G348">
        <v>7.9368499999999995E-2</v>
      </c>
      <c r="H348">
        <v>4.23452E-2</v>
      </c>
      <c r="I348">
        <v>8.7566599999999994E-3</v>
      </c>
      <c r="J348">
        <v>5.6775300000000001E-3</v>
      </c>
      <c r="K348">
        <v>4.5017E-3</v>
      </c>
      <c r="L348">
        <v>2.5513100000000002E-3</v>
      </c>
      <c r="M348" s="1">
        <v>1.14455E-3</v>
      </c>
      <c r="N348" s="1">
        <v>7.0262799999999995E-4</v>
      </c>
      <c r="O348" s="1">
        <v>2.25143E-4</v>
      </c>
      <c r="P348" s="1">
        <v>2.3996E-4</v>
      </c>
    </row>
    <row r="349" spans="1:16" ht="13" customHeight="1" x14ac:dyDescent="0.15">
      <c r="A349">
        <v>1980</v>
      </c>
      <c r="B349">
        <v>1.0905400000000001E-2</v>
      </c>
      <c r="C349">
        <v>0.22766400000000001</v>
      </c>
      <c r="D349">
        <v>0.334559</v>
      </c>
      <c r="E349">
        <v>0.187334</v>
      </c>
      <c r="F349">
        <v>0.10978499999999999</v>
      </c>
      <c r="G349">
        <v>6.8229600000000001E-2</v>
      </c>
      <c r="H349">
        <v>3.3555399999999999E-2</v>
      </c>
      <c r="I349">
        <v>1.8097499999999999E-2</v>
      </c>
      <c r="J349">
        <v>3.8007200000000001E-3</v>
      </c>
      <c r="K349">
        <v>2.2952599999999999E-3</v>
      </c>
      <c r="L349">
        <v>1.8144000000000001E-3</v>
      </c>
      <c r="M349" s="1">
        <v>1.0283E-3</v>
      </c>
      <c r="N349" s="1">
        <v>4.6130800000000001E-4</v>
      </c>
      <c r="O349" s="1">
        <v>2.8319199999999998E-4</v>
      </c>
      <c r="P349" s="1">
        <v>1.8745799999999999E-4</v>
      </c>
    </row>
    <row r="350" spans="1:16" ht="13" customHeight="1" x14ac:dyDescent="0.15">
      <c r="A350">
        <v>1981</v>
      </c>
      <c r="B350">
        <v>7.4966399999999997E-3</v>
      </c>
      <c r="C350">
        <v>5.4965199999999999E-2</v>
      </c>
      <c r="D350">
        <v>0.458119</v>
      </c>
      <c r="E350">
        <v>0.280889</v>
      </c>
      <c r="F350">
        <v>0.104074</v>
      </c>
      <c r="G350">
        <v>4.47421E-2</v>
      </c>
      <c r="H350">
        <v>2.5822000000000001E-2</v>
      </c>
      <c r="I350">
        <v>1.29474E-2</v>
      </c>
      <c r="J350">
        <v>7.1400999999999999E-3</v>
      </c>
      <c r="K350">
        <v>1.4640300000000001E-3</v>
      </c>
      <c r="L350">
        <v>8.84646E-4</v>
      </c>
      <c r="M350" s="1">
        <v>6.9930999999999997E-4</v>
      </c>
      <c r="N350" s="1">
        <v>3.9633000000000002E-4</v>
      </c>
      <c r="O350" s="1">
        <v>1.77799E-4</v>
      </c>
      <c r="P350" s="1">
        <v>1.81399E-4</v>
      </c>
    </row>
    <row r="351" spans="1:16" ht="13" customHeight="1" x14ac:dyDescent="0.15">
      <c r="A351">
        <v>1982</v>
      </c>
      <c r="B351">
        <v>2.64262E-3</v>
      </c>
      <c r="C351">
        <v>4.2009400000000002E-2</v>
      </c>
      <c r="D351">
        <v>0.116176</v>
      </c>
      <c r="E351">
        <v>0.55870799999999998</v>
      </c>
      <c r="F351">
        <v>0.190747</v>
      </c>
      <c r="G351">
        <v>4.7381300000000001E-2</v>
      </c>
      <c r="H351">
        <v>1.97623E-2</v>
      </c>
      <c r="I351">
        <v>1.1627999999999999E-2</v>
      </c>
      <c r="J351">
        <v>5.97387E-3</v>
      </c>
      <c r="K351">
        <v>3.24158E-3</v>
      </c>
      <c r="L351">
        <v>6.6611600000000002E-4</v>
      </c>
      <c r="M351" s="1">
        <v>4.0250399999999998E-4</v>
      </c>
      <c r="N351" s="1">
        <v>3.1817800000000002E-4</v>
      </c>
      <c r="O351" s="1">
        <v>1.8032599999999999E-4</v>
      </c>
      <c r="P351" s="1">
        <v>1.6343099999999999E-4</v>
      </c>
    </row>
    <row r="352" spans="1:16" ht="13" customHeight="1" x14ac:dyDescent="0.15">
      <c r="A352">
        <v>1983</v>
      </c>
      <c r="B352">
        <v>6.8202699999999998E-3</v>
      </c>
      <c r="C352">
        <v>2.2385499999999999E-2</v>
      </c>
      <c r="D352">
        <v>0.11163099999999999</v>
      </c>
      <c r="E352">
        <v>0.207733</v>
      </c>
      <c r="F352">
        <v>0.47996499999999997</v>
      </c>
      <c r="G352">
        <v>0.119341</v>
      </c>
      <c r="H352">
        <v>2.7123499999999998E-2</v>
      </c>
      <c r="I352">
        <v>1.15131E-2</v>
      </c>
      <c r="J352">
        <v>6.98658E-3</v>
      </c>
      <c r="K352">
        <v>3.5461999999999998E-3</v>
      </c>
      <c r="L352">
        <v>1.9268499999999999E-3</v>
      </c>
      <c r="M352" s="1">
        <v>3.9595100000000002E-4</v>
      </c>
      <c r="N352" s="1">
        <v>2.3925500000000001E-4</v>
      </c>
      <c r="O352" s="1">
        <v>1.8913E-4</v>
      </c>
      <c r="P352" s="1">
        <v>2.0433499999999999E-4</v>
      </c>
    </row>
    <row r="353" spans="1:16" ht="13" customHeight="1" x14ac:dyDescent="0.15">
      <c r="A353">
        <v>1984</v>
      </c>
      <c r="B353">
        <v>1.4664400000000001E-3</v>
      </c>
      <c r="C353">
        <v>5.5860399999999998E-2</v>
      </c>
      <c r="D353">
        <v>5.6481200000000002E-2</v>
      </c>
      <c r="E353">
        <v>0.20666200000000001</v>
      </c>
      <c r="F353">
        <v>0.229906</v>
      </c>
      <c r="G353">
        <v>0.34770800000000002</v>
      </c>
      <c r="H353">
        <v>7.0671600000000001E-2</v>
      </c>
      <c r="I353">
        <v>1.61023E-2</v>
      </c>
      <c r="J353">
        <v>7.1068099999999999E-3</v>
      </c>
      <c r="K353">
        <v>4.2055599999999997E-3</v>
      </c>
      <c r="L353">
        <v>2.0886300000000002E-3</v>
      </c>
      <c r="M353">
        <v>1.1348700000000001E-3</v>
      </c>
      <c r="N353" s="1">
        <v>2.3320599999999999E-4</v>
      </c>
      <c r="O353" s="1">
        <v>1.4091599999999999E-4</v>
      </c>
      <c r="P353" s="1">
        <v>2.31742E-4</v>
      </c>
    </row>
    <row r="354" spans="1:16" ht="13" customHeight="1" x14ac:dyDescent="0.15">
      <c r="A354">
        <v>1985</v>
      </c>
      <c r="B354">
        <v>3.2340400000000001E-3</v>
      </c>
      <c r="C354">
        <v>1.5017300000000001E-2</v>
      </c>
      <c r="D354">
        <v>0.19579199999999999</v>
      </c>
      <c r="E354">
        <v>9.8704200000000006E-2</v>
      </c>
      <c r="F354">
        <v>0.21662799999999999</v>
      </c>
      <c r="G354">
        <v>0.17970700000000001</v>
      </c>
      <c r="H354">
        <v>0.227132</v>
      </c>
      <c r="I354">
        <v>4.3874999999999997E-2</v>
      </c>
      <c r="J354">
        <v>1.04376E-2</v>
      </c>
      <c r="K354">
        <v>4.5394500000000004E-3</v>
      </c>
      <c r="L354">
        <v>2.5827300000000001E-3</v>
      </c>
      <c r="M354">
        <v>1.28268E-3</v>
      </c>
      <c r="N354">
        <v>6.9695200000000003E-4</v>
      </c>
      <c r="O354" s="1">
        <v>1.4321700000000001E-4</v>
      </c>
      <c r="P354" s="1">
        <v>2.28858E-4</v>
      </c>
    </row>
    <row r="355" spans="1:16" ht="13" customHeight="1" x14ac:dyDescent="0.15">
      <c r="A355">
        <v>1986</v>
      </c>
      <c r="B355">
        <v>1.11198E-3</v>
      </c>
      <c r="C355">
        <v>3.5049299999999999E-2</v>
      </c>
      <c r="D355">
        <v>5.1722700000000003E-2</v>
      </c>
      <c r="E355">
        <v>0.34339500000000001</v>
      </c>
      <c r="F355">
        <v>0.106475</v>
      </c>
      <c r="G355">
        <v>0.19620199999999999</v>
      </c>
      <c r="H355">
        <v>0.103057</v>
      </c>
      <c r="I355">
        <v>0.124349</v>
      </c>
      <c r="J355">
        <v>2.6973799999999999E-2</v>
      </c>
      <c r="K355">
        <v>6.2716100000000004E-3</v>
      </c>
      <c r="L355">
        <v>2.5839999999999999E-3</v>
      </c>
      <c r="M355">
        <v>1.47018E-3</v>
      </c>
      <c r="N355">
        <v>7.3014100000000001E-4</v>
      </c>
      <c r="O355">
        <v>3.96728E-4</v>
      </c>
      <c r="P355" s="1">
        <v>2.1179700000000001E-4</v>
      </c>
    </row>
    <row r="356" spans="1:16" ht="13" customHeight="1" x14ac:dyDescent="0.15">
      <c r="A356">
        <v>1987</v>
      </c>
      <c r="B356">
        <v>5.1837400000000005E-4</v>
      </c>
      <c r="C356">
        <v>1.3902100000000001E-2</v>
      </c>
      <c r="D356">
        <v>0.147785</v>
      </c>
      <c r="E356">
        <v>8.3166199999999996E-2</v>
      </c>
      <c r="F356">
        <v>0.34493200000000002</v>
      </c>
      <c r="G356">
        <v>0.101118</v>
      </c>
      <c r="H356">
        <v>0.120268</v>
      </c>
      <c r="I356">
        <v>6.8732000000000001E-2</v>
      </c>
      <c r="J356">
        <v>9.4695199999999993E-2</v>
      </c>
      <c r="K356">
        <v>1.7519400000000001E-2</v>
      </c>
      <c r="L356">
        <v>3.95883E-3</v>
      </c>
      <c r="M356">
        <v>1.6310999999999999E-3</v>
      </c>
      <c r="N356">
        <v>9.2801799999999996E-4</v>
      </c>
      <c r="O356">
        <v>4.6088699999999999E-4</v>
      </c>
      <c r="P356">
        <v>3.8411899999999999E-4</v>
      </c>
    </row>
    <row r="357" spans="1:16" ht="13" customHeight="1" x14ac:dyDescent="0.15">
      <c r="A357">
        <v>1988</v>
      </c>
      <c r="B357" s="1">
        <v>3.08991E-4</v>
      </c>
      <c r="C357">
        <v>6.9431400000000004E-3</v>
      </c>
      <c r="D357">
        <v>9.9039600000000005E-2</v>
      </c>
      <c r="E357">
        <v>0.220665</v>
      </c>
      <c r="F357">
        <v>0.102449</v>
      </c>
      <c r="G357">
        <v>0.30465599999999998</v>
      </c>
      <c r="H357">
        <v>7.4615899999999999E-2</v>
      </c>
      <c r="I357">
        <v>8.1451499999999996E-2</v>
      </c>
      <c r="J357">
        <v>4.2321200000000003E-2</v>
      </c>
      <c r="K357">
        <v>5.3234999999999998E-2</v>
      </c>
      <c r="L357">
        <v>1.0078999999999999E-2</v>
      </c>
      <c r="M357">
        <v>2.2775299999999998E-3</v>
      </c>
      <c r="N357">
        <v>9.3837800000000002E-4</v>
      </c>
      <c r="O357">
        <v>5.33892E-4</v>
      </c>
      <c r="P357">
        <v>4.8613500000000001E-4</v>
      </c>
    </row>
    <row r="358" spans="1:16" ht="13" customHeight="1" x14ac:dyDescent="0.15">
      <c r="A358">
        <v>1989</v>
      </c>
      <c r="B358">
        <v>5.7509900000000003E-4</v>
      </c>
      <c r="C358">
        <v>5.1634100000000002E-3</v>
      </c>
      <c r="D358">
        <v>4.2463599999999997E-2</v>
      </c>
      <c r="E358">
        <v>0.115772</v>
      </c>
      <c r="F358">
        <v>0.28604200000000002</v>
      </c>
      <c r="G358">
        <v>9.0309600000000004E-2</v>
      </c>
      <c r="H358">
        <v>0.28052899999999997</v>
      </c>
      <c r="I358">
        <v>5.1284999999999997E-2</v>
      </c>
      <c r="J358">
        <v>5.6140099999999998E-2</v>
      </c>
      <c r="K358">
        <v>2.7164899999999999E-2</v>
      </c>
      <c r="L358">
        <v>3.5113699999999998E-2</v>
      </c>
      <c r="M358">
        <v>6.6480799999999998E-3</v>
      </c>
      <c r="N358">
        <v>1.5022499999999999E-3</v>
      </c>
      <c r="O358">
        <v>6.1895199999999998E-4</v>
      </c>
      <c r="P358">
        <v>6.72808E-4</v>
      </c>
    </row>
    <row r="359" spans="1:16" ht="13" customHeight="1" x14ac:dyDescent="0.15">
      <c r="A359">
        <v>1990</v>
      </c>
      <c r="B359">
        <v>2.73084E-3</v>
      </c>
      <c r="C359">
        <v>1.28568E-2</v>
      </c>
      <c r="D359">
        <v>2.93951E-2</v>
      </c>
      <c r="E359">
        <v>8.5449300000000006E-2</v>
      </c>
      <c r="F359">
        <v>0.16688500000000001</v>
      </c>
      <c r="G359">
        <v>0.29192299999999999</v>
      </c>
      <c r="H359">
        <v>8.1121200000000004E-2</v>
      </c>
      <c r="I359">
        <v>0.196849</v>
      </c>
      <c r="J359">
        <v>3.7274300000000003E-2</v>
      </c>
      <c r="K359">
        <v>4.16809E-2</v>
      </c>
      <c r="L359">
        <v>2.0390499999999999E-2</v>
      </c>
      <c r="M359">
        <v>2.6356999999999998E-2</v>
      </c>
      <c r="N359">
        <v>4.9901700000000004E-3</v>
      </c>
      <c r="O359">
        <v>1.12762E-3</v>
      </c>
      <c r="P359">
        <v>9.6961900000000001E-4</v>
      </c>
    </row>
    <row r="360" spans="1:16" ht="13" customHeight="1" x14ac:dyDescent="0.15">
      <c r="A360">
        <v>1991</v>
      </c>
      <c r="B360">
        <v>1.62839E-3</v>
      </c>
      <c r="C360">
        <v>7.2896799999999998E-2</v>
      </c>
      <c r="D360">
        <v>5.69582E-2</v>
      </c>
      <c r="E360">
        <v>6.2056699999999999E-2</v>
      </c>
      <c r="F360">
        <v>9.5913799999999994E-2</v>
      </c>
      <c r="G360">
        <v>0.131081</v>
      </c>
      <c r="H360">
        <v>0.25989000000000001</v>
      </c>
      <c r="I360">
        <v>5.74116E-2</v>
      </c>
      <c r="J360">
        <v>0.15181800000000001</v>
      </c>
      <c r="K360">
        <v>2.9956199999999999E-2</v>
      </c>
      <c r="L360">
        <v>3.5079899999999997E-2</v>
      </c>
      <c r="M360">
        <v>1.7161200000000001E-2</v>
      </c>
      <c r="N360">
        <v>2.2182799999999999E-2</v>
      </c>
      <c r="O360">
        <v>4.1998799999999996E-3</v>
      </c>
      <c r="P360">
        <v>1.7650999999999999E-3</v>
      </c>
    </row>
    <row r="361" spans="1:16" ht="13" customHeight="1" x14ac:dyDescent="0.15">
      <c r="A361">
        <v>1992</v>
      </c>
      <c r="B361">
        <v>1.27144E-3</v>
      </c>
      <c r="C361">
        <v>3.50023E-2</v>
      </c>
      <c r="D361">
        <v>0.34202900000000003</v>
      </c>
      <c r="E361">
        <v>9.9142400000000006E-2</v>
      </c>
      <c r="F361">
        <v>5.2147899999999997E-2</v>
      </c>
      <c r="G361">
        <v>6.6403900000000002E-2</v>
      </c>
      <c r="H361">
        <v>9.0480199999999997E-2</v>
      </c>
      <c r="I361">
        <v>0.13957800000000001</v>
      </c>
      <c r="J361">
        <v>3.5465700000000003E-2</v>
      </c>
      <c r="K361">
        <v>8.0019499999999993E-2</v>
      </c>
      <c r="L361">
        <v>1.5870499999999999E-2</v>
      </c>
      <c r="M361">
        <v>1.8585000000000001E-2</v>
      </c>
      <c r="N361">
        <v>9.0918800000000001E-3</v>
      </c>
      <c r="O361">
        <v>1.17523E-2</v>
      </c>
      <c r="P361">
        <v>3.1601899999999998E-3</v>
      </c>
    </row>
    <row r="362" spans="1:16" ht="13" customHeight="1" x14ac:dyDescent="0.15">
      <c r="A362">
        <v>1993</v>
      </c>
      <c r="B362">
        <v>1.65844E-3</v>
      </c>
      <c r="C362">
        <v>1.46865E-2</v>
      </c>
      <c r="D362">
        <v>0.121517</v>
      </c>
      <c r="E362">
        <v>0.56616599999999995</v>
      </c>
      <c r="F362">
        <v>7.7598799999999996E-2</v>
      </c>
      <c r="G362">
        <v>3.6398300000000001E-2</v>
      </c>
      <c r="H362">
        <v>3.6147699999999998E-2</v>
      </c>
      <c r="I362">
        <v>3.5233399999999998E-2</v>
      </c>
      <c r="J362">
        <v>5.00296E-2</v>
      </c>
      <c r="K362">
        <v>1.21551E-2</v>
      </c>
      <c r="L362">
        <v>2.7973000000000001E-2</v>
      </c>
      <c r="M362">
        <v>5.5479800000000001E-3</v>
      </c>
      <c r="N362">
        <v>6.4968999999999999E-3</v>
      </c>
      <c r="O362">
        <v>3.1783100000000002E-3</v>
      </c>
      <c r="P362">
        <v>5.2130600000000003E-3</v>
      </c>
    </row>
    <row r="363" spans="1:16" ht="13" customHeight="1" x14ac:dyDescent="0.15">
      <c r="A363">
        <v>1994</v>
      </c>
      <c r="B363" s="1">
        <v>4.9108799999999998E-4</v>
      </c>
      <c r="C363">
        <v>2.7220399999999999E-2</v>
      </c>
      <c r="D363">
        <v>5.2135300000000002E-2</v>
      </c>
      <c r="E363">
        <v>0.18124799999999999</v>
      </c>
      <c r="F363">
        <v>0.53440299999999996</v>
      </c>
      <c r="G363">
        <v>8.1146300000000005E-2</v>
      </c>
      <c r="H363">
        <v>2.8140600000000002E-2</v>
      </c>
      <c r="I363">
        <v>1.89695E-2</v>
      </c>
      <c r="J363">
        <v>1.8327900000000001E-2</v>
      </c>
      <c r="K363">
        <v>2.5549100000000002E-2</v>
      </c>
      <c r="L363">
        <v>6.4964599999999999E-3</v>
      </c>
      <c r="M363">
        <v>1.49505E-2</v>
      </c>
      <c r="N363">
        <v>2.96518E-3</v>
      </c>
      <c r="O363">
        <v>3.4723499999999999E-3</v>
      </c>
      <c r="P363">
        <v>4.4848700000000002E-3</v>
      </c>
    </row>
    <row r="364" spans="1:16" ht="13" customHeight="1" x14ac:dyDescent="0.15">
      <c r="A364">
        <v>1995</v>
      </c>
      <c r="B364" s="1">
        <v>3.1758600000000002E-4</v>
      </c>
      <c r="C364">
        <v>1.0535299999999999E-2</v>
      </c>
      <c r="D364">
        <v>7.7136200000000002E-2</v>
      </c>
      <c r="E364">
        <v>8.8121000000000005E-2</v>
      </c>
      <c r="F364">
        <v>0.22850000000000001</v>
      </c>
      <c r="G364">
        <v>0.45374300000000001</v>
      </c>
      <c r="H364">
        <v>6.6427299999999995E-2</v>
      </c>
      <c r="I364">
        <v>1.7360500000000001E-2</v>
      </c>
      <c r="J364">
        <v>1.14629E-2</v>
      </c>
      <c r="K364">
        <v>1.09248E-2</v>
      </c>
      <c r="L364">
        <v>1.5647500000000002E-2</v>
      </c>
      <c r="M364">
        <v>3.9787499999999996E-3</v>
      </c>
      <c r="N364">
        <v>9.1564200000000002E-3</v>
      </c>
      <c r="O364">
        <v>1.81602E-3</v>
      </c>
      <c r="P364">
        <v>4.87339E-3</v>
      </c>
    </row>
    <row r="365" spans="1:16" ht="13" customHeight="1" x14ac:dyDescent="0.15">
      <c r="A365">
        <v>1996</v>
      </c>
      <c r="B365">
        <v>7.3479000000000003E-4</v>
      </c>
      <c r="C365">
        <v>1.1957799999999999E-2</v>
      </c>
      <c r="D365">
        <v>3.7131699999999997E-2</v>
      </c>
      <c r="E365">
        <v>0.11286599999999999</v>
      </c>
      <c r="F365">
        <v>0.13839299999999999</v>
      </c>
      <c r="G365">
        <v>0.25657400000000002</v>
      </c>
      <c r="H365">
        <v>0.33506599999999997</v>
      </c>
      <c r="I365">
        <v>5.3287399999999999E-2</v>
      </c>
      <c r="J365">
        <v>1.26756E-2</v>
      </c>
      <c r="K365">
        <v>7.9519699999999992E-3</v>
      </c>
      <c r="L365">
        <v>7.8552199999999996E-3</v>
      </c>
      <c r="M365">
        <v>1.1251000000000001E-2</v>
      </c>
      <c r="N365">
        <v>2.8608399999999999E-3</v>
      </c>
      <c r="O365">
        <v>6.5837300000000003E-3</v>
      </c>
      <c r="P365">
        <v>4.8098799999999999E-3</v>
      </c>
    </row>
    <row r="366" spans="1:16" ht="13" customHeight="1" x14ac:dyDescent="0.15">
      <c r="A366">
        <v>1997</v>
      </c>
      <c r="B366">
        <v>9.1629500000000002E-4</v>
      </c>
      <c r="C366">
        <v>3.39811E-2</v>
      </c>
      <c r="D366">
        <v>2.9814500000000001E-2</v>
      </c>
      <c r="E366">
        <v>6.4578700000000003E-2</v>
      </c>
      <c r="F366">
        <v>0.30008800000000002</v>
      </c>
      <c r="G366">
        <v>0.192271</v>
      </c>
      <c r="H366">
        <v>0.17322199999999999</v>
      </c>
      <c r="I366">
        <v>0.14888799999999999</v>
      </c>
      <c r="J366">
        <v>2.53718E-2</v>
      </c>
      <c r="K366">
        <v>6.6112999999999996E-3</v>
      </c>
      <c r="L366">
        <v>4.6692900000000004E-3</v>
      </c>
      <c r="M366">
        <v>4.6124800000000004E-3</v>
      </c>
      <c r="N366">
        <v>6.6064499999999998E-3</v>
      </c>
      <c r="O366">
        <v>1.6798399999999999E-3</v>
      </c>
      <c r="P366">
        <v>6.6901699999999996E-3</v>
      </c>
    </row>
    <row r="367" spans="1:16" ht="13" customHeight="1" x14ac:dyDescent="0.15">
      <c r="A367">
        <v>1998</v>
      </c>
      <c r="B367" s="1">
        <v>3.4451399999999997E-4</v>
      </c>
      <c r="C367">
        <v>2.9912999999999999E-2</v>
      </c>
      <c r="D367">
        <v>7.3685200000000006E-2</v>
      </c>
      <c r="E367">
        <v>5.2292999999999999E-2</v>
      </c>
      <c r="F367">
        <v>0.101559</v>
      </c>
      <c r="G367">
        <v>0.426041</v>
      </c>
      <c r="H367">
        <v>0.13348499999999999</v>
      </c>
      <c r="I367">
        <v>8.8177599999999995E-2</v>
      </c>
      <c r="J367">
        <v>7.0049700000000006E-2</v>
      </c>
      <c r="K367">
        <v>1.0573600000000001E-2</v>
      </c>
      <c r="L367">
        <v>2.9722899999999998E-3</v>
      </c>
      <c r="M367">
        <v>2.0992099999999998E-3</v>
      </c>
      <c r="N367">
        <v>2.0736700000000001E-3</v>
      </c>
      <c r="O367">
        <v>2.9701100000000002E-3</v>
      </c>
      <c r="P367">
        <v>3.76297E-3</v>
      </c>
    </row>
    <row r="368" spans="1:16" ht="13" customHeight="1" x14ac:dyDescent="0.15">
      <c r="A368">
        <v>1999</v>
      </c>
      <c r="B368" s="1">
        <v>2.6909200000000002E-4</v>
      </c>
      <c r="C368">
        <v>8.6645400000000001E-3</v>
      </c>
      <c r="D368">
        <v>0.18662799999999999</v>
      </c>
      <c r="E368">
        <v>0.15124199999999999</v>
      </c>
      <c r="F368">
        <v>7.1560499999999999E-2</v>
      </c>
      <c r="G368">
        <v>0.104537</v>
      </c>
      <c r="H368">
        <v>0.313587</v>
      </c>
      <c r="I368">
        <v>8.7562100000000004E-2</v>
      </c>
      <c r="J368">
        <v>3.9426700000000002E-2</v>
      </c>
      <c r="K368">
        <v>2.65121E-2</v>
      </c>
      <c r="L368">
        <v>4.3284500000000002E-3</v>
      </c>
      <c r="M368">
        <v>1.21674E-3</v>
      </c>
      <c r="N368">
        <v>8.5933500000000003E-4</v>
      </c>
      <c r="O368">
        <v>8.4887999999999999E-4</v>
      </c>
      <c r="P368">
        <v>2.7562699999999999E-3</v>
      </c>
    </row>
    <row r="369" spans="1:16" ht="13" customHeight="1" x14ac:dyDescent="0.15">
      <c r="A369">
        <v>2000</v>
      </c>
      <c r="B369" s="1">
        <v>3.6828099999999998E-4</v>
      </c>
      <c r="C369">
        <v>8.1873999999999992E-3</v>
      </c>
      <c r="D369">
        <v>5.0104799999999998E-2</v>
      </c>
      <c r="E369">
        <v>0.25670100000000001</v>
      </c>
      <c r="F369">
        <v>0.209311</v>
      </c>
      <c r="G369">
        <v>6.8594500000000003E-2</v>
      </c>
      <c r="H369">
        <v>0.101877</v>
      </c>
      <c r="I369">
        <v>0.21146300000000001</v>
      </c>
      <c r="J369">
        <v>5.0948E-2</v>
      </c>
      <c r="K369">
        <v>2.13519E-2</v>
      </c>
      <c r="L369">
        <v>1.53124E-2</v>
      </c>
      <c r="M369">
        <v>2.4999599999999999E-3</v>
      </c>
      <c r="N369">
        <v>7.0274699999999999E-4</v>
      </c>
      <c r="O369">
        <v>4.9632099999999998E-4</v>
      </c>
      <c r="P369">
        <v>2.0822100000000001E-3</v>
      </c>
    </row>
    <row r="370" spans="1:16" ht="13" customHeight="1" x14ac:dyDescent="0.15">
      <c r="A370">
        <v>2001</v>
      </c>
      <c r="B370" s="1">
        <v>4.9766999999999997E-4</v>
      </c>
      <c r="C370">
        <v>1.00413E-2</v>
      </c>
      <c r="D370">
        <v>3.76523E-2</v>
      </c>
      <c r="E370">
        <v>9.6629000000000007E-2</v>
      </c>
      <c r="F370">
        <v>0.33384000000000003</v>
      </c>
      <c r="G370">
        <v>0.229911</v>
      </c>
      <c r="H370">
        <v>7.4753500000000001E-2</v>
      </c>
      <c r="I370">
        <v>6.5692899999999999E-2</v>
      </c>
      <c r="J370">
        <v>9.5985200000000007E-2</v>
      </c>
      <c r="K370">
        <v>2.8132500000000001E-2</v>
      </c>
      <c r="L370">
        <v>1.3514399999999999E-2</v>
      </c>
      <c r="M370">
        <v>9.6918100000000004E-3</v>
      </c>
      <c r="N370">
        <v>1.5823199999999999E-3</v>
      </c>
      <c r="O370">
        <v>4.44795E-4</v>
      </c>
      <c r="P370">
        <v>1.6320499999999999E-3</v>
      </c>
    </row>
    <row r="371" spans="1:16" ht="13" customHeight="1" x14ac:dyDescent="0.15">
      <c r="A371">
        <v>2002</v>
      </c>
      <c r="B371" s="1">
        <v>3.4755000000000002E-4</v>
      </c>
      <c r="C371">
        <v>2.22264E-2</v>
      </c>
      <c r="D371">
        <v>6.5228999999999995E-2</v>
      </c>
      <c r="E371">
        <v>0.113927</v>
      </c>
      <c r="F371">
        <v>0.153365</v>
      </c>
      <c r="G371">
        <v>0.32646500000000001</v>
      </c>
      <c r="H371">
        <v>0.144759</v>
      </c>
      <c r="I371">
        <v>4.7510200000000002E-2</v>
      </c>
      <c r="J371">
        <v>3.8832800000000001E-2</v>
      </c>
      <c r="K371">
        <v>5.39433E-2</v>
      </c>
      <c r="L371">
        <v>1.7081699999999998E-2</v>
      </c>
      <c r="M371">
        <v>8.2058099999999991E-3</v>
      </c>
      <c r="N371">
        <v>5.8847600000000002E-3</v>
      </c>
      <c r="O371">
        <v>9.6076500000000003E-4</v>
      </c>
      <c r="P371">
        <v>1.26103E-3</v>
      </c>
    </row>
    <row r="372" spans="1:16" ht="13" customHeight="1" x14ac:dyDescent="0.15">
      <c r="A372">
        <v>2003</v>
      </c>
      <c r="B372" s="1">
        <v>1.9442299999999999E-4</v>
      </c>
      <c r="C372">
        <v>9.5101200000000004E-3</v>
      </c>
      <c r="D372">
        <v>0.18138799999999999</v>
      </c>
      <c r="E372">
        <v>0.16355800000000001</v>
      </c>
      <c r="F372">
        <v>0.177429</v>
      </c>
      <c r="G372">
        <v>0.146704</v>
      </c>
      <c r="H372">
        <v>0.164795</v>
      </c>
      <c r="I372">
        <v>7.2893899999999998E-2</v>
      </c>
      <c r="J372">
        <v>2.17135E-2</v>
      </c>
      <c r="K372">
        <v>1.6539999999999999E-2</v>
      </c>
      <c r="L372">
        <v>2.79622E-2</v>
      </c>
      <c r="M372">
        <v>8.8545299999999993E-3</v>
      </c>
      <c r="N372">
        <v>4.2535899999999998E-3</v>
      </c>
      <c r="O372">
        <v>3.0504400000000002E-3</v>
      </c>
      <c r="P372">
        <v>1.1517000000000001E-3</v>
      </c>
    </row>
    <row r="373" spans="1:16" ht="13" customHeight="1" x14ac:dyDescent="0.15">
      <c r="A373">
        <v>2004</v>
      </c>
      <c r="B373" s="1">
        <v>7.1501999999999994E-5</v>
      </c>
      <c r="C373">
        <v>3.9381099999999999E-3</v>
      </c>
      <c r="D373">
        <v>5.0445200000000003E-2</v>
      </c>
      <c r="E373">
        <v>0.385938</v>
      </c>
      <c r="F373">
        <v>0.23128799999999999</v>
      </c>
      <c r="G373">
        <v>0.117325</v>
      </c>
      <c r="H373">
        <v>7.5077199999999997E-2</v>
      </c>
      <c r="I373">
        <v>6.9291500000000006E-2</v>
      </c>
      <c r="J373">
        <v>2.7922099999999998E-2</v>
      </c>
      <c r="K373">
        <v>8.3886499999999992E-3</v>
      </c>
      <c r="L373">
        <v>8.1118400000000004E-3</v>
      </c>
      <c r="M373">
        <v>1.3713700000000001E-2</v>
      </c>
      <c r="N373">
        <v>4.3426000000000003E-3</v>
      </c>
      <c r="O373">
        <v>2.0861199999999999E-3</v>
      </c>
      <c r="P373">
        <v>2.0608900000000001E-3</v>
      </c>
    </row>
    <row r="374" spans="1:16" ht="13" customHeight="1" x14ac:dyDescent="0.15">
      <c r="A374">
        <v>2005</v>
      </c>
      <c r="B374" s="1">
        <v>4.6388399999999998E-5</v>
      </c>
      <c r="C374">
        <v>1.8509399999999999E-3</v>
      </c>
      <c r="D374">
        <v>2.9509000000000001E-2</v>
      </c>
      <c r="E374">
        <v>0.18131</v>
      </c>
      <c r="F374">
        <v>0.403395</v>
      </c>
      <c r="G374">
        <v>0.21861700000000001</v>
      </c>
      <c r="H374">
        <v>7.2908500000000001E-2</v>
      </c>
      <c r="I374">
        <v>3.16508E-2</v>
      </c>
      <c r="J374">
        <v>2.8602099999999998E-2</v>
      </c>
      <c r="K374">
        <v>1.1932399999999999E-2</v>
      </c>
      <c r="L374">
        <v>4.3733299999999999E-3</v>
      </c>
      <c r="M374">
        <v>4.22902E-3</v>
      </c>
      <c r="N374">
        <v>7.1495100000000004E-3</v>
      </c>
      <c r="O374">
        <v>2.2639700000000001E-3</v>
      </c>
      <c r="P374">
        <v>2.1619999999999999E-3</v>
      </c>
    </row>
    <row r="375" spans="1:16" ht="13" customHeight="1" x14ac:dyDescent="0.15">
      <c r="A375">
        <v>2006</v>
      </c>
      <c r="B375" s="1">
        <v>1.4511999999999999E-4</v>
      </c>
      <c r="C375">
        <v>2.1767800000000001E-3</v>
      </c>
      <c r="D375">
        <v>3.1409199999999998E-2</v>
      </c>
      <c r="E375">
        <v>0.13489000000000001</v>
      </c>
      <c r="F375">
        <v>0.290912</v>
      </c>
      <c r="G375">
        <v>0.29507499999999998</v>
      </c>
      <c r="H375">
        <v>0.13291</v>
      </c>
      <c r="I375">
        <v>4.8031900000000002E-2</v>
      </c>
      <c r="J375">
        <v>2.1121600000000001E-2</v>
      </c>
      <c r="K375">
        <v>1.8669700000000001E-2</v>
      </c>
      <c r="L375">
        <v>9.1630600000000006E-3</v>
      </c>
      <c r="M375">
        <v>3.3583300000000001E-3</v>
      </c>
      <c r="N375">
        <v>3.2475099999999999E-3</v>
      </c>
      <c r="O375">
        <v>5.4901899999999998E-3</v>
      </c>
      <c r="P375">
        <v>3.3987499999999999E-3</v>
      </c>
    </row>
    <row r="376" spans="1:16" ht="13" customHeight="1" x14ac:dyDescent="0.15">
      <c r="A376">
        <v>2007</v>
      </c>
      <c r="B376" s="1">
        <v>4.06399E-4</v>
      </c>
      <c r="C376">
        <v>7.9916999999999992E-3</v>
      </c>
      <c r="D376">
        <v>2.9006000000000001E-2</v>
      </c>
      <c r="E376">
        <v>7.5604400000000002E-2</v>
      </c>
      <c r="F376">
        <v>0.224665</v>
      </c>
      <c r="G376">
        <v>0.30374699999999999</v>
      </c>
      <c r="H376">
        <v>0.19442999999999999</v>
      </c>
      <c r="I376">
        <v>8.5275599999999993E-2</v>
      </c>
      <c r="J376">
        <v>3.08784E-2</v>
      </c>
      <c r="K376">
        <v>1.4486199999999999E-2</v>
      </c>
      <c r="L376">
        <v>1.4438899999999999E-2</v>
      </c>
      <c r="M376">
        <v>7.0866100000000001E-3</v>
      </c>
      <c r="N376">
        <v>2.5972899999999999E-3</v>
      </c>
      <c r="O376">
        <v>2.5115900000000002E-3</v>
      </c>
      <c r="P376">
        <v>6.8745999999999998E-3</v>
      </c>
    </row>
    <row r="377" spans="1:16" ht="13" customHeight="1" x14ac:dyDescent="0.15">
      <c r="A377">
        <v>2008</v>
      </c>
      <c r="B377" s="1">
        <v>3.0574500000000001E-4</v>
      </c>
      <c r="C377">
        <v>2.03378E-2</v>
      </c>
      <c r="D377">
        <v>5.71773E-2</v>
      </c>
      <c r="E377">
        <v>6.9394200000000003E-2</v>
      </c>
      <c r="F377">
        <v>0.127915</v>
      </c>
      <c r="G377">
        <v>0.259135</v>
      </c>
      <c r="H377">
        <v>0.201712</v>
      </c>
      <c r="I377">
        <v>0.134685</v>
      </c>
      <c r="J377">
        <v>6.5699099999999996E-2</v>
      </c>
      <c r="K377">
        <v>2.3750199999999999E-2</v>
      </c>
      <c r="L377">
        <v>1.2039299999999999E-2</v>
      </c>
      <c r="M377">
        <v>1.2E-2</v>
      </c>
      <c r="N377">
        <v>5.8895900000000001E-3</v>
      </c>
      <c r="O377">
        <v>2.1585799999999998E-3</v>
      </c>
      <c r="P377">
        <v>7.8007500000000004E-3</v>
      </c>
    </row>
    <row r="378" spans="1:16" ht="13" customHeight="1" x14ac:dyDescent="0.15">
      <c r="A378">
        <v>2009</v>
      </c>
      <c r="B378">
        <v>1.3749999999999999E-3</v>
      </c>
      <c r="C378">
        <v>9.6234400000000005E-3</v>
      </c>
      <c r="D378">
        <v>0.15423000000000001</v>
      </c>
      <c r="E378">
        <v>0.209093</v>
      </c>
      <c r="F378">
        <v>8.8031600000000002E-2</v>
      </c>
      <c r="G378">
        <v>0.114355</v>
      </c>
      <c r="H378">
        <v>0.13525499999999999</v>
      </c>
      <c r="I378">
        <v>0.111364</v>
      </c>
      <c r="J378">
        <v>8.7508000000000002E-2</v>
      </c>
      <c r="K378">
        <v>4.2798999999999997E-2</v>
      </c>
      <c r="L378">
        <v>1.7304099999999999E-2</v>
      </c>
      <c r="M378">
        <v>8.7717000000000003E-3</v>
      </c>
      <c r="N378">
        <v>8.7430600000000004E-3</v>
      </c>
      <c r="O378">
        <v>4.29109E-3</v>
      </c>
      <c r="P378">
        <v>7.2562499999999997E-3</v>
      </c>
    </row>
    <row r="379" spans="1:16" ht="13" customHeight="1" x14ac:dyDescent="0.15">
      <c r="A379">
        <v>2010</v>
      </c>
      <c r="B379" s="1">
        <v>3.7133199999999999E-4</v>
      </c>
      <c r="C379">
        <v>2.6855199999999999E-2</v>
      </c>
      <c r="D379">
        <v>3.5667699999999997E-2</v>
      </c>
      <c r="E379">
        <v>0.48819400000000002</v>
      </c>
      <c r="F379">
        <v>0.19830700000000001</v>
      </c>
      <c r="G379">
        <v>5.4773700000000002E-2</v>
      </c>
      <c r="H379">
        <v>4.42303E-2</v>
      </c>
      <c r="I379">
        <v>4.8848900000000001E-2</v>
      </c>
      <c r="J379">
        <v>4.0638300000000002E-2</v>
      </c>
      <c r="K379">
        <v>3.0395599999999998E-2</v>
      </c>
      <c r="L379">
        <v>1.5224700000000001E-2</v>
      </c>
      <c r="M379">
        <v>6.1555400000000001E-3</v>
      </c>
      <c r="N379">
        <v>3.1203300000000002E-3</v>
      </c>
      <c r="O379">
        <v>3.11014E-3</v>
      </c>
      <c r="P379">
        <v>4.1076999999999997E-3</v>
      </c>
    </row>
    <row r="380" spans="1:16" ht="13" customHeight="1" x14ac:dyDescent="0.15">
      <c r="A380">
        <v>2011</v>
      </c>
      <c r="B380" s="1">
        <v>1.94775E-4</v>
      </c>
      <c r="C380">
        <v>1.00053E-2</v>
      </c>
      <c r="D380">
        <v>0.1198</v>
      </c>
      <c r="E380">
        <v>8.4204899999999999E-2</v>
      </c>
      <c r="F380">
        <v>0.49613400000000002</v>
      </c>
      <c r="G380">
        <v>0.162078</v>
      </c>
      <c r="H380">
        <v>3.5553599999999998E-2</v>
      </c>
      <c r="I380">
        <v>2.2793899999999999E-2</v>
      </c>
      <c r="J380">
        <v>2.2183399999999999E-2</v>
      </c>
      <c r="K380">
        <v>1.8329000000000002E-2</v>
      </c>
      <c r="L380">
        <v>1.4055399999999999E-2</v>
      </c>
      <c r="M380">
        <v>7.04018E-3</v>
      </c>
      <c r="N380">
        <v>2.8464300000000001E-3</v>
      </c>
      <c r="O380">
        <v>1.4428900000000001E-3</v>
      </c>
      <c r="P380">
        <v>3.3376500000000002E-3</v>
      </c>
    </row>
    <row r="381" spans="1:16" ht="13" customHeight="1" x14ac:dyDescent="0.15">
      <c r="A381">
        <v>2012</v>
      </c>
      <c r="B381" s="1">
        <v>1.3586800000000001E-4</v>
      </c>
      <c r="C381">
        <v>6.8597500000000004E-3</v>
      </c>
      <c r="D381">
        <v>5.87822E-2</v>
      </c>
      <c r="E381">
        <v>0.48042400000000002</v>
      </c>
      <c r="F381">
        <v>9.7824400000000006E-2</v>
      </c>
      <c r="G381">
        <v>0.23306499999999999</v>
      </c>
      <c r="H381">
        <v>6.6019400000000006E-2</v>
      </c>
      <c r="I381">
        <v>1.55259E-2</v>
      </c>
      <c r="J381">
        <v>9.8830700000000007E-3</v>
      </c>
      <c r="K381">
        <v>9.7725099999999999E-3</v>
      </c>
      <c r="L381">
        <v>8.4565200000000004E-3</v>
      </c>
      <c r="M381">
        <v>6.4847999999999998E-3</v>
      </c>
      <c r="N381">
        <v>3.24815E-3</v>
      </c>
      <c r="O381">
        <v>1.3132599999999999E-3</v>
      </c>
      <c r="P381">
        <v>2.2056100000000002E-3</v>
      </c>
    </row>
    <row r="382" spans="1:16" ht="13" customHeight="1" x14ac:dyDescent="0.15">
      <c r="A382">
        <v>2013</v>
      </c>
      <c r="B382" s="1">
        <v>7.2621299999999997E-4</v>
      </c>
      <c r="C382">
        <v>3.9453600000000002E-3</v>
      </c>
      <c r="D382">
        <v>3.6194900000000002E-2</v>
      </c>
      <c r="E382">
        <v>0.186194</v>
      </c>
      <c r="F382">
        <v>0.51502400000000004</v>
      </c>
      <c r="G382">
        <v>0.10041799999999999</v>
      </c>
      <c r="H382">
        <v>9.48127E-2</v>
      </c>
      <c r="I382">
        <v>3.2562899999999999E-2</v>
      </c>
      <c r="J382">
        <v>7.6870200000000001E-3</v>
      </c>
      <c r="K382">
        <v>5.2253100000000004E-3</v>
      </c>
      <c r="L382">
        <v>5.3423100000000003E-3</v>
      </c>
      <c r="M382">
        <v>4.6229000000000001E-3</v>
      </c>
      <c r="N382">
        <v>3.5450299999999998E-3</v>
      </c>
      <c r="O382">
        <v>1.7756600000000001E-3</v>
      </c>
      <c r="P382">
        <v>1.92366E-3</v>
      </c>
    </row>
    <row r="383" spans="1:16" ht="13" customHeight="1" x14ac:dyDescent="0.15">
      <c r="A383">
        <v>2014</v>
      </c>
      <c r="B383" s="1">
        <v>3.42398E-4</v>
      </c>
      <c r="C383">
        <v>2.2080800000000001E-2</v>
      </c>
      <c r="D383">
        <v>2.6185199999999999E-2</v>
      </c>
      <c r="E383">
        <v>0.101398</v>
      </c>
      <c r="F383">
        <v>0.22714300000000001</v>
      </c>
      <c r="G383">
        <v>0.43478600000000001</v>
      </c>
      <c r="H383">
        <v>0.102382</v>
      </c>
      <c r="I383">
        <v>5.6270399999999998E-2</v>
      </c>
      <c r="J383">
        <v>1.45474E-2</v>
      </c>
      <c r="K383">
        <v>3.7832899999999999E-3</v>
      </c>
      <c r="L383">
        <v>2.5812000000000001E-3</v>
      </c>
      <c r="M383">
        <v>2.6389899999999999E-3</v>
      </c>
      <c r="N383">
        <v>2.2836200000000001E-3</v>
      </c>
      <c r="O383">
        <v>1.75117E-3</v>
      </c>
      <c r="P383">
        <v>1.8273899999999999E-3</v>
      </c>
    </row>
    <row r="384" spans="1:16" ht="13" customHeight="1" x14ac:dyDescent="0.15">
      <c r="A384">
        <v>2015</v>
      </c>
      <c r="B384" s="1">
        <v>1.7176499999999999E-4</v>
      </c>
      <c r="C384">
        <v>8.9724799999999997E-3</v>
      </c>
      <c r="D384">
        <v>0.28909600000000002</v>
      </c>
      <c r="E384">
        <v>8.7968199999999996E-2</v>
      </c>
      <c r="F384">
        <v>0.10909099999999999</v>
      </c>
      <c r="G384">
        <v>0.17544899999999999</v>
      </c>
      <c r="H384">
        <v>0.249665</v>
      </c>
      <c r="I384">
        <v>4.0360100000000003E-2</v>
      </c>
      <c r="J384">
        <v>2.4144200000000001E-2</v>
      </c>
      <c r="K384">
        <v>7.8908299999999997E-3</v>
      </c>
      <c r="L384">
        <v>1.8303200000000001E-3</v>
      </c>
      <c r="M384">
        <v>1.24876E-3</v>
      </c>
      <c r="N384">
        <v>1.2767200000000001E-3</v>
      </c>
      <c r="O384">
        <v>1.10479E-3</v>
      </c>
      <c r="P384">
        <v>1.73127E-3</v>
      </c>
    </row>
    <row r="385" spans="1:26" ht="13" customHeight="1" x14ac:dyDescent="0.15">
      <c r="A385" t="s">
        <v>165</v>
      </c>
      <c r="B385" t="s">
        <v>127</v>
      </c>
      <c r="C385" t="s">
        <v>167</v>
      </c>
      <c r="D385" t="s">
        <v>158</v>
      </c>
      <c r="E385" t="s">
        <v>168</v>
      </c>
    </row>
    <row r="386" spans="1:26" ht="13" customHeight="1" x14ac:dyDescent="0.15">
      <c r="A386">
        <v>2016</v>
      </c>
      <c r="B386">
        <v>2.3234399999999999E-2</v>
      </c>
      <c r="C386">
        <v>3.3153799999999997E-2</v>
      </c>
      <c r="D386">
        <v>4.9826500000000003E-2</v>
      </c>
      <c r="E386">
        <v>6.9122699999999995E-2</v>
      </c>
      <c r="F386">
        <v>6.9298399999999996E-2</v>
      </c>
      <c r="G386">
        <v>5.4008E-2</v>
      </c>
      <c r="H386">
        <v>5.7126099999999999E-2</v>
      </c>
      <c r="I386">
        <v>5.6207899999999998E-2</v>
      </c>
      <c r="J386">
        <v>5.1483099999999997E-2</v>
      </c>
      <c r="K386">
        <v>4.4390899999999997E-2</v>
      </c>
      <c r="L386">
        <v>3.6849399999999997E-2</v>
      </c>
      <c r="M386">
        <v>3.04421E-2</v>
      </c>
      <c r="N386">
        <v>2.5971399999999999E-2</v>
      </c>
      <c r="O386">
        <v>2.3488999999999999E-2</v>
      </c>
      <c r="P386">
        <v>2.2604800000000001E-2</v>
      </c>
      <c r="Q386">
        <v>3.4493200000000002E-2</v>
      </c>
      <c r="R386">
        <v>4.9448199999999998E-2</v>
      </c>
      <c r="S386">
        <v>5.32872E-2</v>
      </c>
      <c r="T386">
        <v>5.4135700000000002E-2</v>
      </c>
      <c r="U386">
        <v>5.01355E-2</v>
      </c>
      <c r="V386">
        <v>4.1213800000000002E-2</v>
      </c>
      <c r="W386">
        <v>2.96154E-2</v>
      </c>
      <c r="X386">
        <v>1.8643199999999999E-2</v>
      </c>
      <c r="Y386">
        <v>1.0500000000000001E-2</v>
      </c>
      <c r="Z386">
        <v>1.1319299999999999E-2</v>
      </c>
    </row>
    <row r="387" spans="1:26" ht="13" customHeight="1" x14ac:dyDescent="0.15">
      <c r="A387" t="s">
        <v>132</v>
      </c>
      <c r="B387" t="s">
        <v>128</v>
      </c>
      <c r="C387" t="s">
        <v>167</v>
      </c>
      <c r="D387" t="s">
        <v>158</v>
      </c>
      <c r="E387" t="s">
        <v>159</v>
      </c>
    </row>
    <row r="388" spans="1:26" ht="13" customHeight="1" x14ac:dyDescent="0.15">
      <c r="A388">
        <v>1982</v>
      </c>
      <c r="B388">
        <v>9.1249899999999995E-2</v>
      </c>
      <c r="C388">
        <v>0.216888</v>
      </c>
      <c r="D388">
        <v>0.23791799999999999</v>
      </c>
      <c r="E388">
        <v>0.31031999999999998</v>
      </c>
      <c r="F388">
        <v>0.106714</v>
      </c>
      <c r="G388">
        <v>1.46117E-2</v>
      </c>
      <c r="H388">
        <v>1.01333E-2</v>
      </c>
      <c r="I388">
        <v>4.8340199999999996E-3</v>
      </c>
      <c r="J388">
        <v>3.0524200000000001E-3</v>
      </c>
      <c r="K388">
        <v>1.9135300000000001E-3</v>
      </c>
      <c r="L388">
        <v>1.1793299999999999E-3</v>
      </c>
      <c r="M388">
        <v>7.3119500000000002E-4</v>
      </c>
      <c r="N388">
        <v>2.5602399999999999E-4</v>
      </c>
      <c r="O388" s="1">
        <v>1.0056399999999999E-4</v>
      </c>
      <c r="P388" s="1">
        <v>9.8169099999999995E-5</v>
      </c>
    </row>
    <row r="389" spans="1:26" ht="13" customHeight="1" x14ac:dyDescent="0.15">
      <c r="A389">
        <v>1983</v>
      </c>
      <c r="B389">
        <v>0.24738199999999999</v>
      </c>
      <c r="C389">
        <v>3.6963999999999997E-2</v>
      </c>
      <c r="D389">
        <v>8.2966700000000004E-2</v>
      </c>
      <c r="E389">
        <v>0.149843</v>
      </c>
      <c r="F389">
        <v>0.337121</v>
      </c>
      <c r="G389">
        <v>0.103253</v>
      </c>
      <c r="H389">
        <v>1.8867100000000001E-2</v>
      </c>
      <c r="I389">
        <v>1.01482E-2</v>
      </c>
      <c r="J389">
        <v>4.5794E-3</v>
      </c>
      <c r="K389">
        <v>3.9583600000000002E-3</v>
      </c>
      <c r="L389">
        <v>2.95334E-3</v>
      </c>
      <c r="M389">
        <v>1.04524E-3</v>
      </c>
      <c r="N389">
        <v>4.1390099999999999E-4</v>
      </c>
      <c r="O389">
        <v>3.51763E-4</v>
      </c>
      <c r="P389">
        <v>1.53263E-4</v>
      </c>
    </row>
    <row r="390" spans="1:26" ht="13" customHeight="1" x14ac:dyDescent="0.15">
      <c r="A390">
        <v>1984</v>
      </c>
      <c r="B390">
        <v>4.3637000000000002E-2</v>
      </c>
      <c r="C390">
        <v>3.4766199999999997E-2</v>
      </c>
      <c r="D390">
        <v>4.9587600000000003E-2</v>
      </c>
      <c r="E390">
        <v>0.143593</v>
      </c>
      <c r="F390">
        <v>0.18230499999999999</v>
      </c>
      <c r="G390">
        <v>0.42992000000000002</v>
      </c>
      <c r="H390">
        <v>8.2249100000000006E-2</v>
      </c>
      <c r="I390">
        <v>1.8291000000000002E-2</v>
      </c>
      <c r="J390">
        <v>8.5265800000000006E-3</v>
      </c>
      <c r="K390">
        <v>3.0313499999999999E-3</v>
      </c>
      <c r="L390">
        <v>2.0089600000000002E-3</v>
      </c>
      <c r="M390">
        <v>7.8629000000000004E-4</v>
      </c>
      <c r="N390">
        <v>4.6063400000000002E-4</v>
      </c>
      <c r="O390">
        <v>5.6475700000000004E-4</v>
      </c>
      <c r="P390">
        <v>2.7201800000000001E-4</v>
      </c>
    </row>
    <row r="391" spans="1:26" ht="13" customHeight="1" x14ac:dyDescent="0.15">
      <c r="A391">
        <v>1985</v>
      </c>
      <c r="B391">
        <v>0.28838200000000003</v>
      </c>
      <c r="C391">
        <v>4.8477399999999997E-2</v>
      </c>
      <c r="D391">
        <v>0.186559</v>
      </c>
      <c r="E391">
        <v>5.9115500000000001E-2</v>
      </c>
      <c r="F391">
        <v>0.19450100000000001</v>
      </c>
      <c r="G391">
        <v>0.117697</v>
      </c>
      <c r="H391">
        <v>8.0176399999999995E-2</v>
      </c>
      <c r="I391">
        <v>1.5785199999999999E-2</v>
      </c>
      <c r="J391">
        <v>4.01111E-3</v>
      </c>
      <c r="K391">
        <v>3.31417E-3</v>
      </c>
      <c r="L391">
        <v>1.1375000000000001E-3</v>
      </c>
      <c r="M391">
        <v>3.6866900000000002E-4</v>
      </c>
      <c r="N391">
        <v>4.08124E-4</v>
      </c>
      <c r="O391" s="1">
        <v>4.8714600000000003E-5</v>
      </c>
      <c r="P391" s="1">
        <v>1.8890899999999999E-5</v>
      </c>
    </row>
    <row r="392" spans="1:26" ht="13" customHeight="1" x14ac:dyDescent="0.15">
      <c r="A392">
        <v>1986</v>
      </c>
      <c r="B392">
        <v>0.21998500000000001</v>
      </c>
      <c r="C392">
        <v>5.4141000000000002E-2</v>
      </c>
      <c r="D392">
        <v>4.0195399999999999E-2</v>
      </c>
      <c r="E392">
        <v>0.14879200000000001</v>
      </c>
      <c r="F392">
        <v>8.9994900000000003E-2</v>
      </c>
      <c r="G392">
        <v>0.14982200000000001</v>
      </c>
      <c r="H392">
        <v>0.131051</v>
      </c>
      <c r="I392">
        <v>0.118835</v>
      </c>
      <c r="J392">
        <v>3.7217100000000003E-2</v>
      </c>
      <c r="K392">
        <v>5.6720599999999996E-3</v>
      </c>
      <c r="L392">
        <v>2.6210600000000001E-3</v>
      </c>
      <c r="M392">
        <v>1.1684200000000001E-3</v>
      </c>
      <c r="N392">
        <v>1.0435800000000001E-4</v>
      </c>
      <c r="O392">
        <v>2.9394700000000002E-4</v>
      </c>
      <c r="P392" s="1">
        <v>1.06815E-4</v>
      </c>
    </row>
    <row r="393" spans="1:26" ht="13" customHeight="1" x14ac:dyDescent="0.15">
      <c r="A393">
        <v>1987</v>
      </c>
      <c r="B393">
        <v>3.3051200000000003E-2</v>
      </c>
      <c r="C393">
        <v>5.9688100000000001E-2</v>
      </c>
      <c r="D393">
        <v>8.1384799999999993E-2</v>
      </c>
      <c r="E393">
        <v>6.14028E-2</v>
      </c>
      <c r="F393">
        <v>0.37266100000000002</v>
      </c>
      <c r="G393">
        <v>0.10312200000000001</v>
      </c>
      <c r="H393">
        <v>9.8733299999999996E-2</v>
      </c>
      <c r="I393">
        <v>3.8998999999999999E-2</v>
      </c>
      <c r="J393">
        <v>0.123353</v>
      </c>
      <c r="K393">
        <v>1.9061499999999999E-2</v>
      </c>
      <c r="L393">
        <v>5.5989400000000002E-3</v>
      </c>
      <c r="M393">
        <v>2.1984800000000001E-3</v>
      </c>
      <c r="N393">
        <v>4.00901E-4</v>
      </c>
      <c r="O393">
        <v>1.8822700000000001E-4</v>
      </c>
      <c r="P393">
        <v>1.56711E-4</v>
      </c>
    </row>
    <row r="394" spans="1:26" ht="13" customHeight="1" x14ac:dyDescent="0.15">
      <c r="A394">
        <v>1988</v>
      </c>
      <c r="B394">
        <v>8.0560499999999993E-2</v>
      </c>
      <c r="C394">
        <v>4.1618299999999997E-2</v>
      </c>
      <c r="D394">
        <v>9.6235100000000004E-2</v>
      </c>
      <c r="E394">
        <v>0.18257499999999999</v>
      </c>
      <c r="F394">
        <v>7.9456299999999994E-2</v>
      </c>
      <c r="G394">
        <v>0.257855</v>
      </c>
      <c r="H394">
        <v>7.6463799999999998E-2</v>
      </c>
      <c r="I394">
        <v>5.7960299999999999E-2</v>
      </c>
      <c r="J394">
        <v>3.3421300000000001E-2</v>
      </c>
      <c r="K394">
        <v>7.9180299999999995E-2</v>
      </c>
      <c r="L394">
        <v>7.4786399999999999E-3</v>
      </c>
      <c r="M394">
        <v>4.4498699999999999E-3</v>
      </c>
      <c r="N394">
        <v>9.1289799999999999E-4</v>
      </c>
      <c r="O394">
        <v>1.2036200000000001E-3</v>
      </c>
      <c r="P394">
        <v>6.2911200000000003E-4</v>
      </c>
    </row>
    <row r="395" spans="1:26" ht="13" customHeight="1" x14ac:dyDescent="0.15">
      <c r="A395">
        <v>1989</v>
      </c>
      <c r="B395">
        <v>6.2500399999999998E-2</v>
      </c>
      <c r="C395">
        <v>2.06403E-2</v>
      </c>
      <c r="D395">
        <v>3.9994500000000002E-2</v>
      </c>
      <c r="E395">
        <v>0.13198099999999999</v>
      </c>
      <c r="F395">
        <v>0.29633599999999999</v>
      </c>
      <c r="G395">
        <v>5.8837399999999998E-2</v>
      </c>
      <c r="H395">
        <v>0.223769</v>
      </c>
      <c r="I395">
        <v>3.3990899999999998E-2</v>
      </c>
      <c r="J395">
        <v>4.0892400000000002E-2</v>
      </c>
      <c r="K395">
        <v>1.5856599999999998E-2</v>
      </c>
      <c r="L395">
        <v>4.9814200000000003E-2</v>
      </c>
      <c r="M395">
        <v>8.6449200000000004E-3</v>
      </c>
      <c r="N395">
        <v>7.5970100000000004E-3</v>
      </c>
      <c r="O395">
        <v>3.8170000000000001E-3</v>
      </c>
      <c r="P395">
        <v>5.32834E-3</v>
      </c>
    </row>
    <row r="396" spans="1:26" ht="13" customHeight="1" x14ac:dyDescent="0.15">
      <c r="A396">
        <v>1990</v>
      </c>
      <c r="B396">
        <v>0.13082099999999999</v>
      </c>
      <c r="C396">
        <v>2.2177100000000002E-2</v>
      </c>
      <c r="D396">
        <v>7.9688999999999992E-3</v>
      </c>
      <c r="E396">
        <v>5.1098999999999999E-2</v>
      </c>
      <c r="F396">
        <v>0.102044</v>
      </c>
      <c r="G396">
        <v>0.34212300000000001</v>
      </c>
      <c r="H396">
        <v>6.8666599999999994E-2</v>
      </c>
      <c r="I396">
        <v>0.168905</v>
      </c>
      <c r="J396">
        <v>1.7118600000000001E-2</v>
      </c>
      <c r="K396">
        <v>3.0346999999999999E-2</v>
      </c>
      <c r="L396">
        <v>4.6716300000000004E-3</v>
      </c>
      <c r="M396">
        <v>4.3605499999999998E-2</v>
      </c>
      <c r="N396">
        <v>3.8093900000000002E-3</v>
      </c>
      <c r="O396">
        <v>2.8248700000000002E-3</v>
      </c>
      <c r="P396">
        <v>3.8193699999999999E-3</v>
      </c>
    </row>
    <row r="397" spans="1:26" ht="13" customHeight="1" x14ac:dyDescent="0.15">
      <c r="A397">
        <v>1991</v>
      </c>
      <c r="B397">
        <v>0.27298</v>
      </c>
      <c r="C397">
        <v>7.8259499999999996E-2</v>
      </c>
      <c r="D397">
        <v>2.7986199999999999E-2</v>
      </c>
      <c r="E397">
        <v>9.0563399999999995E-3</v>
      </c>
      <c r="F397">
        <v>5.5119000000000001E-2</v>
      </c>
      <c r="G397">
        <v>5.1479200000000003E-2</v>
      </c>
      <c r="H397">
        <v>0.170266</v>
      </c>
      <c r="I397">
        <v>6.4015299999999997E-2</v>
      </c>
      <c r="J397">
        <v>0.13773099999999999</v>
      </c>
      <c r="K397">
        <v>3.6031300000000002E-2</v>
      </c>
      <c r="L397">
        <v>4.8694099999999997E-2</v>
      </c>
      <c r="M397">
        <v>1.0057699999999999E-2</v>
      </c>
      <c r="N397">
        <v>3.02394E-2</v>
      </c>
      <c r="O397">
        <v>4.26261E-3</v>
      </c>
      <c r="P397">
        <v>3.8226499999999999E-3</v>
      </c>
    </row>
    <row r="398" spans="1:26" ht="13" customHeight="1" x14ac:dyDescent="0.15">
      <c r="A398">
        <v>1992</v>
      </c>
      <c r="B398">
        <v>0.16431499999999999</v>
      </c>
      <c r="C398">
        <v>4.6244E-2</v>
      </c>
      <c r="D398">
        <v>0.24077899999999999</v>
      </c>
      <c r="E398">
        <v>4.05253E-2</v>
      </c>
      <c r="F398">
        <v>4.5298499999999998E-2</v>
      </c>
      <c r="G398">
        <v>7.5875999999999999E-2</v>
      </c>
      <c r="H398">
        <v>6.6657999999999995E-2</v>
      </c>
      <c r="I398">
        <v>9.5532000000000006E-2</v>
      </c>
      <c r="J398">
        <v>4.2576299999999997E-2</v>
      </c>
      <c r="K398">
        <v>8.11915E-2</v>
      </c>
      <c r="L398">
        <v>2.85335E-2</v>
      </c>
      <c r="M398">
        <v>3.5582799999999998E-2</v>
      </c>
      <c r="N398">
        <v>1.52376E-2</v>
      </c>
      <c r="O398">
        <v>1.2069399999999999E-2</v>
      </c>
      <c r="P398">
        <v>9.5817200000000002E-3</v>
      </c>
    </row>
    <row r="399" spans="1:26" ht="13" customHeight="1" x14ac:dyDescent="0.15">
      <c r="A399">
        <v>1993</v>
      </c>
      <c r="B399">
        <v>0.221888</v>
      </c>
      <c r="C399">
        <v>3.2978399999999998E-2</v>
      </c>
      <c r="D399">
        <v>7.3808499999999999E-2</v>
      </c>
      <c r="E399">
        <v>0.31200299999999997</v>
      </c>
      <c r="F399">
        <v>6.75312E-2</v>
      </c>
      <c r="G399">
        <v>5.4057899999999999E-2</v>
      </c>
      <c r="H399">
        <v>2.8105600000000001E-2</v>
      </c>
      <c r="I399">
        <v>3.8765099999999997E-2</v>
      </c>
      <c r="J399">
        <v>5.2790700000000003E-2</v>
      </c>
      <c r="K399">
        <v>3.2570200000000001E-2</v>
      </c>
      <c r="L399">
        <v>2.8573000000000001E-2</v>
      </c>
      <c r="M399">
        <v>2.0820399999999999E-2</v>
      </c>
      <c r="N399">
        <v>1.6319699999999999E-2</v>
      </c>
      <c r="O399">
        <v>8.9887300000000003E-3</v>
      </c>
      <c r="P399">
        <v>1.0800199999999999E-2</v>
      </c>
    </row>
    <row r="400" spans="1:26" ht="13" customHeight="1" x14ac:dyDescent="0.15">
      <c r="A400">
        <v>1994</v>
      </c>
      <c r="B400">
        <v>0.144006</v>
      </c>
      <c r="C400">
        <v>6.3904799999999998E-2</v>
      </c>
      <c r="D400">
        <v>4.8798000000000001E-2</v>
      </c>
      <c r="E400">
        <v>0.138988</v>
      </c>
      <c r="F400">
        <v>0.376135</v>
      </c>
      <c r="G400">
        <v>6.5939300000000006E-2</v>
      </c>
      <c r="H400">
        <v>1.7181700000000001E-2</v>
      </c>
      <c r="I400">
        <v>1.4891700000000001E-2</v>
      </c>
      <c r="J400">
        <v>1.6713200000000001E-2</v>
      </c>
      <c r="K400">
        <v>3.1433900000000001E-2</v>
      </c>
      <c r="L400">
        <v>1.91542E-2</v>
      </c>
      <c r="M400">
        <v>2.6799E-2</v>
      </c>
      <c r="N400">
        <v>1.01399E-2</v>
      </c>
      <c r="O400">
        <v>9.7456899999999996E-3</v>
      </c>
      <c r="P400">
        <v>1.61695E-2</v>
      </c>
    </row>
    <row r="401" spans="1:16" ht="13" customHeight="1" x14ac:dyDescent="0.15">
      <c r="A401">
        <v>1995</v>
      </c>
      <c r="B401">
        <v>0.14286799999999999</v>
      </c>
      <c r="C401">
        <v>1.41274E-2</v>
      </c>
      <c r="D401">
        <v>2.7284300000000001E-2</v>
      </c>
      <c r="E401">
        <v>0.127469</v>
      </c>
      <c r="F401">
        <v>0.1696</v>
      </c>
      <c r="G401">
        <v>0.27618100000000001</v>
      </c>
      <c r="H401">
        <v>0.117225</v>
      </c>
      <c r="I401">
        <v>3.0877100000000001E-2</v>
      </c>
      <c r="J401">
        <v>1.89082E-2</v>
      </c>
      <c r="K401">
        <v>1.18409E-2</v>
      </c>
      <c r="L401">
        <v>2.2322100000000001E-2</v>
      </c>
      <c r="M401">
        <v>8.9162900000000003E-3</v>
      </c>
      <c r="N401">
        <v>1.6492799999999998E-2</v>
      </c>
      <c r="O401">
        <v>6.5191900000000002E-3</v>
      </c>
      <c r="P401">
        <v>9.3687100000000006E-3</v>
      </c>
    </row>
    <row r="402" spans="1:16" ht="13" customHeight="1" x14ac:dyDescent="0.15">
      <c r="A402">
        <v>1996</v>
      </c>
      <c r="B402">
        <v>0.222584</v>
      </c>
      <c r="C402">
        <v>5.3051800000000003E-2</v>
      </c>
      <c r="D402">
        <v>2.4316600000000001E-2</v>
      </c>
      <c r="E402">
        <v>4.8618399999999999E-2</v>
      </c>
      <c r="F402">
        <v>0.133988</v>
      </c>
      <c r="G402">
        <v>0.18931500000000001</v>
      </c>
      <c r="H402">
        <v>0.17338799999999999</v>
      </c>
      <c r="I402">
        <v>5.9051800000000002E-2</v>
      </c>
      <c r="J402">
        <v>1.47458E-2</v>
      </c>
      <c r="K402">
        <v>1.5829900000000001E-2</v>
      </c>
      <c r="L402">
        <v>1.0711E-2</v>
      </c>
      <c r="M402">
        <v>2.0150499999999998E-2</v>
      </c>
      <c r="N402">
        <v>6.5718E-3</v>
      </c>
      <c r="O402">
        <v>1.1902899999999999E-2</v>
      </c>
      <c r="P402">
        <v>1.5774400000000001E-2</v>
      </c>
    </row>
    <row r="403" spans="1:16" ht="13" customHeight="1" x14ac:dyDescent="0.15">
      <c r="A403">
        <v>1997</v>
      </c>
      <c r="B403">
        <v>0.244612</v>
      </c>
      <c r="C403">
        <v>3.7678400000000001E-2</v>
      </c>
      <c r="D403">
        <v>1.9625900000000002E-2</v>
      </c>
      <c r="E403">
        <v>2.53648E-2</v>
      </c>
      <c r="F403">
        <v>0.30297800000000003</v>
      </c>
      <c r="G403">
        <v>0.13248499999999999</v>
      </c>
      <c r="H403">
        <v>7.8495099999999998E-2</v>
      </c>
      <c r="I403">
        <v>9.4790899999999997E-2</v>
      </c>
      <c r="J403">
        <v>1.6114199999999999E-2</v>
      </c>
      <c r="K403">
        <v>8.1574999999999998E-3</v>
      </c>
      <c r="L403">
        <v>6.1509700000000004E-3</v>
      </c>
      <c r="M403">
        <v>6.7197300000000001E-3</v>
      </c>
      <c r="N403">
        <v>1.09742E-2</v>
      </c>
      <c r="O403">
        <v>3.54661E-3</v>
      </c>
      <c r="P403">
        <v>1.23056E-2</v>
      </c>
    </row>
    <row r="404" spans="1:16" ht="13" customHeight="1" x14ac:dyDescent="0.15">
      <c r="A404">
        <v>1998</v>
      </c>
      <c r="B404">
        <v>0.10742</v>
      </c>
      <c r="C404">
        <v>9.4089400000000004E-2</v>
      </c>
      <c r="D404">
        <v>4.9330800000000001E-2</v>
      </c>
      <c r="E404">
        <v>3.5298900000000001E-2</v>
      </c>
      <c r="F404">
        <v>6.8948700000000002E-2</v>
      </c>
      <c r="G404">
        <v>0.39334200000000002</v>
      </c>
      <c r="H404">
        <v>0.100006</v>
      </c>
      <c r="I404">
        <v>6.3192300000000007E-2</v>
      </c>
      <c r="J404">
        <v>4.8960999999999998E-2</v>
      </c>
      <c r="K404">
        <v>1.22393E-2</v>
      </c>
      <c r="L404">
        <v>5.4811900000000004E-3</v>
      </c>
      <c r="M404">
        <v>1.8785399999999999E-3</v>
      </c>
      <c r="N404">
        <v>4.2456500000000001E-3</v>
      </c>
      <c r="O404">
        <v>4.6416699999999997E-3</v>
      </c>
      <c r="P404">
        <v>1.0924100000000001E-2</v>
      </c>
    </row>
    <row r="405" spans="1:16" ht="13" customHeight="1" x14ac:dyDescent="0.15">
      <c r="A405">
        <v>1999</v>
      </c>
      <c r="B405">
        <v>0.110613</v>
      </c>
      <c r="C405">
        <v>0.101602</v>
      </c>
      <c r="D405">
        <v>9.4213699999999997E-2</v>
      </c>
      <c r="E405">
        <v>0.10218000000000001</v>
      </c>
      <c r="F405">
        <v>5.8271700000000003E-2</v>
      </c>
      <c r="G405">
        <v>0.104061</v>
      </c>
      <c r="H405">
        <v>0.26187100000000002</v>
      </c>
      <c r="I405">
        <v>7.05929E-2</v>
      </c>
      <c r="J405">
        <v>3.4074800000000002E-2</v>
      </c>
      <c r="K405">
        <v>3.1753799999999999E-2</v>
      </c>
      <c r="L405">
        <v>1.16086E-2</v>
      </c>
      <c r="M405">
        <v>4.90173E-3</v>
      </c>
      <c r="N405">
        <v>1.9402200000000001E-3</v>
      </c>
      <c r="O405">
        <v>2.7915800000000001E-3</v>
      </c>
      <c r="P405">
        <v>9.5238500000000004E-3</v>
      </c>
    </row>
    <row r="406" spans="1:16" ht="13" customHeight="1" x14ac:dyDescent="0.15">
      <c r="A406">
        <v>2000</v>
      </c>
      <c r="B406">
        <v>9.5045199999999996E-2</v>
      </c>
      <c r="C406">
        <v>3.5261500000000001E-2</v>
      </c>
      <c r="D406">
        <v>4.3982399999999998E-2</v>
      </c>
      <c r="E406">
        <v>0.14898500000000001</v>
      </c>
      <c r="F406">
        <v>0.149031</v>
      </c>
      <c r="G406">
        <v>7.7004699999999995E-2</v>
      </c>
      <c r="H406">
        <v>6.5377400000000002E-2</v>
      </c>
      <c r="I406">
        <v>0.21404799999999999</v>
      </c>
      <c r="J406">
        <v>8.3490200000000001E-2</v>
      </c>
      <c r="K406">
        <v>4.3776099999999998E-2</v>
      </c>
      <c r="L406">
        <v>1.8535900000000001E-2</v>
      </c>
      <c r="M406">
        <v>1.25454E-2</v>
      </c>
      <c r="N406">
        <v>3.8502599999999999E-3</v>
      </c>
      <c r="O406">
        <v>1.69308E-3</v>
      </c>
      <c r="P406">
        <v>7.3735700000000003E-3</v>
      </c>
    </row>
    <row r="407" spans="1:16" ht="13" customHeight="1" x14ac:dyDescent="0.15">
      <c r="A407">
        <v>2001</v>
      </c>
      <c r="B407">
        <v>0.18360199999999999</v>
      </c>
      <c r="C407">
        <v>0.10591299999999999</v>
      </c>
      <c r="D407">
        <v>5.72685E-2</v>
      </c>
      <c r="E407">
        <v>5.4757199999999999E-2</v>
      </c>
      <c r="F407">
        <v>0.13844500000000001</v>
      </c>
      <c r="G407">
        <v>0.14477999999999999</v>
      </c>
      <c r="H407">
        <v>6.2247200000000003E-2</v>
      </c>
      <c r="I407">
        <v>3.08854E-2</v>
      </c>
      <c r="J407">
        <v>9.2017100000000004E-2</v>
      </c>
      <c r="K407">
        <v>6.6054399999999999E-2</v>
      </c>
      <c r="L407">
        <v>2.5241900000000001E-2</v>
      </c>
      <c r="M407">
        <v>2.0187900000000002E-2</v>
      </c>
      <c r="N407">
        <v>7.9983899999999993E-3</v>
      </c>
      <c r="O407">
        <v>2.8586499999999999E-3</v>
      </c>
      <c r="P407">
        <v>7.7431699999999997E-3</v>
      </c>
    </row>
    <row r="408" spans="1:16" ht="13" customHeight="1" x14ac:dyDescent="0.15">
      <c r="A408">
        <v>2002</v>
      </c>
      <c r="B408">
        <v>8.0569799999999997E-2</v>
      </c>
      <c r="C408">
        <v>4.1032600000000002E-2</v>
      </c>
      <c r="D408">
        <v>8.4541699999999997E-2</v>
      </c>
      <c r="E408">
        <v>0.121541</v>
      </c>
      <c r="F408">
        <v>0.12614300000000001</v>
      </c>
      <c r="G408">
        <v>0.163443</v>
      </c>
      <c r="H408">
        <v>8.4876800000000002E-2</v>
      </c>
      <c r="I408">
        <v>4.1049000000000002E-2</v>
      </c>
      <c r="J408">
        <v>5.5526100000000002E-2</v>
      </c>
      <c r="K408">
        <v>0.10426000000000001</v>
      </c>
      <c r="L408">
        <v>5.19716E-2</v>
      </c>
      <c r="M408">
        <v>2.2998399999999999E-2</v>
      </c>
      <c r="N408">
        <v>1.3530500000000001E-2</v>
      </c>
      <c r="O408">
        <v>4.0884299999999997E-3</v>
      </c>
      <c r="P408">
        <v>4.4287700000000003E-3</v>
      </c>
    </row>
    <row r="409" spans="1:16" ht="13" customHeight="1" x14ac:dyDescent="0.15">
      <c r="A409">
        <v>2003</v>
      </c>
      <c r="B409">
        <v>3.4714000000000002E-2</v>
      </c>
      <c r="C409">
        <v>1.06325E-2</v>
      </c>
      <c r="D409">
        <v>6.4951099999999998E-2</v>
      </c>
      <c r="E409">
        <v>0.10893600000000001</v>
      </c>
      <c r="F409">
        <v>0.12921099999999999</v>
      </c>
      <c r="G409">
        <v>0.118598</v>
      </c>
      <c r="H409">
        <v>0.15884000000000001</v>
      </c>
      <c r="I409">
        <v>8.9808100000000002E-2</v>
      </c>
      <c r="J409">
        <v>4.1043000000000003E-2</v>
      </c>
      <c r="K409">
        <v>5.3499900000000003E-2</v>
      </c>
      <c r="L409">
        <v>0.108922</v>
      </c>
      <c r="M409">
        <v>4.71385E-2</v>
      </c>
      <c r="N409">
        <v>1.7758199999999998E-2</v>
      </c>
      <c r="O409">
        <v>9.2140299999999998E-3</v>
      </c>
      <c r="P409">
        <v>6.7347300000000004E-3</v>
      </c>
    </row>
    <row r="410" spans="1:16" ht="13" customHeight="1" x14ac:dyDescent="0.15">
      <c r="A410">
        <v>2004</v>
      </c>
      <c r="B410">
        <v>5.6781900000000003E-2</v>
      </c>
      <c r="C410">
        <v>4.0108900000000003E-2</v>
      </c>
      <c r="D410">
        <v>2.5434700000000001E-2</v>
      </c>
      <c r="E410">
        <v>0.191833</v>
      </c>
      <c r="F410">
        <v>0.18709600000000001</v>
      </c>
      <c r="G410">
        <v>0.142343</v>
      </c>
      <c r="H410">
        <v>8.3699999999999997E-2</v>
      </c>
      <c r="I410">
        <v>9.0659900000000002E-2</v>
      </c>
      <c r="J410">
        <v>4.4834600000000002E-2</v>
      </c>
      <c r="K410">
        <v>2.8036700000000001E-2</v>
      </c>
      <c r="L410">
        <v>2.79476E-2</v>
      </c>
      <c r="M410">
        <v>5.0453499999999998E-2</v>
      </c>
      <c r="N410">
        <v>2.14751E-2</v>
      </c>
      <c r="O410">
        <v>5.2153099999999999E-3</v>
      </c>
      <c r="P410">
        <v>4.0807300000000003E-3</v>
      </c>
    </row>
    <row r="411" spans="1:16" ht="13" customHeight="1" x14ac:dyDescent="0.15">
      <c r="A411">
        <v>2005</v>
      </c>
      <c r="B411">
        <v>4.1549799999999998E-2</v>
      </c>
      <c r="C411">
        <v>1.55443E-2</v>
      </c>
      <c r="D411">
        <v>2.4657700000000001E-2</v>
      </c>
      <c r="E411">
        <v>0.10874300000000001</v>
      </c>
      <c r="F411">
        <v>0.30831799999999998</v>
      </c>
      <c r="G411">
        <v>0.20802999999999999</v>
      </c>
      <c r="H411">
        <v>0.108934</v>
      </c>
      <c r="I411">
        <v>4.9595100000000003E-2</v>
      </c>
      <c r="J411">
        <v>3.7714200000000003E-2</v>
      </c>
      <c r="K411">
        <v>2.7754600000000001E-2</v>
      </c>
      <c r="L411">
        <v>7.4750099999999998E-3</v>
      </c>
      <c r="M411">
        <v>1.5784300000000001E-2</v>
      </c>
      <c r="N411">
        <v>2.5690899999999999E-2</v>
      </c>
      <c r="O411">
        <v>9.9928099999999995E-3</v>
      </c>
      <c r="P411">
        <v>1.0216599999999999E-2</v>
      </c>
    </row>
    <row r="412" spans="1:16" ht="13" customHeight="1" x14ac:dyDescent="0.15">
      <c r="A412">
        <v>2006</v>
      </c>
      <c r="B412">
        <v>0.14789099999999999</v>
      </c>
      <c r="C412">
        <v>1.35651E-2</v>
      </c>
      <c r="D412">
        <v>2.0999299999999999E-2</v>
      </c>
      <c r="E412">
        <v>6.8769700000000003E-2</v>
      </c>
      <c r="F412">
        <v>0.17236699999999999</v>
      </c>
      <c r="G412">
        <v>0.21882499999999999</v>
      </c>
      <c r="H412">
        <v>0.14005100000000001</v>
      </c>
      <c r="I412">
        <v>6.7364099999999996E-2</v>
      </c>
      <c r="J412">
        <v>3.8474099999999997E-2</v>
      </c>
      <c r="K412">
        <v>3.3126999999999997E-2</v>
      </c>
      <c r="L412">
        <v>1.5943200000000001E-2</v>
      </c>
      <c r="M412">
        <v>9.9107199999999996E-3</v>
      </c>
      <c r="N412">
        <v>1.4341100000000001E-2</v>
      </c>
      <c r="O412">
        <v>1.9275799999999999E-2</v>
      </c>
      <c r="P412">
        <v>1.9095299999999999E-2</v>
      </c>
    </row>
    <row r="413" spans="1:16" ht="13" customHeight="1" x14ac:dyDescent="0.15">
      <c r="A413">
        <v>2007</v>
      </c>
      <c r="B413">
        <v>0.242753</v>
      </c>
      <c r="C413">
        <v>6.9056999999999999E-3</v>
      </c>
      <c r="D413">
        <v>1.7364899999999999E-2</v>
      </c>
      <c r="E413">
        <v>4.9730499999999997E-2</v>
      </c>
      <c r="F413">
        <v>0.15553400000000001</v>
      </c>
      <c r="G413">
        <v>0.181975</v>
      </c>
      <c r="H413">
        <v>0.13123099999999999</v>
      </c>
      <c r="I413">
        <v>9.4691899999999996E-2</v>
      </c>
      <c r="J413">
        <v>3.9973099999999998E-2</v>
      </c>
      <c r="K413">
        <v>1.79052E-2</v>
      </c>
      <c r="L413">
        <v>1.6596199999999998E-2</v>
      </c>
      <c r="M413">
        <v>1.4437999999999999E-2</v>
      </c>
      <c r="N413">
        <v>6.6328799999999999E-3</v>
      </c>
      <c r="O413">
        <v>8.2683199999999991E-3</v>
      </c>
      <c r="P413">
        <v>1.6000400000000001E-2</v>
      </c>
    </row>
    <row r="414" spans="1:16" ht="13" customHeight="1" x14ac:dyDescent="0.15">
      <c r="A414">
        <v>2008</v>
      </c>
      <c r="B414">
        <v>0.102299</v>
      </c>
      <c r="C414">
        <v>2.5153700000000001E-2</v>
      </c>
      <c r="D414">
        <v>2.09599E-2</v>
      </c>
      <c r="E414">
        <v>3.83837E-2</v>
      </c>
      <c r="F414">
        <v>0.10938100000000001</v>
      </c>
      <c r="G414">
        <v>0.219664</v>
      </c>
      <c r="H414">
        <v>0.17214499999999999</v>
      </c>
      <c r="I414">
        <v>0.11969</v>
      </c>
      <c r="J414">
        <v>7.59494E-2</v>
      </c>
      <c r="K414">
        <v>2.9760100000000001E-2</v>
      </c>
      <c r="L414">
        <v>2.4816399999999999E-2</v>
      </c>
      <c r="M414">
        <v>1.8946399999999999E-2</v>
      </c>
      <c r="N414">
        <v>8.6034600000000003E-3</v>
      </c>
      <c r="O414">
        <v>4.7130100000000001E-3</v>
      </c>
      <c r="P414">
        <v>2.9534899999999999E-2</v>
      </c>
    </row>
    <row r="415" spans="1:16" ht="13" customHeight="1" x14ac:dyDescent="0.15">
      <c r="A415">
        <v>2009</v>
      </c>
      <c r="B415">
        <v>0.17974699999999999</v>
      </c>
      <c r="C415">
        <v>4.9731400000000002E-2</v>
      </c>
      <c r="D415">
        <v>0.103968</v>
      </c>
      <c r="E415">
        <v>0.111998</v>
      </c>
      <c r="F415">
        <v>6.5233600000000003E-2</v>
      </c>
      <c r="G415">
        <v>9.4641699999999995E-2</v>
      </c>
      <c r="H415">
        <v>0.12800900000000001</v>
      </c>
      <c r="I415">
        <v>0.10001500000000001</v>
      </c>
      <c r="J415">
        <v>7.2696499999999997E-2</v>
      </c>
      <c r="K415">
        <v>3.5283700000000001E-2</v>
      </c>
      <c r="L415">
        <v>2.32804E-2</v>
      </c>
      <c r="M415">
        <v>7.6386300000000004E-3</v>
      </c>
      <c r="N415">
        <v>7.6804000000000004E-3</v>
      </c>
      <c r="O415">
        <v>4.00249E-3</v>
      </c>
      <c r="P415">
        <v>1.6075699999999998E-2</v>
      </c>
    </row>
    <row r="416" spans="1:16" ht="13" customHeight="1" x14ac:dyDescent="0.15">
      <c r="A416">
        <v>2010</v>
      </c>
      <c r="B416">
        <v>6.7704200000000006E-2</v>
      </c>
      <c r="C416">
        <v>1.9119299999999999E-2</v>
      </c>
      <c r="D416">
        <v>3.6787199999999999E-2</v>
      </c>
      <c r="E416">
        <v>0.39569900000000002</v>
      </c>
      <c r="F416">
        <v>0.17724000000000001</v>
      </c>
      <c r="G416">
        <v>5.5248100000000001E-2</v>
      </c>
      <c r="H416">
        <v>4.7562899999999998E-2</v>
      </c>
      <c r="I416">
        <v>5.0303800000000003E-2</v>
      </c>
      <c r="J416">
        <v>5.2901799999999999E-2</v>
      </c>
      <c r="K416">
        <v>3.6017500000000001E-2</v>
      </c>
      <c r="L416">
        <v>3.1056799999999999E-2</v>
      </c>
      <c r="M416">
        <v>1.12841E-2</v>
      </c>
      <c r="N416">
        <v>6.7627900000000003E-3</v>
      </c>
      <c r="O416">
        <v>3.90581E-3</v>
      </c>
      <c r="P416">
        <v>8.4068300000000006E-3</v>
      </c>
    </row>
    <row r="417" spans="1:16" ht="13" customHeight="1" x14ac:dyDescent="0.15">
      <c r="A417">
        <v>2011</v>
      </c>
      <c r="B417">
        <v>0.189805</v>
      </c>
      <c r="C417">
        <v>2.0439100000000002E-2</v>
      </c>
      <c r="D417">
        <v>4.4503399999999999E-2</v>
      </c>
      <c r="E417">
        <v>6.0828300000000002E-2</v>
      </c>
      <c r="F417">
        <v>0.30427599999999999</v>
      </c>
      <c r="G417">
        <v>0.14888799999999999</v>
      </c>
      <c r="H417">
        <v>4.3643599999999998E-2</v>
      </c>
      <c r="I417">
        <v>2.4779700000000002E-2</v>
      </c>
      <c r="J417">
        <v>3.8763699999999998E-2</v>
      </c>
      <c r="K417">
        <v>3.8562300000000001E-2</v>
      </c>
      <c r="L417">
        <v>3.2318899999999998E-2</v>
      </c>
      <c r="M417">
        <v>2.46999E-2</v>
      </c>
      <c r="N417">
        <v>1.0431899999999999E-2</v>
      </c>
      <c r="O417">
        <v>4.9224899999999999E-3</v>
      </c>
      <c r="P417">
        <v>1.31383E-2</v>
      </c>
    </row>
    <row r="418" spans="1:16" ht="13" customHeight="1" x14ac:dyDescent="0.15">
      <c r="A418">
        <v>2012</v>
      </c>
      <c r="B418">
        <v>0.13955200000000001</v>
      </c>
      <c r="C418">
        <v>2.8490600000000001E-2</v>
      </c>
      <c r="D418">
        <v>5.3492600000000001E-2</v>
      </c>
      <c r="E418">
        <v>0.38286199999999998</v>
      </c>
      <c r="F418">
        <v>8.9483099999999996E-2</v>
      </c>
      <c r="G418">
        <v>0.144451</v>
      </c>
      <c r="H418">
        <v>4.9455300000000001E-2</v>
      </c>
      <c r="I418">
        <v>1.9781300000000002E-2</v>
      </c>
      <c r="J418">
        <v>1.49885E-2</v>
      </c>
      <c r="K418">
        <v>2.0701399999999998E-2</v>
      </c>
      <c r="L418">
        <v>1.6978900000000002E-2</v>
      </c>
      <c r="M418">
        <v>1.4964699999999999E-2</v>
      </c>
      <c r="N418">
        <v>1.2460799999999999E-2</v>
      </c>
      <c r="O418">
        <v>4.4274900000000001E-3</v>
      </c>
      <c r="P418">
        <v>7.9097200000000003E-3</v>
      </c>
    </row>
    <row r="419" spans="1:16" ht="13" customHeight="1" x14ac:dyDescent="0.15">
      <c r="A419">
        <v>2013</v>
      </c>
      <c r="B419">
        <v>0.119953</v>
      </c>
      <c r="C419">
        <v>1.2940500000000001E-2</v>
      </c>
      <c r="D419">
        <v>2.4894699999999999E-2</v>
      </c>
      <c r="E419">
        <v>9.7944400000000001E-2</v>
      </c>
      <c r="F419">
        <v>0.48710100000000001</v>
      </c>
      <c r="G419">
        <v>0.11297500000000001</v>
      </c>
      <c r="H419">
        <v>7.0415199999999997E-2</v>
      </c>
      <c r="I419">
        <v>2.47005E-2</v>
      </c>
      <c r="J419">
        <v>8.3618500000000005E-3</v>
      </c>
      <c r="K419">
        <v>7.55546E-3</v>
      </c>
      <c r="L419">
        <v>9.9280600000000007E-3</v>
      </c>
      <c r="M419">
        <v>7.46899E-3</v>
      </c>
      <c r="N419">
        <v>6.9214799999999998E-3</v>
      </c>
      <c r="O419">
        <v>3.78466E-3</v>
      </c>
      <c r="P419">
        <v>5.0545499999999997E-3</v>
      </c>
    </row>
    <row r="420" spans="1:16" ht="13" customHeight="1" x14ac:dyDescent="0.15">
      <c r="A420">
        <v>2014</v>
      </c>
      <c r="B420">
        <v>0.138797</v>
      </c>
      <c r="C420">
        <v>3.75898E-2</v>
      </c>
      <c r="D420">
        <v>1.7266500000000001E-2</v>
      </c>
      <c r="E420">
        <v>2.26354E-2</v>
      </c>
      <c r="F420">
        <v>0.104709</v>
      </c>
      <c r="G420">
        <v>0.38415899999999997</v>
      </c>
      <c r="H420">
        <v>0.199827</v>
      </c>
      <c r="I420">
        <v>4.2568599999999998E-2</v>
      </c>
      <c r="J420">
        <v>2.34142E-2</v>
      </c>
      <c r="K420">
        <v>8.5265199999999992E-3</v>
      </c>
      <c r="L420">
        <v>3.2620100000000001E-3</v>
      </c>
      <c r="M420">
        <v>4.6009299999999996E-3</v>
      </c>
      <c r="N420">
        <v>4.6777600000000004E-3</v>
      </c>
      <c r="O420">
        <v>2.1857700000000001E-3</v>
      </c>
      <c r="P420">
        <v>5.7800400000000002E-3</v>
      </c>
    </row>
    <row r="421" spans="1:16" ht="13" customHeight="1" x14ac:dyDescent="0.15">
      <c r="A421">
        <v>2015</v>
      </c>
      <c r="B421">
        <v>8.16577E-2</v>
      </c>
      <c r="C421">
        <v>5.6112000000000002E-2</v>
      </c>
      <c r="D421">
        <v>0.158055</v>
      </c>
      <c r="E421">
        <v>3.9749E-2</v>
      </c>
      <c r="F421">
        <v>8.2799700000000004E-2</v>
      </c>
      <c r="G421">
        <v>0.15426000000000001</v>
      </c>
      <c r="H421">
        <v>0.300537</v>
      </c>
      <c r="I421">
        <v>8.7637499999999993E-2</v>
      </c>
      <c r="J421">
        <v>2.0758700000000001E-2</v>
      </c>
      <c r="K421">
        <v>9.9453000000000007E-3</v>
      </c>
      <c r="L421">
        <v>1.2902600000000001E-3</v>
      </c>
      <c r="M421">
        <v>1.21312E-3</v>
      </c>
      <c r="N421">
        <v>2.0871700000000002E-3</v>
      </c>
      <c r="O421">
        <v>1.2406299999999999E-3</v>
      </c>
      <c r="P421">
        <v>2.6570000000000001E-3</v>
      </c>
    </row>
    <row r="422" spans="1:16" ht="13" customHeight="1" x14ac:dyDescent="0.15">
      <c r="A422">
        <v>2016</v>
      </c>
      <c r="B422">
        <v>6.7427399999999998E-2</v>
      </c>
      <c r="C422">
        <v>4.2472500000000003E-2</v>
      </c>
      <c r="D422">
        <v>6.0998299999999998E-2</v>
      </c>
      <c r="E422">
        <v>0.292244</v>
      </c>
      <c r="F422">
        <v>0.11980200000000001</v>
      </c>
      <c r="G422">
        <v>8.0919400000000002E-2</v>
      </c>
      <c r="H422">
        <v>0.114202</v>
      </c>
      <c r="I422">
        <v>0.16842599999999999</v>
      </c>
      <c r="J422">
        <v>3.3073400000000003E-2</v>
      </c>
      <c r="K422">
        <v>1.2974299999999999E-2</v>
      </c>
      <c r="L422">
        <v>4.3286000000000002E-3</v>
      </c>
      <c r="M422">
        <v>1.0198900000000001E-3</v>
      </c>
      <c r="N422">
        <v>1.0491299999999999E-3</v>
      </c>
      <c r="O422">
        <v>3.6423899999999998E-4</v>
      </c>
      <c r="P422">
        <v>6.9845699999999998E-4</v>
      </c>
    </row>
    <row r="423" spans="1:16" ht="13" customHeight="1" x14ac:dyDescent="0.15">
      <c r="A423" t="s">
        <v>132</v>
      </c>
      <c r="B423" t="s">
        <v>127</v>
      </c>
      <c r="C423" t="s">
        <v>167</v>
      </c>
      <c r="D423" t="s">
        <v>158</v>
      </c>
      <c r="E423" t="s">
        <v>159</v>
      </c>
    </row>
    <row r="424" spans="1:16" ht="13" customHeight="1" x14ac:dyDescent="0.15">
      <c r="A424">
        <v>1982</v>
      </c>
      <c r="B424">
        <v>9.1591699999999998E-2</v>
      </c>
      <c r="C424">
        <v>0.14472399999999999</v>
      </c>
      <c r="D424">
        <v>0.15934999999999999</v>
      </c>
      <c r="E424">
        <v>0.39761000000000002</v>
      </c>
      <c r="F424">
        <v>0.12601799999999999</v>
      </c>
      <c r="G424">
        <v>3.8193999999999999E-2</v>
      </c>
      <c r="H424">
        <v>1.89128E-2</v>
      </c>
      <c r="I424">
        <v>1.1974800000000001E-2</v>
      </c>
      <c r="J424">
        <v>6.2627300000000002E-3</v>
      </c>
      <c r="K424">
        <v>3.4779799999999999E-3</v>
      </c>
      <c r="L424">
        <v>7.2232399999999999E-4</v>
      </c>
      <c r="M424" s="1">
        <v>4.3869699999999999E-4</v>
      </c>
      <c r="N424" s="1">
        <v>3.4763300000000002E-4</v>
      </c>
      <c r="O424" s="1">
        <v>1.9724799999999999E-4</v>
      </c>
      <c r="P424" s="1">
        <v>1.7886700000000001E-4</v>
      </c>
    </row>
    <row r="425" spans="1:16" ht="13" customHeight="1" x14ac:dyDescent="0.15">
      <c r="A425">
        <v>1983</v>
      </c>
      <c r="B425">
        <v>0.241563</v>
      </c>
      <c r="C425">
        <v>4.6656799999999998E-2</v>
      </c>
      <c r="D425">
        <v>0.12678400000000001</v>
      </c>
      <c r="E425">
        <v>0.1457</v>
      </c>
      <c r="F425">
        <v>0.31398500000000001</v>
      </c>
      <c r="G425">
        <v>8.2527600000000007E-2</v>
      </c>
      <c r="H425">
        <v>2.1791399999999999E-2</v>
      </c>
      <c r="I425">
        <v>9.8008699999999997E-3</v>
      </c>
      <c r="J425">
        <v>5.8107200000000001E-3</v>
      </c>
      <c r="K425">
        <v>2.92706E-3</v>
      </c>
      <c r="L425">
        <v>1.59855E-3</v>
      </c>
      <c r="M425" s="1">
        <v>3.29184E-4</v>
      </c>
      <c r="N425" s="1">
        <v>1.9908600000000001E-4</v>
      </c>
      <c r="O425" s="1">
        <v>1.57434E-4</v>
      </c>
      <c r="P425" s="1">
        <v>1.70116E-4</v>
      </c>
    </row>
    <row r="426" spans="1:16" ht="13" customHeight="1" x14ac:dyDescent="0.15">
      <c r="A426">
        <v>1984</v>
      </c>
      <c r="B426">
        <v>6.5100199999999997E-2</v>
      </c>
      <c r="C426">
        <v>9.5952800000000005E-2</v>
      </c>
      <c r="D426">
        <v>4.96874E-2</v>
      </c>
      <c r="E426">
        <v>0.14934600000000001</v>
      </c>
      <c r="F426">
        <v>0.166354</v>
      </c>
      <c r="G426">
        <v>0.34384700000000001</v>
      </c>
      <c r="H426">
        <v>8.6502700000000002E-2</v>
      </c>
      <c r="I426">
        <v>2.2357399999999999E-2</v>
      </c>
      <c r="J426">
        <v>9.8435299999999996E-3</v>
      </c>
      <c r="K426">
        <v>5.7362999999999997E-3</v>
      </c>
      <c r="L426">
        <v>2.8715400000000001E-3</v>
      </c>
      <c r="M426">
        <v>1.56507E-3</v>
      </c>
      <c r="N426" s="1">
        <v>3.2198900000000001E-4</v>
      </c>
      <c r="O426" s="1">
        <v>1.9465300000000001E-4</v>
      </c>
      <c r="P426" s="1">
        <v>3.2017100000000001E-4</v>
      </c>
    </row>
    <row r="427" spans="1:16" ht="13" customHeight="1" x14ac:dyDescent="0.15">
      <c r="A427">
        <v>1985</v>
      </c>
      <c r="B427">
        <v>0.276451</v>
      </c>
      <c r="C427">
        <v>2.64665E-2</v>
      </c>
      <c r="D427">
        <v>0.14436099999999999</v>
      </c>
      <c r="E427">
        <v>6.2577599999999997E-2</v>
      </c>
      <c r="F427">
        <v>0.13804</v>
      </c>
      <c r="G427">
        <v>0.109796</v>
      </c>
      <c r="H427">
        <v>0.18265400000000001</v>
      </c>
      <c r="I427">
        <v>4.0696499999999997E-2</v>
      </c>
      <c r="J427">
        <v>9.9637500000000004E-3</v>
      </c>
      <c r="K427">
        <v>4.2659500000000001E-3</v>
      </c>
      <c r="L427">
        <v>2.4643299999999998E-3</v>
      </c>
      <c r="M427">
        <v>1.2323E-3</v>
      </c>
      <c r="N427">
        <v>6.7164199999999996E-4</v>
      </c>
      <c r="O427" s="1">
        <v>1.3820600000000001E-4</v>
      </c>
      <c r="P427" s="1">
        <v>2.20986E-4</v>
      </c>
    </row>
    <row r="428" spans="1:16" ht="13" customHeight="1" x14ac:dyDescent="0.15">
      <c r="A428">
        <v>1986</v>
      </c>
      <c r="B428">
        <v>0.187523</v>
      </c>
      <c r="C428">
        <v>5.6897400000000001E-2</v>
      </c>
      <c r="D428">
        <v>3.34478E-2</v>
      </c>
      <c r="E428">
        <v>0.19004699999999999</v>
      </c>
      <c r="F428">
        <v>7.6672000000000004E-2</v>
      </c>
      <c r="G428">
        <v>0.147925</v>
      </c>
      <c r="H428">
        <v>0.102523</v>
      </c>
      <c r="I428">
        <v>0.15765399999999999</v>
      </c>
      <c r="J428">
        <v>3.27934E-2</v>
      </c>
      <c r="K428">
        <v>7.7255099999999997E-3</v>
      </c>
      <c r="L428">
        <v>3.2384499999999999E-3</v>
      </c>
      <c r="M428">
        <v>1.8563900000000001E-3</v>
      </c>
      <c r="N428">
        <v>9.2493299999999996E-4</v>
      </c>
      <c r="O428">
        <v>5.0326899999999998E-4</v>
      </c>
      <c r="P428" s="1">
        <v>2.68836E-4</v>
      </c>
    </row>
    <row r="429" spans="1:16" ht="13" customHeight="1" x14ac:dyDescent="0.15">
      <c r="A429">
        <v>1987</v>
      </c>
      <c r="B429">
        <v>5.5483200000000003E-2</v>
      </c>
      <c r="C429">
        <v>3.35535E-2</v>
      </c>
      <c r="D429">
        <v>0.117752</v>
      </c>
      <c r="E429">
        <v>6.5855499999999997E-2</v>
      </c>
      <c r="F429">
        <v>0.30163899999999999</v>
      </c>
      <c r="G429">
        <v>9.1545000000000001E-2</v>
      </c>
      <c r="H429">
        <v>0.131693</v>
      </c>
      <c r="I429">
        <v>7.3814599999999994E-2</v>
      </c>
      <c r="J429">
        <v>0.100816</v>
      </c>
      <c r="K429">
        <v>1.95298E-2</v>
      </c>
      <c r="L429">
        <v>4.4603200000000003E-3</v>
      </c>
      <c r="M429">
        <v>1.8461599999999999E-3</v>
      </c>
      <c r="N429">
        <v>1.05244E-3</v>
      </c>
      <c r="O429">
        <v>5.2311499999999999E-4</v>
      </c>
      <c r="P429">
        <v>4.3613899999999999E-4</v>
      </c>
    </row>
    <row r="430" spans="1:16" ht="13" customHeight="1" x14ac:dyDescent="0.15">
      <c r="A430">
        <v>1988</v>
      </c>
      <c r="B430">
        <v>4.59532E-2</v>
      </c>
      <c r="C430">
        <v>2.44348E-2</v>
      </c>
      <c r="D430">
        <v>6.4515100000000006E-2</v>
      </c>
      <c r="E430">
        <v>0.20845</v>
      </c>
      <c r="F430">
        <v>8.8990899999999998E-2</v>
      </c>
      <c r="G430">
        <v>0.30043399999999998</v>
      </c>
      <c r="H430">
        <v>6.8894200000000003E-2</v>
      </c>
      <c r="I430">
        <v>8.4485299999999999E-2</v>
      </c>
      <c r="J430">
        <v>4.27873E-2</v>
      </c>
      <c r="K430">
        <v>5.5919900000000002E-2</v>
      </c>
      <c r="L430">
        <v>1.0647200000000001E-2</v>
      </c>
      <c r="M430">
        <v>2.4116200000000002E-3</v>
      </c>
      <c r="N430">
        <v>9.9460999999999994E-4</v>
      </c>
      <c r="O430">
        <v>5.6612000000000003E-4</v>
      </c>
      <c r="P430">
        <v>5.1556900000000001E-4</v>
      </c>
    </row>
    <row r="431" spans="1:16" ht="13" customHeight="1" x14ac:dyDescent="0.15">
      <c r="A431">
        <v>1989</v>
      </c>
      <c r="B431">
        <v>6.1263900000000003E-2</v>
      </c>
      <c r="C431">
        <v>1.8325000000000001E-2</v>
      </c>
      <c r="D431">
        <v>3.9380400000000003E-2</v>
      </c>
      <c r="E431">
        <v>9.8855299999999993E-2</v>
      </c>
      <c r="F431">
        <v>0.26284800000000003</v>
      </c>
      <c r="G431">
        <v>8.7976299999999993E-2</v>
      </c>
      <c r="H431">
        <v>0.24446300000000001</v>
      </c>
      <c r="I431">
        <v>5.0284000000000002E-2</v>
      </c>
      <c r="J431">
        <v>5.9269000000000002E-2</v>
      </c>
      <c r="K431">
        <v>2.92234E-2</v>
      </c>
      <c r="L431">
        <v>3.7904399999999998E-2</v>
      </c>
      <c r="M431">
        <v>7.1860400000000003E-3</v>
      </c>
      <c r="N431">
        <v>1.62466E-3</v>
      </c>
      <c r="O431">
        <v>6.6952099999999996E-4</v>
      </c>
      <c r="P431">
        <v>7.2783400000000001E-4</v>
      </c>
    </row>
    <row r="432" spans="1:16" ht="13" customHeight="1" x14ac:dyDescent="0.15">
      <c r="A432">
        <v>1990</v>
      </c>
      <c r="B432">
        <v>0.162413</v>
      </c>
      <c r="C432">
        <v>2.83396E-2</v>
      </c>
      <c r="D432">
        <v>2.46375E-2</v>
      </c>
      <c r="E432">
        <v>5.2970099999999999E-2</v>
      </c>
      <c r="F432">
        <v>0.111683</v>
      </c>
      <c r="G432">
        <v>0.24494299999999999</v>
      </c>
      <c r="H432">
        <v>6.9710300000000003E-2</v>
      </c>
      <c r="I432">
        <v>0.175286</v>
      </c>
      <c r="J432">
        <v>3.52127E-2</v>
      </c>
      <c r="K432">
        <v>4.1300299999999998E-2</v>
      </c>
      <c r="L432">
        <v>2.0253899999999998E-2</v>
      </c>
      <c r="M432">
        <v>2.6203000000000001E-2</v>
      </c>
      <c r="N432">
        <v>4.9625199999999998E-3</v>
      </c>
      <c r="O432">
        <v>1.1214899999999999E-3</v>
      </c>
      <c r="P432">
        <v>9.6438199999999996E-4</v>
      </c>
    </row>
    <row r="433" spans="1:16" ht="13" customHeight="1" x14ac:dyDescent="0.15">
      <c r="A433">
        <v>1991</v>
      </c>
      <c r="B433">
        <v>0.23936199999999999</v>
      </c>
      <c r="C433">
        <v>8.0950599999999998E-2</v>
      </c>
      <c r="D433">
        <v>3.4943799999999997E-2</v>
      </c>
      <c r="E433">
        <v>3.0676100000000001E-2</v>
      </c>
      <c r="F433">
        <v>5.65984E-2</v>
      </c>
      <c r="G433">
        <v>0.100129</v>
      </c>
      <c r="H433">
        <v>0.19033</v>
      </c>
      <c r="I433">
        <v>5.1513999999999997E-2</v>
      </c>
      <c r="J433">
        <v>0.12382799999999999</v>
      </c>
      <c r="K433">
        <v>2.4805299999999999E-2</v>
      </c>
      <c r="L433">
        <v>2.9153100000000001E-2</v>
      </c>
      <c r="M433">
        <v>1.4279099999999999E-2</v>
      </c>
      <c r="N433">
        <v>1.8464899999999999E-2</v>
      </c>
      <c r="O433">
        <v>3.49644E-3</v>
      </c>
      <c r="P433">
        <v>1.4695299999999999E-3</v>
      </c>
    </row>
    <row r="434" spans="1:16" ht="13" customHeight="1" x14ac:dyDescent="0.15">
      <c r="A434">
        <v>1992</v>
      </c>
      <c r="B434">
        <v>0.172433</v>
      </c>
      <c r="C434">
        <v>5.7992500000000002E-2</v>
      </c>
      <c r="D434">
        <v>0.208484</v>
      </c>
      <c r="E434">
        <v>8.3730799999999994E-2</v>
      </c>
      <c r="F434">
        <v>5.3654599999999997E-2</v>
      </c>
      <c r="G434">
        <v>6.3877400000000001E-2</v>
      </c>
      <c r="H434">
        <v>7.9125500000000001E-2</v>
      </c>
      <c r="I434">
        <v>0.122474</v>
      </c>
      <c r="J434">
        <v>3.16028E-2</v>
      </c>
      <c r="K434">
        <v>7.3061600000000004E-2</v>
      </c>
      <c r="L434">
        <v>1.45297E-2</v>
      </c>
      <c r="M434">
        <v>1.7030099999999999E-2</v>
      </c>
      <c r="N434">
        <v>8.3336499999999997E-3</v>
      </c>
      <c r="O434">
        <v>1.07732E-2</v>
      </c>
      <c r="P434">
        <v>2.8970200000000002E-3</v>
      </c>
    </row>
    <row r="435" spans="1:16" ht="13" customHeight="1" x14ac:dyDescent="0.15">
      <c r="A435">
        <v>1993</v>
      </c>
      <c r="B435">
        <v>0.23847099999999999</v>
      </c>
      <c r="C435">
        <v>4.31787E-2</v>
      </c>
      <c r="D435">
        <v>9.4154799999999997E-2</v>
      </c>
      <c r="E435">
        <v>0.30335899999999999</v>
      </c>
      <c r="F435">
        <v>9.4653000000000001E-2</v>
      </c>
      <c r="G435">
        <v>4.07111E-2</v>
      </c>
      <c r="H435">
        <v>3.4011100000000002E-2</v>
      </c>
      <c r="I435">
        <v>3.5258600000000001E-2</v>
      </c>
      <c r="J435">
        <v>5.1182100000000001E-2</v>
      </c>
      <c r="K435">
        <v>1.30238E-2</v>
      </c>
      <c r="L435">
        <v>3.0035200000000001E-2</v>
      </c>
      <c r="M435">
        <v>5.9610000000000002E-3</v>
      </c>
      <c r="N435">
        <v>6.9820799999999999E-3</v>
      </c>
      <c r="O435">
        <v>3.4158999999999999E-3</v>
      </c>
      <c r="P435">
        <v>5.6028700000000002E-3</v>
      </c>
    </row>
    <row r="436" spans="1:16" ht="13" customHeight="1" x14ac:dyDescent="0.15">
      <c r="A436">
        <v>1994</v>
      </c>
      <c r="B436">
        <v>0.136492</v>
      </c>
      <c r="C436">
        <v>6.9234599999999993E-2</v>
      </c>
      <c r="D436">
        <v>6.7940100000000003E-2</v>
      </c>
      <c r="E436">
        <v>0.141627</v>
      </c>
      <c r="F436">
        <v>0.34688799999999997</v>
      </c>
      <c r="G436">
        <v>8.9104900000000001E-2</v>
      </c>
      <c r="H436">
        <v>3.0274599999999999E-2</v>
      </c>
      <c r="I436">
        <v>2.2333599999999999E-2</v>
      </c>
      <c r="J436">
        <v>2.2483400000000001E-2</v>
      </c>
      <c r="K436">
        <v>3.2404500000000003E-2</v>
      </c>
      <c r="L436">
        <v>8.2646600000000001E-3</v>
      </c>
      <c r="M436">
        <v>1.9038300000000001E-2</v>
      </c>
      <c r="N436">
        <v>3.7770999999999998E-3</v>
      </c>
      <c r="O436">
        <v>4.4235799999999999E-3</v>
      </c>
      <c r="P436">
        <v>5.7136499999999998E-3</v>
      </c>
    </row>
    <row r="437" spans="1:16" ht="13" customHeight="1" x14ac:dyDescent="0.15">
      <c r="A437">
        <v>1995</v>
      </c>
      <c r="B437">
        <v>0.132718</v>
      </c>
      <c r="C437">
        <v>1.5852000000000002E-2</v>
      </c>
      <c r="D437">
        <v>9.4268599999999994E-2</v>
      </c>
      <c r="E437">
        <v>9.2949299999999999E-2</v>
      </c>
      <c r="F437">
        <v>0.16471</v>
      </c>
      <c r="G437">
        <v>0.31293799999999999</v>
      </c>
      <c r="H437">
        <v>7.4161900000000003E-2</v>
      </c>
      <c r="I437">
        <v>2.3185000000000001E-2</v>
      </c>
      <c r="J437">
        <v>1.6829899999999998E-2</v>
      </c>
      <c r="K437">
        <v>1.6925699999999998E-2</v>
      </c>
      <c r="L437">
        <v>2.44219E-2</v>
      </c>
      <c r="M437">
        <v>6.2249799999999997E-3</v>
      </c>
      <c r="N437">
        <v>1.43372E-2</v>
      </c>
      <c r="O437">
        <v>2.8443000000000001E-3</v>
      </c>
      <c r="P437">
        <v>7.6334799999999998E-3</v>
      </c>
    </row>
    <row r="438" spans="1:16" ht="13" customHeight="1" x14ac:dyDescent="0.15">
      <c r="A438">
        <v>1996</v>
      </c>
      <c r="B438">
        <v>0.23236499999999999</v>
      </c>
      <c r="C438">
        <v>1.0066200000000001E-2</v>
      </c>
      <c r="D438">
        <v>2.6276799999999999E-2</v>
      </c>
      <c r="E438">
        <v>0.14383199999999999</v>
      </c>
      <c r="F438">
        <v>0.114884</v>
      </c>
      <c r="G438">
        <v>0.148504</v>
      </c>
      <c r="H438">
        <v>0.20777499999999999</v>
      </c>
      <c r="I438">
        <v>4.5879200000000002E-2</v>
      </c>
      <c r="J438">
        <v>1.4264199999999999E-2</v>
      </c>
      <c r="K438">
        <v>1.0527699999999999E-2</v>
      </c>
      <c r="L438">
        <v>1.0648400000000001E-2</v>
      </c>
      <c r="M438">
        <v>1.53899E-2</v>
      </c>
      <c r="N438">
        <v>3.9265799999999998E-3</v>
      </c>
      <c r="O438">
        <v>9.0479500000000008E-3</v>
      </c>
      <c r="P438">
        <v>6.6133399999999997E-3</v>
      </c>
    </row>
    <row r="439" spans="1:16" ht="13" customHeight="1" x14ac:dyDescent="0.15">
      <c r="A439">
        <v>1997</v>
      </c>
      <c r="B439">
        <v>0.24148600000000001</v>
      </c>
      <c r="C439">
        <v>3.1779200000000001E-2</v>
      </c>
      <c r="D439">
        <v>2.3485200000000001E-2</v>
      </c>
      <c r="E439">
        <v>5.4889199999999999E-2</v>
      </c>
      <c r="F439">
        <v>0.23743800000000001</v>
      </c>
      <c r="G439">
        <v>0.135407</v>
      </c>
      <c r="H439">
        <v>0.11304599999999999</v>
      </c>
      <c r="I439">
        <v>0.111443</v>
      </c>
      <c r="J439">
        <v>2.086E-2</v>
      </c>
      <c r="K439">
        <v>6.2213199999999998E-3</v>
      </c>
      <c r="L439">
        <v>4.53528E-3</v>
      </c>
      <c r="M439">
        <v>4.5426099999999999E-3</v>
      </c>
      <c r="N439">
        <v>6.5454199999999997E-3</v>
      </c>
      <c r="O439">
        <v>1.6686100000000001E-3</v>
      </c>
      <c r="P439">
        <v>6.6527299999999999E-3</v>
      </c>
    </row>
    <row r="440" spans="1:16" ht="13" customHeight="1" x14ac:dyDescent="0.15">
      <c r="A440">
        <v>1998</v>
      </c>
      <c r="B440">
        <v>0.11674900000000001</v>
      </c>
      <c r="C440">
        <v>5.7282699999999999E-2</v>
      </c>
      <c r="D440">
        <v>5.9409499999999997E-2</v>
      </c>
      <c r="E440">
        <v>4.1619900000000001E-2</v>
      </c>
      <c r="F440">
        <v>8.3399500000000001E-2</v>
      </c>
      <c r="G440">
        <v>0.29199000000000003</v>
      </c>
      <c r="H440">
        <v>0.13769600000000001</v>
      </c>
      <c r="I440">
        <v>9.3020699999999998E-2</v>
      </c>
      <c r="J440">
        <v>8.2373600000000005E-2</v>
      </c>
      <c r="K440">
        <v>1.4930499999999999E-2</v>
      </c>
      <c r="L440">
        <v>4.4502700000000001E-3</v>
      </c>
      <c r="M440">
        <v>3.2344600000000002E-3</v>
      </c>
      <c r="N440">
        <v>3.2392300000000001E-3</v>
      </c>
      <c r="O440">
        <v>4.6697600000000002E-3</v>
      </c>
      <c r="P440">
        <v>5.93444E-3</v>
      </c>
    </row>
    <row r="441" spans="1:16" ht="13" customHeight="1" x14ac:dyDescent="0.15">
      <c r="A441">
        <v>1999</v>
      </c>
      <c r="B441">
        <v>0.100941</v>
      </c>
      <c r="C441">
        <v>4.3166200000000002E-2</v>
      </c>
      <c r="D441">
        <v>0.115512</v>
      </c>
      <c r="E441">
        <v>0.114899</v>
      </c>
      <c r="F441">
        <v>6.7799899999999996E-2</v>
      </c>
      <c r="G441">
        <v>0.10557</v>
      </c>
      <c r="H441">
        <v>0.25812600000000002</v>
      </c>
      <c r="I441">
        <v>9.3126299999999995E-2</v>
      </c>
      <c r="J441">
        <v>4.89478E-2</v>
      </c>
      <c r="K441">
        <v>3.7195499999999999E-2</v>
      </c>
      <c r="L441">
        <v>6.2719000000000004E-3</v>
      </c>
      <c r="M441">
        <v>1.79144E-3</v>
      </c>
      <c r="N441">
        <v>1.27513E-3</v>
      </c>
      <c r="O441">
        <v>1.2643999999999999E-3</v>
      </c>
      <c r="P441">
        <v>4.1129699999999996E-3</v>
      </c>
    </row>
    <row r="442" spans="1:16" ht="13" customHeight="1" x14ac:dyDescent="0.15">
      <c r="A442">
        <v>2000</v>
      </c>
      <c r="B442">
        <v>0.10363799999999999</v>
      </c>
      <c r="C442">
        <v>4.5069699999999997E-2</v>
      </c>
      <c r="D442">
        <v>5.8121800000000001E-2</v>
      </c>
      <c r="E442">
        <v>0.15839700000000001</v>
      </c>
      <c r="F442">
        <v>0.14451900000000001</v>
      </c>
      <c r="G442">
        <v>7.6120199999999999E-2</v>
      </c>
      <c r="H442">
        <v>9.65863E-2</v>
      </c>
      <c r="I442">
        <v>0.189918</v>
      </c>
      <c r="J442">
        <v>6.36216E-2</v>
      </c>
      <c r="K442">
        <v>3.1737000000000001E-2</v>
      </c>
      <c r="L442">
        <v>2.3324000000000001E-2</v>
      </c>
      <c r="M442">
        <v>3.8519800000000001E-3</v>
      </c>
      <c r="N442">
        <v>1.0886100000000001E-3</v>
      </c>
      <c r="O442">
        <v>7.7074999999999995E-4</v>
      </c>
      <c r="P442">
        <v>3.2372199999999999E-3</v>
      </c>
    </row>
    <row r="443" spans="1:16" ht="13" customHeight="1" x14ac:dyDescent="0.15">
      <c r="A443">
        <v>2001</v>
      </c>
      <c r="B443">
        <v>0.17747599999999999</v>
      </c>
      <c r="C443">
        <v>5.8368299999999998E-2</v>
      </c>
      <c r="D443">
        <v>5.4178799999999999E-2</v>
      </c>
      <c r="E443">
        <v>7.0725300000000005E-2</v>
      </c>
      <c r="F443">
        <v>0.16692899999999999</v>
      </c>
      <c r="G443">
        <v>0.13090399999999999</v>
      </c>
      <c r="H443">
        <v>6.2699900000000003E-2</v>
      </c>
      <c r="I443">
        <v>6.9553500000000004E-2</v>
      </c>
      <c r="J443">
        <v>0.12548599999999999</v>
      </c>
      <c r="K443">
        <v>4.1987499999999997E-2</v>
      </c>
      <c r="L443">
        <v>2.0797099999999999E-2</v>
      </c>
      <c r="M443">
        <v>1.5130599999999999E-2</v>
      </c>
      <c r="N443">
        <v>2.4868199999999998E-3</v>
      </c>
      <c r="O443">
        <v>7.0121300000000001E-4</v>
      </c>
      <c r="P443">
        <v>2.5765499999999999E-3</v>
      </c>
    </row>
    <row r="444" spans="1:16" ht="13" customHeight="1" x14ac:dyDescent="0.15">
      <c r="A444">
        <v>2002</v>
      </c>
      <c r="B444">
        <v>8.2618499999999997E-2</v>
      </c>
      <c r="C444">
        <v>7.20528E-2</v>
      </c>
      <c r="D444">
        <v>8.2442299999999996E-2</v>
      </c>
      <c r="E444">
        <v>8.47194E-2</v>
      </c>
      <c r="F444">
        <v>0.10360999999999999</v>
      </c>
      <c r="G444">
        <v>0.19681299999999999</v>
      </c>
      <c r="H444">
        <v>0.12815199999999999</v>
      </c>
      <c r="I444">
        <v>5.2341699999999998E-2</v>
      </c>
      <c r="J444">
        <v>5.1729400000000002E-2</v>
      </c>
      <c r="K444">
        <v>8.9086499999999999E-2</v>
      </c>
      <c r="L444">
        <v>2.8733700000000001E-2</v>
      </c>
      <c r="M444">
        <v>1.3909599999999999E-2</v>
      </c>
      <c r="N444">
        <v>1.0007E-2</v>
      </c>
      <c r="O444">
        <v>1.6359199999999999E-3</v>
      </c>
      <c r="P444">
        <v>2.1483600000000002E-3</v>
      </c>
    </row>
    <row r="445" spans="1:16" ht="13" customHeight="1" x14ac:dyDescent="0.15">
      <c r="A445">
        <v>2003</v>
      </c>
      <c r="B445">
        <v>4.77022E-2</v>
      </c>
      <c r="C445">
        <v>3.0361800000000001E-2</v>
      </c>
      <c r="D445">
        <v>8.1617400000000007E-2</v>
      </c>
      <c r="E445">
        <v>0.10835500000000001</v>
      </c>
      <c r="F445">
        <v>0.108374</v>
      </c>
      <c r="G445">
        <v>0.119758</v>
      </c>
      <c r="H445">
        <v>0.18934599999999999</v>
      </c>
      <c r="I445">
        <v>0.111591</v>
      </c>
      <c r="J445">
        <v>4.2906E-2</v>
      </c>
      <c r="K445">
        <v>4.2164399999999998E-2</v>
      </c>
      <c r="L445">
        <v>7.2551500000000005E-2</v>
      </c>
      <c r="M445">
        <v>2.3125199999999999E-2</v>
      </c>
      <c r="N445">
        <v>1.11358E-2</v>
      </c>
      <c r="O445">
        <v>7.9930999999999995E-3</v>
      </c>
      <c r="P445">
        <v>3.0187899999999999E-3</v>
      </c>
    </row>
    <row r="446" spans="1:16" ht="13" customHeight="1" x14ac:dyDescent="0.15">
      <c r="A446">
        <v>2004</v>
      </c>
      <c r="B446">
        <v>4.8804199999999999E-2</v>
      </c>
      <c r="C446">
        <v>2.0848200000000001E-2</v>
      </c>
      <c r="D446">
        <v>6.3198599999999994E-2</v>
      </c>
      <c r="E446">
        <v>0.16292499999999999</v>
      </c>
      <c r="F446">
        <v>0.18942899999999999</v>
      </c>
      <c r="G446">
        <v>0.13794799999999999</v>
      </c>
      <c r="H446">
        <v>0.100838</v>
      </c>
      <c r="I446">
        <v>0.116364</v>
      </c>
      <c r="J446">
        <v>5.8613800000000001E-2</v>
      </c>
      <c r="K446">
        <v>2.16499E-2</v>
      </c>
      <c r="L446">
        <v>2.1168900000000001E-2</v>
      </c>
      <c r="M446">
        <v>3.5930799999999999E-2</v>
      </c>
      <c r="N446">
        <v>1.1394100000000001E-2</v>
      </c>
      <c r="O446">
        <v>5.4763800000000003E-3</v>
      </c>
      <c r="P446">
        <v>5.4111300000000001E-3</v>
      </c>
    </row>
    <row r="447" spans="1:16" ht="13" customHeight="1" x14ac:dyDescent="0.15">
      <c r="A447">
        <v>2005</v>
      </c>
      <c r="B447">
        <v>3.8002399999999999E-2</v>
      </c>
      <c r="C447">
        <v>1.07332E-2</v>
      </c>
      <c r="D447">
        <v>4.5447399999999999E-2</v>
      </c>
      <c r="E447">
        <v>0.13614499999999999</v>
      </c>
      <c r="F447">
        <v>0.259071</v>
      </c>
      <c r="G447">
        <v>0.214835</v>
      </c>
      <c r="H447">
        <v>0.10620300000000001</v>
      </c>
      <c r="I447">
        <v>5.6863999999999998E-2</v>
      </c>
      <c r="J447">
        <v>5.7069700000000001E-2</v>
      </c>
      <c r="K447">
        <v>2.7978800000000002E-2</v>
      </c>
      <c r="L447">
        <v>1.0308899999999999E-2</v>
      </c>
      <c r="M447">
        <v>9.9867800000000007E-3</v>
      </c>
      <c r="N447">
        <v>1.68938E-2</v>
      </c>
      <c r="O447">
        <v>5.3507299999999997E-3</v>
      </c>
      <c r="P447">
        <v>5.1100900000000003E-3</v>
      </c>
    </row>
    <row r="448" spans="1:16" ht="13" customHeight="1" x14ac:dyDescent="0.15">
      <c r="A448">
        <v>2006</v>
      </c>
      <c r="B448">
        <v>0.14664199999999999</v>
      </c>
      <c r="C448">
        <v>4.7350999999999999E-3</v>
      </c>
      <c r="D448">
        <v>1.27282E-2</v>
      </c>
      <c r="E448">
        <v>5.5028599999999997E-2</v>
      </c>
      <c r="F448">
        <v>0.143784</v>
      </c>
      <c r="G448">
        <v>0.22709099999999999</v>
      </c>
      <c r="H448">
        <v>0.17428299999999999</v>
      </c>
      <c r="I448">
        <v>8.38034E-2</v>
      </c>
      <c r="J448">
        <v>4.4979400000000003E-2</v>
      </c>
      <c r="K448">
        <v>4.56832E-2</v>
      </c>
      <c r="L448">
        <v>2.2682799999999999E-2</v>
      </c>
      <c r="M448">
        <v>8.3462499999999995E-3</v>
      </c>
      <c r="N448">
        <v>8.0815999999999995E-3</v>
      </c>
      <c r="O448">
        <v>1.36688E-2</v>
      </c>
      <c r="P448">
        <v>8.4630499999999997E-3</v>
      </c>
    </row>
    <row r="449" spans="1:16" ht="13" customHeight="1" x14ac:dyDescent="0.15">
      <c r="A449">
        <v>2007</v>
      </c>
      <c r="B449">
        <v>0.23388700000000001</v>
      </c>
      <c r="C449">
        <v>1.62933E-2</v>
      </c>
      <c r="D449">
        <v>1.3916400000000001E-2</v>
      </c>
      <c r="E449">
        <v>3.8533999999999999E-2</v>
      </c>
      <c r="F449">
        <v>0.12758800000000001</v>
      </c>
      <c r="G449">
        <v>0.194384</v>
      </c>
      <c r="H449">
        <v>0.179037</v>
      </c>
      <c r="I449">
        <v>9.4959299999999996E-2</v>
      </c>
      <c r="J449">
        <v>3.7828800000000003E-2</v>
      </c>
      <c r="K449">
        <v>1.9146400000000001E-2</v>
      </c>
      <c r="L449">
        <v>1.9132400000000001E-2</v>
      </c>
      <c r="M449">
        <v>9.3972799999999992E-3</v>
      </c>
      <c r="N449">
        <v>3.44495E-3</v>
      </c>
      <c r="O449">
        <v>3.3315100000000002E-3</v>
      </c>
      <c r="P449">
        <v>9.1190200000000003E-3</v>
      </c>
    </row>
    <row r="450" spans="1:16" ht="13" customHeight="1" x14ac:dyDescent="0.15">
      <c r="A450">
        <v>2008</v>
      </c>
      <c r="B450">
        <v>0.103725</v>
      </c>
      <c r="C450">
        <v>3.4260400000000003E-2</v>
      </c>
      <c r="D450">
        <v>3.9935499999999999E-2</v>
      </c>
      <c r="E450">
        <v>3.6852900000000001E-2</v>
      </c>
      <c r="F450">
        <v>8.5154900000000006E-2</v>
      </c>
      <c r="G450">
        <v>0.182725</v>
      </c>
      <c r="H450">
        <v>0.19423799999999999</v>
      </c>
      <c r="I450">
        <v>0.157614</v>
      </c>
      <c r="J450">
        <v>7.9821600000000006E-2</v>
      </c>
      <c r="K450">
        <v>3.1938300000000003E-2</v>
      </c>
      <c r="L450">
        <v>1.62133E-2</v>
      </c>
      <c r="M450">
        <v>1.6166400000000001E-2</v>
      </c>
      <c r="N450">
        <v>7.9352499999999996E-3</v>
      </c>
      <c r="O450">
        <v>2.9083999999999998E-3</v>
      </c>
      <c r="P450">
        <v>1.05106E-2</v>
      </c>
    </row>
    <row r="451" spans="1:16" ht="13" customHeight="1" x14ac:dyDescent="0.15">
      <c r="A451">
        <v>2009</v>
      </c>
      <c r="B451">
        <v>0.192103</v>
      </c>
      <c r="C451">
        <v>2.1109300000000001E-2</v>
      </c>
      <c r="D451">
        <v>9.98864E-2</v>
      </c>
      <c r="E451">
        <v>0.112834</v>
      </c>
      <c r="F451">
        <v>7.5099600000000002E-2</v>
      </c>
      <c r="G451">
        <v>9.5385600000000001E-2</v>
      </c>
      <c r="H451">
        <v>0.121766</v>
      </c>
      <c r="I451">
        <v>0.108875</v>
      </c>
      <c r="J451">
        <v>8.4592399999999998E-2</v>
      </c>
      <c r="K451">
        <v>4.2382999999999997E-2</v>
      </c>
      <c r="L451">
        <v>1.7151900000000001E-2</v>
      </c>
      <c r="M451">
        <v>8.6965299999999992E-3</v>
      </c>
      <c r="N451">
        <v>8.6686300000000001E-3</v>
      </c>
      <c r="O451">
        <v>4.2546199999999998E-3</v>
      </c>
      <c r="P451">
        <v>7.1946099999999997E-3</v>
      </c>
    </row>
    <row r="452" spans="1:16" ht="13" customHeight="1" x14ac:dyDescent="0.15">
      <c r="A452">
        <v>2010</v>
      </c>
      <c r="B452">
        <v>8.0019099999999996E-2</v>
      </c>
      <c r="C452">
        <v>7.2054300000000002E-2</v>
      </c>
      <c r="D452">
        <v>5.7743200000000001E-2</v>
      </c>
      <c r="E452">
        <v>0.27576299999999998</v>
      </c>
      <c r="F452">
        <v>0.21002299999999999</v>
      </c>
      <c r="G452">
        <v>7.2322499999999998E-2</v>
      </c>
      <c r="H452">
        <v>5.3917399999999997E-2</v>
      </c>
      <c r="I452">
        <v>5.5810699999999998E-2</v>
      </c>
      <c r="J452">
        <v>4.7714699999999999E-2</v>
      </c>
      <c r="K452">
        <v>3.6516600000000003E-2</v>
      </c>
      <c r="L452">
        <v>1.8294500000000002E-2</v>
      </c>
      <c r="M452">
        <v>7.39698E-3</v>
      </c>
      <c r="N452">
        <v>3.7496700000000001E-3</v>
      </c>
      <c r="O452">
        <v>3.7374299999999999E-3</v>
      </c>
      <c r="P452">
        <v>4.9361800000000001E-3</v>
      </c>
    </row>
    <row r="453" spans="1:16" ht="13" customHeight="1" x14ac:dyDescent="0.15">
      <c r="A453">
        <v>2011</v>
      </c>
      <c r="B453">
        <v>0.17882999999999999</v>
      </c>
      <c r="C453">
        <v>1.1780499999999999E-2</v>
      </c>
      <c r="D453">
        <v>9.5147300000000004E-2</v>
      </c>
      <c r="E453">
        <v>7.7115199999999995E-2</v>
      </c>
      <c r="F453">
        <v>0.26878600000000002</v>
      </c>
      <c r="G453">
        <v>0.164489</v>
      </c>
      <c r="H453">
        <v>5.04917E-2</v>
      </c>
      <c r="I453">
        <v>3.5815800000000002E-2</v>
      </c>
      <c r="J453">
        <v>3.6571600000000003E-2</v>
      </c>
      <c r="K453">
        <v>3.1528899999999999E-2</v>
      </c>
      <c r="L453">
        <v>2.4193599999999999E-2</v>
      </c>
      <c r="M453">
        <v>1.2119899999999999E-2</v>
      </c>
      <c r="N453">
        <v>4.9003600000000003E-3</v>
      </c>
      <c r="O453">
        <v>2.4840800000000001E-3</v>
      </c>
      <c r="P453">
        <v>5.7460799999999998E-3</v>
      </c>
    </row>
    <row r="454" spans="1:16" ht="13" customHeight="1" x14ac:dyDescent="0.15">
      <c r="A454">
        <v>2012</v>
      </c>
      <c r="B454">
        <v>0.117575</v>
      </c>
      <c r="C454">
        <v>1.3046200000000001E-2</v>
      </c>
      <c r="D454">
        <v>5.3924800000000002E-2</v>
      </c>
      <c r="E454">
        <v>0.32003700000000002</v>
      </c>
      <c r="F454">
        <v>0.15148800000000001</v>
      </c>
      <c r="G454">
        <v>0.20117399999999999</v>
      </c>
      <c r="H454">
        <v>7.1010699999999996E-2</v>
      </c>
      <c r="I454">
        <v>1.8131000000000001E-2</v>
      </c>
      <c r="J454">
        <v>1.24726E-2</v>
      </c>
      <c r="K454">
        <v>1.2756200000000001E-2</v>
      </c>
      <c r="L454">
        <v>1.10542E-2</v>
      </c>
      <c r="M454">
        <v>8.4800199999999996E-3</v>
      </c>
      <c r="N454">
        <v>4.2479600000000003E-3</v>
      </c>
      <c r="O454">
        <v>1.71754E-3</v>
      </c>
      <c r="P454">
        <v>2.8846200000000001E-3</v>
      </c>
    </row>
    <row r="455" spans="1:16" ht="13" customHeight="1" x14ac:dyDescent="0.15">
      <c r="A455">
        <v>2013</v>
      </c>
      <c r="B455">
        <v>0.14164399999999999</v>
      </c>
      <c r="C455">
        <v>8.4906800000000004E-3</v>
      </c>
      <c r="D455">
        <v>2.5510999999999999E-2</v>
      </c>
      <c r="E455">
        <v>9.9898200000000006E-2</v>
      </c>
      <c r="F455">
        <v>0.43189300000000003</v>
      </c>
      <c r="G455">
        <v>0.132441</v>
      </c>
      <c r="H455">
        <v>0.102549</v>
      </c>
      <c r="I455">
        <v>2.9400599999999999E-2</v>
      </c>
      <c r="J455">
        <v>7.1407700000000003E-3</v>
      </c>
      <c r="K455">
        <v>4.8926999999999998E-3</v>
      </c>
      <c r="L455">
        <v>5.0086000000000002E-3</v>
      </c>
      <c r="M455">
        <v>4.3355700000000004E-3</v>
      </c>
      <c r="N455">
        <v>3.3249799999999999E-3</v>
      </c>
      <c r="O455">
        <v>1.66548E-3</v>
      </c>
      <c r="P455">
        <v>1.8043E-3</v>
      </c>
    </row>
    <row r="456" spans="1:16" ht="13" customHeight="1" x14ac:dyDescent="0.15">
      <c r="A456">
        <v>2014</v>
      </c>
      <c r="B456">
        <v>0.13359499999999999</v>
      </c>
      <c r="C456">
        <v>4.4328699999999999E-2</v>
      </c>
      <c r="D456">
        <v>2.0363800000000001E-2</v>
      </c>
      <c r="E456">
        <v>5.9028900000000002E-2</v>
      </c>
      <c r="F456">
        <v>0.162632</v>
      </c>
      <c r="G456">
        <v>0.41829499999999997</v>
      </c>
      <c r="H456">
        <v>8.2972199999999996E-2</v>
      </c>
      <c r="I456">
        <v>5.2388799999999999E-2</v>
      </c>
      <c r="J456">
        <v>1.3684999999999999E-2</v>
      </c>
      <c r="K456">
        <v>3.2324900000000002E-3</v>
      </c>
      <c r="L456">
        <v>2.2072400000000001E-3</v>
      </c>
      <c r="M456">
        <v>2.2571399999999999E-3</v>
      </c>
      <c r="N456">
        <v>1.9532899999999999E-3</v>
      </c>
      <c r="O456">
        <v>1.49788E-3</v>
      </c>
      <c r="P456">
        <v>1.5630799999999999E-3</v>
      </c>
    </row>
    <row r="457" spans="1:16" ht="13" customHeight="1" x14ac:dyDescent="0.15">
      <c r="A457">
        <v>2015</v>
      </c>
      <c r="B457">
        <v>7.9860299999999995E-2</v>
      </c>
      <c r="C457">
        <v>3.6344399999999999E-2</v>
      </c>
      <c r="D457">
        <v>0.15753200000000001</v>
      </c>
      <c r="E457">
        <v>5.7220100000000003E-2</v>
      </c>
      <c r="F457">
        <v>0.10391400000000001</v>
      </c>
      <c r="G457">
        <v>0.16246099999999999</v>
      </c>
      <c r="H457">
        <v>0.30416199999999999</v>
      </c>
      <c r="I457">
        <v>5.1318500000000003E-2</v>
      </c>
      <c r="J457">
        <v>3.1922600000000002E-2</v>
      </c>
      <c r="K457">
        <v>7.9773699999999993E-3</v>
      </c>
      <c r="L457">
        <v>1.85377E-3</v>
      </c>
      <c r="M457">
        <v>1.2654299999999999E-3</v>
      </c>
      <c r="N457">
        <v>1.29397E-3</v>
      </c>
      <c r="O457">
        <v>1.1197799999999999E-3</v>
      </c>
      <c r="P457">
        <v>1.7547800000000001E-3</v>
      </c>
    </row>
    <row r="458" spans="1:16" ht="13" customHeight="1" x14ac:dyDescent="0.15">
      <c r="A458">
        <v>2016</v>
      </c>
      <c r="B458">
        <v>6.9640999999999995E-2</v>
      </c>
      <c r="C458">
        <v>2.0264600000000001E-2</v>
      </c>
      <c r="D458">
        <v>7.4175199999999997E-2</v>
      </c>
      <c r="E458">
        <v>0.290715</v>
      </c>
      <c r="F458">
        <v>7.9574400000000003E-2</v>
      </c>
      <c r="G458">
        <v>9.8223400000000002E-2</v>
      </c>
      <c r="H458">
        <v>0.114882</v>
      </c>
      <c r="I458">
        <v>0.193773</v>
      </c>
      <c r="J458">
        <v>3.1390099999999997E-2</v>
      </c>
      <c r="K458">
        <v>1.8753499999999999E-2</v>
      </c>
      <c r="L458">
        <v>4.5012699999999999E-3</v>
      </c>
      <c r="M458">
        <v>1.0449999999999999E-3</v>
      </c>
      <c r="N458">
        <v>7.1315300000000001E-4</v>
      </c>
      <c r="O458">
        <v>7.2918199999999999E-4</v>
      </c>
      <c r="P458">
        <v>1.6198199999999999E-3</v>
      </c>
    </row>
    <row r="459" spans="1:16" ht="13" customHeight="1" x14ac:dyDescent="0.15">
      <c r="A459" t="s">
        <v>169</v>
      </c>
      <c r="B459" t="s">
        <v>132</v>
      </c>
      <c r="C459" t="s">
        <v>128</v>
      </c>
      <c r="D459" t="s">
        <v>167</v>
      </c>
      <c r="E459" t="s">
        <v>158</v>
      </c>
      <c r="F459" t="s">
        <v>159</v>
      </c>
    </row>
    <row r="460" spans="1:16" ht="13" customHeight="1" x14ac:dyDescent="0.15">
      <c r="A460">
        <v>1979</v>
      </c>
      <c r="B460">
        <v>0</v>
      </c>
      <c r="C460">
        <v>0.88811200000000001</v>
      </c>
      <c r="D460">
        <v>8.3862300000000001E-2</v>
      </c>
      <c r="E460">
        <v>8.9173900000000007E-3</v>
      </c>
      <c r="F460">
        <v>1.153E-2</v>
      </c>
      <c r="G460">
        <v>2.7637400000000002E-3</v>
      </c>
      <c r="H460">
        <v>6.4775200000000003E-4</v>
      </c>
      <c r="I460" s="1">
        <v>8.6366999999999995E-5</v>
      </c>
      <c r="J460">
        <v>6.04569E-4</v>
      </c>
      <c r="K460">
        <v>1.2739100000000001E-3</v>
      </c>
      <c r="L460">
        <v>1.4898299999999999E-3</v>
      </c>
      <c r="M460">
        <v>6.2616099999999997E-4</v>
      </c>
      <c r="N460" s="1">
        <v>6.4775200000000003E-5</v>
      </c>
      <c r="O460" s="1">
        <v>2.1591699999999999E-5</v>
      </c>
      <c r="P460">
        <v>0</v>
      </c>
    </row>
    <row r="461" spans="1:16" ht="13" customHeight="1" x14ac:dyDescent="0.15">
      <c r="A461">
        <v>1982</v>
      </c>
      <c r="B461">
        <v>0</v>
      </c>
      <c r="C461">
        <v>0.19101399999999999</v>
      </c>
      <c r="D461">
        <v>0.23072200000000001</v>
      </c>
      <c r="E461">
        <v>0.42892400000000003</v>
      </c>
      <c r="F461">
        <v>0.100534</v>
      </c>
      <c r="G461">
        <v>1.58944E-2</v>
      </c>
      <c r="H461">
        <v>7.91912E-3</v>
      </c>
      <c r="I461">
        <v>9.9971899999999995E-3</v>
      </c>
      <c r="J461">
        <v>5.0547600000000002E-3</v>
      </c>
      <c r="K461">
        <v>3.08902E-3</v>
      </c>
      <c r="L461">
        <v>6.8520100000000004E-3</v>
      </c>
      <c r="M461">
        <v>0</v>
      </c>
      <c r="N461">
        <v>0</v>
      </c>
      <c r="O461">
        <v>0</v>
      </c>
      <c r="P461">
        <v>0</v>
      </c>
    </row>
    <row r="462" spans="1:16" ht="13" customHeight="1" x14ac:dyDescent="0.15">
      <c r="A462">
        <v>1985</v>
      </c>
      <c r="B462">
        <v>0</v>
      </c>
      <c r="C462">
        <v>6.20782E-2</v>
      </c>
      <c r="D462">
        <v>0.54453700000000005</v>
      </c>
      <c r="E462">
        <v>6.0006700000000003E-2</v>
      </c>
      <c r="F462">
        <v>0.14607400000000001</v>
      </c>
      <c r="G462">
        <v>0.10090200000000001</v>
      </c>
      <c r="H462">
        <v>7.5309100000000004E-2</v>
      </c>
      <c r="I462">
        <v>8.6869400000000006E-3</v>
      </c>
      <c r="J462">
        <v>1.4032700000000001E-3</v>
      </c>
      <c r="K462">
        <v>4.6775799999999998E-4</v>
      </c>
      <c r="L462">
        <v>5.3458100000000001E-4</v>
      </c>
      <c r="M462">
        <v>0</v>
      </c>
      <c r="N462">
        <v>0</v>
      </c>
      <c r="O462">
        <v>0</v>
      </c>
      <c r="P462">
        <v>0</v>
      </c>
    </row>
    <row r="463" spans="1:16" ht="13" customHeight="1" x14ac:dyDescent="0.15">
      <c r="A463">
        <v>1988</v>
      </c>
      <c r="B463">
        <v>0</v>
      </c>
      <c r="C463">
        <v>9.0553400000000006E-2</v>
      </c>
      <c r="D463">
        <v>0.292018</v>
      </c>
      <c r="E463">
        <v>0.31465700000000002</v>
      </c>
      <c r="F463">
        <v>6.01789E-2</v>
      </c>
      <c r="G463">
        <v>0.153257</v>
      </c>
      <c r="H463">
        <v>3.2817499999999999E-2</v>
      </c>
      <c r="I463">
        <v>1.2296400000000001E-2</v>
      </c>
      <c r="J463">
        <v>1.0547900000000001E-2</v>
      </c>
      <c r="K463">
        <v>2.07262E-2</v>
      </c>
      <c r="L463">
        <v>1.2947800000000001E-2</v>
      </c>
      <c r="M463">
        <v>0</v>
      </c>
      <c r="N463">
        <v>0</v>
      </c>
      <c r="O463">
        <v>0</v>
      </c>
      <c r="P463">
        <v>0</v>
      </c>
    </row>
    <row r="464" spans="1:16" ht="13" customHeight="1" x14ac:dyDescent="0.15">
      <c r="A464">
        <v>1991</v>
      </c>
      <c r="B464">
        <v>0</v>
      </c>
      <c r="C464">
        <v>0.76878400000000002</v>
      </c>
      <c r="D464">
        <v>0.125108</v>
      </c>
      <c r="E464">
        <v>2.7757E-2</v>
      </c>
      <c r="F464">
        <v>2.8996500000000001E-2</v>
      </c>
      <c r="G464">
        <v>1.7212600000000002E-2</v>
      </c>
      <c r="H464">
        <v>1.5490200000000001E-2</v>
      </c>
      <c r="I464">
        <v>5.0048799999999997E-3</v>
      </c>
      <c r="J464">
        <v>4.7916299999999998E-3</v>
      </c>
      <c r="K464">
        <v>1.89756E-3</v>
      </c>
      <c r="L464">
        <v>2.075E-3</v>
      </c>
      <c r="M464">
        <v>6.8245000000000003E-4</v>
      </c>
      <c r="N464">
        <v>1.0171900000000001E-3</v>
      </c>
      <c r="O464">
        <v>5.9382700000000001E-4</v>
      </c>
      <c r="P464">
        <v>5.8932799999999997E-4</v>
      </c>
    </row>
    <row r="465" spans="1:16" ht="13" customHeight="1" x14ac:dyDescent="0.15">
      <c r="A465">
        <v>1994</v>
      </c>
      <c r="B465">
        <v>0</v>
      </c>
      <c r="C465">
        <v>0.42779499999999998</v>
      </c>
      <c r="D465">
        <v>0.12347</v>
      </c>
      <c r="E465">
        <v>0.18295400000000001</v>
      </c>
      <c r="F465">
        <v>0.20904300000000001</v>
      </c>
      <c r="G465">
        <v>3.21211E-2</v>
      </c>
      <c r="H465">
        <v>7.5938400000000001E-3</v>
      </c>
      <c r="I465">
        <v>7.31374E-3</v>
      </c>
      <c r="J465">
        <v>3.2963699999999999E-3</v>
      </c>
      <c r="K465">
        <v>2.30693E-3</v>
      </c>
      <c r="L465">
        <v>6.9996499999999998E-4</v>
      </c>
      <c r="M465">
        <v>1.4250199999999999E-3</v>
      </c>
      <c r="N465">
        <v>3.2652899999999999E-4</v>
      </c>
      <c r="O465">
        <v>6.2038000000000002E-4</v>
      </c>
      <c r="P465">
        <v>1.0330199999999999E-3</v>
      </c>
    </row>
    <row r="466" spans="1:16" ht="13" customHeight="1" x14ac:dyDescent="0.15">
      <c r="A466">
        <v>1996</v>
      </c>
      <c r="B466">
        <v>0</v>
      </c>
      <c r="C466">
        <v>8.0389799999999997E-2</v>
      </c>
      <c r="D466">
        <v>9.3711600000000006E-2</v>
      </c>
      <c r="E466">
        <v>0.48379800000000001</v>
      </c>
      <c r="F466">
        <v>0.14780299999999999</v>
      </c>
      <c r="G466">
        <v>9.1716900000000004E-2</v>
      </c>
      <c r="H466">
        <v>7.8221100000000002E-2</v>
      </c>
      <c r="I466">
        <v>1.5283700000000001E-2</v>
      </c>
      <c r="J466">
        <v>3.0115400000000001E-3</v>
      </c>
      <c r="K466">
        <v>1.13003E-3</v>
      </c>
      <c r="L466">
        <v>1.02629E-3</v>
      </c>
      <c r="M466">
        <v>2.1871600000000001E-3</v>
      </c>
      <c r="N466">
        <v>2.35541E-4</v>
      </c>
      <c r="O466">
        <v>8.6138299999999996E-4</v>
      </c>
      <c r="P466">
        <v>6.2441799999999996E-4</v>
      </c>
    </row>
    <row r="467" spans="1:16" ht="13" customHeight="1" x14ac:dyDescent="0.15">
      <c r="A467">
        <v>1997</v>
      </c>
      <c r="B467">
        <v>0</v>
      </c>
      <c r="C467">
        <v>0.43401499999999998</v>
      </c>
      <c r="D467">
        <v>6.09747E-2</v>
      </c>
      <c r="E467">
        <v>7.7681899999999998E-2</v>
      </c>
      <c r="F467">
        <v>0.30352400000000002</v>
      </c>
      <c r="G467">
        <v>6.0765399999999997E-2</v>
      </c>
      <c r="H467">
        <v>3.2484499999999999E-2</v>
      </c>
      <c r="I467">
        <v>2.2576599999999999E-2</v>
      </c>
      <c r="J467">
        <v>5.1801399999999997E-3</v>
      </c>
      <c r="K467">
        <v>6.1531499999999996E-4</v>
      </c>
      <c r="L467">
        <v>7.8258500000000003E-4</v>
      </c>
      <c r="M467">
        <v>3.1809999999999998E-4</v>
      </c>
      <c r="N467">
        <v>3.5334500000000003E-4</v>
      </c>
      <c r="O467">
        <v>3.6392E-4</v>
      </c>
      <c r="P467">
        <v>3.6497100000000001E-4</v>
      </c>
    </row>
    <row r="468" spans="1:16" ht="13" customHeight="1" x14ac:dyDescent="0.15">
      <c r="A468">
        <v>1999</v>
      </c>
      <c r="B468">
        <v>0</v>
      </c>
      <c r="C468">
        <v>0.16731499999999999</v>
      </c>
      <c r="D468">
        <v>0.37907400000000002</v>
      </c>
      <c r="E468">
        <v>0.17743</v>
      </c>
      <c r="F468">
        <v>6.1395199999999997E-2</v>
      </c>
      <c r="G468">
        <v>2.88705E-2</v>
      </c>
      <c r="H468">
        <v>0.12320399999999999</v>
      </c>
      <c r="I468">
        <v>4.2179800000000003E-2</v>
      </c>
      <c r="J468">
        <v>1.1028100000000001E-2</v>
      </c>
      <c r="K468">
        <v>7.0476499999999999E-3</v>
      </c>
      <c r="L468">
        <v>1.5243800000000001E-3</v>
      </c>
      <c r="M468">
        <v>6.8201999999999998E-4</v>
      </c>
      <c r="N468">
        <v>1.7602699999999999E-4</v>
      </c>
      <c r="O468">
        <v>0</v>
      </c>
      <c r="P468" s="1">
        <v>7.3060300000000002E-5</v>
      </c>
    </row>
    <row r="469" spans="1:16" ht="13" customHeight="1" x14ac:dyDescent="0.15">
      <c r="A469">
        <v>2000</v>
      </c>
      <c r="B469">
        <v>0</v>
      </c>
      <c r="C469">
        <v>0.172593</v>
      </c>
      <c r="D469">
        <v>0.16073899999999999</v>
      </c>
      <c r="E469">
        <v>0.33641900000000002</v>
      </c>
      <c r="F469">
        <v>0.122047</v>
      </c>
      <c r="G469">
        <v>3.3083799999999997E-2</v>
      </c>
      <c r="H469">
        <v>3.1741499999999999E-2</v>
      </c>
      <c r="I469">
        <v>9.8364199999999999E-2</v>
      </c>
      <c r="J469">
        <v>2.5831799999999999E-2</v>
      </c>
      <c r="K469">
        <v>1.14889E-2</v>
      </c>
      <c r="L469">
        <v>4.8326999999999997E-3</v>
      </c>
      <c r="M469">
        <v>2.45225E-3</v>
      </c>
      <c r="N469">
        <v>1.5823200000000001E-4</v>
      </c>
      <c r="O469">
        <v>1.8382199999999999E-4</v>
      </c>
      <c r="P469" s="1">
        <v>6.35347E-5</v>
      </c>
    </row>
    <row r="470" spans="1:16" ht="13" customHeight="1" x14ac:dyDescent="0.15">
      <c r="A470">
        <v>2002</v>
      </c>
      <c r="B470">
        <v>0</v>
      </c>
      <c r="C470">
        <v>0.36223100000000003</v>
      </c>
      <c r="D470">
        <v>0.33225700000000002</v>
      </c>
      <c r="E470">
        <v>0.112043</v>
      </c>
      <c r="F470">
        <v>5.9283700000000002E-2</v>
      </c>
      <c r="G470">
        <v>5.1324599999999998E-2</v>
      </c>
      <c r="H470">
        <v>2.4875600000000001E-2</v>
      </c>
      <c r="I470">
        <v>8.6494499999999995E-3</v>
      </c>
      <c r="J470">
        <v>1.1393500000000001E-2</v>
      </c>
      <c r="K470">
        <v>2.0576799999999999E-2</v>
      </c>
      <c r="L470">
        <v>1.0196500000000001E-2</v>
      </c>
      <c r="M470">
        <v>4.1608499999999998E-3</v>
      </c>
      <c r="N470">
        <v>2.1798500000000001E-3</v>
      </c>
      <c r="O470">
        <v>5.5583300000000004E-4</v>
      </c>
      <c r="P470">
        <v>2.7284199999999997E-4</v>
      </c>
    </row>
    <row r="471" spans="1:16" ht="13" customHeight="1" x14ac:dyDescent="0.15">
      <c r="A471">
        <v>2004</v>
      </c>
      <c r="B471">
        <v>0</v>
      </c>
      <c r="C471">
        <v>4.0339800000000002E-2</v>
      </c>
      <c r="D471">
        <v>0.174343</v>
      </c>
      <c r="E471">
        <v>0.42954300000000001</v>
      </c>
      <c r="F471">
        <v>0.21182000000000001</v>
      </c>
      <c r="G471">
        <v>6.1158900000000002E-2</v>
      </c>
      <c r="H471">
        <v>2.9696699999999999E-2</v>
      </c>
      <c r="I471">
        <v>2.82705E-2</v>
      </c>
      <c r="J471">
        <v>9.9722200000000004E-3</v>
      </c>
      <c r="K471">
        <v>5.08881E-3</v>
      </c>
      <c r="L471">
        <v>3.6076900000000002E-3</v>
      </c>
      <c r="M471">
        <v>2.9052599999999998E-3</v>
      </c>
      <c r="N471">
        <v>1.78079E-3</v>
      </c>
      <c r="O471">
        <v>8.5052900000000004E-4</v>
      </c>
      <c r="P471">
        <v>6.2339100000000005E-4</v>
      </c>
    </row>
    <row r="472" spans="1:16" ht="13" customHeight="1" x14ac:dyDescent="0.15">
      <c r="A472">
        <v>2006</v>
      </c>
      <c r="B472">
        <v>0</v>
      </c>
      <c r="C472">
        <v>7.0954500000000004E-2</v>
      </c>
      <c r="D472">
        <v>9.5906199999999997E-2</v>
      </c>
      <c r="E472">
        <v>0.20750199999999999</v>
      </c>
      <c r="F472">
        <v>0.236488</v>
      </c>
      <c r="G472">
        <v>0.18767400000000001</v>
      </c>
      <c r="H472">
        <v>0.108739</v>
      </c>
      <c r="I472">
        <v>3.7438300000000001E-2</v>
      </c>
      <c r="J472">
        <v>1.8023000000000001E-2</v>
      </c>
      <c r="K472">
        <v>1.37159E-2</v>
      </c>
      <c r="L472">
        <v>7.9322100000000003E-3</v>
      </c>
      <c r="M472">
        <v>5.5203099999999996E-3</v>
      </c>
      <c r="N472">
        <v>2.9128000000000001E-3</v>
      </c>
      <c r="O472">
        <v>3.3653400000000001E-3</v>
      </c>
      <c r="P472">
        <v>3.8291100000000002E-3</v>
      </c>
    </row>
    <row r="473" spans="1:16" ht="13" customHeight="1" x14ac:dyDescent="0.15">
      <c r="A473">
        <v>2007</v>
      </c>
      <c r="B473">
        <v>0</v>
      </c>
      <c r="C473">
        <v>0.28363100000000002</v>
      </c>
      <c r="D473">
        <v>8.8362599999999999E-2</v>
      </c>
      <c r="E473">
        <v>0.118866</v>
      </c>
      <c r="F473">
        <v>0.18495500000000001</v>
      </c>
      <c r="G473">
        <v>0.162744</v>
      </c>
      <c r="H473">
        <v>8.4482799999999997E-2</v>
      </c>
      <c r="I473">
        <v>4.5938399999999997E-2</v>
      </c>
      <c r="J473">
        <v>1.6638E-2</v>
      </c>
      <c r="K473">
        <v>5.1898100000000004E-3</v>
      </c>
      <c r="L473">
        <v>5.5768700000000003E-3</v>
      </c>
      <c r="M473">
        <v>1.5847000000000001E-3</v>
      </c>
      <c r="N473">
        <v>4.70989E-4</v>
      </c>
      <c r="O473">
        <v>5.8042E-4</v>
      </c>
      <c r="P473">
        <v>9.7914599999999997E-4</v>
      </c>
    </row>
    <row r="474" spans="1:16" ht="13" customHeight="1" x14ac:dyDescent="0.15">
      <c r="A474">
        <v>2008</v>
      </c>
      <c r="B474">
        <v>0</v>
      </c>
      <c r="C474">
        <v>0.62245099999999998</v>
      </c>
      <c r="D474">
        <v>0.22101899999999999</v>
      </c>
      <c r="E474">
        <v>3.0934799999999998E-2</v>
      </c>
      <c r="F474">
        <v>2.2896E-2</v>
      </c>
      <c r="G474">
        <v>3.6459800000000001E-2</v>
      </c>
      <c r="H474">
        <v>2.8361500000000001E-2</v>
      </c>
      <c r="I474">
        <v>1.51453E-2</v>
      </c>
      <c r="J474">
        <v>1.2473E-2</v>
      </c>
      <c r="K474">
        <v>3.20682E-3</v>
      </c>
      <c r="L474">
        <v>3.2455299999999999E-3</v>
      </c>
      <c r="M474">
        <v>1.4844400000000001E-3</v>
      </c>
      <c r="N474">
        <v>9.5449900000000004E-4</v>
      </c>
      <c r="O474">
        <v>4.12979E-4</v>
      </c>
      <c r="P474">
        <v>9.5483299999999998E-4</v>
      </c>
    </row>
    <row r="475" spans="1:16" ht="13" customHeight="1" x14ac:dyDescent="0.15">
      <c r="A475">
        <v>2009</v>
      </c>
      <c r="B475">
        <v>0</v>
      </c>
      <c r="C475">
        <v>0.27786699999999998</v>
      </c>
      <c r="D475">
        <v>0.58345400000000003</v>
      </c>
      <c r="E475">
        <v>6.9321400000000005E-2</v>
      </c>
      <c r="F475">
        <v>1.0822200000000001E-2</v>
      </c>
      <c r="G475">
        <v>1.18161E-2</v>
      </c>
      <c r="H475">
        <v>1.7602199999999998E-2</v>
      </c>
      <c r="I475">
        <v>1.30732E-2</v>
      </c>
      <c r="J475">
        <v>7.2459899999999999E-3</v>
      </c>
      <c r="K475">
        <v>5.5134600000000004E-3</v>
      </c>
      <c r="L475">
        <v>1.9325099999999999E-3</v>
      </c>
      <c r="M475">
        <v>7.5251300000000001E-4</v>
      </c>
      <c r="N475">
        <v>1.7954000000000001E-4</v>
      </c>
      <c r="O475">
        <v>1.45549E-4</v>
      </c>
      <c r="P475">
        <v>2.7432999999999998E-4</v>
      </c>
    </row>
    <row r="476" spans="1:16" ht="13" customHeight="1" x14ac:dyDescent="0.15">
      <c r="A476">
        <v>2010</v>
      </c>
      <c r="B476">
        <v>0</v>
      </c>
      <c r="C476">
        <v>0.63805000000000001</v>
      </c>
      <c r="D476">
        <v>9.7123799999999996E-2</v>
      </c>
      <c r="E476">
        <v>0.21784300000000001</v>
      </c>
      <c r="F476">
        <v>3.8276400000000002E-2</v>
      </c>
      <c r="G476">
        <v>4.6190500000000004E-3</v>
      </c>
      <c r="H476">
        <v>6.20599E-4</v>
      </c>
      <c r="I476">
        <v>7.3831799999999996E-4</v>
      </c>
      <c r="J476">
        <v>6.7735600000000005E-4</v>
      </c>
      <c r="K476">
        <v>6.4644500000000005E-4</v>
      </c>
      <c r="L476">
        <v>5.97655E-4</v>
      </c>
      <c r="M476">
        <v>2.6026700000000001E-4</v>
      </c>
      <c r="N476">
        <v>1.93418E-4</v>
      </c>
      <c r="O476">
        <v>1.2924200000000001E-4</v>
      </c>
      <c r="P476">
        <v>2.23699E-4</v>
      </c>
    </row>
    <row r="477" spans="1:16" ht="13" customHeight="1" x14ac:dyDescent="0.15">
      <c r="A477">
        <v>2012</v>
      </c>
      <c r="B477">
        <v>0</v>
      </c>
      <c r="C477">
        <v>0.29742000000000002</v>
      </c>
      <c r="D477">
        <v>0.24856300000000001</v>
      </c>
      <c r="E477">
        <v>0.37030099999999999</v>
      </c>
      <c r="F477">
        <v>3.07009E-2</v>
      </c>
      <c r="G477">
        <v>3.7281300000000003E-2</v>
      </c>
      <c r="H477">
        <v>9.6402099999999998E-3</v>
      </c>
      <c r="I477">
        <v>1.9818000000000001E-3</v>
      </c>
      <c r="J477">
        <v>1.26224E-3</v>
      </c>
      <c r="K477">
        <v>9.7876600000000005E-4</v>
      </c>
      <c r="L477">
        <v>9.9498800000000004E-4</v>
      </c>
      <c r="M477">
        <v>2.9777500000000001E-4</v>
      </c>
      <c r="N477">
        <v>3.7759399999999998E-4</v>
      </c>
      <c r="O477" s="1">
        <v>8.9782400000000003E-5</v>
      </c>
      <c r="P477">
        <v>1.10802E-4</v>
      </c>
    </row>
    <row r="478" spans="1:16" ht="13" customHeight="1" x14ac:dyDescent="0.15">
      <c r="A478">
        <v>2014</v>
      </c>
      <c r="B478">
        <v>0</v>
      </c>
      <c r="C478">
        <v>0.66548799999999997</v>
      </c>
      <c r="D478">
        <v>7.2712100000000002E-2</v>
      </c>
      <c r="E478">
        <v>8.5023600000000005E-2</v>
      </c>
      <c r="F478">
        <v>6.8931699999999999E-2</v>
      </c>
      <c r="G478">
        <v>7.5288900000000006E-2</v>
      </c>
      <c r="H478">
        <v>2.4481800000000001E-2</v>
      </c>
      <c r="I478">
        <v>5.1673600000000002E-3</v>
      </c>
      <c r="J478">
        <v>1.6588099999999999E-3</v>
      </c>
      <c r="K478">
        <v>4.5017599999999999E-4</v>
      </c>
      <c r="L478">
        <v>2.1221200000000001E-4</v>
      </c>
      <c r="M478">
        <v>1.3956099999999999E-4</v>
      </c>
      <c r="N478">
        <v>2.1548699999999999E-4</v>
      </c>
      <c r="O478" s="1">
        <v>9.6175000000000007E-5</v>
      </c>
      <c r="P478">
        <v>1.3444100000000001E-4</v>
      </c>
    </row>
    <row r="479" spans="1:16" ht="13" customHeight="1" x14ac:dyDescent="0.15">
      <c r="A479">
        <v>2016</v>
      </c>
      <c r="B479">
        <v>0</v>
      </c>
      <c r="C479">
        <v>9.5130599999999996E-2</v>
      </c>
      <c r="D479">
        <v>0.40145999999999998</v>
      </c>
      <c r="E479">
        <v>0.35024100000000002</v>
      </c>
      <c r="F479">
        <v>8.2686899999999994E-2</v>
      </c>
      <c r="G479">
        <v>2.37121E-2</v>
      </c>
      <c r="H479">
        <v>2.1854200000000001E-2</v>
      </c>
      <c r="I479">
        <v>1.96618E-2</v>
      </c>
      <c r="J479">
        <v>3.3687000000000001E-3</v>
      </c>
      <c r="K479">
        <v>1.3037599999999999E-3</v>
      </c>
      <c r="L479">
        <v>3.27404E-4</v>
      </c>
      <c r="M479">
        <v>1.06235E-4</v>
      </c>
      <c r="N479" s="1">
        <v>7.6722299999999996E-5</v>
      </c>
      <c r="O479" s="1">
        <v>1.8813699999999999E-5</v>
      </c>
      <c r="P479" s="1">
        <v>5.2370500000000003E-5</v>
      </c>
    </row>
    <row r="480" spans="1:16" ht="13" customHeight="1" x14ac:dyDescent="0.15">
      <c r="A480" t="s">
        <v>169</v>
      </c>
      <c r="B480" t="s">
        <v>132</v>
      </c>
      <c r="C480" t="s">
        <v>127</v>
      </c>
      <c r="D480" t="s">
        <v>167</v>
      </c>
      <c r="E480" t="s">
        <v>158</v>
      </c>
      <c r="F480" t="s">
        <v>159</v>
      </c>
    </row>
    <row r="481" spans="1:16" ht="13" customHeight="1" x14ac:dyDescent="0.15">
      <c r="A481">
        <v>1979</v>
      </c>
      <c r="B481">
        <v>0</v>
      </c>
      <c r="C481">
        <v>0.86766100000000002</v>
      </c>
      <c r="D481">
        <v>8.08421E-2</v>
      </c>
      <c r="E481">
        <v>2.2579100000000001E-2</v>
      </c>
      <c r="F481">
        <v>1.4646899999999999E-2</v>
      </c>
      <c r="G481">
        <v>7.57458E-3</v>
      </c>
      <c r="H481">
        <v>4.2726999999999999E-3</v>
      </c>
      <c r="I481">
        <v>9.25149E-4</v>
      </c>
      <c r="J481">
        <v>5.6624300000000002E-4</v>
      </c>
      <c r="K481" s="1">
        <v>4.4787000000000001E-4</v>
      </c>
      <c r="L481" s="1">
        <v>2.53828E-4</v>
      </c>
      <c r="M481" s="1">
        <v>1.1387000000000001E-4</v>
      </c>
      <c r="N481" s="1">
        <v>6.99038E-5</v>
      </c>
      <c r="O481" s="1">
        <v>2.2399300000000001E-5</v>
      </c>
      <c r="P481" s="1">
        <v>2.3873400000000001E-5</v>
      </c>
    </row>
    <row r="482" spans="1:16" ht="13" customHeight="1" x14ac:dyDescent="0.15">
      <c r="A482">
        <v>1982</v>
      </c>
      <c r="B482">
        <v>0</v>
      </c>
      <c r="C482">
        <v>0.31978899999999999</v>
      </c>
      <c r="D482">
        <v>0.22568199999999999</v>
      </c>
      <c r="E482">
        <v>0.35183300000000001</v>
      </c>
      <c r="F482">
        <v>7.5790499999999997E-2</v>
      </c>
      <c r="G482">
        <v>1.47539E-2</v>
      </c>
      <c r="H482">
        <v>6.2867299999999999E-3</v>
      </c>
      <c r="I482">
        <v>3.0593199999999999E-3</v>
      </c>
      <c r="J482">
        <v>1.53016E-3</v>
      </c>
      <c r="K482">
        <v>8.31308E-4</v>
      </c>
      <c r="L482" s="1">
        <v>1.7082600000000001E-4</v>
      </c>
      <c r="M482" s="1">
        <v>1.03223E-4</v>
      </c>
      <c r="N482" s="1">
        <v>8.1597100000000005E-5</v>
      </c>
      <c r="O482" s="1">
        <v>4.6244700000000001E-5</v>
      </c>
      <c r="P482" s="1">
        <v>4.1912000000000001E-5</v>
      </c>
    </row>
    <row r="483" spans="1:16" ht="13" customHeight="1" x14ac:dyDescent="0.15">
      <c r="A483">
        <v>1985</v>
      </c>
      <c r="B483">
        <v>0</v>
      </c>
      <c r="C483">
        <v>0.146341</v>
      </c>
      <c r="D483">
        <v>0.454264</v>
      </c>
      <c r="E483">
        <v>0.106421</v>
      </c>
      <c r="F483">
        <v>0.13614999999999999</v>
      </c>
      <c r="G483">
        <v>6.0384599999999997E-2</v>
      </c>
      <c r="H483">
        <v>7.8341099999999997E-2</v>
      </c>
      <c r="I483">
        <v>1.26981E-2</v>
      </c>
      <c r="J483">
        <v>2.8961899999999999E-3</v>
      </c>
      <c r="K483">
        <v>1.19939E-3</v>
      </c>
      <c r="L483">
        <v>6.8239500000000003E-4</v>
      </c>
      <c r="M483">
        <v>3.3890100000000001E-4</v>
      </c>
      <c r="N483" s="1">
        <v>1.8414500000000001E-4</v>
      </c>
      <c r="O483" s="1">
        <v>3.7840099999999997E-5</v>
      </c>
      <c r="P483" s="1">
        <v>6.0467599999999997E-5</v>
      </c>
    </row>
    <row r="484" spans="1:16" ht="13" customHeight="1" x14ac:dyDescent="0.15">
      <c r="A484">
        <v>1988</v>
      </c>
      <c r="B484">
        <v>0</v>
      </c>
      <c r="C484">
        <v>0.11824999999999999</v>
      </c>
      <c r="D484">
        <v>0.17533399999999999</v>
      </c>
      <c r="E484">
        <v>0.317602</v>
      </c>
      <c r="F484">
        <v>8.64896E-2</v>
      </c>
      <c r="G484">
        <v>0.18455299999999999</v>
      </c>
      <c r="H484">
        <v>3.6816399999999999E-2</v>
      </c>
      <c r="I484">
        <v>3.5288E-2</v>
      </c>
      <c r="J484">
        <v>1.7321900000000001E-2</v>
      </c>
      <c r="K484">
        <v>2.2338199999999999E-2</v>
      </c>
      <c r="L484">
        <v>4.2292900000000001E-3</v>
      </c>
      <c r="M484">
        <v>9.5568400000000005E-4</v>
      </c>
      <c r="N484">
        <v>3.93757E-4</v>
      </c>
      <c r="O484">
        <v>2.2402899999999999E-4</v>
      </c>
      <c r="P484">
        <v>2.0398899999999999E-4</v>
      </c>
    </row>
    <row r="485" spans="1:16" ht="13" customHeight="1" x14ac:dyDescent="0.15">
      <c r="A485">
        <v>1991</v>
      </c>
      <c r="B485">
        <v>0</v>
      </c>
      <c r="C485">
        <v>0.64966400000000002</v>
      </c>
      <c r="D485">
        <v>0.11895799999999999</v>
      </c>
      <c r="E485">
        <v>4.3221900000000001E-2</v>
      </c>
      <c r="F485">
        <v>3.8533999999999999E-2</v>
      </c>
      <c r="G485">
        <v>3.60556E-2</v>
      </c>
      <c r="H485">
        <v>5.5491600000000002E-2</v>
      </c>
      <c r="I485">
        <v>1.1543899999999999E-2</v>
      </c>
      <c r="J485">
        <v>2.6895700000000002E-2</v>
      </c>
      <c r="K485">
        <v>5.3304700000000003E-3</v>
      </c>
      <c r="L485">
        <v>6.2421999999999998E-3</v>
      </c>
      <c r="M485">
        <v>3.0537099999999998E-3</v>
      </c>
      <c r="N485">
        <v>3.9472600000000002E-3</v>
      </c>
      <c r="O485">
        <v>7.4733500000000001E-4</v>
      </c>
      <c r="P485">
        <v>3.1408500000000003E-4</v>
      </c>
    </row>
    <row r="486" spans="1:16" ht="13" customHeight="1" x14ac:dyDescent="0.15">
      <c r="A486">
        <v>1994</v>
      </c>
      <c r="B486">
        <v>0</v>
      </c>
      <c r="C486">
        <v>0.45737800000000001</v>
      </c>
      <c r="D486">
        <v>0.18087900000000001</v>
      </c>
      <c r="E486">
        <v>0.14805399999999999</v>
      </c>
      <c r="F486">
        <v>0.16752600000000001</v>
      </c>
      <c r="G486">
        <v>2.2241199999999999E-2</v>
      </c>
      <c r="H486">
        <v>6.09627E-3</v>
      </c>
      <c r="I486">
        <v>3.4654099999999999E-3</v>
      </c>
      <c r="J486">
        <v>3.3893299999999999E-3</v>
      </c>
      <c r="K486">
        <v>4.8390799999999999E-3</v>
      </c>
      <c r="L486">
        <v>1.2304499999999999E-3</v>
      </c>
      <c r="M486">
        <v>2.8316700000000001E-3</v>
      </c>
      <c r="N486">
        <v>5.6161399999999999E-4</v>
      </c>
      <c r="O486">
        <v>6.57673E-4</v>
      </c>
      <c r="P486">
        <v>8.4944700000000003E-4</v>
      </c>
    </row>
    <row r="487" spans="1:16" ht="13" customHeight="1" x14ac:dyDescent="0.15">
      <c r="A487">
        <v>1996</v>
      </c>
      <c r="B487">
        <v>0</v>
      </c>
      <c r="C487">
        <v>0.14604600000000001</v>
      </c>
      <c r="D487">
        <v>0.17418900000000001</v>
      </c>
      <c r="E487">
        <v>0.39764699999999997</v>
      </c>
      <c r="F487">
        <v>0.13544500000000001</v>
      </c>
      <c r="G487">
        <v>7.0372299999999999E-2</v>
      </c>
      <c r="H487">
        <v>5.8461600000000002E-2</v>
      </c>
      <c r="I487">
        <v>7.9652200000000003E-3</v>
      </c>
      <c r="J487">
        <v>2.1419899999999999E-3</v>
      </c>
      <c r="K487">
        <v>1.48825E-3</v>
      </c>
      <c r="L487">
        <v>1.47014E-3</v>
      </c>
      <c r="M487">
        <v>2.1056899999999999E-3</v>
      </c>
      <c r="N487">
        <v>5.3541999999999999E-4</v>
      </c>
      <c r="O487">
        <v>1.23218E-3</v>
      </c>
      <c r="P487">
        <v>9.0019399999999999E-4</v>
      </c>
    </row>
    <row r="488" spans="1:16" ht="13" customHeight="1" x14ac:dyDescent="0.15">
      <c r="A488">
        <v>1997</v>
      </c>
      <c r="B488">
        <v>0</v>
      </c>
      <c r="C488">
        <v>0.30843900000000002</v>
      </c>
      <c r="D488">
        <v>0.11966</v>
      </c>
      <c r="E488">
        <v>0.134686</v>
      </c>
      <c r="F488">
        <v>0.28726299999999999</v>
      </c>
      <c r="G488">
        <v>7.49108E-2</v>
      </c>
      <c r="H488">
        <v>4.0374699999999999E-2</v>
      </c>
      <c r="I488">
        <v>2.52835E-2</v>
      </c>
      <c r="J488">
        <v>4.0832799999999999E-3</v>
      </c>
      <c r="K488">
        <v>1.13502E-3</v>
      </c>
      <c r="L488">
        <v>8.01616E-4</v>
      </c>
      <c r="M488">
        <v>7.9186299999999996E-4</v>
      </c>
      <c r="N488">
        <v>1.13419E-3</v>
      </c>
      <c r="O488">
        <v>2.8839300000000002E-4</v>
      </c>
      <c r="P488">
        <v>1.1485600000000001E-3</v>
      </c>
    </row>
    <row r="489" spans="1:16" ht="13" customHeight="1" x14ac:dyDescent="0.15">
      <c r="A489">
        <v>1999</v>
      </c>
      <c r="B489">
        <v>0</v>
      </c>
      <c r="C489">
        <v>0.21018899999999999</v>
      </c>
      <c r="D489">
        <v>0.34025699999999998</v>
      </c>
      <c r="E489">
        <v>0.18992600000000001</v>
      </c>
      <c r="F489">
        <v>6.4921000000000006E-2</v>
      </c>
      <c r="G489">
        <v>5.3878200000000001E-2</v>
      </c>
      <c r="H489">
        <v>9.56954E-2</v>
      </c>
      <c r="I489">
        <v>2.3461099999999999E-2</v>
      </c>
      <c r="J489">
        <v>1.0933500000000001E-2</v>
      </c>
      <c r="K489">
        <v>7.7954399999999998E-3</v>
      </c>
      <c r="L489">
        <v>1.27271E-3</v>
      </c>
      <c r="M489">
        <v>3.5776299999999998E-4</v>
      </c>
      <c r="N489">
        <v>2.5267399999999999E-4</v>
      </c>
      <c r="O489">
        <v>2.4959899999999998E-4</v>
      </c>
      <c r="P489">
        <v>8.1043599999999999E-4</v>
      </c>
    </row>
    <row r="490" spans="1:16" ht="13" customHeight="1" x14ac:dyDescent="0.15">
      <c r="A490">
        <v>2000</v>
      </c>
      <c r="B490">
        <v>0</v>
      </c>
      <c r="C490">
        <v>0.247394</v>
      </c>
      <c r="D490">
        <v>0.18485799999999999</v>
      </c>
      <c r="E490">
        <v>0.27243299999999998</v>
      </c>
      <c r="F490">
        <v>0.14050599999999999</v>
      </c>
      <c r="G490">
        <v>3.9211299999999998E-2</v>
      </c>
      <c r="H490">
        <v>3.6556699999999998E-2</v>
      </c>
      <c r="I490">
        <v>4.9797399999999999E-2</v>
      </c>
      <c r="J490">
        <v>1.50566E-2</v>
      </c>
      <c r="K490">
        <v>7.1367499999999999E-3</v>
      </c>
      <c r="L490">
        <v>5.1180899999999996E-3</v>
      </c>
      <c r="M490">
        <v>8.3559499999999996E-4</v>
      </c>
      <c r="N490">
        <v>2.3488900000000001E-4</v>
      </c>
      <c r="O490">
        <v>1.65892E-4</v>
      </c>
      <c r="P490">
        <v>6.95965E-4</v>
      </c>
    </row>
    <row r="491" spans="1:16" ht="13" customHeight="1" x14ac:dyDescent="0.15">
      <c r="A491">
        <v>2002</v>
      </c>
      <c r="B491">
        <v>0</v>
      </c>
      <c r="C491">
        <v>0.42229100000000003</v>
      </c>
      <c r="D491">
        <v>0.24704300000000001</v>
      </c>
      <c r="E491">
        <v>0.120811</v>
      </c>
      <c r="F491">
        <v>7.4020000000000002E-2</v>
      </c>
      <c r="G491">
        <v>6.7868999999999999E-2</v>
      </c>
      <c r="H491">
        <v>3.09094E-2</v>
      </c>
      <c r="I491">
        <v>8.6394000000000002E-3</v>
      </c>
      <c r="J491">
        <v>7.7427399999999997E-3</v>
      </c>
      <c r="K491">
        <v>1.27697E-2</v>
      </c>
      <c r="L491">
        <v>4.0436500000000002E-3</v>
      </c>
      <c r="M491">
        <v>1.9425099999999999E-3</v>
      </c>
      <c r="N491">
        <v>1.39306E-3</v>
      </c>
      <c r="O491">
        <v>2.27436E-4</v>
      </c>
      <c r="P491">
        <v>2.9851699999999999E-4</v>
      </c>
    </row>
    <row r="492" spans="1:16" ht="13" customHeight="1" x14ac:dyDescent="0.15">
      <c r="A492">
        <v>2004</v>
      </c>
      <c r="B492">
        <v>0</v>
      </c>
      <c r="C492">
        <v>0.20080600000000001</v>
      </c>
      <c r="D492">
        <v>0.267453</v>
      </c>
      <c r="E492">
        <v>0.281557</v>
      </c>
      <c r="F492">
        <v>0.142456</v>
      </c>
      <c r="G492">
        <v>4.54064E-2</v>
      </c>
      <c r="H492">
        <v>2.24362E-2</v>
      </c>
      <c r="I492">
        <v>1.7860500000000001E-2</v>
      </c>
      <c r="J492">
        <v>8.3011500000000002E-3</v>
      </c>
      <c r="K492">
        <v>2.9743899999999999E-3</v>
      </c>
      <c r="L492">
        <v>2.87624E-3</v>
      </c>
      <c r="M492">
        <v>4.8625200000000004E-3</v>
      </c>
      <c r="N492">
        <v>1.53977E-3</v>
      </c>
      <c r="O492">
        <v>7.3968299999999999E-4</v>
      </c>
      <c r="P492">
        <v>7.3073599999999995E-4</v>
      </c>
    </row>
    <row r="493" spans="1:16" ht="13" customHeight="1" x14ac:dyDescent="0.15">
      <c r="A493">
        <v>2006</v>
      </c>
      <c r="B493">
        <v>0</v>
      </c>
      <c r="C493">
        <v>0.12535299999999999</v>
      </c>
      <c r="D493">
        <v>0.13852900000000001</v>
      </c>
      <c r="E493">
        <v>0.22647300000000001</v>
      </c>
      <c r="F493">
        <v>0.234621</v>
      </c>
      <c r="G493">
        <v>0.14651600000000001</v>
      </c>
      <c r="H493">
        <v>7.0217100000000005E-2</v>
      </c>
      <c r="I493">
        <v>2.2395999999999999E-2</v>
      </c>
      <c r="J493">
        <v>1.0946600000000001E-2</v>
      </c>
      <c r="K493">
        <v>1.07502E-2</v>
      </c>
      <c r="L493">
        <v>5.2762099999999999E-3</v>
      </c>
      <c r="M493">
        <v>1.93377E-3</v>
      </c>
      <c r="N493">
        <v>1.8699599999999999E-3</v>
      </c>
      <c r="O493">
        <v>3.16132E-3</v>
      </c>
      <c r="P493">
        <v>1.9570400000000002E-3</v>
      </c>
    </row>
    <row r="494" spans="1:16" ht="13" customHeight="1" x14ac:dyDescent="0.15">
      <c r="A494">
        <v>2007</v>
      </c>
      <c r="B494">
        <v>0</v>
      </c>
      <c r="C494">
        <v>0.35106599999999999</v>
      </c>
      <c r="D494">
        <v>0.11167299999999999</v>
      </c>
      <c r="E494">
        <v>0.11122799999999999</v>
      </c>
      <c r="F494">
        <v>0.155912</v>
      </c>
      <c r="G494">
        <v>0.115841</v>
      </c>
      <c r="H494">
        <v>8.4376199999999998E-2</v>
      </c>
      <c r="I494">
        <v>3.4405100000000001E-2</v>
      </c>
      <c r="J494">
        <v>1.3331300000000001E-2</v>
      </c>
      <c r="K494">
        <v>6.6907800000000003E-3</v>
      </c>
      <c r="L494">
        <v>6.66893E-3</v>
      </c>
      <c r="M494">
        <v>3.2731100000000001E-3</v>
      </c>
      <c r="N494">
        <v>1.19962E-3</v>
      </c>
      <c r="O494">
        <v>1.16003E-3</v>
      </c>
      <c r="P494">
        <v>3.17519E-3</v>
      </c>
    </row>
    <row r="495" spans="1:16" ht="13" customHeight="1" x14ac:dyDescent="0.15">
      <c r="A495">
        <v>2008</v>
      </c>
      <c r="B495">
        <v>0</v>
      </c>
      <c r="C495">
        <v>0.54394799999999999</v>
      </c>
      <c r="D495">
        <v>0.20409099999999999</v>
      </c>
      <c r="E495">
        <v>5.8278999999999997E-2</v>
      </c>
      <c r="F495">
        <v>5.0035499999999997E-2</v>
      </c>
      <c r="G495">
        <v>4.9290199999999999E-2</v>
      </c>
      <c r="H495">
        <v>4.14244E-2</v>
      </c>
      <c r="I495">
        <v>2.6140900000000002E-2</v>
      </c>
      <c r="J495">
        <v>1.29661E-2</v>
      </c>
      <c r="K495">
        <v>5.1595599999999997E-3</v>
      </c>
      <c r="L495">
        <v>2.6154500000000001E-3</v>
      </c>
      <c r="M495">
        <v>2.60691E-3</v>
      </c>
      <c r="N495">
        <v>1.27947E-3</v>
      </c>
      <c r="O495">
        <v>4.6893599999999998E-4</v>
      </c>
      <c r="P495">
        <v>1.69466E-3</v>
      </c>
    </row>
    <row r="496" spans="1:16" ht="13" customHeight="1" x14ac:dyDescent="0.15">
      <c r="A496">
        <v>2009</v>
      </c>
      <c r="B496">
        <v>0</v>
      </c>
      <c r="C496">
        <v>0.29369600000000001</v>
      </c>
      <c r="D496">
        <v>0.430149</v>
      </c>
      <c r="E496">
        <v>0.14706900000000001</v>
      </c>
      <c r="F496">
        <v>3.7205500000000002E-2</v>
      </c>
      <c r="G496">
        <v>2.3099000000000001E-2</v>
      </c>
      <c r="H496">
        <v>2.4429599999999999E-2</v>
      </c>
      <c r="I496">
        <v>1.7312899999999999E-2</v>
      </c>
      <c r="J496">
        <v>1.3254699999999999E-2</v>
      </c>
      <c r="K496">
        <v>6.6163599999999999E-3</v>
      </c>
      <c r="L496">
        <v>2.6750699999999999E-3</v>
      </c>
      <c r="M496">
        <v>1.35603E-3</v>
      </c>
      <c r="N496">
        <v>1.3515999999999999E-3</v>
      </c>
      <c r="O496">
        <v>6.6336599999999998E-4</v>
      </c>
      <c r="P496">
        <v>1.1217499999999999E-3</v>
      </c>
    </row>
    <row r="497" spans="1:36" ht="13" customHeight="1" x14ac:dyDescent="0.15">
      <c r="A497">
        <v>2010</v>
      </c>
      <c r="B497">
        <v>0</v>
      </c>
      <c r="C497">
        <v>0.614811</v>
      </c>
      <c r="D497">
        <v>0.129023</v>
      </c>
      <c r="E497">
        <v>0.168125</v>
      </c>
      <c r="F497">
        <v>5.1811900000000001E-2</v>
      </c>
      <c r="G497">
        <v>1.02851E-2</v>
      </c>
      <c r="H497">
        <v>7.0108799999999997E-3</v>
      </c>
      <c r="I497">
        <v>5.9532500000000002E-3</v>
      </c>
      <c r="J497">
        <v>5.06545E-3</v>
      </c>
      <c r="K497">
        <v>3.8727900000000001E-3</v>
      </c>
      <c r="L497">
        <v>1.93983E-3</v>
      </c>
      <c r="M497">
        <v>7.8429499999999996E-4</v>
      </c>
      <c r="N497">
        <v>3.9756999999999998E-4</v>
      </c>
      <c r="O497">
        <v>3.9627199999999998E-4</v>
      </c>
      <c r="P497">
        <v>5.2337300000000005E-4</v>
      </c>
    </row>
    <row r="498" spans="1:36" ht="13" customHeight="1" x14ac:dyDescent="0.15">
      <c r="A498">
        <v>2012</v>
      </c>
      <c r="B498">
        <v>0</v>
      </c>
      <c r="C498">
        <v>0.171822</v>
      </c>
      <c r="D498">
        <v>0.23314699999999999</v>
      </c>
      <c r="E498">
        <v>0.43938100000000002</v>
      </c>
      <c r="F498">
        <v>8.0008800000000005E-2</v>
      </c>
      <c r="G498">
        <v>5.0343100000000002E-2</v>
      </c>
      <c r="H498">
        <v>1.4257499999999999E-2</v>
      </c>
      <c r="I498">
        <v>2.8425E-3</v>
      </c>
      <c r="J498">
        <v>1.9167399999999999E-3</v>
      </c>
      <c r="K498">
        <v>1.9498499999999999E-3</v>
      </c>
      <c r="L498">
        <v>1.68728E-3</v>
      </c>
      <c r="M498">
        <v>1.2938699999999999E-3</v>
      </c>
      <c r="N498">
        <v>6.4808400000000005E-4</v>
      </c>
      <c r="O498">
        <v>2.6202799999999998E-4</v>
      </c>
      <c r="P498">
        <v>4.4007300000000003E-4</v>
      </c>
    </row>
    <row r="499" spans="1:36" ht="13" customHeight="1" x14ac:dyDescent="0.15">
      <c r="A499">
        <v>2014</v>
      </c>
      <c r="B499">
        <v>0</v>
      </c>
      <c r="C499">
        <v>0.60579400000000005</v>
      </c>
      <c r="D499">
        <v>8.7000800000000003E-2</v>
      </c>
      <c r="E499">
        <v>7.7964099999999995E-2</v>
      </c>
      <c r="F499">
        <v>8.50191E-2</v>
      </c>
      <c r="G499">
        <v>0.111447</v>
      </c>
      <c r="H499">
        <v>1.8691300000000001E-2</v>
      </c>
      <c r="I499">
        <v>9.4123399999999999E-3</v>
      </c>
      <c r="J499">
        <v>2.4265799999999998E-3</v>
      </c>
      <c r="K499">
        <v>5.7127299999999996E-4</v>
      </c>
      <c r="L499">
        <v>3.8975799999999998E-4</v>
      </c>
      <c r="M499">
        <v>3.9848500000000002E-4</v>
      </c>
      <c r="N499">
        <v>3.4482399999999998E-4</v>
      </c>
      <c r="O499">
        <v>2.6442499999999999E-4</v>
      </c>
      <c r="P499">
        <v>2.7593399999999998E-4</v>
      </c>
    </row>
    <row r="500" spans="1:36" ht="13" customHeight="1" x14ac:dyDescent="0.15">
      <c r="A500">
        <v>2016</v>
      </c>
      <c r="B500">
        <v>0</v>
      </c>
      <c r="C500">
        <v>0.18871399999999999</v>
      </c>
      <c r="D500">
        <v>0.26739200000000002</v>
      </c>
      <c r="E500">
        <v>0.393376</v>
      </c>
      <c r="F500">
        <v>4.7548600000000003E-2</v>
      </c>
      <c r="G500">
        <v>2.94249E-2</v>
      </c>
      <c r="H500">
        <v>2.7460399999999999E-2</v>
      </c>
      <c r="I500">
        <v>3.5632700000000003E-2</v>
      </c>
      <c r="J500">
        <v>5.61036E-3</v>
      </c>
      <c r="K500">
        <v>3.3219E-3</v>
      </c>
      <c r="L500">
        <v>7.9511100000000004E-4</v>
      </c>
      <c r="M500">
        <v>1.8442999999999999E-4</v>
      </c>
      <c r="N500" s="1">
        <v>1.2583000000000001E-4</v>
      </c>
      <c r="O500">
        <v>1.2864699999999999E-4</v>
      </c>
      <c r="P500">
        <v>2.8577300000000002E-4</v>
      </c>
    </row>
    <row r="501" spans="1:36" ht="13" customHeight="1" x14ac:dyDescent="0.15">
      <c r="A501" t="s">
        <v>170</v>
      </c>
      <c r="B501" t="s">
        <v>132</v>
      </c>
      <c r="C501" t="s">
        <v>171</v>
      </c>
    </row>
    <row r="502" spans="1:36" ht="13" customHeight="1" x14ac:dyDescent="0.15">
      <c r="B502">
        <v>6310.33</v>
      </c>
      <c r="C502">
        <v>6929.87</v>
      </c>
      <c r="D502">
        <v>5254.46</v>
      </c>
      <c r="E502">
        <v>6348.25</v>
      </c>
      <c r="F502">
        <v>5121.55</v>
      </c>
      <c r="G502">
        <v>7347.19</v>
      </c>
      <c r="H502">
        <v>8657.6</v>
      </c>
      <c r="I502">
        <v>7786.73</v>
      </c>
      <c r="J502">
        <v>5958.58</v>
      </c>
      <c r="K502">
        <v>4226.82</v>
      </c>
      <c r="L502">
        <v>3952.03</v>
      </c>
      <c r="M502">
        <v>4540.47</v>
      </c>
      <c r="N502">
        <v>4557.5</v>
      </c>
      <c r="O502">
        <v>3458.3</v>
      </c>
      <c r="P502">
        <v>2700.03</v>
      </c>
      <c r="Q502">
        <v>3356.55</v>
      </c>
      <c r="R502">
        <v>2952.98</v>
      </c>
      <c r="S502">
        <v>4515.58</v>
      </c>
      <c r="T502">
        <v>4539.2</v>
      </c>
      <c r="U502">
        <v>3840.49</v>
      </c>
      <c r="V502">
        <v>3759.51</v>
      </c>
      <c r="W502">
        <v>2772.96</v>
      </c>
      <c r="X502">
        <v>3243.85</v>
      </c>
      <c r="Y502">
        <v>4133.6499999999996</v>
      </c>
      <c r="Z502">
        <v>2635.86</v>
      </c>
      <c r="AA502">
        <v>3214.05</v>
      </c>
      <c r="AB502">
        <v>2429.92</v>
      </c>
      <c r="AC502">
        <v>2174.61</v>
      </c>
      <c r="AD502">
        <v>3132.32</v>
      </c>
      <c r="AE502">
        <v>2291.08</v>
      </c>
      <c r="AF502">
        <v>3659.74</v>
      </c>
      <c r="AG502">
        <v>4702.3999999999996</v>
      </c>
      <c r="AH502">
        <v>5560.98</v>
      </c>
      <c r="AI502">
        <v>5572.81</v>
      </c>
      <c r="AJ502">
        <v>5483.53</v>
      </c>
    </row>
    <row r="503" spans="1:36" ht="13" customHeight="1" x14ac:dyDescent="0.15">
      <c r="A503" t="s">
        <v>172</v>
      </c>
      <c r="B503" t="s">
        <v>132</v>
      </c>
      <c r="C503" t="s">
        <v>171</v>
      </c>
    </row>
    <row r="504" spans="1:36" ht="13" customHeight="1" x14ac:dyDescent="0.15">
      <c r="B504">
        <v>12818.7</v>
      </c>
      <c r="C504">
        <v>15926.6</v>
      </c>
      <c r="D504">
        <v>10877.4</v>
      </c>
      <c r="E504">
        <v>15166.2</v>
      </c>
      <c r="F504">
        <v>9997.84</v>
      </c>
      <c r="G504">
        <v>12858.9</v>
      </c>
      <c r="H504">
        <v>18892.400000000001</v>
      </c>
      <c r="I504">
        <v>15757.8</v>
      </c>
      <c r="J504">
        <v>15785.4</v>
      </c>
      <c r="K504">
        <v>8479.68</v>
      </c>
      <c r="L504">
        <v>8325.0300000000007</v>
      </c>
      <c r="M504">
        <v>10213.1</v>
      </c>
      <c r="N504">
        <v>10042.799999999999</v>
      </c>
      <c r="O504">
        <v>13415.1</v>
      </c>
      <c r="P504">
        <v>6213.77</v>
      </c>
      <c r="Q504">
        <v>8496.35</v>
      </c>
      <c r="R504">
        <v>6296.36</v>
      </c>
      <c r="S504">
        <v>9138.4500000000007</v>
      </c>
      <c r="T504">
        <v>11305.7</v>
      </c>
      <c r="U504">
        <v>8144.45</v>
      </c>
      <c r="V504">
        <v>9537.39</v>
      </c>
      <c r="W504">
        <v>15526.5</v>
      </c>
      <c r="X504">
        <v>6744.19</v>
      </c>
      <c r="Y504">
        <v>10345.6</v>
      </c>
      <c r="Z504">
        <v>5056.71</v>
      </c>
      <c r="AA504">
        <v>7357.24</v>
      </c>
      <c r="AB504">
        <v>4636.5</v>
      </c>
      <c r="AC504">
        <v>3648.9</v>
      </c>
      <c r="AD504">
        <v>7033.5</v>
      </c>
      <c r="AE504">
        <v>4950.78</v>
      </c>
      <c r="AF504">
        <v>7317.35</v>
      </c>
      <c r="AG504">
        <v>9055.2000000000007</v>
      </c>
      <c r="AH504">
        <v>14027.1</v>
      </c>
      <c r="AI504">
        <v>13548.4</v>
      </c>
      <c r="AJ504">
        <v>10626</v>
      </c>
    </row>
    <row r="505" spans="1:36" ht="13" customHeight="1" x14ac:dyDescent="0.15">
      <c r="A505" t="s">
        <v>170</v>
      </c>
      <c r="B505" t="s">
        <v>163</v>
      </c>
      <c r="C505" t="s">
        <v>132</v>
      </c>
      <c r="D505" t="s">
        <v>171</v>
      </c>
    </row>
    <row r="506" spans="1:36" ht="13" customHeight="1" x14ac:dyDescent="0.15">
      <c r="B506">
        <v>12241.7</v>
      </c>
      <c r="C506">
        <v>10850</v>
      </c>
      <c r="D506">
        <v>10486.4</v>
      </c>
      <c r="E506">
        <v>7497.98</v>
      </c>
      <c r="F506">
        <v>8498.82</v>
      </c>
      <c r="G506">
        <v>11604.5</v>
      </c>
      <c r="H506">
        <v>8449.0300000000007</v>
      </c>
      <c r="I506">
        <v>8385.24</v>
      </c>
      <c r="J506">
        <v>8346.23</v>
      </c>
      <c r="K506">
        <v>7707.07</v>
      </c>
      <c r="L506">
        <v>9644.23</v>
      </c>
      <c r="M506">
        <v>8255.52</v>
      </c>
      <c r="N506">
        <v>4366.5</v>
      </c>
      <c r="O506">
        <v>3938.44</v>
      </c>
      <c r="P506">
        <v>5496.39</v>
      </c>
      <c r="Q506">
        <v>5643.1</v>
      </c>
      <c r="R506">
        <v>10496.6</v>
      </c>
      <c r="S506">
        <v>8886.2800000000007</v>
      </c>
      <c r="T506">
        <v>11884.7</v>
      </c>
      <c r="U506">
        <v>10920.5</v>
      </c>
    </row>
    <row r="507" spans="1:36" ht="13" customHeight="1" x14ac:dyDescent="0.15">
      <c r="A507" t="s">
        <v>172</v>
      </c>
      <c r="B507" t="s">
        <v>163</v>
      </c>
      <c r="C507" t="s">
        <v>132</v>
      </c>
      <c r="D507" t="s">
        <v>171</v>
      </c>
    </row>
    <row r="508" spans="1:36" ht="13" customHeight="1" x14ac:dyDescent="0.15">
      <c r="B508">
        <v>46314</v>
      </c>
      <c r="C508">
        <v>17805</v>
      </c>
      <c r="D508">
        <v>14965</v>
      </c>
      <c r="E508">
        <v>12280</v>
      </c>
      <c r="F508">
        <v>7729.52</v>
      </c>
      <c r="G508">
        <v>9129.6200000000008</v>
      </c>
      <c r="H508">
        <v>5552.9</v>
      </c>
      <c r="I508">
        <v>6319.49</v>
      </c>
      <c r="J508">
        <v>9488.7900000000009</v>
      </c>
      <c r="K508">
        <v>7371.83</v>
      </c>
      <c r="L508">
        <v>11560.4</v>
      </c>
      <c r="M508">
        <v>6818.74</v>
      </c>
      <c r="N508">
        <v>2940.09</v>
      </c>
      <c r="O508">
        <v>3618.12</v>
      </c>
      <c r="P508">
        <v>4667.5</v>
      </c>
      <c r="Q508">
        <v>2869.71</v>
      </c>
      <c r="R508">
        <v>10023</v>
      </c>
      <c r="S508">
        <v>6600.4</v>
      </c>
      <c r="T508">
        <v>12945.2</v>
      </c>
      <c r="U508">
        <v>10692.3</v>
      </c>
    </row>
    <row r="509" spans="1:36" ht="13" customHeight="1" x14ac:dyDescent="0.15">
      <c r="A509" t="s">
        <v>703</v>
      </c>
      <c r="B509" t="s">
        <v>802</v>
      </c>
      <c r="C509" t="s">
        <v>175</v>
      </c>
    </row>
    <row r="510" spans="1:36" ht="13" customHeight="1" x14ac:dyDescent="0.15">
      <c r="B510">
        <v>2006</v>
      </c>
      <c r="C510">
        <v>2007</v>
      </c>
      <c r="D510">
        <v>2008</v>
      </c>
      <c r="E510">
        <v>2009</v>
      </c>
      <c r="F510">
        <v>2010</v>
      </c>
      <c r="G510">
        <v>2011</v>
      </c>
      <c r="H510">
        <v>2012</v>
      </c>
      <c r="I510">
        <v>2013</v>
      </c>
      <c r="J510">
        <v>2014</v>
      </c>
      <c r="K510">
        <v>2015</v>
      </c>
    </row>
    <row r="511" spans="1:36" ht="13" customHeight="1" x14ac:dyDescent="0.15">
      <c r="A511" t="s">
        <v>170</v>
      </c>
      <c r="B511" t="s">
        <v>802</v>
      </c>
      <c r="C511" t="s">
        <v>175</v>
      </c>
    </row>
    <row r="512" spans="1:36" ht="13" customHeight="1" x14ac:dyDescent="0.15">
      <c r="B512">
        <v>0.48730600000000002</v>
      </c>
      <c r="C512">
        <v>0.40936899999999998</v>
      </c>
      <c r="D512">
        <v>0.35565999999999998</v>
      </c>
      <c r="E512">
        <v>0.43468600000000002</v>
      </c>
      <c r="F512">
        <v>0.60988200000000004</v>
      </c>
      <c r="G512">
        <v>0.64952799999999999</v>
      </c>
      <c r="H512">
        <v>0.67379599999999995</v>
      </c>
      <c r="I512">
        <v>0.74701200000000001</v>
      </c>
      <c r="J512">
        <v>0.80031099999999999</v>
      </c>
      <c r="K512">
        <v>0.75272700000000003</v>
      </c>
    </row>
    <row r="513" spans="1:54" ht="13" customHeight="1" x14ac:dyDescent="0.15">
      <c r="A513" t="s">
        <v>172</v>
      </c>
      <c r="B513" t="s">
        <v>802</v>
      </c>
      <c r="C513" t="s">
        <v>175</v>
      </c>
      <c r="D513" t="s">
        <v>175</v>
      </c>
    </row>
    <row r="514" spans="1:54" ht="13" customHeight="1" x14ac:dyDescent="0.15">
      <c r="B514">
        <v>0.55495000000000005</v>
      </c>
      <c r="C514">
        <v>0.63787799999999995</v>
      </c>
      <c r="D514">
        <v>0.31631999999999999</v>
      </c>
      <c r="E514">
        <v>0.284835</v>
      </c>
      <c r="F514">
        <v>0.67869199999999996</v>
      </c>
      <c r="G514">
        <v>0.54338600000000004</v>
      </c>
      <c r="H514">
        <v>0.66061400000000003</v>
      </c>
      <c r="I514">
        <v>0.69571799999999995</v>
      </c>
      <c r="J514">
        <v>0.89975799999999995</v>
      </c>
      <c r="K514">
        <v>0.95322899999999999</v>
      </c>
    </row>
    <row r="516" spans="1:54" ht="13" customHeight="1" x14ac:dyDescent="0.15">
      <c r="A516" t="s">
        <v>172</v>
      </c>
      <c r="B516" t="s">
        <v>293</v>
      </c>
      <c r="C516" t="s">
        <v>292</v>
      </c>
    </row>
    <row r="517" spans="1:54" ht="13" customHeight="1" x14ac:dyDescent="0.15">
      <c r="B517">
        <v>2816.44</v>
      </c>
      <c r="C517">
        <v>3473.58</v>
      </c>
      <c r="D517">
        <v>3802.17</v>
      </c>
      <c r="E517">
        <v>5257.3</v>
      </c>
      <c r="F517">
        <v>6712.47</v>
      </c>
      <c r="G517">
        <v>5679.81</v>
      </c>
      <c r="H517">
        <v>5257.33</v>
      </c>
      <c r="I517">
        <v>5726.74</v>
      </c>
      <c r="J517">
        <v>4787.92</v>
      </c>
      <c r="K517">
        <v>4740.99</v>
      </c>
      <c r="L517">
        <v>4271.57</v>
      </c>
      <c r="M517">
        <v>4318.5200000000004</v>
      </c>
    </row>
    <row r="518" spans="1:54" ht="13" customHeight="1" x14ac:dyDescent="0.15">
      <c r="A518" t="s">
        <v>209</v>
      </c>
      <c r="B518" t="s">
        <v>293</v>
      </c>
      <c r="C518" t="s">
        <v>292</v>
      </c>
    </row>
    <row r="519" spans="1:54" ht="13" customHeight="1" x14ac:dyDescent="0.15">
      <c r="B519">
        <v>2474.5500000000002</v>
      </c>
      <c r="C519">
        <v>3011.46</v>
      </c>
      <c r="D519">
        <v>3810.76</v>
      </c>
      <c r="E519">
        <v>4936.08</v>
      </c>
      <c r="F519">
        <v>5806.02</v>
      </c>
      <c r="G519">
        <v>6008.62</v>
      </c>
      <c r="H519">
        <v>6102.19</v>
      </c>
      <c r="I519">
        <v>6025.43</v>
      </c>
      <c r="J519">
        <v>5165.8</v>
      </c>
      <c r="K519">
        <v>4478.78</v>
      </c>
      <c r="L519">
        <v>4513.84</v>
      </c>
      <c r="M519">
        <v>4311.6899999999996</v>
      </c>
    </row>
    <row r="521" spans="1:54" ht="13" customHeight="1" x14ac:dyDescent="0.15">
      <c r="A521" t="s">
        <v>129</v>
      </c>
    </row>
    <row r="522" spans="1:54" ht="13" customHeight="1" x14ac:dyDescent="0.15">
      <c r="B522">
        <v>0.121397</v>
      </c>
      <c r="C522">
        <v>0.119528</v>
      </c>
      <c r="D522">
        <v>0.111264</v>
      </c>
      <c r="E522">
        <v>0.189501</v>
      </c>
      <c r="F522">
        <v>0.18782399999999999</v>
      </c>
      <c r="G522">
        <v>0.19560900000000001</v>
      </c>
      <c r="H522">
        <v>0.28169300000000003</v>
      </c>
      <c r="I522">
        <v>0.39910400000000001</v>
      </c>
      <c r="J522">
        <v>0.44592100000000001</v>
      </c>
      <c r="K522">
        <v>0.506131</v>
      </c>
      <c r="L522">
        <v>0.53568700000000002</v>
      </c>
      <c r="M522">
        <v>0.44261400000000001</v>
      </c>
      <c r="N522">
        <v>0.393787</v>
      </c>
      <c r="O522">
        <v>0.346804</v>
      </c>
      <c r="P522">
        <v>0.37563000000000002</v>
      </c>
      <c r="Q522">
        <v>0.388853</v>
      </c>
      <c r="R522">
        <v>0.35990699999999998</v>
      </c>
      <c r="S522">
        <v>0.265708</v>
      </c>
      <c r="T522">
        <v>0.178954</v>
      </c>
      <c r="U522">
        <v>0.15434400000000001</v>
      </c>
      <c r="V522">
        <v>0.15345800000000001</v>
      </c>
      <c r="W522">
        <v>0.15532099999999999</v>
      </c>
      <c r="X522">
        <v>0.144151</v>
      </c>
      <c r="Y522">
        <v>0.105296</v>
      </c>
      <c r="Z522">
        <v>0.14027000000000001</v>
      </c>
      <c r="AA522">
        <v>0.142732</v>
      </c>
      <c r="AB522">
        <v>0.206068</v>
      </c>
      <c r="AC522">
        <v>0.237236</v>
      </c>
      <c r="AD522">
        <v>0.31678600000000001</v>
      </c>
      <c r="AE522">
        <v>0.21287400000000001</v>
      </c>
      <c r="AF522">
        <v>0.198577</v>
      </c>
      <c r="AG522">
        <v>0.19339100000000001</v>
      </c>
      <c r="AH522">
        <v>0.223806</v>
      </c>
      <c r="AI522">
        <v>0.226824</v>
      </c>
      <c r="AJ522">
        <v>0.19325800000000001</v>
      </c>
      <c r="AK522">
        <v>0.142175</v>
      </c>
      <c r="AL522">
        <v>0.15964700000000001</v>
      </c>
      <c r="AM522">
        <v>0.18833</v>
      </c>
      <c r="AN522">
        <v>0.21872900000000001</v>
      </c>
      <c r="AO522">
        <v>0.22555</v>
      </c>
      <c r="AP522">
        <v>0.19995299999999999</v>
      </c>
      <c r="AQ522">
        <v>0.18650900000000001</v>
      </c>
      <c r="AR522">
        <v>0.22839100000000001</v>
      </c>
      <c r="AS522">
        <v>0.24020900000000001</v>
      </c>
      <c r="AT522">
        <v>0.25801099999999999</v>
      </c>
      <c r="AU522">
        <v>0.244973</v>
      </c>
      <c r="AV522">
        <v>0.201686</v>
      </c>
      <c r="AW522">
        <v>0.27127899999999999</v>
      </c>
      <c r="AX522">
        <v>0.261183</v>
      </c>
      <c r="AY522">
        <v>0.244147</v>
      </c>
      <c r="AZ522">
        <v>0.22011500000000001</v>
      </c>
      <c r="BA522">
        <v>0.20865700000000001</v>
      </c>
      <c r="BB522">
        <v>0.19448199999999999</v>
      </c>
    </row>
    <row r="523" spans="1:54" ht="13" customHeight="1" x14ac:dyDescent="0.15">
      <c r="A523" t="s">
        <v>256</v>
      </c>
      <c r="B523" t="s">
        <v>257</v>
      </c>
    </row>
    <row r="524" spans="1:54" ht="13" customHeight="1" x14ac:dyDescent="0.15">
      <c r="B524">
        <v>0.9</v>
      </c>
      <c r="C524">
        <v>0.45</v>
      </c>
      <c r="D524">
        <v>0.3</v>
      </c>
      <c r="E524">
        <v>0.3</v>
      </c>
      <c r="F524">
        <v>0.3</v>
      </c>
      <c r="G524">
        <v>0.3</v>
      </c>
      <c r="H524">
        <v>0.3</v>
      </c>
      <c r="I524">
        <v>0.3</v>
      </c>
      <c r="J524">
        <v>0.3</v>
      </c>
      <c r="K524">
        <v>0.3</v>
      </c>
      <c r="L524">
        <v>0.3</v>
      </c>
      <c r="M524">
        <v>0.3</v>
      </c>
      <c r="N524">
        <v>0.3</v>
      </c>
      <c r="O524">
        <v>0.3</v>
      </c>
      <c r="P524">
        <v>0.3</v>
      </c>
    </row>
    <row r="525" spans="1:54" ht="13" customHeight="1" x14ac:dyDescent="0.15">
      <c r="A525" t="s">
        <v>155</v>
      </c>
      <c r="B525" t="s">
        <v>158</v>
      </c>
      <c r="C525" t="s">
        <v>159</v>
      </c>
      <c r="D525" t="s">
        <v>173</v>
      </c>
    </row>
    <row r="526" spans="1:54" ht="13" customHeight="1" x14ac:dyDescent="0.15">
      <c r="A526">
        <v>1964</v>
      </c>
      <c r="B526">
        <v>9.1522500000000004</v>
      </c>
      <c r="C526">
        <v>37.971800000000002</v>
      </c>
      <c r="D526">
        <v>85.685699999999997</v>
      </c>
      <c r="E526">
        <v>62.307200000000002</v>
      </c>
      <c r="F526">
        <v>27.206900000000001</v>
      </c>
      <c r="G526">
        <v>52.562399999999997</v>
      </c>
      <c r="H526">
        <v>22.9374</v>
      </c>
      <c r="I526">
        <v>7.0665899999999997</v>
      </c>
      <c r="J526">
        <v>4.3121400000000003</v>
      </c>
      <c r="K526">
        <v>4.2115600000000004</v>
      </c>
      <c r="L526">
        <v>4.20113</v>
      </c>
      <c r="M526">
        <v>4.1929299999999996</v>
      </c>
      <c r="N526">
        <v>4.18649</v>
      </c>
      <c r="O526">
        <v>4.1800800000000002</v>
      </c>
      <c r="P526">
        <v>4.1724500000000004</v>
      </c>
    </row>
    <row r="527" spans="1:54" ht="13" customHeight="1" x14ac:dyDescent="0.15">
      <c r="A527">
        <v>1965</v>
      </c>
      <c r="B527">
        <v>29.148700000000002</v>
      </c>
      <c r="C527">
        <v>29.952000000000002</v>
      </c>
      <c r="D527">
        <v>98.600700000000003</v>
      </c>
      <c r="E527">
        <v>213.58</v>
      </c>
      <c r="F527">
        <v>39.643700000000003</v>
      </c>
      <c r="G527">
        <v>16.379300000000001</v>
      </c>
      <c r="H527">
        <v>30.664400000000001</v>
      </c>
      <c r="I527">
        <v>13.4534</v>
      </c>
      <c r="J527">
        <v>4.2221700000000002</v>
      </c>
      <c r="K527">
        <v>2.6247199999999999</v>
      </c>
      <c r="L527">
        <v>2.6561400000000002</v>
      </c>
      <c r="M527">
        <v>2.6495600000000001</v>
      </c>
      <c r="N527">
        <v>2.64439</v>
      </c>
      <c r="O527">
        <v>2.6403300000000001</v>
      </c>
      <c r="P527">
        <v>5.2677699999999996</v>
      </c>
    </row>
    <row r="528" spans="1:54" ht="13" customHeight="1" x14ac:dyDescent="0.15">
      <c r="A528">
        <v>1966</v>
      </c>
      <c r="B528">
        <v>20.965800000000002</v>
      </c>
      <c r="C528">
        <v>101.703</v>
      </c>
      <c r="D528">
        <v>80.943100000000001</v>
      </c>
      <c r="E528">
        <v>191.86500000000001</v>
      </c>
      <c r="F528">
        <v>119.05800000000001</v>
      </c>
      <c r="G528">
        <v>21.91</v>
      </c>
      <c r="H528">
        <v>9.2132299999999994</v>
      </c>
      <c r="I528">
        <v>17.5198</v>
      </c>
      <c r="J528">
        <v>7.8109799999999998</v>
      </c>
      <c r="K528">
        <v>2.4929999999999999</v>
      </c>
      <c r="L528">
        <v>1.5969899999999999</v>
      </c>
      <c r="M528">
        <v>1.6161099999999999</v>
      </c>
      <c r="N528">
        <v>1.6121000000000001</v>
      </c>
      <c r="O528">
        <v>1.6089599999999999</v>
      </c>
      <c r="P528">
        <v>4.8116199999999996</v>
      </c>
    </row>
    <row r="529" spans="1:16" ht="13" customHeight="1" x14ac:dyDescent="0.15">
      <c r="A529">
        <v>1967</v>
      </c>
      <c r="B529">
        <v>64.870500000000007</v>
      </c>
      <c r="C529">
        <v>140.28</v>
      </c>
      <c r="D529">
        <v>555.23</v>
      </c>
      <c r="E529">
        <v>216.09899999999999</v>
      </c>
      <c r="F529">
        <v>181.364</v>
      </c>
      <c r="G529">
        <v>113.27800000000001</v>
      </c>
      <c r="H529">
        <v>21.7288</v>
      </c>
      <c r="I529">
        <v>9.3831900000000008</v>
      </c>
      <c r="J529">
        <v>18.274999999999999</v>
      </c>
      <c r="K529">
        <v>8.3174499999999991</v>
      </c>
      <c r="L529">
        <v>2.7131400000000001</v>
      </c>
      <c r="M529">
        <v>1.7380100000000001</v>
      </c>
      <c r="N529">
        <v>1.7588200000000001</v>
      </c>
      <c r="O529">
        <v>1.7544599999999999</v>
      </c>
      <c r="P529">
        <v>6.9875400000000001</v>
      </c>
    </row>
    <row r="530" spans="1:16" ht="13" customHeight="1" x14ac:dyDescent="0.15">
      <c r="A530">
        <v>1968</v>
      </c>
      <c r="B530">
        <v>64.183899999999994</v>
      </c>
      <c r="C530">
        <v>262.05399999999997</v>
      </c>
      <c r="D530">
        <v>397.51799999999997</v>
      </c>
      <c r="E530">
        <v>655.08000000000004</v>
      </c>
      <c r="F530">
        <v>124.22799999999999</v>
      </c>
      <c r="G530">
        <v>100.741</v>
      </c>
      <c r="H530">
        <v>64.001900000000006</v>
      </c>
      <c r="I530">
        <v>12.418699999999999</v>
      </c>
      <c r="J530">
        <v>5.4389500000000002</v>
      </c>
      <c r="K530">
        <v>10.750999999999999</v>
      </c>
      <c r="L530">
        <v>4.9378599999999997</v>
      </c>
      <c r="M530">
        <v>1.6107199999999999</v>
      </c>
      <c r="N530">
        <v>1.0318099999999999</v>
      </c>
      <c r="O530">
        <v>1.04416</v>
      </c>
      <c r="P530">
        <v>5.1899100000000002</v>
      </c>
    </row>
    <row r="531" spans="1:16" ht="13" customHeight="1" x14ac:dyDescent="0.15">
      <c r="A531">
        <v>1969</v>
      </c>
      <c r="B531">
        <v>90.882199999999997</v>
      </c>
      <c r="C531">
        <v>255.536</v>
      </c>
      <c r="D531">
        <v>805.47299999999996</v>
      </c>
      <c r="E531">
        <v>444.33199999999999</v>
      </c>
      <c r="F531">
        <v>360.87700000000001</v>
      </c>
      <c r="G531">
        <v>69.408100000000005</v>
      </c>
      <c r="H531">
        <v>58.130499999999998</v>
      </c>
      <c r="I531">
        <v>38.915900000000001</v>
      </c>
      <c r="J531">
        <v>7.7023599999999997</v>
      </c>
      <c r="K531">
        <v>3.44746</v>
      </c>
      <c r="L531">
        <v>6.8146599999999999</v>
      </c>
      <c r="M531">
        <v>3.1299299999999999</v>
      </c>
      <c r="N531">
        <v>1.02098</v>
      </c>
      <c r="O531">
        <v>0.65402800000000005</v>
      </c>
      <c r="P531">
        <v>3.9515500000000001</v>
      </c>
    </row>
    <row r="532" spans="1:16" ht="13" customHeight="1" x14ac:dyDescent="0.15">
      <c r="A532">
        <v>1970</v>
      </c>
      <c r="B532">
        <v>140.929</v>
      </c>
      <c r="C532">
        <v>486.84899999999999</v>
      </c>
      <c r="D532">
        <v>933.79499999999996</v>
      </c>
      <c r="E532">
        <v>799.71400000000006</v>
      </c>
      <c r="F532">
        <v>318.20800000000003</v>
      </c>
      <c r="G532">
        <v>264.79599999999999</v>
      </c>
      <c r="H532">
        <v>54.448599999999999</v>
      </c>
      <c r="I532">
        <v>49.7438</v>
      </c>
      <c r="J532">
        <v>32.911700000000003</v>
      </c>
      <c r="K532">
        <v>6.7479199999999997</v>
      </c>
      <c r="L532">
        <v>2.9448799999999999</v>
      </c>
      <c r="M532">
        <v>5.8212000000000002</v>
      </c>
      <c r="N532">
        <v>2.6736399999999998</v>
      </c>
      <c r="O532">
        <v>0.87213799999999997</v>
      </c>
      <c r="P532">
        <v>3.9341599999999999</v>
      </c>
    </row>
    <row r="533" spans="1:16" ht="13" customHeight="1" x14ac:dyDescent="0.15">
      <c r="A533">
        <v>1971</v>
      </c>
      <c r="B533">
        <v>123.002</v>
      </c>
      <c r="C533">
        <v>616.58299999999997</v>
      </c>
      <c r="D533">
        <v>1337.54</v>
      </c>
      <c r="E533">
        <v>831.65</v>
      </c>
      <c r="F533">
        <v>663.553</v>
      </c>
      <c r="G533">
        <v>234.16800000000001</v>
      </c>
      <c r="H533">
        <v>197.83600000000001</v>
      </c>
      <c r="I533">
        <v>43.310400000000001</v>
      </c>
      <c r="J533">
        <v>37.0488</v>
      </c>
      <c r="K533">
        <v>24.875900000000001</v>
      </c>
      <c r="L533">
        <v>4.7205199999999996</v>
      </c>
      <c r="M533">
        <v>2.0600900000000002</v>
      </c>
      <c r="N533">
        <v>4.0722300000000002</v>
      </c>
      <c r="O533">
        <v>1.87035</v>
      </c>
      <c r="P533">
        <v>3.36225</v>
      </c>
    </row>
    <row r="534" spans="1:16" ht="13" customHeight="1" x14ac:dyDescent="0.15">
      <c r="A534">
        <v>1972</v>
      </c>
      <c r="B534">
        <v>90.705699999999993</v>
      </c>
      <c r="C534">
        <v>515.62099999999998</v>
      </c>
      <c r="D534">
        <v>1428.28</v>
      </c>
      <c r="E534">
        <v>1061.51</v>
      </c>
      <c r="F534">
        <v>536.00099999999998</v>
      </c>
      <c r="G534">
        <v>361.04</v>
      </c>
      <c r="H534">
        <v>130.874</v>
      </c>
      <c r="I534">
        <v>120.88</v>
      </c>
      <c r="J534">
        <v>23.3125</v>
      </c>
      <c r="K534">
        <v>19.2926</v>
      </c>
      <c r="L534">
        <v>11.6152</v>
      </c>
      <c r="M534">
        <v>2.2041300000000001</v>
      </c>
      <c r="N534">
        <v>0.96190900000000001</v>
      </c>
      <c r="O534">
        <v>1.90143</v>
      </c>
      <c r="P534">
        <v>2.4432299999999998</v>
      </c>
    </row>
    <row r="535" spans="1:16" ht="13" customHeight="1" x14ac:dyDescent="0.15">
      <c r="A535">
        <v>1973</v>
      </c>
      <c r="B535">
        <v>181.126</v>
      </c>
      <c r="C535">
        <v>528.97900000000004</v>
      </c>
      <c r="D535">
        <v>1002.94</v>
      </c>
      <c r="E535">
        <v>992.149</v>
      </c>
      <c r="F535">
        <v>612.28800000000001</v>
      </c>
      <c r="G535">
        <v>295.56900000000002</v>
      </c>
      <c r="H535">
        <v>199.24100000000001</v>
      </c>
      <c r="I535">
        <v>77.401499999999999</v>
      </c>
      <c r="J535">
        <v>63.289200000000001</v>
      </c>
      <c r="K535">
        <v>11.297800000000001</v>
      </c>
      <c r="L535">
        <v>8.6148199999999999</v>
      </c>
      <c r="M535">
        <v>5.1865800000000002</v>
      </c>
      <c r="N535">
        <v>0.98421999999999998</v>
      </c>
      <c r="O535">
        <v>0.42952600000000002</v>
      </c>
      <c r="P535">
        <v>1.94004</v>
      </c>
    </row>
    <row r="536" spans="1:16" ht="13" customHeight="1" x14ac:dyDescent="0.15">
      <c r="A536">
        <v>1974</v>
      </c>
      <c r="B536">
        <v>116.715</v>
      </c>
      <c r="C536">
        <v>1451.23</v>
      </c>
      <c r="D536">
        <v>967.34199999999998</v>
      </c>
      <c r="E536">
        <v>594.68899999999996</v>
      </c>
      <c r="F536">
        <v>484.26</v>
      </c>
      <c r="G536">
        <v>286.04700000000003</v>
      </c>
      <c r="H536">
        <v>137.34399999999999</v>
      </c>
      <c r="I536">
        <v>98.896699999999996</v>
      </c>
      <c r="J536">
        <v>35.296599999999998</v>
      </c>
      <c r="K536">
        <v>26.484500000000001</v>
      </c>
      <c r="L536">
        <v>4.5203800000000003</v>
      </c>
      <c r="M536">
        <v>3.4469099999999999</v>
      </c>
      <c r="N536">
        <v>2.0752199999999998</v>
      </c>
      <c r="O536">
        <v>0.39379999999999998</v>
      </c>
      <c r="P536">
        <v>0.94809600000000005</v>
      </c>
    </row>
    <row r="537" spans="1:16" ht="13" customHeight="1" x14ac:dyDescent="0.15">
      <c r="A537">
        <v>1975</v>
      </c>
      <c r="B537">
        <v>66.810299999999998</v>
      </c>
      <c r="C537">
        <v>744.85400000000004</v>
      </c>
      <c r="D537">
        <v>1958.72</v>
      </c>
      <c r="E537">
        <v>378.06799999999998</v>
      </c>
      <c r="F537">
        <v>223.81700000000001</v>
      </c>
      <c r="G537">
        <v>179.03899999999999</v>
      </c>
      <c r="H537">
        <v>105.931</v>
      </c>
      <c r="I537">
        <v>52.935600000000001</v>
      </c>
      <c r="J537">
        <v>36.404699999999998</v>
      </c>
      <c r="K537">
        <v>11.872</v>
      </c>
      <c r="L537">
        <v>8.8493499999999994</v>
      </c>
      <c r="M537">
        <v>1.51041</v>
      </c>
      <c r="N537">
        <v>1.1517299999999999</v>
      </c>
      <c r="O537">
        <v>0.69340100000000005</v>
      </c>
      <c r="P537">
        <v>0.44837199999999999</v>
      </c>
    </row>
    <row r="538" spans="1:16" ht="13" customHeight="1" x14ac:dyDescent="0.15">
      <c r="A538">
        <v>1976</v>
      </c>
      <c r="B538">
        <v>37.103000000000002</v>
      </c>
      <c r="C538">
        <v>526.36900000000003</v>
      </c>
      <c r="D538">
        <v>1293.8599999999999</v>
      </c>
      <c r="E538">
        <v>824.952</v>
      </c>
      <c r="F538">
        <v>161.624</v>
      </c>
      <c r="G538">
        <v>96.8673</v>
      </c>
      <c r="H538">
        <v>78.039500000000004</v>
      </c>
      <c r="I538">
        <v>46.918700000000001</v>
      </c>
      <c r="J538">
        <v>23.530999999999999</v>
      </c>
      <c r="K538">
        <v>14.696</v>
      </c>
      <c r="L538">
        <v>4.7090500000000004</v>
      </c>
      <c r="M538">
        <v>3.5101200000000001</v>
      </c>
      <c r="N538">
        <v>0.599109</v>
      </c>
      <c r="O538">
        <v>0.45683600000000002</v>
      </c>
      <c r="P538">
        <v>0.45288800000000001</v>
      </c>
    </row>
    <row r="539" spans="1:16" ht="13" customHeight="1" x14ac:dyDescent="0.15">
      <c r="A539">
        <v>1977</v>
      </c>
      <c r="B539">
        <v>27.9419</v>
      </c>
      <c r="C539">
        <v>359.18200000000002</v>
      </c>
      <c r="D539">
        <v>904.81299999999999</v>
      </c>
      <c r="E539">
        <v>609.29399999999998</v>
      </c>
      <c r="F539">
        <v>347.52499999999998</v>
      </c>
      <c r="G539">
        <v>70.315100000000001</v>
      </c>
      <c r="H539">
        <v>42.991199999999999</v>
      </c>
      <c r="I539">
        <v>34.991100000000003</v>
      </c>
      <c r="J539">
        <v>21.991</v>
      </c>
      <c r="K539">
        <v>10.1593</v>
      </c>
      <c r="L539">
        <v>6.2367100000000004</v>
      </c>
      <c r="M539">
        <v>1.9984299999999999</v>
      </c>
      <c r="N539">
        <v>1.48963</v>
      </c>
      <c r="O539">
        <v>0.25424999999999998</v>
      </c>
      <c r="P539">
        <v>0.386069</v>
      </c>
    </row>
    <row r="540" spans="1:16" ht="13" customHeight="1" x14ac:dyDescent="0.15">
      <c r="A540">
        <v>1978</v>
      </c>
      <c r="B540">
        <v>42.927599999999998</v>
      </c>
      <c r="C540">
        <v>344.58199999999999</v>
      </c>
      <c r="D540">
        <v>707.54499999999996</v>
      </c>
      <c r="E540">
        <v>598.79</v>
      </c>
      <c r="F540">
        <v>347.44499999999999</v>
      </c>
      <c r="G540">
        <v>184.50299999999999</v>
      </c>
      <c r="H540">
        <v>38.14</v>
      </c>
      <c r="I540">
        <v>23.612500000000001</v>
      </c>
      <c r="J540">
        <v>20.404</v>
      </c>
      <c r="K540">
        <v>11.9276</v>
      </c>
      <c r="L540">
        <v>5.3508699999999996</v>
      </c>
      <c r="M540">
        <v>3.28484</v>
      </c>
      <c r="N540">
        <v>1.0525599999999999</v>
      </c>
      <c r="O540">
        <v>0.78457900000000003</v>
      </c>
      <c r="P540">
        <v>0.33725300000000002</v>
      </c>
    </row>
    <row r="541" spans="1:16" ht="13" customHeight="1" x14ac:dyDescent="0.15">
      <c r="A541">
        <v>1979</v>
      </c>
      <c r="B541">
        <v>85.450800000000001</v>
      </c>
      <c r="C541">
        <v>430.26499999999999</v>
      </c>
      <c r="D541">
        <v>634.53800000000001</v>
      </c>
      <c r="E541">
        <v>440.72699999999998</v>
      </c>
      <c r="F541">
        <v>350.26400000000001</v>
      </c>
      <c r="G541">
        <v>180.31100000000001</v>
      </c>
      <c r="H541">
        <v>96.200900000000004</v>
      </c>
      <c r="I541">
        <v>19.893599999999999</v>
      </c>
      <c r="J541">
        <v>12.898400000000001</v>
      </c>
      <c r="K541">
        <v>10.2271</v>
      </c>
      <c r="L541">
        <v>5.7961400000000003</v>
      </c>
      <c r="M541">
        <v>2.6002200000000002</v>
      </c>
      <c r="N541">
        <v>1.5962499999999999</v>
      </c>
      <c r="O541">
        <v>0.511486</v>
      </c>
      <c r="P541">
        <v>0.54514700000000005</v>
      </c>
    </row>
    <row r="542" spans="1:16" ht="13" customHeight="1" x14ac:dyDescent="0.15">
      <c r="A542">
        <v>1980</v>
      </c>
      <c r="B542">
        <v>26.585699999999999</v>
      </c>
      <c r="C542">
        <v>555.00800000000004</v>
      </c>
      <c r="D542">
        <v>815.60299999999995</v>
      </c>
      <c r="E542">
        <v>456.69099999999997</v>
      </c>
      <c r="F542">
        <v>267.63799999999998</v>
      </c>
      <c r="G542">
        <v>166.333</v>
      </c>
      <c r="H542">
        <v>81.802800000000005</v>
      </c>
      <c r="I542">
        <v>44.118899999999996</v>
      </c>
      <c r="J542">
        <v>9.2655700000000003</v>
      </c>
      <c r="K542">
        <v>5.5954899999999999</v>
      </c>
      <c r="L542">
        <v>4.4232199999999997</v>
      </c>
      <c r="M542">
        <v>2.5068299999999999</v>
      </c>
      <c r="N542">
        <v>1.1246</v>
      </c>
      <c r="O542">
        <v>0.69037800000000005</v>
      </c>
      <c r="P542">
        <v>0.45699400000000001</v>
      </c>
    </row>
    <row r="543" spans="1:16" ht="13" customHeight="1" x14ac:dyDescent="0.15">
      <c r="A543">
        <v>1981</v>
      </c>
      <c r="B543">
        <v>17.725000000000001</v>
      </c>
      <c r="C543">
        <v>129.959</v>
      </c>
      <c r="D543">
        <v>1083.18</v>
      </c>
      <c r="E543">
        <v>664.13400000000001</v>
      </c>
      <c r="F543">
        <v>246.07300000000001</v>
      </c>
      <c r="G543">
        <v>105.788</v>
      </c>
      <c r="H543">
        <v>61.053400000000003</v>
      </c>
      <c r="I543">
        <v>30.6129</v>
      </c>
      <c r="J543">
        <v>16.882000000000001</v>
      </c>
      <c r="K543">
        <v>3.4615399999999998</v>
      </c>
      <c r="L543">
        <v>2.09165</v>
      </c>
      <c r="M543">
        <v>1.65344</v>
      </c>
      <c r="N543">
        <v>0.93708100000000005</v>
      </c>
      <c r="O543">
        <v>0.42038599999999998</v>
      </c>
      <c r="P543">
        <v>0.4289</v>
      </c>
    </row>
    <row r="544" spans="1:16" ht="13" customHeight="1" x14ac:dyDescent="0.15">
      <c r="A544">
        <v>1982</v>
      </c>
      <c r="B544">
        <v>5.2793599999999996</v>
      </c>
      <c r="C544">
        <v>83.925399999999996</v>
      </c>
      <c r="D544">
        <v>232.09299999999999</v>
      </c>
      <c r="E544">
        <v>1116.17</v>
      </c>
      <c r="F544">
        <v>381.07</v>
      </c>
      <c r="G544">
        <v>94.657399999999996</v>
      </c>
      <c r="H544">
        <v>39.480699999999999</v>
      </c>
      <c r="I544">
        <v>23.2302</v>
      </c>
      <c r="J544">
        <v>11.9345</v>
      </c>
      <c r="K544">
        <v>6.4759700000000002</v>
      </c>
      <c r="L544">
        <v>1.3307500000000001</v>
      </c>
      <c r="M544">
        <v>0.804114</v>
      </c>
      <c r="N544">
        <v>0.63564900000000002</v>
      </c>
      <c r="O544">
        <v>0.36025099999999999</v>
      </c>
      <c r="P544">
        <v>0.32649899999999998</v>
      </c>
    </row>
    <row r="545" spans="1:16" ht="13" customHeight="1" x14ac:dyDescent="0.15">
      <c r="A545">
        <v>1983</v>
      </c>
      <c r="B545">
        <v>12.2126</v>
      </c>
      <c r="C545">
        <v>40.084099999999999</v>
      </c>
      <c r="D545">
        <v>199.88900000000001</v>
      </c>
      <c r="E545">
        <v>371.97300000000001</v>
      </c>
      <c r="F545">
        <v>859.43899999999996</v>
      </c>
      <c r="G545">
        <v>213.69499999999999</v>
      </c>
      <c r="H545">
        <v>48.568100000000001</v>
      </c>
      <c r="I545">
        <v>20.6157</v>
      </c>
      <c r="J545">
        <v>12.510400000000001</v>
      </c>
      <c r="K545">
        <v>6.34992</v>
      </c>
      <c r="L545">
        <v>3.4502799999999998</v>
      </c>
      <c r="M545">
        <v>0.70900099999999999</v>
      </c>
      <c r="N545">
        <v>0.42841699999999999</v>
      </c>
      <c r="O545">
        <v>0.33866200000000002</v>
      </c>
      <c r="P545">
        <v>0.36588799999999999</v>
      </c>
    </row>
    <row r="546" spans="1:16" ht="13" customHeight="1" x14ac:dyDescent="0.15">
      <c r="A546">
        <v>1984</v>
      </c>
      <c r="B546">
        <v>2.69923</v>
      </c>
      <c r="C546">
        <v>102.82</v>
      </c>
      <c r="D546">
        <v>103.96299999999999</v>
      </c>
      <c r="E546">
        <v>380.39600000000002</v>
      </c>
      <c r="F546">
        <v>423.18</v>
      </c>
      <c r="G546">
        <v>640.01199999999994</v>
      </c>
      <c r="H546">
        <v>130.08199999999999</v>
      </c>
      <c r="I546">
        <v>29.6388</v>
      </c>
      <c r="J546">
        <v>13.081200000000001</v>
      </c>
      <c r="K546">
        <v>7.7410199999999998</v>
      </c>
      <c r="L546">
        <v>3.8444600000000002</v>
      </c>
      <c r="M546">
        <v>2.0889199999999999</v>
      </c>
      <c r="N546">
        <v>0.42925400000000002</v>
      </c>
      <c r="O546">
        <v>0.25937900000000003</v>
      </c>
      <c r="P546">
        <v>0.42655900000000002</v>
      </c>
    </row>
    <row r="547" spans="1:16" ht="13" customHeight="1" x14ac:dyDescent="0.15">
      <c r="A547">
        <v>1985</v>
      </c>
      <c r="B547">
        <v>5.9755000000000003</v>
      </c>
      <c r="C547">
        <v>27.747399999999999</v>
      </c>
      <c r="D547">
        <v>361.76299999999998</v>
      </c>
      <c r="E547">
        <v>182.375</v>
      </c>
      <c r="F547">
        <v>400.26100000000002</v>
      </c>
      <c r="G547">
        <v>332.04199999999997</v>
      </c>
      <c r="H547">
        <v>419.66899999999998</v>
      </c>
      <c r="I547">
        <v>81.067499999999995</v>
      </c>
      <c r="J547">
        <v>19.285499999999999</v>
      </c>
      <c r="K547">
        <v>8.3874999999999993</v>
      </c>
      <c r="L547">
        <v>4.7720900000000004</v>
      </c>
      <c r="M547">
        <v>2.36999</v>
      </c>
      <c r="N547">
        <v>1.28775</v>
      </c>
      <c r="O547">
        <v>0.264621</v>
      </c>
      <c r="P547">
        <v>0.42285899999999998</v>
      </c>
    </row>
    <row r="548" spans="1:16" ht="13" customHeight="1" x14ac:dyDescent="0.15">
      <c r="A548">
        <v>1986</v>
      </c>
      <c r="B548">
        <v>2.0203899999999999</v>
      </c>
      <c r="C548">
        <v>63.682000000000002</v>
      </c>
      <c r="D548">
        <v>93.976299999999995</v>
      </c>
      <c r="E548">
        <v>623.923</v>
      </c>
      <c r="F548">
        <v>193.458</v>
      </c>
      <c r="G548">
        <v>356.48399999999998</v>
      </c>
      <c r="H548">
        <v>187.24600000000001</v>
      </c>
      <c r="I548">
        <v>225.93299999999999</v>
      </c>
      <c r="J548">
        <v>49.009300000000003</v>
      </c>
      <c r="K548">
        <v>11.395099999999999</v>
      </c>
      <c r="L548">
        <v>4.6949399999999999</v>
      </c>
      <c r="M548">
        <v>2.6711999999999998</v>
      </c>
      <c r="N548">
        <v>1.3266100000000001</v>
      </c>
      <c r="O548">
        <v>0.72082500000000005</v>
      </c>
      <c r="P548">
        <v>0.38482</v>
      </c>
    </row>
    <row r="549" spans="1:16" ht="13" customHeight="1" x14ac:dyDescent="0.15">
      <c r="A549">
        <v>1987</v>
      </c>
      <c r="B549">
        <v>0.67991599999999996</v>
      </c>
      <c r="C549">
        <v>18.234400000000001</v>
      </c>
      <c r="D549">
        <v>193.84</v>
      </c>
      <c r="E549">
        <v>109.083</v>
      </c>
      <c r="F549">
        <v>452.42500000000001</v>
      </c>
      <c r="G549">
        <v>132.63</v>
      </c>
      <c r="H549">
        <v>157.74700000000001</v>
      </c>
      <c r="I549">
        <v>90.151200000000003</v>
      </c>
      <c r="J549">
        <v>124.205</v>
      </c>
      <c r="K549">
        <v>22.979099999999999</v>
      </c>
      <c r="L549">
        <v>5.1925299999999996</v>
      </c>
      <c r="M549">
        <v>2.1394000000000002</v>
      </c>
      <c r="N549">
        <v>1.21722</v>
      </c>
      <c r="O549">
        <v>0.604514</v>
      </c>
      <c r="P549">
        <v>0.50382300000000002</v>
      </c>
    </row>
    <row r="550" spans="1:16" ht="13" customHeight="1" x14ac:dyDescent="0.15">
      <c r="A550">
        <v>1988</v>
      </c>
      <c r="B550">
        <v>0.56181800000000004</v>
      </c>
      <c r="C550">
        <v>12.6242</v>
      </c>
      <c r="D550">
        <v>180.077</v>
      </c>
      <c r="E550">
        <v>401.22</v>
      </c>
      <c r="F550">
        <v>186.27600000000001</v>
      </c>
      <c r="G550">
        <v>553.93600000000004</v>
      </c>
      <c r="H550">
        <v>135.66900000000001</v>
      </c>
      <c r="I550">
        <v>148.09800000000001</v>
      </c>
      <c r="J550">
        <v>76.949799999999996</v>
      </c>
      <c r="K550">
        <v>96.793599999999998</v>
      </c>
      <c r="L550">
        <v>18.325900000000001</v>
      </c>
      <c r="M550">
        <v>4.14107</v>
      </c>
      <c r="N550">
        <v>1.7061900000000001</v>
      </c>
      <c r="O550">
        <v>0.97074000000000005</v>
      </c>
      <c r="P550">
        <v>0.88390599999999997</v>
      </c>
    </row>
    <row r="551" spans="1:16" ht="13" customHeight="1" x14ac:dyDescent="0.15">
      <c r="A551">
        <v>1989</v>
      </c>
      <c r="B551">
        <v>0.966082</v>
      </c>
      <c r="C551">
        <v>8.6737800000000007</v>
      </c>
      <c r="D551">
        <v>71.332700000000003</v>
      </c>
      <c r="E551">
        <v>194.48099999999999</v>
      </c>
      <c r="F551">
        <v>480.50799999999998</v>
      </c>
      <c r="G551">
        <v>151.70699999999999</v>
      </c>
      <c r="H551">
        <v>471.24700000000001</v>
      </c>
      <c r="I551">
        <v>86.151300000000006</v>
      </c>
      <c r="J551">
        <v>94.307100000000005</v>
      </c>
      <c r="K551">
        <v>45.633099999999999</v>
      </c>
      <c r="L551">
        <v>58.985900000000001</v>
      </c>
      <c r="M551">
        <v>11.1678</v>
      </c>
      <c r="N551">
        <v>2.5235599999999998</v>
      </c>
      <c r="O551">
        <v>1.03975</v>
      </c>
      <c r="P551">
        <v>1.13022</v>
      </c>
    </row>
    <row r="552" spans="1:16" ht="13" customHeight="1" x14ac:dyDescent="0.15">
      <c r="A552">
        <v>1990</v>
      </c>
      <c r="B552">
        <v>5.1616</v>
      </c>
      <c r="C552">
        <v>24.300799999999999</v>
      </c>
      <c r="D552">
        <v>55.56</v>
      </c>
      <c r="E552">
        <v>161.50899999999999</v>
      </c>
      <c r="F552">
        <v>315.43099999999998</v>
      </c>
      <c r="G552">
        <v>551.76700000000005</v>
      </c>
      <c r="H552">
        <v>153.328</v>
      </c>
      <c r="I552">
        <v>372.06700000000001</v>
      </c>
      <c r="J552">
        <v>70.452699999999993</v>
      </c>
      <c r="K552">
        <v>78.781599999999997</v>
      </c>
      <c r="L552">
        <v>38.540300000000002</v>
      </c>
      <c r="M552">
        <v>49.817700000000002</v>
      </c>
      <c r="N552">
        <v>9.4319900000000008</v>
      </c>
      <c r="O552">
        <v>2.1313300000000002</v>
      </c>
      <c r="P552">
        <v>1.8326899999999999</v>
      </c>
    </row>
    <row r="553" spans="1:16" ht="13" customHeight="1" x14ac:dyDescent="0.15">
      <c r="A553">
        <v>1991</v>
      </c>
      <c r="B553">
        <v>2.5346899999999999</v>
      </c>
      <c r="C553">
        <v>113.468</v>
      </c>
      <c r="D553">
        <v>88.658799999999999</v>
      </c>
      <c r="E553">
        <v>96.594899999999996</v>
      </c>
      <c r="F553">
        <v>149.29499999999999</v>
      </c>
      <c r="G553">
        <v>204.035</v>
      </c>
      <c r="H553">
        <v>404.53399999999999</v>
      </c>
      <c r="I553">
        <v>89.364500000000007</v>
      </c>
      <c r="J553">
        <v>236.31399999999999</v>
      </c>
      <c r="K553">
        <v>46.628599999999999</v>
      </c>
      <c r="L553">
        <v>54.603900000000003</v>
      </c>
      <c r="M553">
        <v>26.712499999999999</v>
      </c>
      <c r="N553">
        <v>34.528799999999997</v>
      </c>
      <c r="O553">
        <v>6.53735</v>
      </c>
      <c r="P553">
        <v>2.7474799999999999</v>
      </c>
    </row>
    <row r="554" spans="1:16" ht="13" customHeight="1" x14ac:dyDescent="0.15">
      <c r="A554">
        <v>1992</v>
      </c>
      <c r="B554">
        <v>2.5645699999999998</v>
      </c>
      <c r="C554">
        <v>70.601699999999994</v>
      </c>
      <c r="D554">
        <v>689.89200000000005</v>
      </c>
      <c r="E554">
        <v>199.976</v>
      </c>
      <c r="F554">
        <v>105.185</v>
      </c>
      <c r="G554">
        <v>133.94</v>
      </c>
      <c r="H554">
        <v>182.50399999999999</v>
      </c>
      <c r="I554">
        <v>281.53699999999998</v>
      </c>
      <c r="J554">
        <v>71.536299999999997</v>
      </c>
      <c r="K554">
        <v>161.404</v>
      </c>
      <c r="L554">
        <v>32.011800000000001</v>
      </c>
      <c r="M554">
        <v>37.487099999999998</v>
      </c>
      <c r="N554">
        <v>18.338799999999999</v>
      </c>
      <c r="O554">
        <v>23.704999999999998</v>
      </c>
      <c r="P554">
        <v>6.3742900000000002</v>
      </c>
    </row>
    <row r="555" spans="1:16" ht="13" customHeight="1" x14ac:dyDescent="0.15">
      <c r="A555">
        <v>1993</v>
      </c>
      <c r="B555">
        <v>3.1258699999999999</v>
      </c>
      <c r="C555">
        <v>27.6813</v>
      </c>
      <c r="D555">
        <v>229.03800000000001</v>
      </c>
      <c r="E555">
        <v>1067.1199999999999</v>
      </c>
      <c r="F555">
        <v>146.26</v>
      </c>
      <c r="G555">
        <v>68.604200000000006</v>
      </c>
      <c r="H555">
        <v>68.131799999999998</v>
      </c>
      <c r="I555">
        <v>66.408600000000007</v>
      </c>
      <c r="J555">
        <v>94.296800000000005</v>
      </c>
      <c r="K555">
        <v>22.910299999999999</v>
      </c>
      <c r="L555">
        <v>52.7241</v>
      </c>
      <c r="M555">
        <v>10.456899999999999</v>
      </c>
      <c r="N555">
        <v>12.2455</v>
      </c>
      <c r="O555">
        <v>5.9905499999999998</v>
      </c>
      <c r="P555">
        <v>9.8256700000000006</v>
      </c>
    </row>
    <row r="556" spans="1:16" ht="13" customHeight="1" x14ac:dyDescent="0.15">
      <c r="A556">
        <v>1994</v>
      </c>
      <c r="B556">
        <v>0.89307199999999998</v>
      </c>
      <c r="C556">
        <v>49.501800000000003</v>
      </c>
      <c r="D556">
        <v>94.811099999999996</v>
      </c>
      <c r="E556">
        <v>329.61</v>
      </c>
      <c r="F556">
        <v>971.84299999999996</v>
      </c>
      <c r="G556">
        <v>147.56899999999999</v>
      </c>
      <c r="H556">
        <v>51.1753</v>
      </c>
      <c r="I556">
        <v>34.497100000000003</v>
      </c>
      <c r="J556">
        <v>33.330300000000001</v>
      </c>
      <c r="K556">
        <v>46.462600000000002</v>
      </c>
      <c r="L556">
        <v>11.8142</v>
      </c>
      <c r="M556">
        <v>27.188400000000001</v>
      </c>
      <c r="N556">
        <v>5.39236</v>
      </c>
      <c r="O556">
        <v>6.3146599999999999</v>
      </c>
      <c r="P556">
        <v>8.1559899999999992</v>
      </c>
    </row>
    <row r="557" spans="1:16" ht="13" customHeight="1" x14ac:dyDescent="0.15">
      <c r="A557">
        <v>1995</v>
      </c>
      <c r="B557">
        <v>0.52488400000000002</v>
      </c>
      <c r="C557">
        <v>17.411999999999999</v>
      </c>
      <c r="D557">
        <v>127.485</v>
      </c>
      <c r="E557">
        <v>145.63999999999999</v>
      </c>
      <c r="F557">
        <v>377.64800000000002</v>
      </c>
      <c r="G557">
        <v>749.91499999999996</v>
      </c>
      <c r="H557">
        <v>109.786</v>
      </c>
      <c r="I557">
        <v>28.6922</v>
      </c>
      <c r="J557">
        <v>18.945</v>
      </c>
      <c r="K557">
        <v>18.055700000000002</v>
      </c>
      <c r="L557">
        <v>25.8612</v>
      </c>
      <c r="M557">
        <v>6.5758099999999997</v>
      </c>
      <c r="N557">
        <v>15.133100000000001</v>
      </c>
      <c r="O557">
        <v>3.0013999999999998</v>
      </c>
      <c r="P557">
        <v>8.0543999999999993</v>
      </c>
    </row>
    <row r="558" spans="1:16" ht="13" customHeight="1" x14ac:dyDescent="0.15">
      <c r="A558">
        <v>1996</v>
      </c>
      <c r="B558">
        <v>1.1178399999999999</v>
      </c>
      <c r="C558">
        <v>18.191500000000001</v>
      </c>
      <c r="D558">
        <v>56.488599999999998</v>
      </c>
      <c r="E558">
        <v>171.70400000000001</v>
      </c>
      <c r="F558">
        <v>210.53800000000001</v>
      </c>
      <c r="G558">
        <v>390.32799999999997</v>
      </c>
      <c r="H558">
        <v>509.738</v>
      </c>
      <c r="I558">
        <v>81.066400000000002</v>
      </c>
      <c r="J558">
        <v>19.2835</v>
      </c>
      <c r="K558">
        <v>12.0974</v>
      </c>
      <c r="L558">
        <v>11.950200000000001</v>
      </c>
      <c r="M558">
        <v>17.116299999999999</v>
      </c>
      <c r="N558">
        <v>4.3522100000000004</v>
      </c>
      <c r="O558">
        <v>10.0159</v>
      </c>
      <c r="P558">
        <v>7.3173000000000004</v>
      </c>
    </row>
    <row r="559" spans="1:16" ht="13" customHeight="1" x14ac:dyDescent="0.15">
      <c r="A559">
        <v>1997</v>
      </c>
      <c r="B559">
        <v>1.4078999999999999</v>
      </c>
      <c r="C559">
        <v>52.212299999999999</v>
      </c>
      <c r="D559">
        <v>45.810299999999998</v>
      </c>
      <c r="E559">
        <v>99.225899999999996</v>
      </c>
      <c r="F559">
        <v>461.08800000000002</v>
      </c>
      <c r="G559">
        <v>295.42700000000002</v>
      </c>
      <c r="H559">
        <v>266.15699999999998</v>
      </c>
      <c r="I559">
        <v>228.768</v>
      </c>
      <c r="J559">
        <v>38.984099999999998</v>
      </c>
      <c r="K559">
        <v>10.158300000000001</v>
      </c>
      <c r="L559">
        <v>7.1744199999999996</v>
      </c>
      <c r="M559">
        <v>7.0871300000000002</v>
      </c>
      <c r="N559">
        <v>10.1509</v>
      </c>
      <c r="O559">
        <v>2.5811000000000002</v>
      </c>
      <c r="P559">
        <v>10.279500000000001</v>
      </c>
    </row>
    <row r="560" spans="1:16" ht="13" customHeight="1" x14ac:dyDescent="0.15">
      <c r="A560">
        <v>1998</v>
      </c>
      <c r="B560">
        <v>0.536887</v>
      </c>
      <c r="C560">
        <v>46.616199999999999</v>
      </c>
      <c r="D560">
        <v>114.83</v>
      </c>
      <c r="E560">
        <v>81.492900000000006</v>
      </c>
      <c r="F560">
        <v>158.268</v>
      </c>
      <c r="G560">
        <v>663.93799999999999</v>
      </c>
      <c r="H560">
        <v>208.02199999999999</v>
      </c>
      <c r="I560">
        <v>137.41499999999999</v>
      </c>
      <c r="J560">
        <v>109.16500000000001</v>
      </c>
      <c r="K560">
        <v>16.477900000000002</v>
      </c>
      <c r="L560">
        <v>4.6319900000000001</v>
      </c>
      <c r="M560">
        <v>3.2713800000000002</v>
      </c>
      <c r="N560">
        <v>3.2315800000000001</v>
      </c>
      <c r="O560">
        <v>4.62859</v>
      </c>
      <c r="P560">
        <v>5.8641800000000002</v>
      </c>
    </row>
    <row r="561" spans="1:16" ht="13" customHeight="1" x14ac:dyDescent="0.15">
      <c r="A561">
        <v>1999</v>
      </c>
      <c r="B561">
        <v>0.39671899999999999</v>
      </c>
      <c r="C561">
        <v>12.773999999999999</v>
      </c>
      <c r="D561">
        <v>275.14299999999997</v>
      </c>
      <c r="E561">
        <v>222.97399999999999</v>
      </c>
      <c r="F561">
        <v>105.501</v>
      </c>
      <c r="G561">
        <v>154.11699999999999</v>
      </c>
      <c r="H561">
        <v>462.31700000000001</v>
      </c>
      <c r="I561">
        <v>129.09100000000001</v>
      </c>
      <c r="J561">
        <v>58.126199999999997</v>
      </c>
      <c r="K561">
        <v>39.086300000000001</v>
      </c>
      <c r="L561">
        <v>6.3813599999999999</v>
      </c>
      <c r="M561">
        <v>1.79382</v>
      </c>
      <c r="N561">
        <v>1.2668999999999999</v>
      </c>
      <c r="O561">
        <v>1.25149</v>
      </c>
      <c r="P561">
        <v>4.0635199999999996</v>
      </c>
    </row>
    <row r="562" spans="1:16" ht="13" customHeight="1" x14ac:dyDescent="0.15">
      <c r="A562">
        <v>2000</v>
      </c>
      <c r="B562">
        <v>0.60569300000000004</v>
      </c>
      <c r="C562">
        <v>13.465400000000001</v>
      </c>
      <c r="D562">
        <v>82.404799999999994</v>
      </c>
      <c r="E562">
        <v>422.18200000000002</v>
      </c>
      <c r="F562">
        <v>344.24299999999999</v>
      </c>
      <c r="G562">
        <v>112.81399999999999</v>
      </c>
      <c r="H562">
        <v>167.55199999999999</v>
      </c>
      <c r="I562">
        <v>347.78199999999998</v>
      </c>
      <c r="J562">
        <v>83.791600000000003</v>
      </c>
      <c r="K562">
        <v>35.116399999999999</v>
      </c>
      <c r="L562">
        <v>25.183599999999998</v>
      </c>
      <c r="M562">
        <v>4.1115500000000003</v>
      </c>
      <c r="N562">
        <v>1.15577</v>
      </c>
      <c r="O562">
        <v>0.81627400000000006</v>
      </c>
      <c r="P562">
        <v>3.4245000000000001</v>
      </c>
    </row>
    <row r="563" spans="1:16" ht="13" customHeight="1" x14ac:dyDescent="0.15">
      <c r="A563">
        <v>2001</v>
      </c>
      <c r="B563">
        <v>0.89053300000000002</v>
      </c>
      <c r="C563">
        <v>17.9679</v>
      </c>
      <c r="D563">
        <v>67.375200000000007</v>
      </c>
      <c r="E563">
        <v>172.90799999999999</v>
      </c>
      <c r="F563">
        <v>597.37400000000002</v>
      </c>
      <c r="G563">
        <v>411.40300000000002</v>
      </c>
      <c r="H563">
        <v>133.76400000000001</v>
      </c>
      <c r="I563">
        <v>117.551</v>
      </c>
      <c r="J563">
        <v>171.756</v>
      </c>
      <c r="K563">
        <v>50.340400000000002</v>
      </c>
      <c r="L563">
        <v>24.1828</v>
      </c>
      <c r="M563">
        <v>17.342600000000001</v>
      </c>
      <c r="N563">
        <v>2.83141</v>
      </c>
      <c r="O563">
        <v>0.79591900000000004</v>
      </c>
      <c r="P563">
        <v>2.9203899999999998</v>
      </c>
    </row>
    <row r="564" spans="1:16" ht="13" customHeight="1" x14ac:dyDescent="0.15">
      <c r="A564">
        <v>2002</v>
      </c>
      <c r="B564">
        <v>0.66068099999999996</v>
      </c>
      <c r="C564">
        <v>42.251600000000003</v>
      </c>
      <c r="D564">
        <v>123.998</v>
      </c>
      <c r="E564">
        <v>216.571</v>
      </c>
      <c r="F564">
        <v>291.54300000000001</v>
      </c>
      <c r="G564">
        <v>620.6</v>
      </c>
      <c r="H564">
        <v>275.18299999999999</v>
      </c>
      <c r="I564">
        <v>90.315299999999993</v>
      </c>
      <c r="J564">
        <v>73.819900000000004</v>
      </c>
      <c r="K564">
        <v>102.544</v>
      </c>
      <c r="L564">
        <v>32.471800000000002</v>
      </c>
      <c r="M564">
        <v>15.599</v>
      </c>
      <c r="N564">
        <v>11.1867</v>
      </c>
      <c r="O564">
        <v>1.8263799999999999</v>
      </c>
      <c r="P564">
        <v>2.3971900000000002</v>
      </c>
    </row>
    <row r="565" spans="1:16" ht="13" customHeight="1" x14ac:dyDescent="0.15">
      <c r="A565">
        <v>2003</v>
      </c>
      <c r="B565">
        <v>0.40278199999999997</v>
      </c>
      <c r="C565">
        <v>19.701899999999998</v>
      </c>
      <c r="D565">
        <v>375.77800000000002</v>
      </c>
      <c r="E565">
        <v>338.84</v>
      </c>
      <c r="F565">
        <v>367.577</v>
      </c>
      <c r="G565">
        <v>303.92399999999998</v>
      </c>
      <c r="H565">
        <v>341.40199999999999</v>
      </c>
      <c r="I565">
        <v>151.01300000000001</v>
      </c>
      <c r="J565">
        <v>44.9833</v>
      </c>
      <c r="K565">
        <v>34.265500000000003</v>
      </c>
      <c r="L565">
        <v>57.928699999999999</v>
      </c>
      <c r="M565">
        <v>18.343699999999998</v>
      </c>
      <c r="N565">
        <v>8.8120600000000007</v>
      </c>
      <c r="O565">
        <v>6.3195300000000003</v>
      </c>
      <c r="P565">
        <v>2.3859499999999998</v>
      </c>
    </row>
    <row r="566" spans="1:16" ht="13" customHeight="1" x14ac:dyDescent="0.15">
      <c r="A566">
        <v>2004</v>
      </c>
      <c r="B566">
        <v>0.15417500000000001</v>
      </c>
      <c r="C566">
        <v>8.4915099999999999</v>
      </c>
      <c r="D566">
        <v>108.77200000000001</v>
      </c>
      <c r="E566">
        <v>832.17499999999995</v>
      </c>
      <c r="F566">
        <v>498.71199999999999</v>
      </c>
      <c r="G566">
        <v>252.98099999999999</v>
      </c>
      <c r="H566">
        <v>161.88499999999999</v>
      </c>
      <c r="I566">
        <v>149.40899999999999</v>
      </c>
      <c r="J566">
        <v>60.206699999999998</v>
      </c>
      <c r="K566">
        <v>18.087900000000001</v>
      </c>
      <c r="L566">
        <v>17.491099999999999</v>
      </c>
      <c r="M566">
        <v>29.5701</v>
      </c>
      <c r="N566">
        <v>9.3636900000000001</v>
      </c>
      <c r="O566">
        <v>4.4981799999999996</v>
      </c>
      <c r="P566">
        <v>4.4437699999999998</v>
      </c>
    </row>
    <row r="567" spans="1:16" ht="13" customHeight="1" x14ac:dyDescent="0.15">
      <c r="A567">
        <v>2005</v>
      </c>
      <c r="B567">
        <v>0.101453</v>
      </c>
      <c r="C567">
        <v>4.0480600000000004</v>
      </c>
      <c r="D567">
        <v>64.536900000000003</v>
      </c>
      <c r="E567">
        <v>396.53</v>
      </c>
      <c r="F567">
        <v>882.23500000000001</v>
      </c>
      <c r="G567">
        <v>478.12</v>
      </c>
      <c r="H567">
        <v>159.453</v>
      </c>
      <c r="I567">
        <v>69.221199999999996</v>
      </c>
      <c r="J567">
        <v>62.5535</v>
      </c>
      <c r="K567">
        <v>26.096599999999999</v>
      </c>
      <c r="L567">
        <v>9.5645799999999994</v>
      </c>
      <c r="M567">
        <v>9.2489799999999995</v>
      </c>
      <c r="N567">
        <v>15.636200000000001</v>
      </c>
      <c r="O567">
        <v>4.9513499999999997</v>
      </c>
      <c r="P567">
        <v>4.7283499999999998</v>
      </c>
    </row>
    <row r="568" spans="1:16" ht="13" customHeight="1" x14ac:dyDescent="0.15">
      <c r="A568">
        <v>2006</v>
      </c>
      <c r="B568">
        <v>0.30674099999999999</v>
      </c>
      <c r="C568">
        <v>4.6010499999999999</v>
      </c>
      <c r="D568">
        <v>66.389700000000005</v>
      </c>
      <c r="E568">
        <v>285.11799999999999</v>
      </c>
      <c r="F568">
        <v>614.90200000000004</v>
      </c>
      <c r="G568">
        <v>623.70100000000002</v>
      </c>
      <c r="H568">
        <v>280.93099999999998</v>
      </c>
      <c r="I568">
        <v>101.52500000000001</v>
      </c>
      <c r="J568">
        <v>44.644799999999996</v>
      </c>
      <c r="K568">
        <v>39.4621</v>
      </c>
      <c r="L568">
        <v>19.367999999999999</v>
      </c>
      <c r="M568">
        <v>7.0984999999999996</v>
      </c>
      <c r="N568">
        <v>6.8642700000000003</v>
      </c>
      <c r="O568">
        <v>11.6046</v>
      </c>
      <c r="P568">
        <v>7.1839300000000001</v>
      </c>
    </row>
    <row r="569" spans="1:16" ht="13" customHeight="1" x14ac:dyDescent="0.15">
      <c r="A569">
        <v>2007</v>
      </c>
      <c r="B569">
        <v>0.66586199999999995</v>
      </c>
      <c r="C569">
        <v>13.0939</v>
      </c>
      <c r="D569">
        <v>47.5246</v>
      </c>
      <c r="E569">
        <v>123.873</v>
      </c>
      <c r="F569">
        <v>368.1</v>
      </c>
      <c r="G569">
        <v>497.67200000000003</v>
      </c>
      <c r="H569">
        <v>318.56299999999999</v>
      </c>
      <c r="I569">
        <v>139.71899999999999</v>
      </c>
      <c r="J569">
        <v>50.592599999999997</v>
      </c>
      <c r="K569">
        <v>23.7348</v>
      </c>
      <c r="L569">
        <v>23.657299999999999</v>
      </c>
      <c r="M569">
        <v>11.611000000000001</v>
      </c>
      <c r="N569">
        <v>4.2555199999999997</v>
      </c>
      <c r="O569">
        <v>4.1151</v>
      </c>
      <c r="P569">
        <v>11.2636</v>
      </c>
    </row>
    <row r="570" spans="1:16" ht="13" customHeight="1" x14ac:dyDescent="0.15">
      <c r="A570">
        <v>2008</v>
      </c>
      <c r="B570">
        <v>0.36520399999999997</v>
      </c>
      <c r="C570">
        <v>24.292999999999999</v>
      </c>
      <c r="D570">
        <v>68.296800000000005</v>
      </c>
      <c r="E570">
        <v>82.889600000000002</v>
      </c>
      <c r="F570">
        <v>152.791</v>
      </c>
      <c r="G570">
        <v>309.52999999999997</v>
      </c>
      <c r="H570">
        <v>240.94</v>
      </c>
      <c r="I570">
        <v>160.87799999999999</v>
      </c>
      <c r="J570">
        <v>78.475800000000007</v>
      </c>
      <c r="K570">
        <v>28.369</v>
      </c>
      <c r="L570">
        <v>14.380699999999999</v>
      </c>
      <c r="M570">
        <v>14.3337</v>
      </c>
      <c r="N570">
        <v>7.0349700000000004</v>
      </c>
      <c r="O570">
        <v>2.5783700000000001</v>
      </c>
      <c r="P570">
        <v>9.3178000000000001</v>
      </c>
    </row>
    <row r="571" spans="1:16" ht="13" customHeight="1" x14ac:dyDescent="0.15">
      <c r="A571">
        <v>2009</v>
      </c>
      <c r="B571">
        <v>1.2663599999999999</v>
      </c>
      <c r="C571">
        <v>8.8630800000000001</v>
      </c>
      <c r="D571">
        <v>142.04400000000001</v>
      </c>
      <c r="E571">
        <v>192.57300000000001</v>
      </c>
      <c r="F571">
        <v>81.0762</v>
      </c>
      <c r="G571">
        <v>105.319</v>
      </c>
      <c r="H571">
        <v>124.568</v>
      </c>
      <c r="I571">
        <v>102.565</v>
      </c>
      <c r="J571">
        <v>80.593900000000005</v>
      </c>
      <c r="K571">
        <v>39.417400000000001</v>
      </c>
      <c r="L571">
        <v>15.9369</v>
      </c>
      <c r="M571">
        <v>8.07864</v>
      </c>
      <c r="N571">
        <v>8.0522600000000004</v>
      </c>
      <c r="O571">
        <v>3.9520400000000002</v>
      </c>
      <c r="P571">
        <v>6.6829299999999998</v>
      </c>
    </row>
    <row r="572" spans="1:16" ht="13" customHeight="1" x14ac:dyDescent="0.15">
      <c r="A572">
        <v>2010</v>
      </c>
      <c r="B572">
        <v>0.42104000000000003</v>
      </c>
      <c r="C572">
        <v>30.450099999999999</v>
      </c>
      <c r="D572">
        <v>40.442399999999999</v>
      </c>
      <c r="E572">
        <v>553.54600000000005</v>
      </c>
      <c r="F572">
        <v>224.85300000000001</v>
      </c>
      <c r="G572">
        <v>62.106000000000002</v>
      </c>
      <c r="H572">
        <v>50.1511</v>
      </c>
      <c r="I572">
        <v>55.387999999999998</v>
      </c>
      <c r="J572">
        <v>46.078299999999999</v>
      </c>
      <c r="K572">
        <v>34.464399999999998</v>
      </c>
      <c r="L572">
        <v>17.262799999999999</v>
      </c>
      <c r="M572">
        <v>6.9795400000000001</v>
      </c>
      <c r="N572">
        <v>3.53803</v>
      </c>
      <c r="O572">
        <v>3.5264700000000002</v>
      </c>
      <c r="P572">
        <v>4.6575699999999998</v>
      </c>
    </row>
    <row r="573" spans="1:16" ht="13" customHeight="1" x14ac:dyDescent="0.15">
      <c r="A573">
        <v>2011</v>
      </c>
      <c r="B573">
        <v>0.33170500000000003</v>
      </c>
      <c r="C573">
        <v>17.039300000000001</v>
      </c>
      <c r="D573">
        <v>204.02199999999999</v>
      </c>
      <c r="E573">
        <v>143.40299999999999</v>
      </c>
      <c r="F573">
        <v>844.92600000000004</v>
      </c>
      <c r="G573">
        <v>276.02300000000002</v>
      </c>
      <c r="H573">
        <v>60.548499999999997</v>
      </c>
      <c r="I573">
        <v>38.8185</v>
      </c>
      <c r="J573">
        <v>37.778799999999997</v>
      </c>
      <c r="K573">
        <v>31.214700000000001</v>
      </c>
      <c r="L573">
        <v>23.936699999999998</v>
      </c>
      <c r="M573">
        <v>11.989599999999999</v>
      </c>
      <c r="N573">
        <v>4.8475200000000003</v>
      </c>
      <c r="O573">
        <v>2.4572799999999999</v>
      </c>
      <c r="P573">
        <v>5.6840900000000003</v>
      </c>
    </row>
    <row r="574" spans="1:16" ht="13" customHeight="1" x14ac:dyDescent="0.15">
      <c r="A574">
        <v>2012</v>
      </c>
      <c r="B574">
        <v>0.26675199999999999</v>
      </c>
      <c r="C574">
        <v>13.4679</v>
      </c>
      <c r="D574">
        <v>115.408</v>
      </c>
      <c r="E574">
        <v>943.226</v>
      </c>
      <c r="F574">
        <v>192.06100000000001</v>
      </c>
      <c r="G574">
        <v>457.58100000000002</v>
      </c>
      <c r="H574">
        <v>129.61699999999999</v>
      </c>
      <c r="I574">
        <v>30.482299999999999</v>
      </c>
      <c r="J574">
        <v>19.403600000000001</v>
      </c>
      <c r="K574">
        <v>19.186599999999999</v>
      </c>
      <c r="L574">
        <v>16.602900000000002</v>
      </c>
      <c r="M574">
        <v>12.7317</v>
      </c>
      <c r="N574">
        <v>6.3771699999999996</v>
      </c>
      <c r="O574">
        <v>2.57836</v>
      </c>
      <c r="P574">
        <v>4.33033</v>
      </c>
    </row>
    <row r="575" spans="1:16" ht="13" customHeight="1" x14ac:dyDescent="0.15">
      <c r="A575">
        <v>2013</v>
      </c>
      <c r="B575">
        <v>1.3697699999999999</v>
      </c>
      <c r="C575">
        <v>7.4416700000000002</v>
      </c>
      <c r="D575">
        <v>68.270200000000003</v>
      </c>
      <c r="E575">
        <v>351.19499999999999</v>
      </c>
      <c r="F575">
        <v>971.43</v>
      </c>
      <c r="G575">
        <v>189.40700000000001</v>
      </c>
      <c r="H575">
        <v>178.834</v>
      </c>
      <c r="I575">
        <v>61.419499999999999</v>
      </c>
      <c r="J575">
        <v>14.4991</v>
      </c>
      <c r="K575">
        <v>9.8558800000000009</v>
      </c>
      <c r="L575">
        <v>10.076599999999999</v>
      </c>
      <c r="M575">
        <v>8.7196400000000001</v>
      </c>
      <c r="N575">
        <v>6.6865699999999997</v>
      </c>
      <c r="O575">
        <v>3.3492199999999999</v>
      </c>
      <c r="P575">
        <v>3.6283699999999999</v>
      </c>
    </row>
    <row r="576" spans="1:16" ht="13" customHeight="1" x14ac:dyDescent="0.15">
      <c r="A576">
        <v>2014</v>
      </c>
      <c r="B576">
        <v>0.60667099999999996</v>
      </c>
      <c r="C576">
        <v>39.1235</v>
      </c>
      <c r="D576">
        <v>46.395800000000001</v>
      </c>
      <c r="E576">
        <v>179.66</v>
      </c>
      <c r="F576">
        <v>402.459</v>
      </c>
      <c r="G576">
        <v>770.36800000000005</v>
      </c>
      <c r="H576">
        <v>181.40299999999999</v>
      </c>
      <c r="I576">
        <v>99.701800000000006</v>
      </c>
      <c r="J576">
        <v>25.775500000000001</v>
      </c>
      <c r="K576">
        <v>6.7033699999999996</v>
      </c>
      <c r="L576">
        <v>4.5734500000000002</v>
      </c>
      <c r="M576">
        <v>4.6758600000000001</v>
      </c>
      <c r="N576">
        <v>4.0461999999999998</v>
      </c>
      <c r="O576">
        <v>3.1027900000000002</v>
      </c>
      <c r="P576">
        <v>3.2378300000000002</v>
      </c>
    </row>
    <row r="577" spans="1:17" ht="13" customHeight="1" x14ac:dyDescent="0.15">
      <c r="A577">
        <v>2015</v>
      </c>
      <c r="B577">
        <v>0.33327299999999999</v>
      </c>
      <c r="C577">
        <v>17.409099999999999</v>
      </c>
      <c r="D577">
        <v>560.92600000000004</v>
      </c>
      <c r="E577">
        <v>170.68299999999999</v>
      </c>
      <c r="F577">
        <v>211.667</v>
      </c>
      <c r="G577">
        <v>340.42</v>
      </c>
      <c r="H577">
        <v>484.42</v>
      </c>
      <c r="I577">
        <v>78.309899999999999</v>
      </c>
      <c r="J577">
        <v>46.846499999999999</v>
      </c>
      <c r="K577">
        <v>15.3104</v>
      </c>
      <c r="L577">
        <v>3.5513300000000001</v>
      </c>
      <c r="M577">
        <v>2.4229400000000001</v>
      </c>
      <c r="N577">
        <v>2.4771899999999998</v>
      </c>
      <c r="O577">
        <v>2.1436099999999998</v>
      </c>
      <c r="P577">
        <v>3.3591500000000001</v>
      </c>
    </row>
    <row r="578" spans="1:17" ht="13" customHeight="1" x14ac:dyDescent="0.15">
      <c r="A578">
        <v>2016</v>
      </c>
      <c r="B578">
        <v>0.32440600000000003</v>
      </c>
      <c r="C578">
        <v>9.2305899999999994</v>
      </c>
      <c r="D578">
        <v>247.19900000000001</v>
      </c>
      <c r="E578">
        <v>836.38400000000001</v>
      </c>
      <c r="F578">
        <v>151.28800000000001</v>
      </c>
      <c r="G578">
        <v>195.83500000000001</v>
      </c>
      <c r="H578">
        <v>178.673</v>
      </c>
      <c r="I578">
        <v>277.75900000000001</v>
      </c>
      <c r="J578">
        <v>43.359499999999997</v>
      </c>
      <c r="K578">
        <v>32.692900000000002</v>
      </c>
      <c r="L578">
        <v>7.8251999999999997</v>
      </c>
      <c r="M578">
        <v>1.8150999999999999</v>
      </c>
      <c r="N578">
        <v>1.23837</v>
      </c>
      <c r="O578">
        <v>1.2661</v>
      </c>
      <c r="P578">
        <v>2.8124799999999999</v>
      </c>
    </row>
    <row r="579" spans="1:17" ht="13" customHeight="1" x14ac:dyDescent="0.15">
      <c r="A579" t="s">
        <v>174</v>
      </c>
      <c r="B579" t="s">
        <v>175</v>
      </c>
      <c r="C579" t="s">
        <v>176</v>
      </c>
      <c r="D579" t="s">
        <v>173</v>
      </c>
    </row>
    <row r="580" spans="1:17" ht="13" customHeight="1" x14ac:dyDescent="0.15">
      <c r="A580">
        <v>1964</v>
      </c>
      <c r="B580">
        <v>1330.29</v>
      </c>
      <c r="C580">
        <v>0.56293099999999996</v>
      </c>
      <c r="D580">
        <v>49.520899999999997</v>
      </c>
      <c r="E580">
        <v>188.48599999999999</v>
      </c>
      <c r="F580">
        <v>213.44</v>
      </c>
      <c r="G580">
        <v>122.90300000000001</v>
      </c>
      <c r="H580">
        <v>290.88099999999997</v>
      </c>
      <c r="I580">
        <v>147.27799999999999</v>
      </c>
      <c r="J580">
        <v>50.718899999999998</v>
      </c>
      <c r="K580">
        <v>33.7134</v>
      </c>
      <c r="L580">
        <v>35.1873</v>
      </c>
      <c r="M580">
        <v>37.043100000000003</v>
      </c>
      <c r="N580">
        <v>38.528500000000001</v>
      </c>
      <c r="O580">
        <v>39.770699999999998</v>
      </c>
      <c r="P580">
        <v>40.755600000000001</v>
      </c>
      <c r="Q580">
        <v>41.503700000000002</v>
      </c>
    </row>
    <row r="581" spans="1:17" ht="13" customHeight="1" x14ac:dyDescent="0.15">
      <c r="A581">
        <v>1965</v>
      </c>
      <c r="B581">
        <v>1701.63</v>
      </c>
      <c r="C581">
        <v>1.7331000000000001</v>
      </c>
      <c r="D581">
        <v>37.767299999999999</v>
      </c>
      <c r="E581">
        <v>210.40299999999999</v>
      </c>
      <c r="F581">
        <v>709.649</v>
      </c>
      <c r="G581">
        <v>173.108</v>
      </c>
      <c r="H581">
        <v>87.3673</v>
      </c>
      <c r="I581">
        <v>189.71700000000001</v>
      </c>
      <c r="J581">
        <v>93.104200000000006</v>
      </c>
      <c r="K581">
        <v>31.848500000000001</v>
      </c>
      <c r="L581">
        <v>21.165800000000001</v>
      </c>
      <c r="M581">
        <v>22.604800000000001</v>
      </c>
      <c r="N581">
        <v>23.498799999999999</v>
      </c>
      <c r="O581">
        <v>24.246400000000001</v>
      </c>
      <c r="P581">
        <v>24.846699999999998</v>
      </c>
      <c r="Q581">
        <v>50.574300000000001</v>
      </c>
    </row>
    <row r="582" spans="1:17" ht="13" customHeight="1" x14ac:dyDescent="0.15">
      <c r="A582">
        <v>1966</v>
      </c>
      <c r="B582">
        <v>2127.7800000000002</v>
      </c>
      <c r="C582">
        <v>1.37599</v>
      </c>
      <c r="D582">
        <v>141.601</v>
      </c>
      <c r="E582">
        <v>191.00800000000001</v>
      </c>
      <c r="F582">
        <v>698.55200000000002</v>
      </c>
      <c r="G582">
        <v>570.12800000000004</v>
      </c>
      <c r="H582">
        <v>128.184</v>
      </c>
      <c r="I582">
        <v>62.564999999999998</v>
      </c>
      <c r="J582">
        <v>133.143</v>
      </c>
      <c r="K582">
        <v>64.739800000000002</v>
      </c>
      <c r="L582">
        <v>22.102</v>
      </c>
      <c r="M582">
        <v>14.942</v>
      </c>
      <c r="N582">
        <v>15.757899999999999</v>
      </c>
      <c r="O582">
        <v>16.250699999999998</v>
      </c>
      <c r="P582">
        <v>16.646100000000001</v>
      </c>
      <c r="Q582">
        <v>50.786900000000003</v>
      </c>
    </row>
    <row r="583" spans="1:17" ht="13" customHeight="1" x14ac:dyDescent="0.15">
      <c r="A583">
        <v>1967</v>
      </c>
      <c r="B583">
        <v>2969.76</v>
      </c>
      <c r="C583">
        <v>2.7591700000000001</v>
      </c>
      <c r="D583">
        <v>127.28</v>
      </c>
      <c r="E583">
        <v>875.71</v>
      </c>
      <c r="F583">
        <v>528.93100000000004</v>
      </c>
      <c r="G583">
        <v>585.36</v>
      </c>
      <c r="H583">
        <v>447.00299999999999</v>
      </c>
      <c r="I583">
        <v>99.618200000000002</v>
      </c>
      <c r="J583">
        <v>48.1738</v>
      </c>
      <c r="K583">
        <v>102.352</v>
      </c>
      <c r="L583">
        <v>49.8474</v>
      </c>
      <c r="M583">
        <v>17.1602</v>
      </c>
      <c r="N583">
        <v>11.4558</v>
      </c>
      <c r="O583">
        <v>11.985099999999999</v>
      </c>
      <c r="P583">
        <v>12.270300000000001</v>
      </c>
      <c r="Q583">
        <v>49.857399999999998</v>
      </c>
    </row>
    <row r="584" spans="1:17" ht="13" customHeight="1" x14ac:dyDescent="0.15">
      <c r="A584">
        <v>1968</v>
      </c>
      <c r="B584">
        <v>3816.71</v>
      </c>
      <c r="C584">
        <v>2.7334900000000002</v>
      </c>
      <c r="D584">
        <v>238.393</v>
      </c>
      <c r="E584">
        <v>628.10699999999997</v>
      </c>
      <c r="F584">
        <v>1606.07</v>
      </c>
      <c r="G584">
        <v>400.15899999999999</v>
      </c>
      <c r="H584">
        <v>396.56299999999999</v>
      </c>
      <c r="I584">
        <v>292.76799999999997</v>
      </c>
      <c r="J584">
        <v>63.680900000000001</v>
      </c>
      <c r="K584">
        <v>30.461300000000001</v>
      </c>
      <c r="L584">
        <v>64.4833</v>
      </c>
      <c r="M584">
        <v>31.2561</v>
      </c>
      <c r="N584">
        <v>10.625299999999999</v>
      </c>
      <c r="O584">
        <v>7.0366999999999997</v>
      </c>
      <c r="P584">
        <v>7.3084800000000003</v>
      </c>
      <c r="Q584">
        <v>37.060400000000001</v>
      </c>
    </row>
    <row r="585" spans="1:17" ht="13" customHeight="1" x14ac:dyDescent="0.15">
      <c r="A585">
        <v>1969</v>
      </c>
      <c r="B585">
        <v>4696.76</v>
      </c>
      <c r="C585">
        <v>3.8896600000000001</v>
      </c>
      <c r="D585">
        <v>233.97200000000001</v>
      </c>
      <c r="E585">
        <v>1296.18</v>
      </c>
      <c r="F585">
        <v>1089.22</v>
      </c>
      <c r="G585">
        <v>1162.93</v>
      </c>
      <c r="H585">
        <v>273.66199999999998</v>
      </c>
      <c r="I585">
        <v>266.62299999999999</v>
      </c>
      <c r="J585">
        <v>201.047</v>
      </c>
      <c r="K585">
        <v>43.544800000000002</v>
      </c>
      <c r="L585">
        <v>20.9222</v>
      </c>
      <c r="M585">
        <v>43.646700000000003</v>
      </c>
      <c r="N585">
        <v>20.891200000000001</v>
      </c>
      <c r="O585">
        <v>7.0452300000000001</v>
      </c>
      <c r="P585">
        <v>4.6319600000000003</v>
      </c>
      <c r="Q585">
        <v>28.551500000000001</v>
      </c>
    </row>
    <row r="586" spans="1:17" ht="13" customHeight="1" x14ac:dyDescent="0.15">
      <c r="A586">
        <v>1970</v>
      </c>
      <c r="B586">
        <v>4534.08</v>
      </c>
      <c r="C586">
        <v>3.9133900000000001</v>
      </c>
      <c r="D586">
        <v>291.803</v>
      </c>
      <c r="E586">
        <v>1000.63</v>
      </c>
      <c r="F586">
        <v>1286.9000000000001</v>
      </c>
      <c r="G586">
        <v>682.40700000000004</v>
      </c>
      <c r="H586">
        <v>695.92700000000002</v>
      </c>
      <c r="I586">
        <v>167.62299999999999</v>
      </c>
      <c r="J586">
        <v>174.12299999999999</v>
      </c>
      <c r="K586">
        <v>126.65900000000001</v>
      </c>
      <c r="L586">
        <v>28.0946</v>
      </c>
      <c r="M586">
        <v>12.939500000000001</v>
      </c>
      <c r="N586">
        <v>26.6555</v>
      </c>
      <c r="O586">
        <v>12.6568</v>
      </c>
      <c r="P586">
        <v>4.2373799999999999</v>
      </c>
      <c r="Q586">
        <v>19.501000000000001</v>
      </c>
    </row>
    <row r="587" spans="1:17" ht="13" customHeight="1" x14ac:dyDescent="0.15">
      <c r="A587">
        <v>1971</v>
      </c>
      <c r="B587">
        <v>4473.6099999999997</v>
      </c>
      <c r="C587">
        <v>2.34585</v>
      </c>
      <c r="D587">
        <v>256.363</v>
      </c>
      <c r="E587">
        <v>1010.69</v>
      </c>
      <c r="F587">
        <v>953.70500000000004</v>
      </c>
      <c r="G587">
        <v>1025.6400000000001</v>
      </c>
      <c r="H587">
        <v>442.50900000000001</v>
      </c>
      <c r="I587">
        <v>436.12599999999998</v>
      </c>
      <c r="J587">
        <v>110.133</v>
      </c>
      <c r="K587">
        <v>104.26</v>
      </c>
      <c r="L587">
        <v>76.377399999999994</v>
      </c>
      <c r="M587">
        <v>15.2959</v>
      </c>
      <c r="N587">
        <v>6.95655</v>
      </c>
      <c r="O587">
        <v>14.2163</v>
      </c>
      <c r="P587">
        <v>6.7014300000000002</v>
      </c>
      <c r="Q587">
        <v>12.2905</v>
      </c>
    </row>
    <row r="588" spans="1:17" ht="13" customHeight="1" x14ac:dyDescent="0.15">
      <c r="A588">
        <v>1972</v>
      </c>
      <c r="B588">
        <v>4525.74</v>
      </c>
      <c r="C588">
        <v>1.5853999999999999</v>
      </c>
      <c r="D588">
        <v>199.40199999999999</v>
      </c>
      <c r="E588">
        <v>1022.66</v>
      </c>
      <c r="F588">
        <v>1154.82</v>
      </c>
      <c r="G588">
        <v>773.93899999999996</v>
      </c>
      <c r="H588">
        <v>638.80100000000004</v>
      </c>
      <c r="I588">
        <v>269.92</v>
      </c>
      <c r="J588">
        <v>287.452</v>
      </c>
      <c r="K588">
        <v>61.634799999999998</v>
      </c>
      <c r="L588">
        <v>55.444000000000003</v>
      </c>
      <c r="M588">
        <v>35.228000000000002</v>
      </c>
      <c r="N588">
        <v>6.9666199999999998</v>
      </c>
      <c r="O588">
        <v>3.14317</v>
      </c>
      <c r="P588">
        <v>6.3768000000000002</v>
      </c>
      <c r="Q588">
        <v>8.3595100000000002</v>
      </c>
    </row>
    <row r="589" spans="1:17" ht="13" customHeight="1" x14ac:dyDescent="0.15">
      <c r="A589">
        <v>1973</v>
      </c>
      <c r="B589">
        <v>4012.08</v>
      </c>
      <c r="C589">
        <v>2.8825099999999999</v>
      </c>
      <c r="D589">
        <v>188.965</v>
      </c>
      <c r="E589">
        <v>676.01900000000001</v>
      </c>
      <c r="F589">
        <v>1018.47</v>
      </c>
      <c r="G589">
        <v>834.04700000000003</v>
      </c>
      <c r="H589">
        <v>493.94400000000002</v>
      </c>
      <c r="I589">
        <v>387.21</v>
      </c>
      <c r="J589">
        <v>172.94200000000001</v>
      </c>
      <c r="K589">
        <v>157.095</v>
      </c>
      <c r="L589">
        <v>30.295200000000001</v>
      </c>
      <c r="M589">
        <v>24.3796</v>
      </c>
      <c r="N589">
        <v>15.296200000000001</v>
      </c>
      <c r="O589">
        <v>3.0008499999999998</v>
      </c>
      <c r="P589">
        <v>1.3441000000000001</v>
      </c>
      <c r="Q589">
        <v>6.1936299999999997</v>
      </c>
    </row>
    <row r="590" spans="1:17" ht="13" customHeight="1" x14ac:dyDescent="0.15">
      <c r="A590">
        <v>1974</v>
      </c>
      <c r="B590">
        <v>3603.24</v>
      </c>
      <c r="C590">
        <v>1.81687</v>
      </c>
      <c r="D590">
        <v>515.34100000000001</v>
      </c>
      <c r="E590">
        <v>671.09500000000003</v>
      </c>
      <c r="F590">
        <v>610.59100000000001</v>
      </c>
      <c r="G590">
        <v>656.13800000000003</v>
      </c>
      <c r="H590">
        <v>474.72899999999998</v>
      </c>
      <c r="I590">
        <v>265.15199999999999</v>
      </c>
      <c r="J590">
        <v>218.559</v>
      </c>
      <c r="K590">
        <v>86.8874</v>
      </c>
      <c r="L590">
        <v>69.911900000000003</v>
      </c>
      <c r="M590">
        <v>12.5931</v>
      </c>
      <c r="N590">
        <v>10.007099999999999</v>
      </c>
      <c r="O590">
        <v>6.2286400000000004</v>
      </c>
      <c r="P590">
        <v>1.21309</v>
      </c>
      <c r="Q590">
        <v>2.9796399999999998</v>
      </c>
    </row>
    <row r="591" spans="1:17" ht="13" customHeight="1" x14ac:dyDescent="0.15">
      <c r="A591">
        <v>1975</v>
      </c>
      <c r="B591">
        <v>3668.24</v>
      </c>
      <c r="C591">
        <v>1.2698499999999999</v>
      </c>
      <c r="D591">
        <v>314.92</v>
      </c>
      <c r="E591">
        <v>1627.43</v>
      </c>
      <c r="F591">
        <v>459.93799999999999</v>
      </c>
      <c r="G591">
        <v>356.95800000000003</v>
      </c>
      <c r="H591">
        <v>349.18200000000002</v>
      </c>
      <c r="I591">
        <v>240.21</v>
      </c>
      <c r="J591">
        <v>135.97</v>
      </c>
      <c r="K591">
        <v>104.014</v>
      </c>
      <c r="L591">
        <v>36.437899999999999</v>
      </c>
      <c r="M591">
        <v>28.664300000000001</v>
      </c>
      <c r="N591">
        <v>5.09856</v>
      </c>
      <c r="O591">
        <v>4.0193000000000003</v>
      </c>
      <c r="P591">
        <v>2.4835600000000002</v>
      </c>
      <c r="Q591">
        <v>1.6384099999999999</v>
      </c>
    </row>
    <row r="592" spans="1:17" ht="13" customHeight="1" x14ac:dyDescent="0.15">
      <c r="A592">
        <v>1976</v>
      </c>
      <c r="B592">
        <v>3526.6</v>
      </c>
      <c r="C592">
        <v>0.79721399999999998</v>
      </c>
      <c r="D592">
        <v>249.154</v>
      </c>
      <c r="E592">
        <v>1166.3599999999999</v>
      </c>
      <c r="F592">
        <v>1122.6300000000001</v>
      </c>
      <c r="G592">
        <v>287.69799999999998</v>
      </c>
      <c r="H592">
        <v>210.428</v>
      </c>
      <c r="I592">
        <v>196.881</v>
      </c>
      <c r="J592">
        <v>133.10499999999999</v>
      </c>
      <c r="K592">
        <v>74.081999999999994</v>
      </c>
      <c r="L592">
        <v>49.686599999999999</v>
      </c>
      <c r="M592">
        <v>16.802399999999999</v>
      </c>
      <c r="N592">
        <v>13.052199999999999</v>
      </c>
      <c r="O592">
        <v>2.3031100000000002</v>
      </c>
      <c r="P592">
        <v>1.80243</v>
      </c>
      <c r="Q592">
        <v>1.82298</v>
      </c>
    </row>
    <row r="593" spans="1:17" ht="13" customHeight="1" x14ac:dyDescent="0.15">
      <c r="A593">
        <v>1977</v>
      </c>
      <c r="B593">
        <v>3190.34</v>
      </c>
      <c r="C593">
        <v>0.67127300000000001</v>
      </c>
      <c r="D593">
        <v>189.18199999999999</v>
      </c>
      <c r="E593">
        <v>874.59100000000001</v>
      </c>
      <c r="F593">
        <v>896.024</v>
      </c>
      <c r="G593">
        <v>679.13900000000001</v>
      </c>
      <c r="H593">
        <v>167.91499999999999</v>
      </c>
      <c r="I593">
        <v>119.218</v>
      </c>
      <c r="J593">
        <v>108.77800000000001</v>
      </c>
      <c r="K593">
        <v>75.665999999999997</v>
      </c>
      <c r="L593">
        <v>37.598700000000001</v>
      </c>
      <c r="M593">
        <v>24.359100000000002</v>
      </c>
      <c r="N593">
        <v>8.1342300000000005</v>
      </c>
      <c r="O593">
        <v>6.2683600000000004</v>
      </c>
      <c r="P593">
        <v>1.09806</v>
      </c>
      <c r="Q593">
        <v>1.7010799999999999</v>
      </c>
    </row>
    <row r="594" spans="1:17" ht="13" customHeight="1" x14ac:dyDescent="0.15">
      <c r="A594">
        <v>1978</v>
      </c>
      <c r="B594">
        <v>2938.71</v>
      </c>
      <c r="C594">
        <v>0.93841600000000003</v>
      </c>
      <c r="D594">
        <v>164.607</v>
      </c>
      <c r="E594">
        <v>622.84900000000005</v>
      </c>
      <c r="F594">
        <v>803.73</v>
      </c>
      <c r="G594">
        <v>627.13599999999997</v>
      </c>
      <c r="H594">
        <v>407.23</v>
      </c>
      <c r="I594">
        <v>97.925200000000004</v>
      </c>
      <c r="J594">
        <v>67.971000000000004</v>
      </c>
      <c r="K594">
        <v>65.027299999999997</v>
      </c>
      <c r="L594">
        <v>40.909599999999998</v>
      </c>
      <c r="M594">
        <v>19.368400000000001</v>
      </c>
      <c r="N594">
        <v>12.391</v>
      </c>
      <c r="O594">
        <v>4.1047700000000003</v>
      </c>
      <c r="P594">
        <v>3.1402800000000002</v>
      </c>
      <c r="Q594">
        <v>1.3771500000000001</v>
      </c>
    </row>
    <row r="595" spans="1:17" ht="13" customHeight="1" x14ac:dyDescent="0.15">
      <c r="A595">
        <v>1979</v>
      </c>
      <c r="B595">
        <v>2681.61</v>
      </c>
      <c r="C595">
        <v>1.78332</v>
      </c>
      <c r="D595">
        <v>193.911</v>
      </c>
      <c r="E595">
        <v>521.03499999999997</v>
      </c>
      <c r="F595">
        <v>558.85599999999999</v>
      </c>
      <c r="G595">
        <v>610.30600000000004</v>
      </c>
      <c r="H595">
        <v>387.13600000000002</v>
      </c>
      <c r="I595">
        <v>239.61</v>
      </c>
      <c r="J595">
        <v>55.557400000000001</v>
      </c>
      <c r="K595">
        <v>39.799100000000003</v>
      </c>
      <c r="L595">
        <v>33.812199999999997</v>
      </c>
      <c r="M595">
        <v>20.223600000000001</v>
      </c>
      <c r="N595">
        <v>9.4548299999999994</v>
      </c>
      <c r="O595">
        <v>6.0005699999999997</v>
      </c>
      <c r="P595">
        <v>1.9734</v>
      </c>
      <c r="Q595">
        <v>2.1457999999999999</v>
      </c>
    </row>
    <row r="596" spans="1:17" ht="13" customHeight="1" x14ac:dyDescent="0.15">
      <c r="A596">
        <v>1980</v>
      </c>
      <c r="B596">
        <v>2866.12</v>
      </c>
      <c r="C596">
        <v>0.59216899999999995</v>
      </c>
      <c r="D596">
        <v>263.92500000000001</v>
      </c>
      <c r="E596">
        <v>686.90700000000004</v>
      </c>
      <c r="F596">
        <v>610.44600000000003</v>
      </c>
      <c r="G596">
        <v>492.935</v>
      </c>
      <c r="H596">
        <v>379.56700000000001</v>
      </c>
      <c r="I596">
        <v>216.51</v>
      </c>
      <c r="J596">
        <v>130.71899999999999</v>
      </c>
      <c r="K596">
        <v>30.0928</v>
      </c>
      <c r="L596">
        <v>19.460599999999999</v>
      </c>
      <c r="M596">
        <v>16.234999999999999</v>
      </c>
      <c r="N596">
        <v>9.5887899999999995</v>
      </c>
      <c r="O596">
        <v>4.4471699999999998</v>
      </c>
      <c r="P596">
        <v>2.8019699999999998</v>
      </c>
      <c r="Q596">
        <v>1.8922600000000001</v>
      </c>
    </row>
    <row r="597" spans="1:17" ht="13" customHeight="1" x14ac:dyDescent="0.15">
      <c r="A597">
        <v>1981</v>
      </c>
      <c r="B597">
        <v>3716.66</v>
      </c>
      <c r="C597">
        <v>0.52888599999999997</v>
      </c>
      <c r="D597">
        <v>82.3125</v>
      </c>
      <c r="E597">
        <v>1177.5899999999999</v>
      </c>
      <c r="F597">
        <v>1133.29</v>
      </c>
      <c r="G597">
        <v>581.37300000000005</v>
      </c>
      <c r="H597">
        <v>307.22699999999998</v>
      </c>
      <c r="I597">
        <v>206.12</v>
      </c>
      <c r="J597">
        <v>115.893</v>
      </c>
      <c r="K597">
        <v>69.946600000000004</v>
      </c>
      <c r="L597">
        <v>15.3553</v>
      </c>
      <c r="M597">
        <v>9.7921099999999992</v>
      </c>
      <c r="N597">
        <v>8.0667600000000004</v>
      </c>
      <c r="O597">
        <v>4.7264499999999998</v>
      </c>
      <c r="P597">
        <v>2.1761900000000001</v>
      </c>
      <c r="Q597">
        <v>2.2651500000000002</v>
      </c>
    </row>
    <row r="598" spans="1:17" ht="13" customHeight="1" x14ac:dyDescent="0.15">
      <c r="A598">
        <v>1982</v>
      </c>
      <c r="B598">
        <v>5123.6899999999996</v>
      </c>
      <c r="C598">
        <v>0.227605</v>
      </c>
      <c r="D598">
        <v>76.590699999999998</v>
      </c>
      <c r="E598">
        <v>357.13400000000001</v>
      </c>
      <c r="F598">
        <v>2642.53</v>
      </c>
      <c r="G598">
        <v>1233.1600000000001</v>
      </c>
      <c r="H598">
        <v>378.26600000000002</v>
      </c>
      <c r="I598">
        <v>183.38900000000001</v>
      </c>
      <c r="J598">
        <v>121.185</v>
      </c>
      <c r="K598">
        <v>68.197699999999998</v>
      </c>
      <c r="L598">
        <v>39.626199999999997</v>
      </c>
      <c r="M598">
        <v>8.5935500000000005</v>
      </c>
      <c r="N598">
        <v>5.4114800000000001</v>
      </c>
      <c r="O598">
        <v>4.4224600000000001</v>
      </c>
      <c r="P598">
        <v>2.5724200000000002</v>
      </c>
      <c r="Q598">
        <v>2.3785400000000001</v>
      </c>
    </row>
    <row r="599" spans="1:17" ht="13" customHeight="1" x14ac:dyDescent="0.15">
      <c r="A599">
        <v>1983</v>
      </c>
      <c r="B599">
        <v>5842.63</v>
      </c>
      <c r="C599">
        <v>0.58758100000000002</v>
      </c>
      <c r="D599">
        <v>40.810400000000001</v>
      </c>
      <c r="E599">
        <v>341.69799999999998</v>
      </c>
      <c r="F599">
        <v>965.47500000000002</v>
      </c>
      <c r="G599">
        <v>3027.72</v>
      </c>
      <c r="H599">
        <v>939.39200000000005</v>
      </c>
      <c r="I599">
        <v>248.261</v>
      </c>
      <c r="J599">
        <v>118.262</v>
      </c>
      <c r="K599">
        <v>78.763800000000003</v>
      </c>
      <c r="L599">
        <v>42.893700000000003</v>
      </c>
      <c r="M599">
        <v>24.596800000000002</v>
      </c>
      <c r="N599">
        <v>5.2673699999999997</v>
      </c>
      <c r="O599">
        <v>3.2905000000000002</v>
      </c>
      <c r="P599">
        <v>2.6696399999999998</v>
      </c>
      <c r="Q599">
        <v>2.9425599999999998</v>
      </c>
    </row>
    <row r="600" spans="1:17" ht="13" customHeight="1" x14ac:dyDescent="0.15">
      <c r="A600">
        <v>1984</v>
      </c>
      <c r="B600">
        <v>6535.24</v>
      </c>
      <c r="C600">
        <v>0.128968</v>
      </c>
      <c r="D600">
        <v>103.88800000000001</v>
      </c>
      <c r="E600">
        <v>176.43799999999999</v>
      </c>
      <c r="F600">
        <v>975.73099999999999</v>
      </c>
      <c r="G600">
        <v>1482.71</v>
      </c>
      <c r="H600">
        <v>2782.08</v>
      </c>
      <c r="I600">
        <v>660.505</v>
      </c>
      <c r="J600">
        <v>168.69800000000001</v>
      </c>
      <c r="K600">
        <v>81.721800000000002</v>
      </c>
      <c r="L600">
        <v>51.963900000000002</v>
      </c>
      <c r="M600">
        <v>27.235600000000002</v>
      </c>
      <c r="N600">
        <v>15.4222</v>
      </c>
      <c r="O600">
        <v>3.2763300000000002</v>
      </c>
      <c r="P600">
        <v>2.0318800000000001</v>
      </c>
      <c r="Q600">
        <v>3.4090699999999998</v>
      </c>
    </row>
    <row r="601" spans="1:17" ht="13" customHeight="1" x14ac:dyDescent="0.15">
      <c r="A601">
        <v>1985</v>
      </c>
      <c r="B601">
        <v>6595.52</v>
      </c>
      <c r="C601">
        <v>0.27746500000000002</v>
      </c>
      <c r="D601">
        <v>27.249400000000001</v>
      </c>
      <c r="E601">
        <v>597.39499999999998</v>
      </c>
      <c r="F601">
        <v>452.89699999999999</v>
      </c>
      <c r="G601">
        <v>1343.37</v>
      </c>
      <c r="H601">
        <v>1412.84</v>
      </c>
      <c r="I601">
        <v>2074.9699999999998</v>
      </c>
      <c r="J601">
        <v>449.49299999999999</v>
      </c>
      <c r="K601">
        <v>117.258</v>
      </c>
      <c r="L601">
        <v>54.871000000000002</v>
      </c>
      <c r="M601">
        <v>32.947099999999999</v>
      </c>
      <c r="N601">
        <v>17.052099999999999</v>
      </c>
      <c r="O601">
        <v>9.5788200000000003</v>
      </c>
      <c r="P601">
        <v>2.0202</v>
      </c>
      <c r="Q601">
        <v>3.2934999999999999</v>
      </c>
    </row>
    <row r="602" spans="1:17" ht="13" customHeight="1" x14ac:dyDescent="0.15">
      <c r="A602">
        <v>1986</v>
      </c>
      <c r="B602">
        <v>6999.6</v>
      </c>
      <c r="C602">
        <v>0.10076300000000001</v>
      </c>
      <c r="D602">
        <v>67.152900000000002</v>
      </c>
      <c r="E602">
        <v>166.68100000000001</v>
      </c>
      <c r="F602">
        <v>1668.33</v>
      </c>
      <c r="G602">
        <v>693.16200000000003</v>
      </c>
      <c r="H602">
        <v>1612.33</v>
      </c>
      <c r="I602">
        <v>988.61500000000001</v>
      </c>
      <c r="J602">
        <v>1330.39</v>
      </c>
      <c r="K602">
        <v>318.63200000000001</v>
      </c>
      <c r="L602">
        <v>79.526200000000003</v>
      </c>
      <c r="M602">
        <v>34.579799999999999</v>
      </c>
      <c r="N602">
        <v>20.5032</v>
      </c>
      <c r="O602">
        <v>10.527100000000001</v>
      </c>
      <c r="P602">
        <v>5.8706100000000001</v>
      </c>
      <c r="Q602">
        <v>3.1974499999999999</v>
      </c>
    </row>
    <row r="603" spans="1:17" ht="13" customHeight="1" x14ac:dyDescent="0.15">
      <c r="A603">
        <v>1987</v>
      </c>
      <c r="B603">
        <v>6916.75</v>
      </c>
      <c r="C603">
        <v>4.5247900000000001E-2</v>
      </c>
      <c r="D603">
        <v>25.6373</v>
      </c>
      <c r="E603">
        <v>457.44900000000001</v>
      </c>
      <c r="F603">
        <v>384.48200000000003</v>
      </c>
      <c r="G603">
        <v>2131.81</v>
      </c>
      <c r="H603">
        <v>778.93</v>
      </c>
      <c r="I603">
        <v>1080.3900000000001</v>
      </c>
      <c r="J603">
        <v>698.24199999999996</v>
      </c>
      <c r="K603">
        <v>1055.3599999999999</v>
      </c>
      <c r="L603">
        <v>208.79400000000001</v>
      </c>
      <c r="M603">
        <v>49.792400000000001</v>
      </c>
      <c r="N603">
        <v>21.3796</v>
      </c>
      <c r="O603">
        <v>12.5755</v>
      </c>
      <c r="P603">
        <v>6.40991</v>
      </c>
      <c r="Q603">
        <v>5.4502600000000001</v>
      </c>
    </row>
    <row r="604" spans="1:17" ht="13" customHeight="1" x14ac:dyDescent="0.15">
      <c r="A604">
        <v>1988</v>
      </c>
      <c r="B604">
        <v>7869.09</v>
      </c>
      <c r="C604">
        <v>2.9333100000000001E-2</v>
      </c>
      <c r="D604">
        <v>13.9322</v>
      </c>
      <c r="E604">
        <v>338.40699999999998</v>
      </c>
      <c r="F604">
        <v>1121.55</v>
      </c>
      <c r="G604">
        <v>704.01700000000005</v>
      </c>
      <c r="H604">
        <v>2593.69</v>
      </c>
      <c r="I604">
        <v>751.71900000000005</v>
      </c>
      <c r="J604">
        <v>916.7</v>
      </c>
      <c r="K604">
        <v>522.81799999999998</v>
      </c>
      <c r="L604">
        <v>702.78499999999997</v>
      </c>
      <c r="M604">
        <v>140.42400000000001</v>
      </c>
      <c r="N604">
        <v>33.068100000000001</v>
      </c>
      <c r="O604">
        <v>14.0855</v>
      </c>
      <c r="P604">
        <v>8.2250399999999999</v>
      </c>
      <c r="Q604">
        <v>7.64072</v>
      </c>
    </row>
    <row r="605" spans="1:17" ht="13" customHeight="1" x14ac:dyDescent="0.15">
      <c r="A605">
        <v>1989</v>
      </c>
      <c r="B605">
        <v>7264.42</v>
      </c>
      <c r="C605">
        <v>4.6107500000000003E-2</v>
      </c>
      <c r="D605">
        <v>8.7496600000000004</v>
      </c>
      <c r="E605">
        <v>121.655</v>
      </c>
      <c r="F605">
        <v>500.38600000000002</v>
      </c>
      <c r="G605">
        <v>1663.01</v>
      </c>
      <c r="H605">
        <v>653.07399999999996</v>
      </c>
      <c r="I605">
        <v>2409.0300000000002</v>
      </c>
      <c r="J605">
        <v>491.02800000000002</v>
      </c>
      <c r="K605">
        <v>584.505</v>
      </c>
      <c r="L605">
        <v>302.63600000000002</v>
      </c>
      <c r="M605">
        <v>412.84500000000003</v>
      </c>
      <c r="N605">
        <v>81.4572</v>
      </c>
      <c r="O605">
        <v>19.029399999999999</v>
      </c>
      <c r="P605">
        <v>8.0468899999999994</v>
      </c>
      <c r="Q605">
        <v>8.9239099999999993</v>
      </c>
    </row>
    <row r="606" spans="1:17" ht="13" customHeight="1" x14ac:dyDescent="0.15">
      <c r="A606">
        <v>1990</v>
      </c>
      <c r="B606">
        <v>6563.24</v>
      </c>
      <c r="C606">
        <v>0.18108099999999999</v>
      </c>
      <c r="D606">
        <v>18.035</v>
      </c>
      <c r="E606">
        <v>69.787300000000002</v>
      </c>
      <c r="F606">
        <v>312.59500000000003</v>
      </c>
      <c r="G606">
        <v>838.08699999999999</v>
      </c>
      <c r="H606">
        <v>1814.87</v>
      </c>
      <c r="I606">
        <v>594.904</v>
      </c>
      <c r="J606">
        <v>1622.69</v>
      </c>
      <c r="K606">
        <v>333.995</v>
      </c>
      <c r="L606">
        <v>398.02</v>
      </c>
      <c r="M606">
        <v>205.49100000000001</v>
      </c>
      <c r="N606">
        <v>276.81099999999998</v>
      </c>
      <c r="O606">
        <v>54.181699999999999</v>
      </c>
      <c r="P606">
        <v>12.565799999999999</v>
      </c>
      <c r="Q606">
        <v>11.0235</v>
      </c>
    </row>
    <row r="607" spans="1:17" ht="13" customHeight="1" x14ac:dyDescent="0.15">
      <c r="A607">
        <v>1991</v>
      </c>
      <c r="B607">
        <v>4742.6499999999996</v>
      </c>
      <c r="C607">
        <v>7.6339900000000002E-2</v>
      </c>
      <c r="D607">
        <v>63.637500000000003</v>
      </c>
      <c r="E607">
        <v>90.183300000000003</v>
      </c>
      <c r="F607">
        <v>170.02199999999999</v>
      </c>
      <c r="G607">
        <v>347.78899999999999</v>
      </c>
      <c r="H607">
        <v>581</v>
      </c>
      <c r="I607">
        <v>1390.63</v>
      </c>
      <c r="J607">
        <v>316.10599999999999</v>
      </c>
      <c r="K607">
        <v>965.14200000000005</v>
      </c>
      <c r="L607">
        <v>213.10499999999999</v>
      </c>
      <c r="M607">
        <v>249.15799999999999</v>
      </c>
      <c r="N607">
        <v>134.08799999999999</v>
      </c>
      <c r="O607">
        <v>173.93700000000001</v>
      </c>
      <c r="P607">
        <v>33.912799999999997</v>
      </c>
      <c r="Q607">
        <v>13.8614</v>
      </c>
    </row>
    <row r="608" spans="1:17" ht="13" customHeight="1" x14ac:dyDescent="0.15">
      <c r="A608">
        <v>1992</v>
      </c>
      <c r="B608">
        <v>4099.18</v>
      </c>
      <c r="C608">
        <v>5.6142999999999998E-2</v>
      </c>
      <c r="D608">
        <v>34.473599999999998</v>
      </c>
      <c r="E608">
        <v>716.755</v>
      </c>
      <c r="F608">
        <v>250.84100000000001</v>
      </c>
      <c r="G608">
        <v>188.625</v>
      </c>
      <c r="H608">
        <v>280.245</v>
      </c>
      <c r="I608">
        <v>456.964</v>
      </c>
      <c r="J608">
        <v>861.56700000000001</v>
      </c>
      <c r="K608">
        <v>229.268</v>
      </c>
      <c r="L608">
        <v>614.38199999999995</v>
      </c>
      <c r="M608">
        <v>122.788</v>
      </c>
      <c r="N608">
        <v>147.97999999999999</v>
      </c>
      <c r="O608">
        <v>66.997600000000006</v>
      </c>
      <c r="P608">
        <v>99.674899999999994</v>
      </c>
      <c r="Q608">
        <v>28.560500000000001</v>
      </c>
    </row>
    <row r="609" spans="1:17" ht="13" customHeight="1" x14ac:dyDescent="0.15">
      <c r="A609">
        <v>1993</v>
      </c>
      <c r="B609">
        <v>5583.62</v>
      </c>
      <c r="C609">
        <v>0.10342800000000001</v>
      </c>
      <c r="D609">
        <v>37.710299999999997</v>
      </c>
      <c r="E609">
        <v>441.928</v>
      </c>
      <c r="F609">
        <v>2687.15</v>
      </c>
      <c r="G609">
        <v>391.22500000000002</v>
      </c>
      <c r="H609">
        <v>224.209</v>
      </c>
      <c r="I609">
        <v>278.81900000000002</v>
      </c>
      <c r="J609">
        <v>304.77999999999997</v>
      </c>
      <c r="K609">
        <v>496.14299999999997</v>
      </c>
      <c r="L609">
        <v>123.268</v>
      </c>
      <c r="M609">
        <v>324.49400000000003</v>
      </c>
      <c r="N609">
        <v>70.828800000000001</v>
      </c>
      <c r="O609">
        <v>88.391599999999997</v>
      </c>
      <c r="P609">
        <v>44.257899999999999</v>
      </c>
      <c r="Q609">
        <v>70.308499999999995</v>
      </c>
    </row>
    <row r="610" spans="1:17" ht="13" customHeight="1" x14ac:dyDescent="0.15">
      <c r="A610">
        <v>1994</v>
      </c>
      <c r="B610">
        <v>6152.03</v>
      </c>
      <c r="C610">
        <v>3.2166199999999999E-2</v>
      </c>
      <c r="D610">
        <v>51.633800000000001</v>
      </c>
      <c r="E610">
        <v>157.161</v>
      </c>
      <c r="F610">
        <v>926.94100000000003</v>
      </c>
      <c r="G610">
        <v>3281.06</v>
      </c>
      <c r="H610">
        <v>507.47899999999998</v>
      </c>
      <c r="I610">
        <v>171.077</v>
      </c>
      <c r="J610">
        <v>164.89</v>
      </c>
      <c r="K610">
        <v>219.357</v>
      </c>
      <c r="L610">
        <v>289.05399999999997</v>
      </c>
      <c r="M610">
        <v>74.547499999999999</v>
      </c>
      <c r="N610">
        <v>181.61500000000001</v>
      </c>
      <c r="O610">
        <v>34.9129</v>
      </c>
      <c r="P610">
        <v>38.983800000000002</v>
      </c>
      <c r="Q610">
        <v>53.290500000000002</v>
      </c>
    </row>
    <row r="611" spans="1:17" ht="13" customHeight="1" x14ac:dyDescent="0.15">
      <c r="A611">
        <v>1995</v>
      </c>
      <c r="B611">
        <v>5452.61</v>
      </c>
      <c r="C611">
        <v>1.72631E-2</v>
      </c>
      <c r="D611">
        <v>10.9208</v>
      </c>
      <c r="E611">
        <v>183.078</v>
      </c>
      <c r="F611">
        <v>283.113</v>
      </c>
      <c r="G611">
        <v>1122.72</v>
      </c>
      <c r="H611">
        <v>2769.14</v>
      </c>
      <c r="I611">
        <v>406.77199999999999</v>
      </c>
      <c r="J611">
        <v>120.699</v>
      </c>
      <c r="K611">
        <v>99.964200000000005</v>
      </c>
      <c r="L611">
        <v>103.7</v>
      </c>
      <c r="M611">
        <v>156.857</v>
      </c>
      <c r="N611">
        <v>42.252499999999998</v>
      </c>
      <c r="O611">
        <v>90.618399999999994</v>
      </c>
      <c r="P611">
        <v>15.6168</v>
      </c>
      <c r="Q611">
        <v>47.142200000000003</v>
      </c>
    </row>
    <row r="612" spans="1:17" ht="13" customHeight="1" x14ac:dyDescent="0.15">
      <c r="A612">
        <v>1996</v>
      </c>
      <c r="B612">
        <v>4086.42</v>
      </c>
      <c r="C612">
        <v>2.8395299999999998E-2</v>
      </c>
      <c r="D612">
        <v>16.830200000000001</v>
      </c>
      <c r="E612">
        <v>53.867100000000001</v>
      </c>
      <c r="F612">
        <v>218.262</v>
      </c>
      <c r="G612">
        <v>437.14400000000001</v>
      </c>
      <c r="H612">
        <v>1016.97</v>
      </c>
      <c r="I612">
        <v>1697.24</v>
      </c>
      <c r="J612">
        <v>269.745</v>
      </c>
      <c r="K612">
        <v>67.733099999999993</v>
      </c>
      <c r="L612">
        <v>44.690800000000003</v>
      </c>
      <c r="M612">
        <v>56.836799999999997</v>
      </c>
      <c r="N612">
        <v>86.850700000000003</v>
      </c>
      <c r="O612">
        <v>22.704699999999999</v>
      </c>
      <c r="P612">
        <v>59.422400000000003</v>
      </c>
      <c r="Q612">
        <v>38.092199999999998</v>
      </c>
    </row>
    <row r="613" spans="1:17" ht="13" customHeight="1" x14ac:dyDescent="0.15">
      <c r="A613">
        <v>1997</v>
      </c>
      <c r="B613">
        <v>4014.37</v>
      </c>
      <c r="C613">
        <v>3.8568999999999999E-2</v>
      </c>
      <c r="D613">
        <v>33.322800000000001</v>
      </c>
      <c r="E613">
        <v>47.370199999999997</v>
      </c>
      <c r="F613">
        <v>149.334</v>
      </c>
      <c r="G613">
        <v>842.4</v>
      </c>
      <c r="H613">
        <v>754.99300000000005</v>
      </c>
      <c r="I613">
        <v>861.17600000000004</v>
      </c>
      <c r="J613">
        <v>910.60699999999997</v>
      </c>
      <c r="K613">
        <v>158.96100000000001</v>
      </c>
      <c r="L613">
        <v>46.716200000000001</v>
      </c>
      <c r="M613">
        <v>37.544899999999998</v>
      </c>
      <c r="N613">
        <v>38.742100000000001</v>
      </c>
      <c r="O613">
        <v>64.917400000000001</v>
      </c>
      <c r="P613">
        <v>13.9598</v>
      </c>
      <c r="Q613">
        <v>54.286900000000003</v>
      </c>
    </row>
    <row r="614" spans="1:17" ht="13" customHeight="1" x14ac:dyDescent="0.15">
      <c r="A614">
        <v>1998</v>
      </c>
      <c r="B614">
        <v>4498.04</v>
      </c>
      <c r="C614">
        <v>1.72935E-2</v>
      </c>
      <c r="D614">
        <v>35.5685</v>
      </c>
      <c r="E614">
        <v>160.626</v>
      </c>
      <c r="F614">
        <v>182.39400000000001</v>
      </c>
      <c r="G614">
        <v>385.39400000000001</v>
      </c>
      <c r="H614">
        <v>1686.3</v>
      </c>
      <c r="I614">
        <v>664.36599999999999</v>
      </c>
      <c r="J614">
        <v>603.09500000000003</v>
      </c>
      <c r="K614">
        <v>552.60400000000004</v>
      </c>
      <c r="L614">
        <v>87.258700000000005</v>
      </c>
      <c r="M614">
        <v>25.535699999999999</v>
      </c>
      <c r="N614">
        <v>19.747</v>
      </c>
      <c r="O614">
        <v>21.470099999999999</v>
      </c>
      <c r="P614">
        <v>30.6861</v>
      </c>
      <c r="Q614">
        <v>42.9756</v>
      </c>
    </row>
    <row r="615" spans="1:17" ht="13" customHeight="1" x14ac:dyDescent="0.15">
      <c r="A615">
        <v>1999</v>
      </c>
      <c r="B615">
        <v>5491.02</v>
      </c>
      <c r="C615">
        <v>1.7811799999999999E-2</v>
      </c>
      <c r="D615">
        <v>13.378299999999999</v>
      </c>
      <c r="E615">
        <v>582.72699999999998</v>
      </c>
      <c r="F615">
        <v>598.75099999999998</v>
      </c>
      <c r="G615">
        <v>364.24099999999999</v>
      </c>
      <c r="H615">
        <v>596.51499999999999</v>
      </c>
      <c r="I615">
        <v>1935.07</v>
      </c>
      <c r="J615">
        <v>667.09400000000005</v>
      </c>
      <c r="K615">
        <v>345.30200000000002</v>
      </c>
      <c r="L615">
        <v>282.72199999999998</v>
      </c>
      <c r="M615">
        <v>43.798900000000003</v>
      </c>
      <c r="N615">
        <v>14.434100000000001</v>
      </c>
      <c r="O615">
        <v>8.3848400000000005</v>
      </c>
      <c r="P615">
        <v>8.1192600000000006</v>
      </c>
      <c r="Q615">
        <v>30.468399999999999</v>
      </c>
    </row>
    <row r="616" spans="1:17" ht="13" customHeight="1" x14ac:dyDescent="0.15">
      <c r="A616">
        <v>2000</v>
      </c>
      <c r="B616">
        <v>4878.72</v>
      </c>
      <c r="C616">
        <v>2.0768399999999999E-2</v>
      </c>
      <c r="D616">
        <v>12.484500000000001</v>
      </c>
      <c r="E616">
        <v>116.127</v>
      </c>
      <c r="F616">
        <v>914.45799999999997</v>
      </c>
      <c r="G616">
        <v>919.49400000000003</v>
      </c>
      <c r="H616">
        <v>349.89499999999998</v>
      </c>
      <c r="I616">
        <v>578.21400000000006</v>
      </c>
      <c r="J616">
        <v>1270.5</v>
      </c>
      <c r="K616">
        <v>359.78899999999999</v>
      </c>
      <c r="L616">
        <v>156.10400000000001</v>
      </c>
      <c r="M616">
        <v>139.417</v>
      </c>
      <c r="N616">
        <v>23.644100000000002</v>
      </c>
      <c r="O616">
        <v>6.6583600000000001</v>
      </c>
      <c r="P616">
        <v>5.93513</v>
      </c>
      <c r="Q616">
        <v>25.978400000000001</v>
      </c>
    </row>
    <row r="617" spans="1:17" ht="13" customHeight="1" x14ac:dyDescent="0.15">
      <c r="A617">
        <v>2001</v>
      </c>
      <c r="B617">
        <v>6278.07</v>
      </c>
      <c r="C617">
        <v>3.0768199999999999E-2</v>
      </c>
      <c r="D617">
        <v>17.747699999999998</v>
      </c>
      <c r="E617">
        <v>89.188000000000002</v>
      </c>
      <c r="F617">
        <v>360.36700000000002</v>
      </c>
      <c r="G617">
        <v>1776.46</v>
      </c>
      <c r="H617">
        <v>1499.02</v>
      </c>
      <c r="I617">
        <v>594.84799999999996</v>
      </c>
      <c r="J617">
        <v>540.02499999999998</v>
      </c>
      <c r="K617">
        <v>833.42600000000004</v>
      </c>
      <c r="L617">
        <v>259.58100000000002</v>
      </c>
      <c r="M617">
        <v>145.53899999999999</v>
      </c>
      <c r="N617">
        <v>114.14700000000001</v>
      </c>
      <c r="O617">
        <v>20.348800000000001</v>
      </c>
      <c r="P617">
        <v>5.2910399999999997</v>
      </c>
      <c r="Q617">
        <v>22.049800000000001</v>
      </c>
    </row>
    <row r="618" spans="1:17" ht="13" customHeight="1" x14ac:dyDescent="0.15">
      <c r="A618">
        <v>2002</v>
      </c>
      <c r="B618">
        <v>5470.86</v>
      </c>
      <c r="C618">
        <v>1.8736699999999998E-2</v>
      </c>
      <c r="D618">
        <v>33.921700000000001</v>
      </c>
      <c r="E618">
        <v>153.96199999999999</v>
      </c>
      <c r="F618">
        <v>369.62</v>
      </c>
      <c r="G618">
        <v>687.10799999999995</v>
      </c>
      <c r="H618">
        <v>1880.68</v>
      </c>
      <c r="I618">
        <v>950.03399999999999</v>
      </c>
      <c r="J618">
        <v>350.72800000000001</v>
      </c>
      <c r="K618">
        <v>308.404</v>
      </c>
      <c r="L618">
        <v>411.16899999999998</v>
      </c>
      <c r="M618">
        <v>154.47300000000001</v>
      </c>
      <c r="N618">
        <v>81.624300000000005</v>
      </c>
      <c r="O618">
        <v>65.952699999999993</v>
      </c>
      <c r="P618">
        <v>8.8166700000000002</v>
      </c>
      <c r="Q618">
        <v>14.3491</v>
      </c>
    </row>
    <row r="619" spans="1:17" ht="13" customHeight="1" x14ac:dyDescent="0.15">
      <c r="A619">
        <v>2003</v>
      </c>
      <c r="B619">
        <v>5055.9399999999996</v>
      </c>
      <c r="C619">
        <v>1.0304799999999999E-2</v>
      </c>
      <c r="D619">
        <v>17.549700000000001</v>
      </c>
      <c r="E619">
        <v>559.17499999999995</v>
      </c>
      <c r="F619">
        <v>582.87099999999998</v>
      </c>
      <c r="G619">
        <v>794.26599999999996</v>
      </c>
      <c r="H619">
        <v>817.21900000000005</v>
      </c>
      <c r="I619">
        <v>1055.1099999999999</v>
      </c>
      <c r="J619">
        <v>514.68499999999995</v>
      </c>
      <c r="K619">
        <v>170.65199999999999</v>
      </c>
      <c r="L619">
        <v>142.71</v>
      </c>
      <c r="M619">
        <v>239.078</v>
      </c>
      <c r="N619">
        <v>76.525199999999998</v>
      </c>
      <c r="O619">
        <v>43.313400000000001</v>
      </c>
      <c r="P619">
        <v>28.808900000000001</v>
      </c>
      <c r="Q619">
        <v>13.963900000000001</v>
      </c>
    </row>
    <row r="620" spans="1:17" ht="13" customHeight="1" x14ac:dyDescent="0.15">
      <c r="A620">
        <v>2004</v>
      </c>
      <c r="B620">
        <v>5692.18</v>
      </c>
      <c r="C620">
        <v>4.6789500000000003E-3</v>
      </c>
      <c r="D620">
        <v>4.2483500000000003</v>
      </c>
      <c r="E620">
        <v>153.274</v>
      </c>
      <c r="F620">
        <v>1798.18</v>
      </c>
      <c r="G620">
        <v>1206.1400000000001</v>
      </c>
      <c r="H620">
        <v>758.40099999999995</v>
      </c>
      <c r="I620">
        <v>581.51499999999999</v>
      </c>
      <c r="J620">
        <v>557.41499999999996</v>
      </c>
      <c r="K620">
        <v>243.44399999999999</v>
      </c>
      <c r="L620">
        <v>84.284099999999995</v>
      </c>
      <c r="M620">
        <v>78.271699999999996</v>
      </c>
      <c r="N620">
        <v>134.571</v>
      </c>
      <c r="O620">
        <v>48.855200000000004</v>
      </c>
      <c r="P620">
        <v>22.4377</v>
      </c>
      <c r="Q620">
        <v>21.1462</v>
      </c>
    </row>
    <row r="621" spans="1:17" ht="13" customHeight="1" x14ac:dyDescent="0.15">
      <c r="A621">
        <v>2005</v>
      </c>
      <c r="B621">
        <v>6166.49</v>
      </c>
      <c r="C621">
        <v>3.2014500000000002E-3</v>
      </c>
      <c r="D621">
        <v>4.4830300000000003</v>
      </c>
      <c r="E621">
        <v>83.839799999999997</v>
      </c>
      <c r="F621">
        <v>771.49699999999996</v>
      </c>
      <c r="G621">
        <v>2341.6799999999998</v>
      </c>
      <c r="H621">
        <v>1492.38</v>
      </c>
      <c r="I621">
        <v>584.28599999999994</v>
      </c>
      <c r="J621">
        <v>270.48</v>
      </c>
      <c r="K621">
        <v>272.012</v>
      </c>
      <c r="L621">
        <v>115.062</v>
      </c>
      <c r="M621">
        <v>48.845399999999998</v>
      </c>
      <c r="N621">
        <v>48.892299999999999</v>
      </c>
      <c r="O621">
        <v>82.760499999999993</v>
      </c>
      <c r="P621">
        <v>23.225100000000001</v>
      </c>
      <c r="Q621">
        <v>27.045300000000001</v>
      </c>
    </row>
    <row r="622" spans="1:17" ht="13" customHeight="1" x14ac:dyDescent="0.15">
      <c r="A622">
        <v>2006</v>
      </c>
      <c r="B622">
        <v>5383.04</v>
      </c>
      <c r="C622">
        <v>8.3385899999999999E-3</v>
      </c>
      <c r="D622">
        <v>2.7046399999999999</v>
      </c>
      <c r="E622">
        <v>65.007000000000005</v>
      </c>
      <c r="F622">
        <v>426.34399999999999</v>
      </c>
      <c r="G622">
        <v>1322.61</v>
      </c>
      <c r="H622">
        <v>1750.54</v>
      </c>
      <c r="I622">
        <v>886.93299999999999</v>
      </c>
      <c r="J622">
        <v>356.57600000000002</v>
      </c>
      <c r="K622">
        <v>170.24199999999999</v>
      </c>
      <c r="L622">
        <v>158.434</v>
      </c>
      <c r="M622">
        <v>84.134699999999995</v>
      </c>
      <c r="N622">
        <v>32.467399999999998</v>
      </c>
      <c r="O622">
        <v>31.9512</v>
      </c>
      <c r="P622">
        <v>57.867400000000004</v>
      </c>
      <c r="Q622">
        <v>37.220300000000002</v>
      </c>
    </row>
    <row r="623" spans="1:17" ht="13" customHeight="1" x14ac:dyDescent="0.15">
      <c r="A623">
        <v>2007</v>
      </c>
      <c r="B623">
        <v>4392.96</v>
      </c>
      <c r="C623">
        <v>1.62986E-2</v>
      </c>
      <c r="D623">
        <v>6.1307200000000002</v>
      </c>
      <c r="E623">
        <v>46.249299999999998</v>
      </c>
      <c r="F623">
        <v>188.48</v>
      </c>
      <c r="G623">
        <v>753.89200000000005</v>
      </c>
      <c r="H623">
        <v>1322.42</v>
      </c>
      <c r="I623">
        <v>1019.18</v>
      </c>
      <c r="J623">
        <v>505.98500000000001</v>
      </c>
      <c r="K623">
        <v>196.649</v>
      </c>
      <c r="L623">
        <v>97.580699999999993</v>
      </c>
      <c r="M623">
        <v>101.23399999999999</v>
      </c>
      <c r="N623">
        <v>56.708199999999998</v>
      </c>
      <c r="O623">
        <v>19.404199999999999</v>
      </c>
      <c r="P623">
        <v>23.438199999999998</v>
      </c>
      <c r="Q623">
        <v>55.585000000000001</v>
      </c>
    </row>
    <row r="624" spans="1:17" ht="13" customHeight="1" x14ac:dyDescent="0.15">
      <c r="A624">
        <v>2008</v>
      </c>
      <c r="B624">
        <v>3112.29</v>
      </c>
      <c r="C624">
        <v>8.51588E-3</v>
      </c>
      <c r="D624">
        <v>14.5861</v>
      </c>
      <c r="E624">
        <v>61.197800000000001</v>
      </c>
      <c r="F624">
        <v>122.657</v>
      </c>
      <c r="G624">
        <v>301.12099999999998</v>
      </c>
      <c r="H624">
        <v>783.22799999999995</v>
      </c>
      <c r="I624">
        <v>701.95600000000002</v>
      </c>
      <c r="J624">
        <v>532.33100000000002</v>
      </c>
      <c r="K624">
        <v>276.91899999999998</v>
      </c>
      <c r="L624">
        <v>106.685</v>
      </c>
      <c r="M624">
        <v>58.7926</v>
      </c>
      <c r="N624">
        <v>62.868600000000001</v>
      </c>
      <c r="O624">
        <v>33.251100000000001</v>
      </c>
      <c r="P624">
        <v>12.876099999999999</v>
      </c>
      <c r="Q624">
        <v>43.8155</v>
      </c>
    </row>
    <row r="625" spans="1:17" ht="13" customHeight="1" x14ac:dyDescent="0.15">
      <c r="A625">
        <v>2009</v>
      </c>
      <c r="B625">
        <v>3042.77</v>
      </c>
      <c r="C625">
        <v>3.6644099999999999E-2</v>
      </c>
      <c r="D625">
        <v>4.3215300000000001</v>
      </c>
      <c r="E625">
        <v>165.779</v>
      </c>
      <c r="F625">
        <v>370.40199999999999</v>
      </c>
      <c r="G625">
        <v>201.96600000000001</v>
      </c>
      <c r="H625">
        <v>361.90800000000002</v>
      </c>
      <c r="I625">
        <v>498.24900000000002</v>
      </c>
      <c r="J625">
        <v>461.91199999999998</v>
      </c>
      <c r="K625">
        <v>444.79500000000002</v>
      </c>
      <c r="L625">
        <v>229.03200000000001</v>
      </c>
      <c r="M625">
        <v>101.916</v>
      </c>
      <c r="N625">
        <v>51.722799999999999</v>
      </c>
      <c r="O625">
        <v>57.202300000000001</v>
      </c>
      <c r="P625">
        <v>33.631799999999998</v>
      </c>
      <c r="Q625">
        <v>59.8979</v>
      </c>
    </row>
    <row r="626" spans="1:17" ht="13" customHeight="1" x14ac:dyDescent="0.15">
      <c r="A626">
        <v>2010</v>
      </c>
      <c r="B626">
        <v>3586.01</v>
      </c>
      <c r="C626">
        <v>0.111261</v>
      </c>
      <c r="D626">
        <v>23.166</v>
      </c>
      <c r="E626">
        <v>62.407299999999999</v>
      </c>
      <c r="F626">
        <v>1170.6099999999999</v>
      </c>
      <c r="G626">
        <v>661.45</v>
      </c>
      <c r="H626">
        <v>255.16800000000001</v>
      </c>
      <c r="I626">
        <v>254.07400000000001</v>
      </c>
      <c r="J626">
        <v>321.55500000000001</v>
      </c>
      <c r="K626">
        <v>285.27300000000002</v>
      </c>
      <c r="L626">
        <v>252.86699999999999</v>
      </c>
      <c r="M626">
        <v>128.12799999999999</v>
      </c>
      <c r="N626">
        <v>59.219700000000003</v>
      </c>
      <c r="O626">
        <v>31.649000000000001</v>
      </c>
      <c r="P626">
        <v>33.242199999999997</v>
      </c>
      <c r="Q626">
        <v>47.080800000000004</v>
      </c>
    </row>
    <row r="627" spans="1:17" ht="13" customHeight="1" x14ac:dyDescent="0.15">
      <c r="A627">
        <v>2011</v>
      </c>
      <c r="B627">
        <v>3968.47</v>
      </c>
      <c r="C627">
        <v>3.7463000000000003E-2</v>
      </c>
      <c r="D627">
        <v>10.5238</v>
      </c>
      <c r="E627">
        <v>167.34</v>
      </c>
      <c r="F627">
        <v>210.72499999999999</v>
      </c>
      <c r="G627">
        <v>1867.19</v>
      </c>
      <c r="H627">
        <v>755.57299999999998</v>
      </c>
      <c r="I627">
        <v>197.55699999999999</v>
      </c>
      <c r="J627">
        <v>158.19300000000001</v>
      </c>
      <c r="K627">
        <v>167.642</v>
      </c>
      <c r="L627">
        <v>155.113</v>
      </c>
      <c r="M627">
        <v>124.57899999999999</v>
      </c>
      <c r="N627">
        <v>63.821800000000003</v>
      </c>
      <c r="O627">
        <v>33.787100000000002</v>
      </c>
      <c r="P627">
        <v>14.0275</v>
      </c>
      <c r="Q627">
        <v>42.365299999999998</v>
      </c>
    </row>
    <row r="628" spans="1:17" ht="13" customHeight="1" x14ac:dyDescent="0.15">
      <c r="A628">
        <v>2012</v>
      </c>
      <c r="B628">
        <v>4044.08</v>
      </c>
      <c r="C628">
        <v>3.0047500000000001E-2</v>
      </c>
      <c r="D628">
        <v>6.0855300000000003</v>
      </c>
      <c r="E628">
        <v>93.575599999999994</v>
      </c>
      <c r="F628">
        <v>1204.28</v>
      </c>
      <c r="G628">
        <v>386.47899999999998</v>
      </c>
      <c r="H628">
        <v>1334.16</v>
      </c>
      <c r="I628">
        <v>447.11500000000001</v>
      </c>
      <c r="J628">
        <v>126.536</v>
      </c>
      <c r="K628">
        <v>88.901600000000002</v>
      </c>
      <c r="L628">
        <v>101.929</v>
      </c>
      <c r="M628">
        <v>93.527299999999997</v>
      </c>
      <c r="N628">
        <v>73.197100000000006</v>
      </c>
      <c r="O628">
        <v>38.3003</v>
      </c>
      <c r="P628">
        <v>18.1693</v>
      </c>
      <c r="Q628">
        <v>31.803799999999999</v>
      </c>
    </row>
    <row r="629" spans="1:17" ht="13" customHeight="1" x14ac:dyDescent="0.15">
      <c r="A629">
        <v>2013</v>
      </c>
      <c r="B629">
        <v>4373.33</v>
      </c>
      <c r="C629">
        <v>0.54007700000000003</v>
      </c>
      <c r="D629">
        <v>3.64527</v>
      </c>
      <c r="E629">
        <v>63.527000000000001</v>
      </c>
      <c r="F629">
        <v>516.67100000000005</v>
      </c>
      <c r="G629">
        <v>1886.67</v>
      </c>
      <c r="H629">
        <v>513.31799999999998</v>
      </c>
      <c r="I629">
        <v>723.02599999999995</v>
      </c>
      <c r="J629">
        <v>293.56</v>
      </c>
      <c r="K629">
        <v>77.567999999999998</v>
      </c>
      <c r="L629">
        <v>62.745699999999999</v>
      </c>
      <c r="M629">
        <v>69.722300000000004</v>
      </c>
      <c r="N629">
        <v>59.324800000000003</v>
      </c>
      <c r="O629">
        <v>48.404699999999998</v>
      </c>
      <c r="P629">
        <v>26.504000000000001</v>
      </c>
      <c r="Q629">
        <v>28.1082</v>
      </c>
    </row>
    <row r="630" spans="1:17" ht="13" customHeight="1" x14ac:dyDescent="0.15">
      <c r="A630">
        <v>2014</v>
      </c>
      <c r="B630">
        <v>5212.37</v>
      </c>
      <c r="C630">
        <v>4.1543200000000002E-2</v>
      </c>
      <c r="D630">
        <v>29.5242</v>
      </c>
      <c r="E630">
        <v>59.447400000000002</v>
      </c>
      <c r="F630">
        <v>343.54</v>
      </c>
      <c r="G630">
        <v>1025.25</v>
      </c>
      <c r="H630">
        <v>2368.9499999999998</v>
      </c>
      <c r="I630">
        <v>679.12900000000002</v>
      </c>
      <c r="J630">
        <v>428.02499999999998</v>
      </c>
      <c r="K630">
        <v>122.503</v>
      </c>
      <c r="L630">
        <v>35.3752</v>
      </c>
      <c r="M630">
        <v>25.9236</v>
      </c>
      <c r="N630">
        <v>28.359300000000001</v>
      </c>
      <c r="O630">
        <v>25.594000000000001</v>
      </c>
      <c r="P630">
        <v>19.556100000000001</v>
      </c>
      <c r="Q630">
        <v>21.1571</v>
      </c>
    </row>
    <row r="631" spans="1:17" ht="13" customHeight="1" x14ac:dyDescent="0.15">
      <c r="A631">
        <v>2015</v>
      </c>
      <c r="B631">
        <v>5453.18</v>
      </c>
      <c r="C631">
        <v>4.0900300000000001E-2</v>
      </c>
      <c r="D631">
        <v>12.6061</v>
      </c>
      <c r="E631">
        <v>690.60900000000004</v>
      </c>
      <c r="F631">
        <v>324.92500000000001</v>
      </c>
      <c r="G631">
        <v>541.78200000000004</v>
      </c>
      <c r="H631">
        <v>1143.95</v>
      </c>
      <c r="I631">
        <v>1944.93</v>
      </c>
      <c r="J631">
        <v>363.74700000000001</v>
      </c>
      <c r="K631">
        <v>241.143</v>
      </c>
      <c r="L631">
        <v>90.501800000000003</v>
      </c>
      <c r="M631">
        <v>22.508900000000001</v>
      </c>
      <c r="N631">
        <v>16.145</v>
      </c>
      <c r="O631">
        <v>17.637699999999999</v>
      </c>
      <c r="P631">
        <v>16.1251</v>
      </c>
      <c r="Q631">
        <v>26.5228</v>
      </c>
    </row>
    <row r="632" spans="1:17" ht="13" customHeight="1" x14ac:dyDescent="0.15">
      <c r="A632">
        <v>2016</v>
      </c>
      <c r="B632">
        <v>5833.37</v>
      </c>
      <c r="C632">
        <v>4.2672000000000002E-2</v>
      </c>
      <c r="D632">
        <v>7.1636699999999998</v>
      </c>
      <c r="E632">
        <v>325.44299999999998</v>
      </c>
      <c r="F632">
        <v>1697.03</v>
      </c>
      <c r="G632">
        <v>410.86799999999999</v>
      </c>
      <c r="H632">
        <v>698.25099999999998</v>
      </c>
      <c r="I632">
        <v>766.62699999999995</v>
      </c>
      <c r="J632">
        <v>1375.9</v>
      </c>
      <c r="K632">
        <v>238.28299999999999</v>
      </c>
      <c r="L632">
        <v>205.19800000000001</v>
      </c>
      <c r="M632">
        <v>52.6631</v>
      </c>
      <c r="N632">
        <v>12.8423</v>
      </c>
      <c r="O632">
        <v>9.3623100000000008</v>
      </c>
      <c r="P632">
        <v>10.1128</v>
      </c>
      <c r="Q632">
        <v>23.5791</v>
      </c>
    </row>
    <row r="634" spans="1:17" ht="13" customHeight="1" x14ac:dyDescent="0.15">
      <c r="A634" t="s">
        <v>539</v>
      </c>
    </row>
    <row r="635" spans="1:17" ht="13" customHeight="1" x14ac:dyDescent="0.15">
      <c r="A635" t="s">
        <v>540</v>
      </c>
      <c r="B635">
        <v>0.54773700000000003</v>
      </c>
    </row>
    <row r="636" spans="1:17" ht="13" customHeight="1" x14ac:dyDescent="0.15">
      <c r="A636" t="s">
        <v>295</v>
      </c>
      <c r="B636">
        <v>1.2351399999999999</v>
      </c>
    </row>
    <row r="637" spans="1:17" ht="13" customHeight="1" x14ac:dyDescent="0.15">
      <c r="A637" t="s">
        <v>541</v>
      </c>
      <c r="B637" s="1">
        <v>28.061699999999998</v>
      </c>
    </row>
    <row r="638" spans="1:17" ht="13" customHeight="1" x14ac:dyDescent="0.15">
      <c r="A638" t="s">
        <v>542</v>
      </c>
      <c r="B638" s="1">
        <v>8.2252099999999995E-6</v>
      </c>
    </row>
    <row r="639" spans="1:17" ht="13" customHeight="1" x14ac:dyDescent="0.15">
      <c r="A639" t="s">
        <v>543</v>
      </c>
      <c r="B639">
        <v>30.721599999999999</v>
      </c>
    </row>
    <row r="641" spans="1:2" ht="13" customHeight="1" x14ac:dyDescent="0.15">
      <c r="A641" t="s">
        <v>794</v>
      </c>
      <c r="B641">
        <v>2.2147100000000002</v>
      </c>
    </row>
    <row r="643" spans="1:2" ht="13" customHeight="1" x14ac:dyDescent="0.15">
      <c r="A643" t="s">
        <v>544</v>
      </c>
    </row>
    <row r="644" spans="1:2" ht="13" customHeight="1" x14ac:dyDescent="0.15">
      <c r="A644" t="s">
        <v>545</v>
      </c>
      <c r="B644">
        <v>113.078</v>
      </c>
    </row>
    <row r="645" spans="1:2" ht="13" customHeight="1" x14ac:dyDescent="0.15">
      <c r="A645" t="s">
        <v>546</v>
      </c>
      <c r="B645">
        <v>-1733.17</v>
      </c>
    </row>
    <row r="646" spans="1:2" ht="13" customHeight="1" x14ac:dyDescent="0.15">
      <c r="A646" t="s">
        <v>547</v>
      </c>
      <c r="B646">
        <v>142.99299999999999</v>
      </c>
    </row>
    <row r="647" spans="1:2" ht="13" customHeight="1" x14ac:dyDescent="0.15">
      <c r="A647" t="s">
        <v>548</v>
      </c>
      <c r="B647">
        <v>34.270000000000003</v>
      </c>
    </row>
    <row r="649" spans="1:2" ht="13" customHeight="1" x14ac:dyDescent="0.15">
      <c r="A649" t="s">
        <v>549</v>
      </c>
      <c r="B649" t="s">
        <v>550</v>
      </c>
    </row>
    <row r="650" spans="1:2" ht="13" customHeight="1" x14ac:dyDescent="0.15">
      <c r="A650" t="s">
        <v>551</v>
      </c>
      <c r="B650">
        <v>7.7979599999999998</v>
      </c>
    </row>
    <row r="651" spans="1:2" ht="13" customHeight="1" x14ac:dyDescent="0.15">
      <c r="A651" t="s">
        <v>552</v>
      </c>
      <c r="B651">
        <v>7.0761200000000004</v>
      </c>
    </row>
    <row r="652" spans="1:2" ht="13" customHeight="1" x14ac:dyDescent="0.15">
      <c r="A652" t="s">
        <v>553</v>
      </c>
      <c r="B652">
        <v>18.037500000000001</v>
      </c>
    </row>
    <row r="653" spans="1:2" ht="13" customHeight="1" x14ac:dyDescent="0.15">
      <c r="A653" t="s">
        <v>554</v>
      </c>
      <c r="B653">
        <v>0</v>
      </c>
    </row>
    <row r="654" spans="1:2" ht="13" customHeight="1" x14ac:dyDescent="0.15">
      <c r="A654" t="s">
        <v>555</v>
      </c>
      <c r="B654">
        <v>3.3819900000000001</v>
      </c>
    </row>
    <row r="655" spans="1:2" ht="13" customHeight="1" x14ac:dyDescent="0.15">
      <c r="A655" t="s">
        <v>556</v>
      </c>
      <c r="B655">
        <v>2.52949</v>
      </c>
    </row>
    <row r="656" spans="1:2" ht="13" customHeight="1" x14ac:dyDescent="0.15">
      <c r="A656" t="s">
        <v>557</v>
      </c>
      <c r="B656">
        <v>0</v>
      </c>
    </row>
    <row r="657" spans="1:5" ht="13" customHeight="1" x14ac:dyDescent="0.15">
      <c r="A657" t="s">
        <v>558</v>
      </c>
      <c r="B657">
        <v>6.40428</v>
      </c>
    </row>
    <row r="658" spans="1:5" ht="13" customHeight="1" x14ac:dyDescent="0.15">
      <c r="A658" t="s">
        <v>559</v>
      </c>
      <c r="B658">
        <v>0</v>
      </c>
    </row>
    <row r="659" spans="1:5" ht="13" customHeight="1" x14ac:dyDescent="0.15">
      <c r="A659" t="s">
        <v>560</v>
      </c>
      <c r="B659">
        <v>1.37697</v>
      </c>
    </row>
    <row r="660" spans="1:5" ht="13" customHeight="1" x14ac:dyDescent="0.15">
      <c r="A660" t="s">
        <v>561</v>
      </c>
      <c r="B660">
        <v>70.271199999999993</v>
      </c>
    </row>
    <row r="661" spans="1:5" ht="13" customHeight="1" x14ac:dyDescent="0.15">
      <c r="A661" t="s">
        <v>562</v>
      </c>
      <c r="B661">
        <v>30.479500000000002</v>
      </c>
    </row>
    <row r="662" spans="1:5" ht="13" customHeight="1" x14ac:dyDescent="0.15">
      <c r="A662" t="s">
        <v>563</v>
      </c>
      <c r="B662">
        <v>0.30742999999999998</v>
      </c>
    </row>
    <row r="663" spans="1:5" ht="13" customHeight="1" x14ac:dyDescent="0.15">
      <c r="A663" t="s">
        <v>564</v>
      </c>
      <c r="B663" s="1">
        <v>1.4925400000000001E-13</v>
      </c>
    </row>
    <row r="664" spans="1:5" ht="13" customHeight="1" x14ac:dyDescent="0.15">
      <c r="A664" t="s">
        <v>565</v>
      </c>
      <c r="B664">
        <v>0</v>
      </c>
    </row>
    <row r="665" spans="1:5" ht="13" customHeight="1" x14ac:dyDescent="0.15">
      <c r="A665" t="s">
        <v>566</v>
      </c>
      <c r="B665">
        <v>4.0636099999999999E-4</v>
      </c>
    </row>
    <row r="666" spans="1:5" ht="13" customHeight="1" x14ac:dyDescent="0.15">
      <c r="A666" t="s">
        <v>528</v>
      </c>
      <c r="B666">
        <v>21.330500000000001</v>
      </c>
      <c r="C666">
        <v>14.9321</v>
      </c>
      <c r="D666">
        <v>14.9321</v>
      </c>
      <c r="E666" t="s">
        <v>113</v>
      </c>
    </row>
    <row r="667" spans="1:5" ht="13" customHeight="1" x14ac:dyDescent="0.15">
      <c r="A667" t="s">
        <v>529</v>
      </c>
      <c r="B667">
        <v>0</v>
      </c>
    </row>
    <row r="669" spans="1:5" ht="13" customHeight="1" x14ac:dyDescent="0.15">
      <c r="A669" t="s">
        <v>567</v>
      </c>
    </row>
    <row r="670" spans="1:5" ht="13" customHeight="1" x14ac:dyDescent="0.15">
      <c r="A670" t="s">
        <v>568</v>
      </c>
      <c r="B670">
        <v>29044.9</v>
      </c>
    </row>
    <row r="671" spans="1:5" ht="13" customHeight="1" x14ac:dyDescent="0.15">
      <c r="A671" t="s">
        <v>569</v>
      </c>
      <c r="B671">
        <v>29206.1</v>
      </c>
    </row>
    <row r="673" spans="1:54" ht="13" customHeight="1" x14ac:dyDescent="0.15">
      <c r="A673" t="s">
        <v>120</v>
      </c>
    </row>
    <row r="674" spans="1:54" ht="13" customHeight="1" x14ac:dyDescent="0.15">
      <c r="B674">
        <v>546.53200000000004</v>
      </c>
      <c r="C674">
        <v>647.23599999999999</v>
      </c>
      <c r="D674">
        <v>753.51700000000005</v>
      </c>
      <c r="E674">
        <v>948.58299999999997</v>
      </c>
      <c r="F674">
        <v>1175.1500000000001</v>
      </c>
      <c r="G674">
        <v>1434.76</v>
      </c>
      <c r="H674">
        <v>1668.2</v>
      </c>
      <c r="I674">
        <v>1756.13</v>
      </c>
      <c r="J674">
        <v>1660.15</v>
      </c>
      <c r="K674">
        <v>1392.45</v>
      </c>
      <c r="L674">
        <v>1037.1500000000001</v>
      </c>
      <c r="M674">
        <v>880.41300000000001</v>
      </c>
      <c r="N674">
        <v>888.27300000000002</v>
      </c>
      <c r="O674">
        <v>919.80399999999997</v>
      </c>
      <c r="P674">
        <v>924.94100000000003</v>
      </c>
      <c r="Q674">
        <v>886.53399999999999</v>
      </c>
      <c r="R674">
        <v>989.17200000000003</v>
      </c>
      <c r="S674">
        <v>1631.87</v>
      </c>
      <c r="T674">
        <v>2504.2199999999998</v>
      </c>
      <c r="U674">
        <v>3133.29</v>
      </c>
      <c r="V674">
        <v>3385.19</v>
      </c>
      <c r="W674">
        <v>3674.26</v>
      </c>
      <c r="X674">
        <v>3925.45</v>
      </c>
      <c r="Y674">
        <v>4065.28</v>
      </c>
      <c r="Z674">
        <v>4064.37</v>
      </c>
      <c r="AA674">
        <v>3667.76</v>
      </c>
      <c r="AB674">
        <v>2965.33</v>
      </c>
      <c r="AC674">
        <v>2236.31</v>
      </c>
      <c r="AD674">
        <v>2344.2199999999998</v>
      </c>
      <c r="AE674">
        <v>3202.11</v>
      </c>
      <c r="AF674">
        <v>3497.49</v>
      </c>
      <c r="AG674">
        <v>3703.89</v>
      </c>
      <c r="AH674">
        <v>3713.71</v>
      </c>
      <c r="AI674">
        <v>3512.62</v>
      </c>
      <c r="AJ674">
        <v>3276.86</v>
      </c>
      <c r="AK674">
        <v>3277.46</v>
      </c>
      <c r="AL674">
        <v>3305.64</v>
      </c>
      <c r="AM674">
        <v>3330.25</v>
      </c>
      <c r="AN674">
        <v>3142.97</v>
      </c>
      <c r="AO674">
        <v>3322.4</v>
      </c>
      <c r="AP674">
        <v>3430.44</v>
      </c>
      <c r="AQ674">
        <v>3159.29</v>
      </c>
      <c r="AR674">
        <v>2612.0100000000002</v>
      </c>
      <c r="AS674">
        <v>2196.73</v>
      </c>
      <c r="AT674">
        <v>1640.95</v>
      </c>
      <c r="AU674">
        <v>1797.67</v>
      </c>
      <c r="AV674">
        <v>2028.11</v>
      </c>
      <c r="AW674">
        <v>2480.02</v>
      </c>
      <c r="AX674">
        <v>2903.64</v>
      </c>
      <c r="AY674">
        <v>3242.13</v>
      </c>
      <c r="AZ674">
        <v>3144.28</v>
      </c>
      <c r="BA674">
        <v>3452.93</v>
      </c>
      <c r="BB674">
        <v>4108.45</v>
      </c>
    </row>
    <row r="675" spans="1:54" ht="13" customHeight="1" x14ac:dyDescent="0.15">
      <c r="A675" t="s">
        <v>200</v>
      </c>
    </row>
    <row r="676" spans="1:54" ht="13" customHeight="1" x14ac:dyDescent="0.15"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54" ht="13" customHeight="1" x14ac:dyDescent="0.15"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54" ht="13" customHeight="1" x14ac:dyDescent="0.15"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54" ht="13" customHeight="1" x14ac:dyDescent="0.15"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54" ht="13" customHeight="1" x14ac:dyDescent="0.15"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54" ht="13" customHeight="1" x14ac:dyDescent="0.15"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54" ht="13" customHeight="1" x14ac:dyDescent="0.15"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54" ht="13" customHeight="1" x14ac:dyDescent="0.15"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54" ht="13" customHeight="1" x14ac:dyDescent="0.15"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54" ht="13" customHeight="1" x14ac:dyDescent="0.15"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54" ht="13" customHeight="1" x14ac:dyDescent="0.15"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54" ht="13" customHeight="1" x14ac:dyDescent="0.15">
      <c r="B687" t="s">
        <v>203</v>
      </c>
      <c r="C687" t="s">
        <v>156</v>
      </c>
      <c r="D687" t="s">
        <v>201</v>
      </c>
      <c r="E687" t="s">
        <v>204</v>
      </c>
      <c r="F687" t="s">
        <v>205</v>
      </c>
    </row>
    <row r="688" spans="1:54" ht="13" customHeight="1" x14ac:dyDescent="0.15">
      <c r="B688">
        <v>162.09399999999999</v>
      </c>
      <c r="C688">
        <v>486.28199999999998</v>
      </c>
      <c r="D688">
        <v>810.46900000000005</v>
      </c>
      <c r="E688">
        <v>1134.6600000000001</v>
      </c>
      <c r="F688">
        <v>1458.84</v>
      </c>
      <c r="G688">
        <v>1783.03</v>
      </c>
      <c r="H688">
        <v>2107.2199999999998</v>
      </c>
      <c r="I688">
        <v>2431.41</v>
      </c>
      <c r="J688">
        <v>2755.6</v>
      </c>
      <c r="K688">
        <v>3079.78</v>
      </c>
      <c r="L688">
        <v>3403.97</v>
      </c>
      <c r="M688">
        <v>3728.16</v>
      </c>
      <c r="N688">
        <v>4052.35</v>
      </c>
      <c r="O688">
        <v>4376.53</v>
      </c>
      <c r="P688">
        <v>4700.72</v>
      </c>
      <c r="Q688">
        <v>5024.91</v>
      </c>
      <c r="R688">
        <v>5349.1</v>
      </c>
      <c r="S688">
        <v>5673.28</v>
      </c>
      <c r="T688">
        <v>5997.47</v>
      </c>
      <c r="U688">
        <v>6321.66</v>
      </c>
    </row>
    <row r="689" spans="1:21" ht="13" customHeight="1" x14ac:dyDescent="0.15">
      <c r="B689">
        <v>4604.0200000000004</v>
      </c>
      <c r="C689">
        <v>12230.1</v>
      </c>
      <c r="D689">
        <v>18048.900000000001</v>
      </c>
      <c r="E689">
        <v>22374.3</v>
      </c>
      <c r="F689">
        <v>25472.2</v>
      </c>
      <c r="G689">
        <v>27566.9</v>
      </c>
      <c r="H689">
        <v>28847.599999999999</v>
      </c>
      <c r="I689">
        <v>29473.3</v>
      </c>
      <c r="J689">
        <v>29577.200000000001</v>
      </c>
      <c r="K689">
        <v>29270.7</v>
      </c>
      <c r="L689">
        <v>28646.5</v>
      </c>
      <c r="M689">
        <v>27781.200000000001</v>
      </c>
      <c r="N689">
        <v>26738.3</v>
      </c>
      <c r="O689">
        <v>25569.9</v>
      </c>
      <c r="P689">
        <v>24318.400000000001</v>
      </c>
      <c r="Q689">
        <v>23018.2</v>
      </c>
      <c r="R689">
        <v>21696.7</v>
      </c>
      <c r="S689">
        <v>20376</v>
      </c>
      <c r="T689">
        <v>19073.3</v>
      </c>
      <c r="U689">
        <v>17801.599999999999</v>
      </c>
    </row>
    <row r="690" spans="1:21" ht="13" customHeight="1" x14ac:dyDescent="0.15">
      <c r="A690">
        <v>-168.655</v>
      </c>
      <c r="B690">
        <v>54.640099999999997</v>
      </c>
      <c r="C690">
        <v>1</v>
      </c>
    </row>
    <row r="691" spans="1:21" ht="13" customHeight="1" x14ac:dyDescent="0.15">
      <c r="A691">
        <v>-167.821</v>
      </c>
      <c r="B691">
        <v>54.640099999999997</v>
      </c>
      <c r="C691">
        <v>1</v>
      </c>
    </row>
    <row r="692" spans="1:21" ht="13" customHeight="1" x14ac:dyDescent="0.15">
      <c r="A692">
        <v>-166.988</v>
      </c>
      <c r="B692">
        <v>54.640099999999997</v>
      </c>
      <c r="C692">
        <v>1</v>
      </c>
    </row>
    <row r="693" spans="1:21" ht="13" customHeight="1" x14ac:dyDescent="0.15">
      <c r="A693">
        <v>-166.154</v>
      </c>
      <c r="B693">
        <v>54.640099999999997</v>
      </c>
      <c r="C693">
        <v>1</v>
      </c>
    </row>
    <row r="694" spans="1:21" ht="13" customHeight="1" x14ac:dyDescent="0.15">
      <c r="A694">
        <v>-165.321</v>
      </c>
      <c r="B694">
        <v>54.640099999999997</v>
      </c>
      <c r="C694">
        <v>1</v>
      </c>
    </row>
    <row r="695" spans="1:21" ht="13" customHeight="1" x14ac:dyDescent="0.15">
      <c r="A695">
        <v>-164.488</v>
      </c>
      <c r="B695">
        <v>54.640099999999997</v>
      </c>
      <c r="C695">
        <v>1</v>
      </c>
    </row>
    <row r="696" spans="1:21" ht="13" customHeight="1" x14ac:dyDescent="0.15">
      <c r="A696">
        <v>-163.654</v>
      </c>
      <c r="B696">
        <v>54.640099999999997</v>
      </c>
      <c r="C696">
        <v>1</v>
      </c>
    </row>
    <row r="697" spans="1:21" ht="13" customHeight="1" x14ac:dyDescent="0.15">
      <c r="A697">
        <v>-162.821</v>
      </c>
      <c r="B697">
        <v>54.640099999999997</v>
      </c>
      <c r="C697">
        <v>1</v>
      </c>
    </row>
    <row r="698" spans="1:21" ht="13" customHeight="1" x14ac:dyDescent="0.15">
      <c r="A698">
        <v>-161.98699999999999</v>
      </c>
      <c r="B698">
        <v>54.640099999999997</v>
      </c>
      <c r="C698">
        <v>1</v>
      </c>
    </row>
    <row r="699" spans="1:21" ht="13" customHeight="1" x14ac:dyDescent="0.15">
      <c r="A699">
        <v>-161.154</v>
      </c>
      <c r="B699">
        <v>54.640099999999997</v>
      </c>
      <c r="C699">
        <v>1</v>
      </c>
    </row>
    <row r="700" spans="1:21" ht="13" customHeight="1" x14ac:dyDescent="0.15">
      <c r="A700">
        <v>-160.321</v>
      </c>
      <c r="B700">
        <v>54.640099999999997</v>
      </c>
      <c r="C700">
        <v>1</v>
      </c>
    </row>
    <row r="701" spans="1:21" ht="13" customHeight="1" x14ac:dyDescent="0.15">
      <c r="A701">
        <v>-168.655</v>
      </c>
      <c r="B701">
        <v>54.950899999999997</v>
      </c>
      <c r="C701">
        <v>1</v>
      </c>
    </row>
    <row r="702" spans="1:21" ht="13" customHeight="1" x14ac:dyDescent="0.15">
      <c r="A702">
        <v>-167.821</v>
      </c>
      <c r="B702">
        <v>54.950899999999997</v>
      </c>
      <c r="C702">
        <v>1</v>
      </c>
    </row>
    <row r="703" spans="1:21" ht="13" customHeight="1" x14ac:dyDescent="0.15">
      <c r="A703">
        <v>-166.988</v>
      </c>
      <c r="B703">
        <v>54.950899999999997</v>
      </c>
      <c r="C703">
        <v>1</v>
      </c>
    </row>
    <row r="704" spans="1:21" ht="13" customHeight="1" x14ac:dyDescent="0.15">
      <c r="A704">
        <v>-166.154</v>
      </c>
      <c r="B704">
        <v>54.950899999999997</v>
      </c>
      <c r="C704">
        <v>1</v>
      </c>
    </row>
    <row r="705" spans="1:3" ht="13" customHeight="1" x14ac:dyDescent="0.15">
      <c r="A705">
        <v>-165.321</v>
      </c>
      <c r="B705">
        <v>54.950899999999997</v>
      </c>
      <c r="C705">
        <v>1</v>
      </c>
    </row>
    <row r="706" spans="1:3" ht="13" customHeight="1" x14ac:dyDescent="0.15">
      <c r="A706">
        <v>-164.488</v>
      </c>
      <c r="B706">
        <v>54.950899999999997</v>
      </c>
      <c r="C706">
        <v>1</v>
      </c>
    </row>
    <row r="707" spans="1:3" ht="13" customHeight="1" x14ac:dyDescent="0.15">
      <c r="A707">
        <v>-163.654</v>
      </c>
      <c r="B707">
        <v>54.950899999999997</v>
      </c>
      <c r="C707">
        <v>1</v>
      </c>
    </row>
    <row r="708" spans="1:3" ht="13" customHeight="1" x14ac:dyDescent="0.15">
      <c r="A708">
        <v>-162.821</v>
      </c>
      <c r="B708">
        <v>54.950899999999997</v>
      </c>
      <c r="C708">
        <v>1</v>
      </c>
    </row>
    <row r="709" spans="1:3" ht="13" customHeight="1" x14ac:dyDescent="0.15">
      <c r="A709">
        <v>-161.98699999999999</v>
      </c>
      <c r="B709">
        <v>54.950899999999997</v>
      </c>
      <c r="C709">
        <v>1</v>
      </c>
    </row>
    <row r="710" spans="1:3" ht="13" customHeight="1" x14ac:dyDescent="0.15">
      <c r="A710">
        <v>-161.154</v>
      </c>
      <c r="B710">
        <v>54.950899999999997</v>
      </c>
      <c r="C710">
        <v>1</v>
      </c>
    </row>
    <row r="711" spans="1:3" ht="13" customHeight="1" x14ac:dyDescent="0.15">
      <c r="A711">
        <v>-160.321</v>
      </c>
      <c r="B711">
        <v>54.950899999999997</v>
      </c>
      <c r="C711">
        <v>1</v>
      </c>
    </row>
    <row r="712" spans="1:3" ht="13" customHeight="1" x14ac:dyDescent="0.15">
      <c r="A712">
        <v>-168.655</v>
      </c>
      <c r="B712">
        <v>55.261699999999998</v>
      </c>
      <c r="C712">
        <v>1</v>
      </c>
    </row>
    <row r="713" spans="1:3" ht="13" customHeight="1" x14ac:dyDescent="0.15">
      <c r="A713">
        <v>-167.821</v>
      </c>
      <c r="B713">
        <v>55.261699999999998</v>
      </c>
      <c r="C713">
        <v>1</v>
      </c>
    </row>
    <row r="714" spans="1:3" ht="13" customHeight="1" x14ac:dyDescent="0.15">
      <c r="A714">
        <v>-166.988</v>
      </c>
      <c r="B714">
        <v>55.261699999999998</v>
      </c>
      <c r="C714">
        <v>1</v>
      </c>
    </row>
    <row r="715" spans="1:3" ht="13" customHeight="1" x14ac:dyDescent="0.15">
      <c r="A715">
        <v>-166.154</v>
      </c>
      <c r="B715">
        <v>55.261699999999998</v>
      </c>
      <c r="C715">
        <v>1</v>
      </c>
    </row>
    <row r="716" spans="1:3" ht="13" customHeight="1" x14ac:dyDescent="0.15">
      <c r="A716">
        <v>-165.321</v>
      </c>
      <c r="B716">
        <v>55.261699999999998</v>
      </c>
      <c r="C716">
        <v>1</v>
      </c>
    </row>
    <row r="717" spans="1:3" ht="13" customHeight="1" x14ac:dyDescent="0.15">
      <c r="A717">
        <v>-164.488</v>
      </c>
      <c r="B717">
        <v>55.261699999999998</v>
      </c>
      <c r="C717">
        <v>1</v>
      </c>
    </row>
    <row r="718" spans="1:3" ht="13" customHeight="1" x14ac:dyDescent="0.15">
      <c r="A718">
        <v>-163.654</v>
      </c>
      <c r="B718">
        <v>55.261699999999998</v>
      </c>
      <c r="C718">
        <v>1</v>
      </c>
    </row>
    <row r="719" spans="1:3" ht="13" customHeight="1" x14ac:dyDescent="0.15">
      <c r="A719">
        <v>-162.821</v>
      </c>
      <c r="B719">
        <v>55.261699999999998</v>
      </c>
      <c r="C719">
        <v>1</v>
      </c>
    </row>
    <row r="720" spans="1:3" ht="13" customHeight="1" x14ac:dyDescent="0.15">
      <c r="A720">
        <v>-161.98699999999999</v>
      </c>
      <c r="B720">
        <v>55.261699999999998</v>
      </c>
      <c r="C720">
        <v>1</v>
      </c>
    </row>
    <row r="721" spans="1:3" ht="13" customHeight="1" x14ac:dyDescent="0.15">
      <c r="A721">
        <v>-161.154</v>
      </c>
      <c r="B721">
        <v>55.261699999999998</v>
      </c>
      <c r="C721">
        <v>1</v>
      </c>
    </row>
    <row r="722" spans="1:3" ht="13" customHeight="1" x14ac:dyDescent="0.15">
      <c r="A722">
        <v>-160.321</v>
      </c>
      <c r="B722">
        <v>55.261699999999998</v>
      </c>
      <c r="C722">
        <v>1</v>
      </c>
    </row>
    <row r="723" spans="1:3" ht="13" customHeight="1" x14ac:dyDescent="0.15">
      <c r="A723">
        <v>-168.655</v>
      </c>
      <c r="B723">
        <v>55.572600000000001</v>
      </c>
      <c r="C723">
        <v>1</v>
      </c>
    </row>
    <row r="724" spans="1:3" ht="13" customHeight="1" x14ac:dyDescent="0.15">
      <c r="A724">
        <v>-167.821</v>
      </c>
      <c r="B724">
        <v>55.572600000000001</v>
      </c>
      <c r="C724">
        <v>1</v>
      </c>
    </row>
    <row r="725" spans="1:3" ht="13" customHeight="1" x14ac:dyDescent="0.15">
      <c r="A725">
        <v>-166.988</v>
      </c>
      <c r="B725">
        <v>55.572600000000001</v>
      </c>
      <c r="C725">
        <v>1</v>
      </c>
    </row>
    <row r="726" spans="1:3" ht="13" customHeight="1" x14ac:dyDescent="0.15">
      <c r="A726">
        <v>-166.154</v>
      </c>
      <c r="B726">
        <v>55.572600000000001</v>
      </c>
      <c r="C726">
        <v>1</v>
      </c>
    </row>
    <row r="727" spans="1:3" ht="13" customHeight="1" x14ac:dyDescent="0.15">
      <c r="A727">
        <v>-165.321</v>
      </c>
      <c r="B727">
        <v>55.572600000000001</v>
      </c>
      <c r="C727">
        <v>1</v>
      </c>
    </row>
    <row r="728" spans="1:3" ht="13" customHeight="1" x14ac:dyDescent="0.15">
      <c r="A728">
        <v>-164.488</v>
      </c>
      <c r="B728">
        <v>55.572600000000001</v>
      </c>
      <c r="C728">
        <v>1</v>
      </c>
    </row>
    <row r="729" spans="1:3" ht="13" customHeight="1" x14ac:dyDescent="0.15">
      <c r="A729">
        <v>-163.654</v>
      </c>
      <c r="B729">
        <v>55.572600000000001</v>
      </c>
      <c r="C729">
        <v>1</v>
      </c>
    </row>
    <row r="730" spans="1:3" ht="13" customHeight="1" x14ac:dyDescent="0.15">
      <c r="A730">
        <v>-162.821</v>
      </c>
      <c r="B730">
        <v>55.572600000000001</v>
      </c>
      <c r="C730">
        <v>1</v>
      </c>
    </row>
    <row r="731" spans="1:3" ht="13" customHeight="1" x14ac:dyDescent="0.15">
      <c r="A731">
        <v>-161.98699999999999</v>
      </c>
      <c r="B731">
        <v>55.572600000000001</v>
      </c>
      <c r="C731">
        <v>1</v>
      </c>
    </row>
    <row r="732" spans="1:3" ht="13" customHeight="1" x14ac:dyDescent="0.15">
      <c r="A732">
        <v>-161.154</v>
      </c>
      <c r="B732">
        <v>55.572600000000001</v>
      </c>
      <c r="C732">
        <v>1</v>
      </c>
    </row>
    <row r="733" spans="1:3" ht="13" customHeight="1" x14ac:dyDescent="0.15">
      <c r="A733">
        <v>-160.321</v>
      </c>
      <c r="B733">
        <v>55.572600000000001</v>
      </c>
      <c r="C733">
        <v>1</v>
      </c>
    </row>
    <row r="734" spans="1:3" ht="13" customHeight="1" x14ac:dyDescent="0.15">
      <c r="A734">
        <v>-168.655</v>
      </c>
      <c r="B734">
        <v>55.883400000000002</v>
      </c>
      <c r="C734">
        <v>1</v>
      </c>
    </row>
    <row r="735" spans="1:3" ht="13" customHeight="1" x14ac:dyDescent="0.15">
      <c r="A735">
        <v>-167.821</v>
      </c>
      <c r="B735">
        <v>55.883400000000002</v>
      </c>
      <c r="C735">
        <v>1</v>
      </c>
    </row>
    <row r="736" spans="1:3" ht="13" customHeight="1" x14ac:dyDescent="0.15">
      <c r="A736">
        <v>-166.988</v>
      </c>
      <c r="B736">
        <v>55.883400000000002</v>
      </c>
      <c r="C736">
        <v>1</v>
      </c>
    </row>
    <row r="737" spans="1:3" ht="13" customHeight="1" x14ac:dyDescent="0.15">
      <c r="A737">
        <v>-166.154</v>
      </c>
      <c r="B737">
        <v>55.883400000000002</v>
      </c>
      <c r="C737">
        <v>1</v>
      </c>
    </row>
    <row r="738" spans="1:3" ht="13" customHeight="1" x14ac:dyDescent="0.15">
      <c r="A738">
        <v>-165.321</v>
      </c>
      <c r="B738">
        <v>55.883400000000002</v>
      </c>
      <c r="C738">
        <v>1</v>
      </c>
    </row>
    <row r="739" spans="1:3" ht="13" customHeight="1" x14ac:dyDescent="0.15">
      <c r="A739">
        <v>-164.488</v>
      </c>
      <c r="B739">
        <v>55.883400000000002</v>
      </c>
      <c r="C739">
        <v>1</v>
      </c>
    </row>
    <row r="740" spans="1:3" ht="13" customHeight="1" x14ac:dyDescent="0.15">
      <c r="A740">
        <v>-163.654</v>
      </c>
      <c r="B740">
        <v>55.883400000000002</v>
      </c>
      <c r="C740">
        <v>1</v>
      </c>
    </row>
    <row r="741" spans="1:3" ht="13" customHeight="1" x14ac:dyDescent="0.15">
      <c r="A741">
        <v>-162.821</v>
      </c>
      <c r="B741">
        <v>55.883400000000002</v>
      </c>
      <c r="C741">
        <v>1</v>
      </c>
    </row>
    <row r="742" spans="1:3" ht="13" customHeight="1" x14ac:dyDescent="0.15">
      <c r="A742">
        <v>-161.98699999999999</v>
      </c>
      <c r="B742">
        <v>55.883400000000002</v>
      </c>
      <c r="C742">
        <v>1</v>
      </c>
    </row>
    <row r="743" spans="1:3" ht="13" customHeight="1" x14ac:dyDescent="0.15">
      <c r="A743">
        <v>-161.154</v>
      </c>
      <c r="B743">
        <v>55.883400000000002</v>
      </c>
      <c r="C743">
        <v>1</v>
      </c>
    </row>
    <row r="744" spans="1:3" ht="13" customHeight="1" x14ac:dyDescent="0.15">
      <c r="A744">
        <v>-160.321</v>
      </c>
      <c r="B744">
        <v>55.883400000000002</v>
      </c>
      <c r="C744">
        <v>1</v>
      </c>
    </row>
    <row r="745" spans="1:3" ht="13" customHeight="1" x14ac:dyDescent="0.15">
      <c r="A745">
        <v>-168.655</v>
      </c>
      <c r="B745">
        <v>56.194200000000002</v>
      </c>
      <c r="C745">
        <v>1</v>
      </c>
    </row>
    <row r="746" spans="1:3" ht="13" customHeight="1" x14ac:dyDescent="0.15">
      <c r="A746">
        <v>-167.821</v>
      </c>
      <c r="B746">
        <v>56.194200000000002</v>
      </c>
      <c r="C746">
        <v>1</v>
      </c>
    </row>
    <row r="747" spans="1:3" ht="13" customHeight="1" x14ac:dyDescent="0.15">
      <c r="A747">
        <v>-166.988</v>
      </c>
      <c r="B747">
        <v>56.194200000000002</v>
      </c>
      <c r="C747">
        <v>1</v>
      </c>
    </row>
    <row r="748" spans="1:3" ht="13" customHeight="1" x14ac:dyDescent="0.15">
      <c r="A748">
        <v>-166.154</v>
      </c>
      <c r="B748">
        <v>56.194200000000002</v>
      </c>
      <c r="C748">
        <v>1</v>
      </c>
    </row>
    <row r="749" spans="1:3" ht="13" customHeight="1" x14ac:dyDescent="0.15">
      <c r="A749">
        <v>-165.321</v>
      </c>
      <c r="B749">
        <v>56.194200000000002</v>
      </c>
      <c r="C749">
        <v>1</v>
      </c>
    </row>
    <row r="750" spans="1:3" ht="13" customHeight="1" x14ac:dyDescent="0.15">
      <c r="A750">
        <v>-164.488</v>
      </c>
      <c r="B750">
        <v>56.194200000000002</v>
      </c>
      <c r="C750">
        <v>1</v>
      </c>
    </row>
    <row r="751" spans="1:3" ht="13" customHeight="1" x14ac:dyDescent="0.15">
      <c r="A751">
        <v>-163.654</v>
      </c>
      <c r="B751">
        <v>56.194200000000002</v>
      </c>
      <c r="C751">
        <v>1</v>
      </c>
    </row>
    <row r="752" spans="1:3" ht="13" customHeight="1" x14ac:dyDescent="0.15">
      <c r="A752">
        <v>-162.821</v>
      </c>
      <c r="B752">
        <v>56.194200000000002</v>
      </c>
      <c r="C752">
        <v>1</v>
      </c>
    </row>
    <row r="753" spans="1:3" ht="13" customHeight="1" x14ac:dyDescent="0.15">
      <c r="A753">
        <v>-161.98699999999999</v>
      </c>
      <c r="B753">
        <v>56.194200000000002</v>
      </c>
      <c r="C753">
        <v>1</v>
      </c>
    </row>
    <row r="754" spans="1:3" ht="13" customHeight="1" x14ac:dyDescent="0.15">
      <c r="A754">
        <v>-161.154</v>
      </c>
      <c r="B754">
        <v>56.194200000000002</v>
      </c>
      <c r="C754">
        <v>1</v>
      </c>
    </row>
    <row r="755" spans="1:3" ht="13" customHeight="1" x14ac:dyDescent="0.15">
      <c r="A755">
        <v>-160.321</v>
      </c>
      <c r="B755">
        <v>56.194200000000002</v>
      </c>
      <c r="C755">
        <v>1</v>
      </c>
    </row>
    <row r="756" spans="1:3" ht="13" customHeight="1" x14ac:dyDescent="0.15">
      <c r="A756">
        <v>-168.655</v>
      </c>
      <c r="B756">
        <v>56.505000000000003</v>
      </c>
      <c r="C756">
        <v>1</v>
      </c>
    </row>
    <row r="757" spans="1:3" ht="13" customHeight="1" x14ac:dyDescent="0.15">
      <c r="A757">
        <v>-167.821</v>
      </c>
      <c r="B757">
        <v>56.505000000000003</v>
      </c>
      <c r="C757">
        <v>1</v>
      </c>
    </row>
    <row r="758" spans="1:3" ht="13" customHeight="1" x14ac:dyDescent="0.15">
      <c r="A758">
        <v>-166.988</v>
      </c>
      <c r="B758">
        <v>56.505000000000003</v>
      </c>
      <c r="C758">
        <v>1</v>
      </c>
    </row>
    <row r="759" spans="1:3" ht="13" customHeight="1" x14ac:dyDescent="0.15">
      <c r="A759">
        <v>-166.154</v>
      </c>
      <c r="B759">
        <v>56.505000000000003</v>
      </c>
      <c r="C759">
        <v>1</v>
      </c>
    </row>
    <row r="760" spans="1:3" ht="13" customHeight="1" x14ac:dyDescent="0.15">
      <c r="A760">
        <v>-165.321</v>
      </c>
      <c r="B760">
        <v>56.505000000000003</v>
      </c>
      <c r="C760">
        <v>1</v>
      </c>
    </row>
    <row r="761" spans="1:3" ht="13" customHeight="1" x14ac:dyDescent="0.15">
      <c r="A761">
        <v>-164.488</v>
      </c>
      <c r="B761">
        <v>56.505000000000003</v>
      </c>
      <c r="C761">
        <v>1</v>
      </c>
    </row>
    <row r="762" spans="1:3" ht="13" customHeight="1" x14ac:dyDescent="0.15">
      <c r="A762">
        <v>-163.654</v>
      </c>
      <c r="B762">
        <v>56.505000000000003</v>
      </c>
      <c r="C762">
        <v>1</v>
      </c>
    </row>
    <row r="763" spans="1:3" ht="13" customHeight="1" x14ac:dyDescent="0.15">
      <c r="A763">
        <v>-162.821</v>
      </c>
      <c r="B763">
        <v>56.505000000000003</v>
      </c>
      <c r="C763">
        <v>1</v>
      </c>
    </row>
    <row r="764" spans="1:3" ht="13" customHeight="1" x14ac:dyDescent="0.15">
      <c r="A764">
        <v>-161.98699999999999</v>
      </c>
      <c r="B764">
        <v>56.505000000000003</v>
      </c>
      <c r="C764">
        <v>1</v>
      </c>
    </row>
    <row r="765" spans="1:3" ht="13" customHeight="1" x14ac:dyDescent="0.15">
      <c r="A765">
        <v>-161.154</v>
      </c>
      <c r="B765">
        <v>56.505000000000003</v>
      </c>
      <c r="C765">
        <v>1</v>
      </c>
    </row>
    <row r="766" spans="1:3" ht="13" customHeight="1" x14ac:dyDescent="0.15">
      <c r="A766">
        <v>-160.321</v>
      </c>
      <c r="B766">
        <v>56.505000000000003</v>
      </c>
      <c r="C766">
        <v>1</v>
      </c>
    </row>
    <row r="767" spans="1:3" ht="13" customHeight="1" x14ac:dyDescent="0.15">
      <c r="A767">
        <v>-168.655</v>
      </c>
      <c r="B767">
        <v>56.815800000000003</v>
      </c>
      <c r="C767">
        <v>1</v>
      </c>
    </row>
    <row r="768" spans="1:3" ht="13" customHeight="1" x14ac:dyDescent="0.15">
      <c r="A768">
        <v>-167.821</v>
      </c>
      <c r="B768">
        <v>56.815800000000003</v>
      </c>
      <c r="C768">
        <v>1</v>
      </c>
    </row>
    <row r="769" spans="1:3" ht="13" customHeight="1" x14ac:dyDescent="0.15">
      <c r="A769">
        <v>-166.988</v>
      </c>
      <c r="B769">
        <v>56.815800000000003</v>
      </c>
      <c r="C769">
        <v>1</v>
      </c>
    </row>
    <row r="770" spans="1:3" ht="13" customHeight="1" x14ac:dyDescent="0.15">
      <c r="A770">
        <v>-166.154</v>
      </c>
      <c r="B770">
        <v>56.815800000000003</v>
      </c>
      <c r="C770">
        <v>1</v>
      </c>
    </row>
    <row r="771" spans="1:3" ht="13" customHeight="1" x14ac:dyDescent="0.15">
      <c r="A771">
        <v>-165.321</v>
      </c>
      <c r="B771">
        <v>56.815800000000003</v>
      </c>
      <c r="C771">
        <v>1</v>
      </c>
    </row>
    <row r="772" spans="1:3" ht="13" customHeight="1" x14ac:dyDescent="0.15">
      <c r="A772">
        <v>-164.488</v>
      </c>
      <c r="B772">
        <v>56.815800000000003</v>
      </c>
      <c r="C772">
        <v>1</v>
      </c>
    </row>
    <row r="773" spans="1:3" ht="13" customHeight="1" x14ac:dyDescent="0.15">
      <c r="A773">
        <v>-163.654</v>
      </c>
      <c r="B773">
        <v>56.815800000000003</v>
      </c>
      <c r="C773">
        <v>1</v>
      </c>
    </row>
    <row r="774" spans="1:3" ht="13" customHeight="1" x14ac:dyDescent="0.15">
      <c r="A774">
        <v>-162.821</v>
      </c>
      <c r="B774">
        <v>56.815800000000003</v>
      </c>
      <c r="C774">
        <v>1</v>
      </c>
    </row>
    <row r="775" spans="1:3" ht="13" customHeight="1" x14ac:dyDescent="0.15">
      <c r="A775">
        <v>-161.98699999999999</v>
      </c>
      <c r="B775">
        <v>56.815800000000003</v>
      </c>
      <c r="C775">
        <v>1</v>
      </c>
    </row>
    <row r="776" spans="1:3" ht="13" customHeight="1" x14ac:dyDescent="0.15">
      <c r="A776">
        <v>-161.154</v>
      </c>
      <c r="B776">
        <v>56.815800000000003</v>
      </c>
      <c r="C776">
        <v>1</v>
      </c>
    </row>
    <row r="777" spans="1:3" ht="13" customHeight="1" x14ac:dyDescent="0.15">
      <c r="A777">
        <v>-160.321</v>
      </c>
      <c r="B777">
        <v>56.815800000000003</v>
      </c>
      <c r="C777">
        <v>1</v>
      </c>
    </row>
    <row r="778" spans="1:3" ht="13" customHeight="1" x14ac:dyDescent="0.15">
      <c r="A778">
        <v>-168.655</v>
      </c>
      <c r="B778">
        <v>57.1267</v>
      </c>
      <c r="C778">
        <v>1</v>
      </c>
    </row>
    <row r="779" spans="1:3" ht="13" customHeight="1" x14ac:dyDescent="0.15">
      <c r="A779">
        <v>-167.821</v>
      </c>
      <c r="B779">
        <v>57.1267</v>
      </c>
      <c r="C779">
        <v>1</v>
      </c>
    </row>
    <row r="780" spans="1:3" ht="13" customHeight="1" x14ac:dyDescent="0.15">
      <c r="A780">
        <v>-166.988</v>
      </c>
      <c r="B780">
        <v>57.1267</v>
      </c>
      <c r="C780">
        <v>1</v>
      </c>
    </row>
    <row r="781" spans="1:3" ht="13" customHeight="1" x14ac:dyDescent="0.15">
      <c r="A781">
        <v>-166.154</v>
      </c>
      <c r="B781">
        <v>57.1267</v>
      </c>
      <c r="C781">
        <v>1</v>
      </c>
    </row>
    <row r="782" spans="1:3" ht="13" customHeight="1" x14ac:dyDescent="0.15">
      <c r="A782">
        <v>-165.321</v>
      </c>
      <c r="B782">
        <v>57.1267</v>
      </c>
      <c r="C782">
        <v>1</v>
      </c>
    </row>
    <row r="783" spans="1:3" ht="13" customHeight="1" x14ac:dyDescent="0.15">
      <c r="A783">
        <v>-164.488</v>
      </c>
      <c r="B783">
        <v>57.1267</v>
      </c>
      <c r="C783">
        <v>1</v>
      </c>
    </row>
    <row r="784" spans="1:3" ht="13" customHeight="1" x14ac:dyDescent="0.15">
      <c r="A784">
        <v>-163.654</v>
      </c>
      <c r="B784">
        <v>57.1267</v>
      </c>
      <c r="C784">
        <v>1</v>
      </c>
    </row>
    <row r="785" spans="1:3" ht="13" customHeight="1" x14ac:dyDescent="0.15">
      <c r="A785">
        <v>-162.821</v>
      </c>
      <c r="B785">
        <v>57.1267</v>
      </c>
      <c r="C785">
        <v>1</v>
      </c>
    </row>
    <row r="786" spans="1:3" ht="13" customHeight="1" x14ac:dyDescent="0.15">
      <c r="A786">
        <v>-161.98699999999999</v>
      </c>
      <c r="B786">
        <v>57.1267</v>
      </c>
      <c r="C786">
        <v>1</v>
      </c>
    </row>
    <row r="787" spans="1:3" ht="13" customHeight="1" x14ac:dyDescent="0.15">
      <c r="A787">
        <v>-161.154</v>
      </c>
      <c r="B787">
        <v>57.1267</v>
      </c>
      <c r="C787">
        <v>1</v>
      </c>
    </row>
    <row r="788" spans="1:3" ht="13" customHeight="1" x14ac:dyDescent="0.15">
      <c r="A788">
        <v>-160.321</v>
      </c>
      <c r="B788">
        <v>57.1267</v>
      </c>
      <c r="C788">
        <v>1</v>
      </c>
    </row>
    <row r="789" spans="1:3" ht="13" customHeight="1" x14ac:dyDescent="0.15">
      <c r="A789">
        <v>-168.655</v>
      </c>
      <c r="B789">
        <v>57.4375</v>
      </c>
      <c r="C789">
        <v>1</v>
      </c>
    </row>
    <row r="790" spans="1:3" ht="13" customHeight="1" x14ac:dyDescent="0.15">
      <c r="A790">
        <v>-167.821</v>
      </c>
      <c r="B790">
        <v>57.4375</v>
      </c>
      <c r="C790">
        <v>1</v>
      </c>
    </row>
    <row r="791" spans="1:3" ht="13" customHeight="1" x14ac:dyDescent="0.15">
      <c r="A791">
        <v>-166.988</v>
      </c>
      <c r="B791">
        <v>57.4375</v>
      </c>
      <c r="C791">
        <v>1</v>
      </c>
    </row>
    <row r="792" spans="1:3" ht="13" customHeight="1" x14ac:dyDescent="0.15">
      <c r="A792">
        <v>-166.154</v>
      </c>
      <c r="B792">
        <v>57.4375</v>
      </c>
      <c r="C792">
        <v>1</v>
      </c>
    </row>
    <row r="793" spans="1:3" ht="13" customHeight="1" x14ac:dyDescent="0.15">
      <c r="A793">
        <v>-165.321</v>
      </c>
      <c r="B793">
        <v>57.4375</v>
      </c>
      <c r="C793">
        <v>1</v>
      </c>
    </row>
    <row r="794" spans="1:3" ht="13" customHeight="1" x14ac:dyDescent="0.15">
      <c r="A794">
        <v>-164.488</v>
      </c>
      <c r="B794">
        <v>57.4375</v>
      </c>
      <c r="C794">
        <v>1</v>
      </c>
    </row>
    <row r="795" spans="1:3" ht="13" customHeight="1" x14ac:dyDescent="0.15">
      <c r="A795">
        <v>-163.654</v>
      </c>
      <c r="B795">
        <v>57.4375</v>
      </c>
      <c r="C795">
        <v>1</v>
      </c>
    </row>
    <row r="796" spans="1:3" ht="13" customHeight="1" x14ac:dyDescent="0.15">
      <c r="A796">
        <v>-162.821</v>
      </c>
      <c r="B796">
        <v>57.4375</v>
      </c>
      <c r="C796">
        <v>1</v>
      </c>
    </row>
    <row r="797" spans="1:3" ht="13" customHeight="1" x14ac:dyDescent="0.15">
      <c r="A797">
        <v>-161.98699999999999</v>
      </c>
      <c r="B797">
        <v>57.4375</v>
      </c>
      <c r="C797">
        <v>1</v>
      </c>
    </row>
    <row r="798" spans="1:3" ht="13" customHeight="1" x14ac:dyDescent="0.15">
      <c r="A798">
        <v>-161.154</v>
      </c>
      <c r="B798">
        <v>57.4375</v>
      </c>
      <c r="C798">
        <v>1</v>
      </c>
    </row>
    <row r="799" spans="1:3" ht="13" customHeight="1" x14ac:dyDescent="0.15">
      <c r="A799">
        <v>-160.321</v>
      </c>
      <c r="B799">
        <v>57.4375</v>
      </c>
      <c r="C799">
        <v>1</v>
      </c>
    </row>
    <row r="800" spans="1:3" ht="13" customHeight="1" x14ac:dyDescent="0.15">
      <c r="A800">
        <v>-168.655</v>
      </c>
      <c r="B800">
        <v>57.7483</v>
      </c>
      <c r="C800">
        <v>1</v>
      </c>
    </row>
    <row r="801" spans="1:54" ht="13" customHeight="1" x14ac:dyDescent="0.15">
      <c r="A801">
        <v>-167.821</v>
      </c>
      <c r="B801">
        <v>57.7483</v>
      </c>
      <c r="C801">
        <v>1</v>
      </c>
    </row>
    <row r="802" spans="1:54" ht="13" customHeight="1" x14ac:dyDescent="0.15">
      <c r="A802">
        <v>-166.988</v>
      </c>
      <c r="B802">
        <v>57.7483</v>
      </c>
      <c r="C802">
        <v>1</v>
      </c>
    </row>
    <row r="803" spans="1:54" ht="13" customHeight="1" x14ac:dyDescent="0.15">
      <c r="A803">
        <v>-166.154</v>
      </c>
      <c r="B803">
        <v>57.7483</v>
      </c>
      <c r="C803">
        <v>1</v>
      </c>
    </row>
    <row r="804" spans="1:54" ht="13" customHeight="1" x14ac:dyDescent="0.15">
      <c r="A804">
        <v>-165.321</v>
      </c>
      <c r="B804">
        <v>57.7483</v>
      </c>
      <c r="C804">
        <v>1</v>
      </c>
    </row>
    <row r="805" spans="1:54" ht="13" customHeight="1" x14ac:dyDescent="0.15">
      <c r="A805">
        <v>-164.488</v>
      </c>
      <c r="B805">
        <v>57.7483</v>
      </c>
      <c r="C805">
        <v>1</v>
      </c>
    </row>
    <row r="806" spans="1:54" ht="13" customHeight="1" x14ac:dyDescent="0.15">
      <c r="A806">
        <v>-163.654</v>
      </c>
      <c r="B806">
        <v>57.7483</v>
      </c>
      <c r="C806">
        <v>1</v>
      </c>
    </row>
    <row r="807" spans="1:54" ht="13" customHeight="1" x14ac:dyDescent="0.15">
      <c r="A807">
        <v>-162.821</v>
      </c>
      <c r="B807">
        <v>57.7483</v>
      </c>
      <c r="C807">
        <v>1</v>
      </c>
    </row>
    <row r="808" spans="1:54" ht="13" customHeight="1" x14ac:dyDescent="0.15">
      <c r="A808">
        <v>-161.98699999999999</v>
      </c>
      <c r="B808">
        <v>57.7483</v>
      </c>
      <c r="C808">
        <v>1</v>
      </c>
    </row>
    <row r="809" spans="1:54" ht="13" customHeight="1" x14ac:dyDescent="0.15">
      <c r="A809">
        <v>-161.154</v>
      </c>
      <c r="B809">
        <v>57.7483</v>
      </c>
      <c r="C809">
        <v>1</v>
      </c>
    </row>
    <row r="810" spans="1:54" ht="13" customHeight="1" x14ac:dyDescent="0.15">
      <c r="A810">
        <v>-160.321</v>
      </c>
      <c r="B810">
        <v>57.7483</v>
      </c>
      <c r="C810">
        <v>1</v>
      </c>
    </row>
    <row r="811" spans="1:54" ht="13" customHeight="1" x14ac:dyDescent="0.15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</row>
    <row r="813" spans="1:54" ht="13" customHeight="1" x14ac:dyDescent="0.15">
      <c r="A813" t="s">
        <v>147</v>
      </c>
      <c r="B813" t="s">
        <v>308</v>
      </c>
      <c r="C813" t="s">
        <v>309</v>
      </c>
      <c r="D813" t="s">
        <v>310</v>
      </c>
    </row>
    <row r="814" spans="1:54" ht="13" customHeight="1" x14ac:dyDescent="0.15">
      <c r="A814">
        <v>1982</v>
      </c>
      <c r="B814">
        <v>0.80157</v>
      </c>
      <c r="C814">
        <v>1</v>
      </c>
      <c r="D814">
        <v>1</v>
      </c>
    </row>
    <row r="815" spans="1:54" ht="13" customHeight="1" x14ac:dyDescent="0.15">
      <c r="A815">
        <v>1983</v>
      </c>
      <c r="B815">
        <v>1.3087800000000001</v>
      </c>
      <c r="C815">
        <v>1</v>
      </c>
      <c r="D815">
        <v>1</v>
      </c>
    </row>
    <row r="816" spans="1:54" ht="13" customHeight="1" x14ac:dyDescent="0.15">
      <c r="A816">
        <v>1984</v>
      </c>
      <c r="B816">
        <v>0.88743399999999995</v>
      </c>
      <c r="C816">
        <v>1</v>
      </c>
      <c r="D816">
        <v>1</v>
      </c>
    </row>
    <row r="817" spans="1:4" ht="13" customHeight="1" x14ac:dyDescent="0.15">
      <c r="A817">
        <v>1985</v>
      </c>
      <c r="B817">
        <v>0.96280200000000005</v>
      </c>
      <c r="C817">
        <v>1</v>
      </c>
      <c r="D817">
        <v>1</v>
      </c>
    </row>
    <row r="818" spans="1:4" ht="13" customHeight="1" x14ac:dyDescent="0.15">
      <c r="A818">
        <v>1986</v>
      </c>
      <c r="B818">
        <v>0.66069500000000003</v>
      </c>
      <c r="C818">
        <v>1</v>
      </c>
      <c r="D818">
        <v>1</v>
      </c>
    </row>
    <row r="819" spans="1:4" ht="13" customHeight="1" x14ac:dyDescent="0.15">
      <c r="A819">
        <v>1987</v>
      </c>
      <c r="B819">
        <v>1.3638699999999999</v>
      </c>
      <c r="C819">
        <v>1</v>
      </c>
      <c r="D819">
        <v>1</v>
      </c>
    </row>
    <row r="820" spans="1:4" ht="13" customHeight="1" x14ac:dyDescent="0.15">
      <c r="A820">
        <v>1988</v>
      </c>
      <c r="B820">
        <v>0.93734700000000004</v>
      </c>
      <c r="C820">
        <v>1</v>
      </c>
      <c r="D820">
        <v>1</v>
      </c>
    </row>
    <row r="821" spans="1:4" ht="13" customHeight="1" x14ac:dyDescent="0.15">
      <c r="A821">
        <v>1989</v>
      </c>
      <c r="B821">
        <v>1.2637700000000001</v>
      </c>
      <c r="C821">
        <v>1</v>
      </c>
      <c r="D821">
        <v>1</v>
      </c>
    </row>
    <row r="822" spans="1:4" ht="13" customHeight="1" x14ac:dyDescent="0.15">
      <c r="A822">
        <v>1990</v>
      </c>
      <c r="B822">
        <v>1.0361100000000001</v>
      </c>
      <c r="C822">
        <v>1</v>
      </c>
      <c r="D822">
        <v>1</v>
      </c>
    </row>
    <row r="823" spans="1:4" ht="13" customHeight="1" x14ac:dyDescent="0.15">
      <c r="A823">
        <v>1991</v>
      </c>
      <c r="B823">
        <v>1.21835</v>
      </c>
      <c r="C823">
        <v>1</v>
      </c>
      <c r="D823">
        <v>1</v>
      </c>
    </row>
    <row r="824" spans="1:4" ht="13" customHeight="1" x14ac:dyDescent="0.15">
      <c r="A824">
        <v>1992</v>
      </c>
      <c r="B824">
        <v>0.77051499999999995</v>
      </c>
      <c r="C824">
        <v>1</v>
      </c>
      <c r="D824">
        <v>1</v>
      </c>
    </row>
    <row r="825" spans="1:4" ht="13" customHeight="1" x14ac:dyDescent="0.15">
      <c r="A825">
        <v>1993</v>
      </c>
      <c r="B825">
        <v>1.3169599999999999</v>
      </c>
      <c r="C825">
        <v>1</v>
      </c>
      <c r="D825">
        <v>1</v>
      </c>
    </row>
    <row r="826" spans="1:4" ht="13" customHeight="1" x14ac:dyDescent="0.15">
      <c r="A826">
        <v>1994</v>
      </c>
      <c r="B826">
        <v>0.56578899999999999</v>
      </c>
      <c r="C826">
        <v>1</v>
      </c>
      <c r="D826">
        <v>1</v>
      </c>
    </row>
    <row r="827" spans="1:4" ht="13" customHeight="1" x14ac:dyDescent="0.15">
      <c r="A827">
        <v>1995</v>
      </c>
      <c r="B827">
        <v>0.64625500000000002</v>
      </c>
      <c r="C827">
        <v>1</v>
      </c>
      <c r="D827">
        <v>1</v>
      </c>
    </row>
    <row r="828" spans="1:4" ht="13" customHeight="1" x14ac:dyDescent="0.15">
      <c r="A828">
        <v>1996</v>
      </c>
      <c r="B828">
        <v>1.4475800000000001</v>
      </c>
      <c r="C828">
        <v>1</v>
      </c>
      <c r="D828">
        <v>1</v>
      </c>
    </row>
    <row r="829" spans="1:4" ht="13" customHeight="1" x14ac:dyDescent="0.15">
      <c r="A829">
        <v>1997</v>
      </c>
      <c r="B829">
        <v>1.0952500000000001</v>
      </c>
      <c r="C829">
        <v>1</v>
      </c>
      <c r="D829">
        <v>1</v>
      </c>
    </row>
    <row r="830" spans="1:4" ht="13" customHeight="1" x14ac:dyDescent="0.15">
      <c r="A830">
        <v>1998</v>
      </c>
      <c r="B830">
        <v>1.476</v>
      </c>
      <c r="C830">
        <v>1</v>
      </c>
      <c r="D830">
        <v>1</v>
      </c>
    </row>
    <row r="831" spans="1:4" ht="13" customHeight="1" x14ac:dyDescent="0.15">
      <c r="A831">
        <v>1999</v>
      </c>
      <c r="B831">
        <v>0.14905599999999999</v>
      </c>
      <c r="C831">
        <v>1</v>
      </c>
      <c r="D831">
        <v>1</v>
      </c>
    </row>
    <row r="832" spans="1:4" ht="13" customHeight="1" x14ac:dyDescent="0.15">
      <c r="A832">
        <v>2000</v>
      </c>
      <c r="B832">
        <v>0.87097400000000003</v>
      </c>
      <c r="C832">
        <v>1</v>
      </c>
      <c r="D832">
        <v>1</v>
      </c>
    </row>
    <row r="833" spans="1:4" ht="13" customHeight="1" x14ac:dyDescent="0.15">
      <c r="A833">
        <v>2001</v>
      </c>
      <c r="B833">
        <v>1.0491999999999999</v>
      </c>
      <c r="C833">
        <v>1</v>
      </c>
      <c r="D833">
        <v>1</v>
      </c>
    </row>
    <row r="834" spans="1:4" ht="13" customHeight="1" x14ac:dyDescent="0.15">
      <c r="A834">
        <v>2002</v>
      </c>
      <c r="B834">
        <v>1.4319</v>
      </c>
      <c r="C834">
        <v>1</v>
      </c>
      <c r="D834">
        <v>1</v>
      </c>
    </row>
    <row r="835" spans="1:4" ht="13" customHeight="1" x14ac:dyDescent="0.15">
      <c r="A835">
        <v>2003</v>
      </c>
      <c r="B835">
        <v>1.6291100000000001</v>
      </c>
      <c r="C835">
        <v>1</v>
      </c>
      <c r="D835">
        <v>1</v>
      </c>
    </row>
    <row r="836" spans="1:4" ht="13" customHeight="1" x14ac:dyDescent="0.15">
      <c r="A836">
        <v>2004</v>
      </c>
      <c r="B836">
        <v>1.4676</v>
      </c>
      <c r="C836">
        <v>1</v>
      </c>
      <c r="D836">
        <v>1</v>
      </c>
    </row>
    <row r="837" spans="1:4" ht="13" customHeight="1" x14ac:dyDescent="0.15">
      <c r="A837">
        <v>2005</v>
      </c>
      <c r="B837">
        <v>1.4998800000000001</v>
      </c>
      <c r="C837">
        <v>1</v>
      </c>
      <c r="D837">
        <v>1</v>
      </c>
    </row>
    <row r="838" spans="1:4" ht="13" customHeight="1" x14ac:dyDescent="0.15">
      <c r="A838">
        <v>2006</v>
      </c>
      <c r="B838">
        <v>0.65158400000000005</v>
      </c>
      <c r="C838">
        <v>1</v>
      </c>
      <c r="D838">
        <v>1</v>
      </c>
    </row>
    <row r="839" spans="1:4" ht="13" customHeight="1" x14ac:dyDescent="0.15">
      <c r="A839">
        <v>2007</v>
      </c>
      <c r="B839">
        <v>0.64470400000000005</v>
      </c>
      <c r="C839">
        <v>1</v>
      </c>
      <c r="D839">
        <v>1</v>
      </c>
    </row>
    <row r="840" spans="1:4" ht="13" customHeight="1" x14ac:dyDescent="0.15">
      <c r="A840">
        <v>2008</v>
      </c>
      <c r="B840">
        <v>0.40724700000000003</v>
      </c>
      <c r="C840">
        <v>1</v>
      </c>
      <c r="D840">
        <v>1</v>
      </c>
    </row>
    <row r="841" spans="1:4" ht="13" customHeight="1" x14ac:dyDescent="0.15">
      <c r="A841">
        <v>2009</v>
      </c>
      <c r="B841">
        <v>0.43967200000000001</v>
      </c>
      <c r="C841">
        <v>1</v>
      </c>
      <c r="D841">
        <v>1</v>
      </c>
    </row>
    <row r="842" spans="1:4" ht="13" customHeight="1" x14ac:dyDescent="0.15">
      <c r="A842">
        <v>2010</v>
      </c>
      <c r="B842">
        <v>0.43967200000000001</v>
      </c>
      <c r="C842">
        <v>1</v>
      </c>
      <c r="D842">
        <v>1</v>
      </c>
    </row>
    <row r="843" spans="1:4" ht="13" customHeight="1" x14ac:dyDescent="0.15">
      <c r="A843">
        <v>2011</v>
      </c>
      <c r="B843">
        <v>0.43967200000000001</v>
      </c>
      <c r="C843">
        <v>1</v>
      </c>
      <c r="D843">
        <v>1</v>
      </c>
    </row>
    <row r="844" spans="1:4" ht="13" customHeight="1" x14ac:dyDescent="0.15">
      <c r="A844">
        <v>2012</v>
      </c>
      <c r="B844">
        <v>0.43967200000000001</v>
      </c>
      <c r="C844">
        <v>1</v>
      </c>
      <c r="D844">
        <v>1</v>
      </c>
    </row>
    <row r="845" spans="1:4" ht="13" customHeight="1" x14ac:dyDescent="0.15">
      <c r="A845">
        <v>2013</v>
      </c>
      <c r="B845">
        <v>0.43967200000000001</v>
      </c>
      <c r="C845">
        <v>1</v>
      </c>
      <c r="D845">
        <v>1</v>
      </c>
    </row>
    <row r="846" spans="1:4" ht="13" customHeight="1" x14ac:dyDescent="0.15">
      <c r="A846">
        <v>2014</v>
      </c>
      <c r="B846">
        <v>0.43967200000000001</v>
      </c>
      <c r="C846">
        <v>1</v>
      </c>
      <c r="D846">
        <v>1</v>
      </c>
    </row>
    <row r="847" spans="1:4" ht="13" customHeight="1" x14ac:dyDescent="0.15">
      <c r="A847">
        <v>2015</v>
      </c>
      <c r="B847">
        <v>0.43967200000000001</v>
      </c>
      <c r="C847">
        <v>1</v>
      </c>
      <c r="D847">
        <v>1</v>
      </c>
    </row>
    <row r="848" spans="1:4" ht="13" customHeight="1" x14ac:dyDescent="0.15">
      <c r="A848">
        <v>2016</v>
      </c>
      <c r="B848">
        <v>0.4</v>
      </c>
      <c r="C848">
        <v>1</v>
      </c>
      <c r="D848">
        <v>1</v>
      </c>
    </row>
    <row r="850" spans="1:35" ht="13" customHeight="1" x14ac:dyDescent="0.15">
      <c r="A850" t="s">
        <v>220</v>
      </c>
      <c r="B850" t="s">
        <v>221</v>
      </c>
    </row>
    <row r="851" spans="1:35" ht="13" customHeight="1" x14ac:dyDescent="0.15">
      <c r="A851" s="31">
        <v>0.39711200000000002</v>
      </c>
      <c r="B851" s="31">
        <v>0.50819300000000001</v>
      </c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</row>
    <row r="852" spans="1:35" ht="13" customHeight="1" x14ac:dyDescent="0.15">
      <c r="A852" s="31" t="s">
        <v>570</v>
      </c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</row>
    <row r="853" spans="1:35" ht="13" customHeight="1" x14ac:dyDescent="0.15">
      <c r="A853" s="31"/>
      <c r="B853" s="1">
        <v>1.12378E-4</v>
      </c>
      <c r="C853" s="31">
        <v>7.3870100000000003E-3</v>
      </c>
      <c r="D853" s="31">
        <v>9.7611000000000003E-2</v>
      </c>
      <c r="E853" s="31">
        <v>0.32773000000000002</v>
      </c>
      <c r="F853" s="31">
        <v>0.65866100000000005</v>
      </c>
      <c r="G853" s="31">
        <v>1</v>
      </c>
      <c r="H853" s="31">
        <v>1.08914</v>
      </c>
      <c r="I853" s="31">
        <v>1.1137999999999999</v>
      </c>
      <c r="J853" s="31">
        <v>1.0904499999999999</v>
      </c>
      <c r="K853" s="31">
        <v>1.1895899999999999</v>
      </c>
      <c r="L853" s="31">
        <v>1.1895899999999999</v>
      </c>
      <c r="M853" s="31">
        <v>1.1895899999999999</v>
      </c>
      <c r="N853" s="31">
        <v>1.1895899999999999</v>
      </c>
      <c r="O853" s="31">
        <v>1.1895899999999999</v>
      </c>
      <c r="P853" s="31">
        <v>1.1895899999999999</v>
      </c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</row>
    <row r="854" spans="1:35" ht="13" customHeight="1" x14ac:dyDescent="0.15">
      <c r="A854" s="31" t="s">
        <v>269</v>
      </c>
      <c r="B854" s="1" t="s">
        <v>239</v>
      </c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</row>
    <row r="855" spans="1:35" ht="13" customHeight="1" x14ac:dyDescent="0.15">
      <c r="A855" s="31">
        <v>7.62071E-2</v>
      </c>
      <c r="B855" s="31">
        <v>7.62071E-2</v>
      </c>
      <c r="C855" s="31">
        <v>7.62071E-2</v>
      </c>
      <c r="D855" s="31">
        <v>7.62071E-2</v>
      </c>
      <c r="E855" s="31">
        <v>7.62071E-2</v>
      </c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</row>
    <row r="856" spans="1:35" ht="13" customHeight="1" x14ac:dyDescent="0.15">
      <c r="A856" s="31" t="s">
        <v>270</v>
      </c>
      <c r="B856" s="31" t="s">
        <v>158</v>
      </c>
      <c r="C856" s="31" t="s">
        <v>159</v>
      </c>
      <c r="D856" s="31" t="s">
        <v>271</v>
      </c>
      <c r="E856" s="31" t="s">
        <v>269</v>
      </c>
      <c r="F856" s="31" t="s">
        <v>272</v>
      </c>
      <c r="G856" s="31" t="s">
        <v>273</v>
      </c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</row>
    <row r="857" spans="1:35" ht="13" customHeight="1" x14ac:dyDescent="0.15">
      <c r="A857" s="31"/>
      <c r="B857" s="31">
        <v>26543.8</v>
      </c>
      <c r="C857" s="31">
        <v>7704.57</v>
      </c>
      <c r="D857" s="31">
        <v>4705.41</v>
      </c>
      <c r="E857" s="31">
        <v>5901</v>
      </c>
      <c r="F857" s="31">
        <v>7948.58</v>
      </c>
      <c r="G857" s="31">
        <v>918.82899999999995</v>
      </c>
      <c r="H857" s="31">
        <v>640.16700000000003</v>
      </c>
      <c r="I857" s="31">
        <v>590.76099999999997</v>
      </c>
      <c r="J857" s="31">
        <v>913.03800000000001</v>
      </c>
      <c r="K857" s="31">
        <v>143.898</v>
      </c>
      <c r="L857" s="31">
        <v>82.614099999999993</v>
      </c>
      <c r="M857" s="31">
        <v>19.774100000000001</v>
      </c>
      <c r="N857" s="31">
        <v>4.5867000000000004</v>
      </c>
      <c r="O857" s="31">
        <v>3.1293299999999999</v>
      </c>
      <c r="P857" s="31">
        <v>10.3065</v>
      </c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</row>
    <row r="858" spans="1:35" ht="13" customHeight="1" x14ac:dyDescent="0.15">
      <c r="A858" s="31"/>
      <c r="B858" s="31">
        <v>24938.400000000001</v>
      </c>
      <c r="C858" s="31">
        <v>10791.8</v>
      </c>
      <c r="D858" s="31">
        <v>4909.34</v>
      </c>
      <c r="E858" s="31">
        <v>3454.93</v>
      </c>
      <c r="F858" s="31">
        <v>4242.72</v>
      </c>
      <c r="G858" s="31">
        <v>5544.84</v>
      </c>
      <c r="H858" s="31">
        <v>621.30100000000004</v>
      </c>
      <c r="I858" s="31">
        <v>429.36500000000001</v>
      </c>
      <c r="J858" s="31">
        <v>395.33699999999999</v>
      </c>
      <c r="K858" s="31">
        <v>612.30899999999997</v>
      </c>
      <c r="L858" s="31">
        <v>95.632400000000004</v>
      </c>
      <c r="M858" s="31">
        <v>54.9041</v>
      </c>
      <c r="N858" s="31">
        <v>13.1416</v>
      </c>
      <c r="O858" s="31">
        <v>3.04826</v>
      </c>
      <c r="P858" s="31">
        <v>8.9292400000000001</v>
      </c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</row>
    <row r="859" spans="1:35" ht="13" customHeight="1" x14ac:dyDescent="0.15">
      <c r="A859" s="31"/>
      <c r="B859" s="31">
        <v>24058.6</v>
      </c>
      <c r="C859" s="31">
        <v>10139.1</v>
      </c>
      <c r="D859" s="31">
        <v>6876.52</v>
      </c>
      <c r="E859" s="31">
        <v>3604.67</v>
      </c>
      <c r="F859" s="31">
        <v>2484.04</v>
      </c>
      <c r="G859" s="31">
        <v>2959.67</v>
      </c>
      <c r="H859" s="31">
        <v>3749.35</v>
      </c>
      <c r="I859" s="31">
        <v>416.71100000000001</v>
      </c>
      <c r="J859" s="31">
        <v>287.33100000000002</v>
      </c>
      <c r="K859" s="31">
        <v>265.12400000000002</v>
      </c>
      <c r="L859" s="31">
        <v>406.93200000000002</v>
      </c>
      <c r="M859" s="31">
        <v>63.555900000000001</v>
      </c>
      <c r="N859" s="31">
        <v>36.488500000000002</v>
      </c>
      <c r="O859" s="31">
        <v>8.7337000000000007</v>
      </c>
      <c r="P859" s="31">
        <v>7.96007</v>
      </c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</row>
    <row r="860" spans="1:35" ht="13" customHeight="1" x14ac:dyDescent="0.15">
      <c r="A860" s="31"/>
      <c r="B860" s="31">
        <v>23755.7</v>
      </c>
      <c r="C860" s="31">
        <v>9781.4</v>
      </c>
      <c r="D860" s="31">
        <v>6460.61</v>
      </c>
      <c r="E860" s="31">
        <v>5049.0600000000004</v>
      </c>
      <c r="F860" s="31">
        <v>2591.6999999999998</v>
      </c>
      <c r="G860" s="31">
        <v>1732.84</v>
      </c>
      <c r="H860" s="31">
        <v>2001.3</v>
      </c>
      <c r="I860" s="31">
        <v>2514.7199999999998</v>
      </c>
      <c r="J860" s="31">
        <v>278.863</v>
      </c>
      <c r="K860" s="31">
        <v>192.69200000000001</v>
      </c>
      <c r="L860" s="31">
        <v>176.19800000000001</v>
      </c>
      <c r="M860" s="31">
        <v>270.44099999999997</v>
      </c>
      <c r="N860" s="31">
        <v>42.238399999999999</v>
      </c>
      <c r="O860" s="31">
        <v>24.249700000000001</v>
      </c>
      <c r="P860" s="31">
        <v>11.0944</v>
      </c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</row>
    <row r="861" spans="1:35" ht="13" customHeight="1" x14ac:dyDescent="0.15">
      <c r="A861" s="31"/>
      <c r="B861" s="31">
        <v>23474</v>
      </c>
      <c r="C861" s="31">
        <v>9658.26</v>
      </c>
      <c r="D861" s="31">
        <v>6232.69</v>
      </c>
      <c r="E861" s="31">
        <v>4743.68</v>
      </c>
      <c r="F861" s="31">
        <v>3630.19</v>
      </c>
      <c r="G861" s="31">
        <v>1807.94</v>
      </c>
      <c r="H861" s="31">
        <v>1171.72</v>
      </c>
      <c r="I861" s="31">
        <v>1342.28</v>
      </c>
      <c r="J861" s="31">
        <v>1682.85</v>
      </c>
      <c r="K861" s="31">
        <v>187.01300000000001</v>
      </c>
      <c r="L861" s="31">
        <v>128.06</v>
      </c>
      <c r="M861" s="31">
        <v>117.099</v>
      </c>
      <c r="N861" s="31">
        <v>179.73099999999999</v>
      </c>
      <c r="O861" s="31">
        <v>28.071000000000002</v>
      </c>
      <c r="P861" s="31">
        <v>23.4892</v>
      </c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</row>
    <row r="862" spans="1:35" ht="13" customHeight="1" x14ac:dyDescent="0.15">
      <c r="A862" s="31" t="s">
        <v>24</v>
      </c>
      <c r="B862" s="31" t="s">
        <v>25</v>
      </c>
      <c r="C862" s="31" t="s">
        <v>26</v>
      </c>
      <c r="D862" s="31" t="s">
        <v>27</v>
      </c>
      <c r="E862" s="31" t="s">
        <v>28</v>
      </c>
      <c r="F862" s="31" t="s">
        <v>29</v>
      </c>
      <c r="G862" s="31" t="s">
        <v>30</v>
      </c>
      <c r="H862" s="31" t="s">
        <v>31</v>
      </c>
      <c r="I862" s="31" t="s">
        <v>32</v>
      </c>
      <c r="J862" s="31" t="s">
        <v>33</v>
      </c>
      <c r="K862" s="31" t="s">
        <v>34</v>
      </c>
      <c r="L862" s="31" t="s">
        <v>59</v>
      </c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</row>
    <row r="863" spans="1:35" ht="13" customHeight="1" x14ac:dyDescent="0.15">
      <c r="A863" s="31">
        <v>0.83072400000000002</v>
      </c>
      <c r="B863" s="31">
        <v>2436.06</v>
      </c>
      <c r="C863" s="31">
        <v>0.68354099999999995</v>
      </c>
      <c r="D863" s="31">
        <v>20077.8</v>
      </c>
      <c r="E863" s="31">
        <v>5746.96</v>
      </c>
      <c r="F863" s="31">
        <v>0.28623399999999999</v>
      </c>
      <c r="G863" s="31">
        <v>2.15639</v>
      </c>
      <c r="H863" s="31">
        <v>0</v>
      </c>
      <c r="I863" s="31">
        <v>7045.41</v>
      </c>
      <c r="J863" s="31">
        <v>2818.16</v>
      </c>
      <c r="K863" s="31">
        <v>0.62046500000000004</v>
      </c>
      <c r="L863" s="31">
        <v>3926.18</v>
      </c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</row>
    <row r="864" spans="1:35" ht="13" customHeight="1" x14ac:dyDescent="0.15">
      <c r="A864" s="31" t="s">
        <v>64</v>
      </c>
      <c r="B864" s="31">
        <v>929</v>
      </c>
      <c r="C864" s="31"/>
      <c r="D864" s="31"/>
      <c r="E864" s="31"/>
      <c r="F864" s="31"/>
      <c r="G864" s="31"/>
      <c r="H864" s="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</row>
    <row r="865" spans="1:38" ht="13" customHeight="1" x14ac:dyDescent="0.15">
      <c r="A865" s="31"/>
      <c r="B865" s="31">
        <v>919.80399999999997</v>
      </c>
      <c r="C865" s="31">
        <v>924.94100000000003</v>
      </c>
      <c r="D865" s="31">
        <v>886.53399999999999</v>
      </c>
      <c r="E865" s="31">
        <v>989.17200000000003</v>
      </c>
      <c r="F865" s="31">
        <v>1631.87</v>
      </c>
      <c r="G865" s="31">
        <v>2504.2199999999998</v>
      </c>
      <c r="H865" s="31">
        <v>3133.29</v>
      </c>
      <c r="I865" s="31">
        <v>3385.19</v>
      </c>
      <c r="J865" s="31">
        <v>3674.26</v>
      </c>
      <c r="K865" s="31">
        <v>3925.45</v>
      </c>
      <c r="L865" s="31">
        <v>4065.28</v>
      </c>
      <c r="M865" s="31">
        <v>4064.37</v>
      </c>
      <c r="N865" s="31">
        <v>3667.76</v>
      </c>
      <c r="O865" s="31">
        <v>2965.33</v>
      </c>
      <c r="P865" s="31">
        <v>2236.31</v>
      </c>
      <c r="Q865" s="31">
        <v>2344.2199999999998</v>
      </c>
      <c r="R865" s="31">
        <v>3202.11</v>
      </c>
      <c r="S865" s="31">
        <v>3497.49</v>
      </c>
      <c r="T865" s="31">
        <v>3703.89</v>
      </c>
      <c r="U865" s="31">
        <v>3713.71</v>
      </c>
      <c r="V865" s="31">
        <v>3512.62</v>
      </c>
      <c r="W865" s="31">
        <v>3276.86</v>
      </c>
      <c r="X865" s="31">
        <v>3277.46</v>
      </c>
      <c r="Y865" s="31">
        <v>3305.64</v>
      </c>
      <c r="Z865" s="31">
        <v>3330.25</v>
      </c>
      <c r="AA865" s="31">
        <v>3142.97</v>
      </c>
      <c r="AB865" s="31">
        <v>3322.4</v>
      </c>
      <c r="AC865" s="31">
        <v>3430.44</v>
      </c>
      <c r="AD865" s="31">
        <v>3159.29</v>
      </c>
      <c r="AE865" s="31">
        <v>2612.0100000000002</v>
      </c>
      <c r="AF865" s="31">
        <v>2196.73</v>
      </c>
      <c r="AG865" s="31">
        <v>1640.95</v>
      </c>
      <c r="AH865" s="31">
        <v>1797.67</v>
      </c>
      <c r="AI865" s="31">
        <v>2028.11</v>
      </c>
      <c r="AJ865">
        <v>2480.02</v>
      </c>
      <c r="AK865">
        <v>2903.64</v>
      </c>
      <c r="AL865">
        <v>3242.13</v>
      </c>
    </row>
    <row r="866" spans="1:38" ht="13" customHeight="1" x14ac:dyDescent="0.15">
      <c r="A866" s="31"/>
      <c r="B866" s="31">
        <v>25352.3</v>
      </c>
      <c r="C866" s="31">
        <v>61942.6</v>
      </c>
      <c r="D866" s="31">
        <v>27184.1</v>
      </c>
      <c r="E866" s="31">
        <v>30738.1</v>
      </c>
      <c r="F866" s="31">
        <v>16305.4</v>
      </c>
      <c r="G866" s="31">
        <v>52162.3</v>
      </c>
      <c r="H866" s="31">
        <v>13572.8</v>
      </c>
      <c r="I866" s="31">
        <v>34631.9</v>
      </c>
      <c r="J866" s="31">
        <v>14545.4</v>
      </c>
      <c r="K866" s="31">
        <v>7835.33</v>
      </c>
      <c r="L866" s="31">
        <v>5561.46</v>
      </c>
      <c r="M866" s="31">
        <v>11102.8</v>
      </c>
      <c r="N866" s="31">
        <v>48848.1</v>
      </c>
      <c r="O866" s="31">
        <v>25581.3</v>
      </c>
      <c r="P866" s="31">
        <v>22780.799999999999</v>
      </c>
      <c r="Q866" s="31">
        <v>46863.199999999997</v>
      </c>
      <c r="R866" s="31">
        <v>15942.8</v>
      </c>
      <c r="S866" s="31">
        <v>10904.9</v>
      </c>
      <c r="T866" s="31">
        <v>22878.1</v>
      </c>
      <c r="U866" s="31">
        <v>31178.400000000001</v>
      </c>
      <c r="V866" s="31">
        <v>15483</v>
      </c>
      <c r="W866" s="31">
        <v>16827.099999999999</v>
      </c>
      <c r="X866" s="31">
        <v>25850.3</v>
      </c>
      <c r="Y866" s="31">
        <v>35963.4</v>
      </c>
      <c r="Z866" s="31">
        <v>23951.8</v>
      </c>
      <c r="AA866" s="31">
        <v>14625.5</v>
      </c>
      <c r="AB866" s="31">
        <v>6640.46</v>
      </c>
      <c r="AC866" s="31">
        <v>4831.7</v>
      </c>
      <c r="AD866" s="31">
        <v>12207.5</v>
      </c>
      <c r="AE866" s="31">
        <v>26390.5</v>
      </c>
      <c r="AF866" s="31">
        <v>14622.4</v>
      </c>
      <c r="AG866" s="31">
        <v>56930.6</v>
      </c>
      <c r="AH866" s="31">
        <v>22500.1</v>
      </c>
      <c r="AI866" s="31">
        <v>13479.2</v>
      </c>
      <c r="AJ866">
        <v>11200.8</v>
      </c>
      <c r="AK866">
        <v>63521.7</v>
      </c>
      <c r="AL866">
        <v>31883.200000000001</v>
      </c>
    </row>
    <row r="867" spans="1:38" ht="13" customHeight="1" x14ac:dyDescent="0.15">
      <c r="A867" s="31"/>
      <c r="B867" s="31">
        <v>19660.400000000001</v>
      </c>
      <c r="C867" s="31">
        <v>19732.099999999999</v>
      </c>
      <c r="D867" s="31">
        <v>19187.3</v>
      </c>
      <c r="E867" s="31">
        <v>20599.900000000001</v>
      </c>
      <c r="F867" s="31">
        <v>26702.2</v>
      </c>
      <c r="G867" s="31">
        <v>29537.8</v>
      </c>
      <c r="H867" s="31">
        <v>29187.4</v>
      </c>
      <c r="I867" s="31">
        <v>28689.9</v>
      </c>
      <c r="J867" s="31">
        <v>27938.9</v>
      </c>
      <c r="K867" s="31">
        <v>27164.2</v>
      </c>
      <c r="L867" s="31">
        <v>26693.8</v>
      </c>
      <c r="M867" s="31">
        <v>26697</v>
      </c>
      <c r="N867" s="31">
        <v>27957.599999999999</v>
      </c>
      <c r="O867" s="31">
        <v>29419.7</v>
      </c>
      <c r="P867" s="31">
        <v>29167.200000000001</v>
      </c>
      <c r="Q867" s="31">
        <v>29361.4</v>
      </c>
      <c r="R867" s="31">
        <v>29068.1</v>
      </c>
      <c r="S867" s="31">
        <v>28418.6</v>
      </c>
      <c r="T867" s="31">
        <v>27852.799999999999</v>
      </c>
      <c r="U867" s="31">
        <v>27824</v>
      </c>
      <c r="V867" s="31">
        <v>28379.9</v>
      </c>
      <c r="W867" s="31">
        <v>28923.9</v>
      </c>
      <c r="X867" s="31">
        <v>28922.7</v>
      </c>
      <c r="Y867" s="31">
        <v>28864.5</v>
      </c>
      <c r="Z867" s="31">
        <v>28812.1</v>
      </c>
      <c r="AA867" s="31">
        <v>29171.4</v>
      </c>
      <c r="AB867" s="31">
        <v>28829</v>
      </c>
      <c r="AC867" s="31">
        <v>28583.9</v>
      </c>
      <c r="AD867" s="31">
        <v>29143.8</v>
      </c>
      <c r="AE867" s="31">
        <v>29588</v>
      </c>
      <c r="AF867" s="31">
        <v>29079.7</v>
      </c>
      <c r="AG867" s="31">
        <v>26759.4</v>
      </c>
      <c r="AH867" s="31">
        <v>27640.9</v>
      </c>
      <c r="AI867" s="31">
        <v>28601.1</v>
      </c>
      <c r="AJ867">
        <v>29519.200000000001</v>
      </c>
      <c r="AK867">
        <v>29482.2</v>
      </c>
      <c r="AL867">
        <v>28992.7</v>
      </c>
    </row>
    <row r="868" spans="1:38" ht="13" customHeight="1" x14ac:dyDescent="0.15">
      <c r="A868" s="31"/>
      <c r="B868" s="31">
        <v>0.25426199999999999</v>
      </c>
      <c r="C868" s="31">
        <v>1.1439600000000001</v>
      </c>
      <c r="D868" s="31">
        <v>0.34838400000000003</v>
      </c>
      <c r="E868" s="31">
        <v>0.40021699999999999</v>
      </c>
      <c r="F868" s="31">
        <v>-0.49325000000000002</v>
      </c>
      <c r="G868" s="31">
        <v>0.56869000000000003</v>
      </c>
      <c r="H868" s="31">
        <v>-0.76567200000000002</v>
      </c>
      <c r="I868" s="31">
        <v>0.18823100000000001</v>
      </c>
      <c r="J868" s="31">
        <v>-0.65274299999999996</v>
      </c>
      <c r="K868" s="31">
        <v>-1.24326</v>
      </c>
      <c r="L868" s="31">
        <v>-1.56857</v>
      </c>
      <c r="M868" s="31">
        <v>-0.87735600000000002</v>
      </c>
      <c r="N868" s="31">
        <v>0.55802600000000002</v>
      </c>
      <c r="O868" s="31">
        <v>-0.13980200000000001</v>
      </c>
      <c r="P868" s="31">
        <v>-0.24712799999999999</v>
      </c>
      <c r="Q868" s="31">
        <v>0.46755200000000002</v>
      </c>
      <c r="R868" s="31">
        <v>-0.60063</v>
      </c>
      <c r="S868" s="31">
        <v>-0.95782999999999996</v>
      </c>
      <c r="T868" s="31">
        <v>-0.19675400000000001</v>
      </c>
      <c r="U868" s="31">
        <v>0.113827</v>
      </c>
      <c r="V868" s="31">
        <v>-0.60593699999999995</v>
      </c>
      <c r="W868" s="31">
        <v>-0.54167500000000002</v>
      </c>
      <c r="X868" s="31">
        <v>-0.112304</v>
      </c>
      <c r="Y868" s="31">
        <v>0.219888</v>
      </c>
      <c r="Z868" s="31">
        <v>-0.184753</v>
      </c>
      <c r="AA868" s="31">
        <v>-0.69042499999999996</v>
      </c>
      <c r="AB868" s="31">
        <v>-1.4681999999999999</v>
      </c>
      <c r="AC868" s="31">
        <v>-1.77765</v>
      </c>
      <c r="AD868" s="31">
        <v>-0.87019199999999997</v>
      </c>
      <c r="AE868" s="31">
        <v>-0.11436399999999999</v>
      </c>
      <c r="AF868" s="31">
        <v>-0.68748399999999998</v>
      </c>
      <c r="AG868" s="31">
        <v>0.75494499999999998</v>
      </c>
      <c r="AH868" s="31">
        <v>-0.20577799999999999</v>
      </c>
      <c r="AI868" s="31">
        <v>-0.75229599999999996</v>
      </c>
      <c r="AJ868">
        <v>-0.96905699999999995</v>
      </c>
      <c r="AK868">
        <v>0.76759500000000003</v>
      </c>
      <c r="AL868">
        <v>9.5036200000000001E-2</v>
      </c>
    </row>
    <row r="869" spans="1:38" ht="13" customHeight="1" x14ac:dyDescent="0.15">
      <c r="A869" s="31" t="s">
        <v>14</v>
      </c>
      <c r="B869" s="31" t="s">
        <v>180</v>
      </c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</row>
    <row r="870" spans="1:38" ht="13" customHeight="1" x14ac:dyDescent="0.15">
      <c r="A870" s="31"/>
      <c r="B870" s="31">
        <v>1979</v>
      </c>
      <c r="C870" s="31">
        <v>1982</v>
      </c>
      <c r="D870" s="31">
        <v>1985</v>
      </c>
      <c r="E870" s="31">
        <v>1988</v>
      </c>
      <c r="F870" s="31">
        <v>1991</v>
      </c>
      <c r="G870" s="31">
        <v>1994</v>
      </c>
      <c r="H870" s="31">
        <v>1996</v>
      </c>
      <c r="I870" s="31">
        <v>1997</v>
      </c>
      <c r="J870" s="31">
        <v>1999</v>
      </c>
      <c r="K870" s="31">
        <v>2000</v>
      </c>
      <c r="L870" s="31">
        <v>2002</v>
      </c>
      <c r="M870" s="31">
        <v>2004</v>
      </c>
      <c r="N870" s="31">
        <v>2006</v>
      </c>
      <c r="O870" s="31">
        <v>2007</v>
      </c>
      <c r="P870" s="31">
        <v>2008</v>
      </c>
      <c r="Q870" s="31">
        <v>2009</v>
      </c>
      <c r="R870" s="31">
        <v>2010</v>
      </c>
      <c r="S870" s="31">
        <v>2012</v>
      </c>
      <c r="T870" s="31">
        <v>2014</v>
      </c>
      <c r="U870" s="31">
        <v>2016</v>
      </c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</row>
    <row r="871" spans="1:38" ht="13" customHeight="1" x14ac:dyDescent="0.15">
      <c r="A871" s="31"/>
      <c r="B871" s="31">
        <v>69110</v>
      </c>
      <c r="C871" s="31">
        <v>108</v>
      </c>
      <c r="D871" s="31">
        <v>2076</v>
      </c>
      <c r="E871" s="31">
        <v>10.854699999999999</v>
      </c>
      <c r="F871" s="31">
        <v>639.26800000000003</v>
      </c>
      <c r="G871" s="31">
        <v>452.85500000000002</v>
      </c>
      <c r="H871" s="31">
        <v>972.33600000000001</v>
      </c>
      <c r="I871" s="31">
        <v>12383.8</v>
      </c>
      <c r="J871" s="31">
        <v>111.866</v>
      </c>
      <c r="K871" s="31">
        <v>257.92200000000003</v>
      </c>
      <c r="L871" s="31">
        <v>561.31399999999996</v>
      </c>
      <c r="M871" s="31">
        <v>15.7537</v>
      </c>
      <c r="N871" s="31">
        <v>455.565</v>
      </c>
      <c r="O871" s="31">
        <v>5588.54</v>
      </c>
      <c r="P871" s="31">
        <v>36.481499999999997</v>
      </c>
      <c r="Q871" s="31">
        <v>5127.67</v>
      </c>
      <c r="R871" s="31">
        <v>2525.54</v>
      </c>
      <c r="S871" s="31">
        <v>66.874399999999994</v>
      </c>
      <c r="T871" s="31">
        <v>4438.33</v>
      </c>
      <c r="U871" s="31">
        <v>83.334199999999996</v>
      </c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</row>
    <row r="872" spans="1:38" ht="13" customHeight="1" x14ac:dyDescent="0.15">
      <c r="A872" s="31"/>
      <c r="B872" s="31">
        <v>1636.08</v>
      </c>
      <c r="C872" s="31">
        <v>431.01600000000002</v>
      </c>
      <c r="D872" s="31">
        <v>915.56600000000003</v>
      </c>
      <c r="E872" s="31">
        <v>147.03700000000001</v>
      </c>
      <c r="F872" s="31">
        <v>676.33199999999999</v>
      </c>
      <c r="G872" s="31">
        <v>421.51900000000001</v>
      </c>
      <c r="H872" s="31">
        <v>604.88699999999994</v>
      </c>
      <c r="I872" s="31">
        <v>824.34400000000005</v>
      </c>
      <c r="J872" s="31">
        <v>444.91</v>
      </c>
      <c r="K872" s="31">
        <v>683.48299999999995</v>
      </c>
      <c r="L872" s="31">
        <v>633.28499999999997</v>
      </c>
      <c r="M872" s="31">
        <v>175.57400000000001</v>
      </c>
      <c r="N872" s="31">
        <v>322.767</v>
      </c>
      <c r="O872" s="31">
        <v>697.76499999999999</v>
      </c>
      <c r="P872" s="31">
        <v>386.61700000000002</v>
      </c>
      <c r="Q872" s="31">
        <v>1505.25</v>
      </c>
      <c r="R872" s="31">
        <v>594.90499999999997</v>
      </c>
      <c r="S872" s="31">
        <v>296.149</v>
      </c>
      <c r="T872" s="31">
        <v>842.99699999999996</v>
      </c>
      <c r="U872" s="31">
        <v>501.05900000000003</v>
      </c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</row>
    <row r="873" spans="1:38" ht="13" customHeight="1" x14ac:dyDescent="0.15">
      <c r="A873" s="31"/>
      <c r="B873" s="31">
        <v>39455</v>
      </c>
      <c r="C873" s="31">
        <v>10394.200000000001</v>
      </c>
      <c r="D873" s="31">
        <v>22079.4</v>
      </c>
      <c r="E873" s="31">
        <v>3545.87</v>
      </c>
      <c r="F873" s="31">
        <v>16310.1</v>
      </c>
      <c r="G873" s="31">
        <v>10165.200000000001</v>
      </c>
      <c r="H873" s="31">
        <v>14587.2</v>
      </c>
      <c r="I873" s="31">
        <v>19879.5</v>
      </c>
      <c r="J873" s="31">
        <v>10729.3</v>
      </c>
      <c r="K873" s="31">
        <v>16482.599999999999</v>
      </c>
      <c r="L873" s="31">
        <v>15272</v>
      </c>
      <c r="M873" s="31">
        <v>4234.07</v>
      </c>
      <c r="N873" s="31">
        <v>7783.71</v>
      </c>
      <c r="O873" s="31">
        <v>16827</v>
      </c>
      <c r="P873" s="31">
        <v>9323.49</v>
      </c>
      <c r="Q873" s="31">
        <v>36299.9</v>
      </c>
      <c r="R873" s="31">
        <v>14346.5</v>
      </c>
      <c r="S873" s="31">
        <v>7141.8</v>
      </c>
      <c r="T873" s="31">
        <v>20329.3</v>
      </c>
      <c r="U873" s="31">
        <v>12083.3</v>
      </c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</row>
    <row r="874" spans="1:38" ht="13" customHeight="1" x14ac:dyDescent="0.15">
      <c r="A874" s="31" t="s">
        <v>663</v>
      </c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</row>
    <row r="875" spans="1:38" ht="13" customHeight="1" x14ac:dyDescent="0.15">
      <c r="A875" s="31"/>
      <c r="B875" s="31">
        <v>1982</v>
      </c>
      <c r="C875" s="31">
        <v>1983</v>
      </c>
      <c r="D875" s="31">
        <v>1984</v>
      </c>
      <c r="E875" s="31">
        <v>1985</v>
      </c>
      <c r="F875" s="31">
        <v>1986</v>
      </c>
      <c r="G875" s="31">
        <v>1987</v>
      </c>
      <c r="H875" s="31">
        <v>1988</v>
      </c>
      <c r="I875" s="31">
        <v>1989</v>
      </c>
      <c r="J875" s="31">
        <v>1990</v>
      </c>
      <c r="K875" s="31">
        <v>1991</v>
      </c>
      <c r="L875" s="31">
        <v>1992</v>
      </c>
      <c r="M875" s="31">
        <v>1993</v>
      </c>
      <c r="N875" s="31">
        <v>1994</v>
      </c>
      <c r="O875" s="31">
        <v>1995</v>
      </c>
      <c r="P875" s="31">
        <v>1996</v>
      </c>
      <c r="Q875" s="31">
        <v>1997</v>
      </c>
      <c r="R875" s="31">
        <v>1998</v>
      </c>
      <c r="S875" s="31">
        <v>1999</v>
      </c>
      <c r="T875" s="31">
        <v>2000</v>
      </c>
      <c r="U875" s="31">
        <v>2001</v>
      </c>
      <c r="V875" s="31">
        <v>2002</v>
      </c>
      <c r="W875" s="31">
        <v>2003</v>
      </c>
      <c r="X875" s="31">
        <v>2004</v>
      </c>
      <c r="Y875" s="31">
        <v>2005</v>
      </c>
      <c r="Z875" s="31">
        <v>2006</v>
      </c>
      <c r="AA875" s="31">
        <v>2007</v>
      </c>
      <c r="AB875" s="31">
        <v>2008</v>
      </c>
      <c r="AC875" s="31">
        <v>2009</v>
      </c>
      <c r="AD875" s="31">
        <v>2010</v>
      </c>
      <c r="AE875" s="31">
        <v>2011</v>
      </c>
      <c r="AF875" s="31">
        <v>2012</v>
      </c>
      <c r="AG875" s="31">
        <v>2013</v>
      </c>
      <c r="AH875" s="31">
        <v>2014</v>
      </c>
      <c r="AI875" s="31">
        <v>2015</v>
      </c>
      <c r="AJ875">
        <v>2016</v>
      </c>
    </row>
    <row r="876" spans="1:38" ht="13" customHeight="1" x14ac:dyDescent="0.15">
      <c r="A876" s="31"/>
      <c r="B876" s="31">
        <v>4069.2</v>
      </c>
      <c r="C876" s="31">
        <v>8409.19</v>
      </c>
      <c r="D876" s="31">
        <v>6408.72</v>
      </c>
      <c r="E876" s="31">
        <v>8250.3700000000008</v>
      </c>
      <c r="F876" s="31">
        <v>6825.57</v>
      </c>
      <c r="G876" s="31">
        <v>7892.19</v>
      </c>
      <c r="H876" s="31">
        <v>11088.3</v>
      </c>
      <c r="I876" s="31">
        <v>9795.7999999999993</v>
      </c>
      <c r="J876" s="31">
        <v>11899.8</v>
      </c>
      <c r="K876" s="31">
        <v>7389.52</v>
      </c>
      <c r="L876" s="31">
        <v>6210.93</v>
      </c>
      <c r="M876" s="31">
        <v>7089.35</v>
      </c>
      <c r="N876" s="31">
        <v>7100.03</v>
      </c>
      <c r="O876" s="31">
        <v>9107.06</v>
      </c>
      <c r="P876" s="31">
        <v>4079.24</v>
      </c>
      <c r="Q876" s="31">
        <v>5019.41</v>
      </c>
      <c r="R876" s="31">
        <v>3509.91</v>
      </c>
      <c r="S876" s="31">
        <v>5454.72</v>
      </c>
      <c r="T876" s="31">
        <v>7355.11</v>
      </c>
      <c r="U876" s="31">
        <v>5439.75</v>
      </c>
      <c r="V876" s="31">
        <v>6770.72</v>
      </c>
      <c r="W876" s="31">
        <v>13508.1</v>
      </c>
      <c r="X876" s="31">
        <v>5105.8</v>
      </c>
      <c r="Y876" s="31">
        <v>6696.47</v>
      </c>
      <c r="Z876" s="31">
        <v>3886.15</v>
      </c>
      <c r="AA876" s="31">
        <v>6145.11</v>
      </c>
      <c r="AB876" s="31">
        <v>3994.32</v>
      </c>
      <c r="AC876" s="31">
        <v>2989.7</v>
      </c>
      <c r="AD876" s="31">
        <v>5131.7</v>
      </c>
      <c r="AE876" s="31">
        <v>3948.6</v>
      </c>
      <c r="AF876" s="31">
        <v>4613.87</v>
      </c>
      <c r="AG876" s="31">
        <v>6114.9</v>
      </c>
      <c r="AH876" s="31">
        <v>10331.200000000001</v>
      </c>
      <c r="AI876" s="31">
        <v>8587.4</v>
      </c>
      <c r="AJ876">
        <v>6607.64</v>
      </c>
    </row>
    <row r="877" spans="1:38" ht="13" customHeight="1" x14ac:dyDescent="0.15">
      <c r="A877" s="31"/>
      <c r="B877" s="31">
        <v>5537.74</v>
      </c>
      <c r="C877" s="31">
        <v>7721.77</v>
      </c>
      <c r="D877" s="31">
        <v>7010.82</v>
      </c>
      <c r="E877" s="31">
        <v>9977.57</v>
      </c>
      <c r="F877" s="31">
        <v>7761.53</v>
      </c>
      <c r="G877" s="31">
        <v>10146.799999999999</v>
      </c>
      <c r="H877" s="31">
        <v>11926.3</v>
      </c>
      <c r="I877" s="31">
        <v>11459.4</v>
      </c>
      <c r="J877" s="31">
        <v>9778.23</v>
      </c>
      <c r="K877" s="31">
        <v>7174.7</v>
      </c>
      <c r="L877" s="31">
        <v>6073.06</v>
      </c>
      <c r="M877" s="31">
        <v>6589.92</v>
      </c>
      <c r="N877" s="31">
        <v>7029.43</v>
      </c>
      <c r="O877" s="31">
        <v>5274.47</v>
      </c>
      <c r="P877" s="31">
        <v>4424.16</v>
      </c>
      <c r="Q877" s="31">
        <v>5573.67</v>
      </c>
      <c r="R877" s="31">
        <v>4481.51</v>
      </c>
      <c r="S877" s="31">
        <v>6486.7</v>
      </c>
      <c r="T877" s="31">
        <v>6602.81</v>
      </c>
      <c r="U877" s="31">
        <v>6245.15</v>
      </c>
      <c r="V877" s="31">
        <v>6296.14</v>
      </c>
      <c r="W877" s="31">
        <v>4891.41</v>
      </c>
      <c r="X877" s="31">
        <v>5609.4</v>
      </c>
      <c r="Y877" s="31">
        <v>6567.07</v>
      </c>
      <c r="Z877" s="31">
        <v>4859.26</v>
      </c>
      <c r="AA877" s="31">
        <v>6146.96</v>
      </c>
      <c r="AB877" s="31">
        <v>4628.63</v>
      </c>
      <c r="AC877" s="31">
        <v>4107.3500000000004</v>
      </c>
      <c r="AD877" s="31">
        <v>4804.24</v>
      </c>
      <c r="AE877" s="31">
        <v>3869.69</v>
      </c>
      <c r="AF877" s="31">
        <v>5301.54</v>
      </c>
      <c r="AG877" s="31">
        <v>7083.49</v>
      </c>
      <c r="AH877" s="31">
        <v>8240.8799999999992</v>
      </c>
      <c r="AI877" s="31">
        <v>8955.6200000000008</v>
      </c>
      <c r="AJ877">
        <v>8188.38</v>
      </c>
    </row>
    <row r="878" spans="1:38" ht="13" customHeight="1" x14ac:dyDescent="0.15">
      <c r="A878" s="31" t="s">
        <v>667</v>
      </c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</row>
    <row r="879" spans="1:38" ht="13" customHeight="1" x14ac:dyDescent="0.15">
      <c r="A879" s="31"/>
      <c r="B879" s="31">
        <v>1979</v>
      </c>
      <c r="C879" s="31">
        <v>1982</v>
      </c>
      <c r="D879" s="31">
        <v>1985</v>
      </c>
      <c r="E879" s="31">
        <v>1988</v>
      </c>
      <c r="F879" s="31">
        <v>1991</v>
      </c>
      <c r="G879" s="31">
        <v>1994</v>
      </c>
      <c r="H879" s="31">
        <v>1996</v>
      </c>
      <c r="I879" s="31">
        <v>1997</v>
      </c>
      <c r="J879" s="31">
        <v>1999</v>
      </c>
      <c r="K879" s="31">
        <v>2000</v>
      </c>
      <c r="L879" s="31">
        <v>2002</v>
      </c>
      <c r="M879" s="31">
        <v>2004</v>
      </c>
      <c r="N879" s="31">
        <v>2006</v>
      </c>
      <c r="O879" s="31">
        <v>2007</v>
      </c>
      <c r="P879" s="31">
        <v>2008</v>
      </c>
      <c r="Q879" s="31">
        <v>2009</v>
      </c>
      <c r="R879" s="31">
        <v>2010</v>
      </c>
      <c r="S879" s="31">
        <v>2012</v>
      </c>
      <c r="T879" s="31">
        <v>2014</v>
      </c>
      <c r="U879" s="31">
        <v>2016</v>
      </c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</row>
    <row r="880" spans="1:38" ht="13" customHeight="1" x14ac:dyDescent="0.15">
      <c r="A880" s="31"/>
      <c r="B880" s="31">
        <v>7460</v>
      </c>
      <c r="C880" s="31">
        <v>4900</v>
      </c>
      <c r="D880" s="31">
        <v>4800</v>
      </c>
      <c r="E880" s="31">
        <v>4680</v>
      </c>
      <c r="F880" s="31">
        <v>1450</v>
      </c>
      <c r="G880" s="31">
        <v>2886.23</v>
      </c>
      <c r="H880" s="31">
        <v>2310.73</v>
      </c>
      <c r="I880" s="31">
        <v>2592.1799999999998</v>
      </c>
      <c r="J880" s="31">
        <v>3285.08</v>
      </c>
      <c r="K880" s="31">
        <v>3048.7</v>
      </c>
      <c r="L880" s="31">
        <v>3621.82</v>
      </c>
      <c r="M880" s="31">
        <v>3306.94</v>
      </c>
      <c r="N880" s="31">
        <v>1560.13</v>
      </c>
      <c r="O880" s="31">
        <v>1769.02</v>
      </c>
      <c r="P880" s="31">
        <v>996.93899999999996</v>
      </c>
      <c r="Q880" s="31">
        <v>923.84299999999996</v>
      </c>
      <c r="R880" s="31">
        <v>2322.64</v>
      </c>
      <c r="S880" s="31">
        <v>1842.79</v>
      </c>
      <c r="T880" s="31">
        <v>3501.94</v>
      </c>
      <c r="U880" s="31">
        <v>4063.01</v>
      </c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</row>
    <row r="881" spans="1:35" ht="13" customHeight="1" x14ac:dyDescent="0.15">
      <c r="A881" s="31"/>
      <c r="B881" s="31">
        <v>2134.42</v>
      </c>
      <c r="C881" s="31">
        <v>3191.75</v>
      </c>
      <c r="D881" s="31">
        <v>3881.93</v>
      </c>
      <c r="E881" s="31">
        <v>3458.01</v>
      </c>
      <c r="F881" s="31">
        <v>2288.73</v>
      </c>
      <c r="G881" s="31">
        <v>3216.35</v>
      </c>
      <c r="H881" s="31">
        <v>3149.88</v>
      </c>
      <c r="I881" s="31">
        <v>3258.38</v>
      </c>
      <c r="J881" s="31">
        <v>2827.42</v>
      </c>
      <c r="K881" s="31">
        <v>2931.41</v>
      </c>
      <c r="L881" s="31">
        <v>3151.46</v>
      </c>
      <c r="M881" s="31">
        <v>3267.47</v>
      </c>
      <c r="N881" s="31">
        <v>2034.65</v>
      </c>
      <c r="O881" s="31">
        <v>1687.15</v>
      </c>
      <c r="P881" s="31">
        <v>1487.55</v>
      </c>
      <c r="Q881" s="31">
        <v>1884.05</v>
      </c>
      <c r="R881" s="31">
        <v>2668.75</v>
      </c>
      <c r="S881" s="31">
        <v>2965.73</v>
      </c>
      <c r="T881" s="31">
        <v>3472.57</v>
      </c>
      <c r="U881" s="31">
        <v>4247.91</v>
      </c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</row>
    <row r="882" spans="1:35" ht="13" customHeight="1" x14ac:dyDescent="0.15">
      <c r="A882" s="31" t="s">
        <v>668</v>
      </c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</row>
    <row r="883" spans="1:35" ht="13" customHeight="1" x14ac:dyDescent="0.15">
      <c r="A883" s="31">
        <v>1979</v>
      </c>
      <c r="B883" s="31">
        <v>10621.7</v>
      </c>
      <c r="C883" s="31">
        <v>989.64599999999996</v>
      </c>
      <c r="D883" s="31">
        <v>276.40699999999998</v>
      </c>
      <c r="E883" s="31">
        <v>179.303</v>
      </c>
      <c r="F883" s="31">
        <v>92.725800000000007</v>
      </c>
      <c r="G883" s="31">
        <v>52.305199999999999</v>
      </c>
      <c r="H883" s="31">
        <v>11.3254</v>
      </c>
      <c r="I883" s="31">
        <v>6.9317900000000003</v>
      </c>
      <c r="J883" s="31">
        <v>5.4826899999999998</v>
      </c>
      <c r="K883" s="31">
        <v>3.1072799999999998</v>
      </c>
      <c r="L883" s="31">
        <v>1.3939699999999999</v>
      </c>
      <c r="M883" s="31">
        <v>0.85574099999999997</v>
      </c>
      <c r="N883" s="31">
        <v>0.27420499999999998</v>
      </c>
      <c r="O883" s="31">
        <v>0.29225099999999998</v>
      </c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</row>
    <row r="884" spans="1:35" ht="13" customHeight="1" x14ac:dyDescent="0.15">
      <c r="A884" s="31">
        <v>1982</v>
      </c>
      <c r="B884" s="31">
        <v>3469.71</v>
      </c>
      <c r="C884" s="31">
        <v>2448.65</v>
      </c>
      <c r="D884" s="31">
        <v>3817.39</v>
      </c>
      <c r="E884" s="31">
        <v>822.327</v>
      </c>
      <c r="F884" s="31">
        <v>160.07900000000001</v>
      </c>
      <c r="G884" s="31">
        <v>68.211100000000002</v>
      </c>
      <c r="H884" s="31">
        <v>33.193600000000004</v>
      </c>
      <c r="I884" s="31">
        <v>16.6022</v>
      </c>
      <c r="J884" s="31">
        <v>9.0196900000000007</v>
      </c>
      <c r="K884" s="31">
        <v>1.8534600000000001</v>
      </c>
      <c r="L884" s="31">
        <v>1.1199699999999999</v>
      </c>
      <c r="M884" s="31">
        <v>0.88532900000000003</v>
      </c>
      <c r="N884" s="31">
        <v>0.50175499999999995</v>
      </c>
      <c r="O884" s="31">
        <v>0.45474599999999998</v>
      </c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</row>
    <row r="885" spans="1:35" ht="13" customHeight="1" x14ac:dyDescent="0.15">
      <c r="A885" s="31">
        <v>1985</v>
      </c>
      <c r="B885" s="31">
        <v>1534.59</v>
      </c>
      <c r="C885" s="31">
        <v>4763.58</v>
      </c>
      <c r="D885" s="31">
        <v>1115.97</v>
      </c>
      <c r="E885" s="31">
        <v>1427.72</v>
      </c>
      <c r="F885" s="31">
        <v>633.21500000000003</v>
      </c>
      <c r="G885" s="31">
        <v>821.51400000000001</v>
      </c>
      <c r="H885" s="31">
        <v>133.15700000000001</v>
      </c>
      <c r="I885" s="31">
        <v>30.3705</v>
      </c>
      <c r="J885" s="31">
        <v>12.577199999999999</v>
      </c>
      <c r="K885" s="31">
        <v>7.1558400000000004</v>
      </c>
      <c r="L885" s="31">
        <v>3.5538400000000001</v>
      </c>
      <c r="M885" s="31">
        <v>1.9310099999999999</v>
      </c>
      <c r="N885" s="31">
        <v>0.39680500000000002</v>
      </c>
      <c r="O885" s="31">
        <v>0.63408500000000001</v>
      </c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</row>
    <row r="886" spans="1:35" ht="13" customHeight="1" x14ac:dyDescent="0.15">
      <c r="A886" s="31">
        <v>1988</v>
      </c>
      <c r="B886" s="31">
        <v>886.63400000000001</v>
      </c>
      <c r="C886" s="31">
        <v>1314.65</v>
      </c>
      <c r="D886" s="31">
        <v>2381.37</v>
      </c>
      <c r="E886" s="31">
        <v>648.49800000000005</v>
      </c>
      <c r="F886" s="31">
        <v>1383.77</v>
      </c>
      <c r="G886" s="31">
        <v>276.04899999999998</v>
      </c>
      <c r="H886" s="31">
        <v>264.58800000000002</v>
      </c>
      <c r="I886" s="31">
        <v>129.87899999999999</v>
      </c>
      <c r="J886" s="31">
        <v>167.49100000000001</v>
      </c>
      <c r="K886" s="31">
        <v>31.711200000000002</v>
      </c>
      <c r="L886" s="31">
        <v>7.1657000000000002</v>
      </c>
      <c r="M886" s="31">
        <v>2.9523799999999998</v>
      </c>
      <c r="N886" s="31">
        <v>1.67977</v>
      </c>
      <c r="O886" s="31">
        <v>1.5295099999999999</v>
      </c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</row>
    <row r="887" spans="1:35" ht="13" customHeight="1" x14ac:dyDescent="0.15">
      <c r="A887" s="31">
        <v>1991</v>
      </c>
      <c r="B887" s="31">
        <v>5521.38</v>
      </c>
      <c r="C887" s="31">
        <v>1011</v>
      </c>
      <c r="D887" s="31">
        <v>367.33600000000001</v>
      </c>
      <c r="E887" s="31">
        <v>327.49400000000003</v>
      </c>
      <c r="F887" s="31">
        <v>306.43</v>
      </c>
      <c r="G887" s="31">
        <v>471.61399999999998</v>
      </c>
      <c r="H887" s="31">
        <v>98.109399999999994</v>
      </c>
      <c r="I887" s="31">
        <v>228.58199999999999</v>
      </c>
      <c r="J887" s="31">
        <v>45.302799999999998</v>
      </c>
      <c r="K887" s="31">
        <v>53.051299999999998</v>
      </c>
      <c r="L887" s="31">
        <v>25.952999999999999</v>
      </c>
      <c r="M887" s="31">
        <v>33.5471</v>
      </c>
      <c r="N887" s="31">
        <v>6.3514699999999999</v>
      </c>
      <c r="O887" s="31">
        <v>2.6693600000000002</v>
      </c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</row>
    <row r="888" spans="1:35" ht="13" customHeight="1" x14ac:dyDescent="0.15">
      <c r="A888" s="31">
        <v>1994</v>
      </c>
      <c r="B888" s="31">
        <v>5307.65</v>
      </c>
      <c r="C888" s="31">
        <v>2099.02</v>
      </c>
      <c r="D888" s="31">
        <v>1718.09</v>
      </c>
      <c r="E888" s="31">
        <v>1944.06</v>
      </c>
      <c r="F888" s="31">
        <v>258.09899999999999</v>
      </c>
      <c r="G888" s="31">
        <v>70.744200000000006</v>
      </c>
      <c r="H888" s="31">
        <v>40.214399999999998</v>
      </c>
      <c r="I888" s="31">
        <v>39.331499999999998</v>
      </c>
      <c r="J888" s="31">
        <v>56.155099999999997</v>
      </c>
      <c r="K888" s="31">
        <v>14.2788</v>
      </c>
      <c r="L888" s="31">
        <v>32.860100000000003</v>
      </c>
      <c r="M888" s="31">
        <v>6.5172600000000003</v>
      </c>
      <c r="N888" s="31">
        <v>7.6319699999999999</v>
      </c>
      <c r="O888" s="31">
        <v>9.8574099999999998</v>
      </c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</row>
    <row r="889" spans="1:35" ht="13" customHeight="1" x14ac:dyDescent="0.15">
      <c r="A889" s="31">
        <v>1996</v>
      </c>
      <c r="B889" s="31">
        <v>1233.95</v>
      </c>
      <c r="C889" s="31">
        <v>1471.73</v>
      </c>
      <c r="D889" s="31">
        <v>3359.74</v>
      </c>
      <c r="E889" s="31">
        <v>1144.3800000000001</v>
      </c>
      <c r="F889" s="31">
        <v>594.57799999999997</v>
      </c>
      <c r="G889" s="31">
        <v>493.94400000000002</v>
      </c>
      <c r="H889" s="31">
        <v>67.298400000000001</v>
      </c>
      <c r="I889" s="31">
        <v>18.0977</v>
      </c>
      <c r="J889" s="31">
        <v>12.574299999999999</v>
      </c>
      <c r="K889" s="31">
        <v>12.4213</v>
      </c>
      <c r="L889" s="31">
        <v>17.791</v>
      </c>
      <c r="M889" s="31">
        <v>4.5237800000000004</v>
      </c>
      <c r="N889" s="31">
        <v>10.4107</v>
      </c>
      <c r="O889" s="31">
        <v>7.6057600000000001</v>
      </c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</row>
    <row r="890" spans="1:35" ht="13" customHeight="1" x14ac:dyDescent="0.15">
      <c r="A890" s="31">
        <v>1997</v>
      </c>
      <c r="B890" s="31">
        <v>2586.34</v>
      </c>
      <c r="C890" s="31">
        <v>1003.38</v>
      </c>
      <c r="D890" s="31">
        <v>1129.3699999999999</v>
      </c>
      <c r="E890" s="31">
        <v>2408.77</v>
      </c>
      <c r="F890" s="31">
        <v>628.14499999999998</v>
      </c>
      <c r="G890" s="31">
        <v>338.55200000000002</v>
      </c>
      <c r="H890" s="31">
        <v>212.00800000000001</v>
      </c>
      <c r="I890" s="31">
        <v>34.2393</v>
      </c>
      <c r="J890" s="31">
        <v>9.5174000000000003</v>
      </c>
      <c r="K890" s="31">
        <v>6.7217500000000001</v>
      </c>
      <c r="L890" s="31">
        <v>6.6399699999999999</v>
      </c>
      <c r="M890" s="31">
        <v>9.5104199999999999</v>
      </c>
      <c r="N890" s="31">
        <v>2.41825</v>
      </c>
      <c r="O890" s="31">
        <v>9.6309500000000003</v>
      </c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</row>
    <row r="891" spans="1:35" ht="13" customHeight="1" x14ac:dyDescent="0.15">
      <c r="A891" s="31">
        <v>1999</v>
      </c>
      <c r="B891" s="31">
        <v>1754.29</v>
      </c>
      <c r="C891" s="31">
        <v>2839.86</v>
      </c>
      <c r="D891" s="31">
        <v>1585.16</v>
      </c>
      <c r="E891" s="31">
        <v>541.846</v>
      </c>
      <c r="F891" s="31">
        <v>449.68</v>
      </c>
      <c r="G891" s="31">
        <v>798.69600000000003</v>
      </c>
      <c r="H891" s="31">
        <v>195.81200000000001</v>
      </c>
      <c r="I891" s="31">
        <v>91.253100000000003</v>
      </c>
      <c r="J891" s="31">
        <v>65.062600000000003</v>
      </c>
      <c r="K891" s="31">
        <v>10.622299999999999</v>
      </c>
      <c r="L891" s="31">
        <v>2.9859800000000001</v>
      </c>
      <c r="M891" s="31">
        <v>2.10887</v>
      </c>
      <c r="N891" s="31">
        <v>2.0832099999999998</v>
      </c>
      <c r="O891" s="31">
        <v>6.7640900000000004</v>
      </c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</row>
    <row r="892" spans="1:35" ht="13" customHeight="1" x14ac:dyDescent="0.15">
      <c r="A892" s="31">
        <v>2000</v>
      </c>
      <c r="B892" s="31">
        <v>1906.68</v>
      </c>
      <c r="C892" s="31">
        <v>1424.71</v>
      </c>
      <c r="D892" s="31">
        <v>2099.66</v>
      </c>
      <c r="E892" s="31">
        <v>1082.8900000000001</v>
      </c>
      <c r="F892" s="31">
        <v>302.20400000000001</v>
      </c>
      <c r="G892" s="31">
        <v>281.745</v>
      </c>
      <c r="H892" s="31">
        <v>383.79199999999997</v>
      </c>
      <c r="I892" s="31">
        <v>116.042</v>
      </c>
      <c r="J892" s="31">
        <v>55.003399999999999</v>
      </c>
      <c r="K892" s="31">
        <v>39.445399999999999</v>
      </c>
      <c r="L892" s="31">
        <v>6.4399899999999999</v>
      </c>
      <c r="M892" s="31">
        <v>1.8103100000000001</v>
      </c>
      <c r="N892" s="31">
        <v>1.27854</v>
      </c>
      <c r="O892" s="31">
        <v>5.3638500000000002</v>
      </c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</row>
    <row r="893" spans="1:35" ht="13" customHeight="1" x14ac:dyDescent="0.15">
      <c r="A893" s="31">
        <v>2002</v>
      </c>
      <c r="B893" s="31">
        <v>4072.67</v>
      </c>
      <c r="C893" s="31">
        <v>2382.54</v>
      </c>
      <c r="D893" s="31">
        <v>1165.1300000000001</v>
      </c>
      <c r="E893" s="31">
        <v>713.86599999999999</v>
      </c>
      <c r="F893" s="31">
        <v>654.54499999999996</v>
      </c>
      <c r="G893" s="31">
        <v>298.09800000000001</v>
      </c>
      <c r="H893" s="31">
        <v>83.320400000000006</v>
      </c>
      <c r="I893" s="31">
        <v>74.672799999999995</v>
      </c>
      <c r="J893" s="31">
        <v>123.154</v>
      </c>
      <c r="K893" s="31">
        <v>38.997900000000001</v>
      </c>
      <c r="L893" s="31">
        <v>18.734000000000002</v>
      </c>
      <c r="M893" s="31">
        <v>13.435</v>
      </c>
      <c r="N893" s="31">
        <v>2.1934399999999998</v>
      </c>
      <c r="O893" s="31">
        <v>2.8789699999999998</v>
      </c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</row>
    <row r="894" spans="1:35" ht="13" customHeight="1" x14ac:dyDescent="0.15">
      <c r="A894" s="31">
        <v>2004</v>
      </c>
      <c r="B894" s="31">
        <v>1657.76</v>
      </c>
      <c r="C894" s="31">
        <v>2207.9699999999998</v>
      </c>
      <c r="D894" s="31">
        <v>2324.4</v>
      </c>
      <c r="E894" s="31">
        <v>1176.04</v>
      </c>
      <c r="F894" s="31">
        <v>374.85399999999998</v>
      </c>
      <c r="G894" s="31">
        <v>185.22200000000001</v>
      </c>
      <c r="H894" s="31">
        <v>147.44800000000001</v>
      </c>
      <c r="I894" s="31">
        <v>68.5304</v>
      </c>
      <c r="J894" s="31">
        <v>24.555099999999999</v>
      </c>
      <c r="K894" s="31">
        <v>23.744900000000001</v>
      </c>
      <c r="L894" s="31">
        <v>40.142699999999998</v>
      </c>
      <c r="M894" s="31">
        <v>12.711600000000001</v>
      </c>
      <c r="N894" s="31">
        <v>6.1064699999999998</v>
      </c>
      <c r="O894" s="31">
        <v>6.03261</v>
      </c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</row>
    <row r="895" spans="1:35" ht="13" customHeight="1" x14ac:dyDescent="0.15">
      <c r="A895" s="31">
        <v>2006</v>
      </c>
      <c r="B895" s="31">
        <v>547.35500000000002</v>
      </c>
      <c r="C895" s="31">
        <v>604.88499999999999</v>
      </c>
      <c r="D895" s="31">
        <v>988.89400000000001</v>
      </c>
      <c r="E895" s="31">
        <v>1024.47</v>
      </c>
      <c r="F895" s="31">
        <v>639.76400000000001</v>
      </c>
      <c r="G895" s="31">
        <v>306.60300000000001</v>
      </c>
      <c r="H895" s="31">
        <v>97.792000000000002</v>
      </c>
      <c r="I895" s="31">
        <v>47.798499999999997</v>
      </c>
      <c r="J895" s="31">
        <v>46.940899999999999</v>
      </c>
      <c r="K895" s="31">
        <v>23.038499999999999</v>
      </c>
      <c r="L895" s="31">
        <v>8.4437999999999995</v>
      </c>
      <c r="M895" s="31">
        <v>8.1651799999999994</v>
      </c>
      <c r="N895" s="31">
        <v>13.803900000000001</v>
      </c>
      <c r="O895" s="31">
        <v>8.5454299999999996</v>
      </c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</row>
    <row r="896" spans="1:35" ht="13" customHeight="1" x14ac:dyDescent="0.15">
      <c r="A896" s="31">
        <v>2007</v>
      </c>
      <c r="B896" s="31">
        <v>1382.65</v>
      </c>
      <c r="C896" s="31">
        <v>439.81799999999998</v>
      </c>
      <c r="D896" s="31">
        <v>438.065</v>
      </c>
      <c r="E896" s="31">
        <v>614.04899999999998</v>
      </c>
      <c r="F896" s="31">
        <v>456.23099999999999</v>
      </c>
      <c r="G896" s="31">
        <v>332.31099999999998</v>
      </c>
      <c r="H896" s="31">
        <v>135.50299999999999</v>
      </c>
      <c r="I896" s="31">
        <v>52.504800000000003</v>
      </c>
      <c r="J896" s="31">
        <v>26.351299999999998</v>
      </c>
      <c r="K896" s="31">
        <v>26.2652</v>
      </c>
      <c r="L896" s="31">
        <v>12.8909</v>
      </c>
      <c r="M896" s="31">
        <v>4.7246300000000003</v>
      </c>
      <c r="N896" s="31">
        <v>4.5687300000000004</v>
      </c>
      <c r="O896" s="31">
        <v>12.5053</v>
      </c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</row>
    <row r="897" spans="1:35" ht="13" customHeight="1" x14ac:dyDescent="0.15">
      <c r="A897" s="31">
        <v>2008</v>
      </c>
      <c r="B897" s="31">
        <v>2989.75</v>
      </c>
      <c r="C897" s="31">
        <v>1121.76</v>
      </c>
      <c r="D897" s="31">
        <v>320.32400000000001</v>
      </c>
      <c r="E897" s="31">
        <v>275.01400000000001</v>
      </c>
      <c r="F897" s="31">
        <v>270.91800000000001</v>
      </c>
      <c r="G897" s="31">
        <v>227.685</v>
      </c>
      <c r="H897" s="31">
        <v>143.68</v>
      </c>
      <c r="I897" s="31">
        <v>71.266599999999997</v>
      </c>
      <c r="J897" s="31">
        <v>28.359000000000002</v>
      </c>
      <c r="K897" s="31">
        <v>14.3756</v>
      </c>
      <c r="L897" s="31">
        <v>14.3286</v>
      </c>
      <c r="M897" s="31">
        <v>7.03247</v>
      </c>
      <c r="N897" s="31">
        <v>2.5774499999999998</v>
      </c>
      <c r="O897" s="31">
        <v>9.3144899999999993</v>
      </c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</row>
    <row r="898" spans="1:35" ht="13" customHeight="1" x14ac:dyDescent="0.15">
      <c r="A898" s="31">
        <v>2009</v>
      </c>
      <c r="B898" s="31">
        <v>1657.36</v>
      </c>
      <c r="C898" s="31">
        <v>2427.38</v>
      </c>
      <c r="D898" s="31">
        <v>829.923</v>
      </c>
      <c r="E898" s="31">
        <v>209.95500000000001</v>
      </c>
      <c r="F898" s="31">
        <v>130.35</v>
      </c>
      <c r="G898" s="31">
        <v>137.85900000000001</v>
      </c>
      <c r="H898" s="31">
        <v>97.6982</v>
      </c>
      <c r="I898" s="31">
        <v>74.797799999999995</v>
      </c>
      <c r="J898" s="31">
        <v>37.336799999999997</v>
      </c>
      <c r="K898" s="31">
        <v>15.095700000000001</v>
      </c>
      <c r="L898" s="31">
        <v>7.6522199999999998</v>
      </c>
      <c r="M898" s="31">
        <v>7.62723</v>
      </c>
      <c r="N898" s="31">
        <v>3.7434400000000001</v>
      </c>
      <c r="O898" s="31">
        <v>6.3301800000000004</v>
      </c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</row>
    <row r="899" spans="1:35" ht="13" customHeight="1" x14ac:dyDescent="0.15">
      <c r="A899" s="31">
        <v>2010</v>
      </c>
      <c r="B899" s="31">
        <v>6453.44</v>
      </c>
      <c r="C899" s="31">
        <v>1354.31</v>
      </c>
      <c r="D899" s="31">
        <v>1764.74</v>
      </c>
      <c r="E899" s="31">
        <v>543.85</v>
      </c>
      <c r="F899" s="31">
        <v>107.959</v>
      </c>
      <c r="G899" s="31">
        <v>73.590599999999995</v>
      </c>
      <c r="H899" s="31">
        <v>62.489100000000001</v>
      </c>
      <c r="I899" s="31">
        <v>53.170200000000001</v>
      </c>
      <c r="J899" s="31">
        <v>40.651200000000003</v>
      </c>
      <c r="K899" s="31">
        <v>20.361699999999999</v>
      </c>
      <c r="L899" s="31">
        <v>8.23245</v>
      </c>
      <c r="M899" s="31">
        <v>4.1731400000000001</v>
      </c>
      <c r="N899" s="31">
        <v>4.1595199999999997</v>
      </c>
      <c r="O899" s="31">
        <v>5.4936499999999997</v>
      </c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</row>
    <row r="900" spans="1:35" ht="13" customHeight="1" x14ac:dyDescent="0.15">
      <c r="A900" s="31">
        <v>2012</v>
      </c>
      <c r="B900" s="31">
        <v>1526.86</v>
      </c>
      <c r="C900" s="31">
        <v>2071.81</v>
      </c>
      <c r="D900" s="31">
        <v>3904.46</v>
      </c>
      <c r="E900" s="31">
        <v>710.98099999999999</v>
      </c>
      <c r="F900" s="31">
        <v>447.363</v>
      </c>
      <c r="G900" s="31">
        <v>126.696</v>
      </c>
      <c r="H900" s="31">
        <v>25.2593</v>
      </c>
      <c r="I900" s="31">
        <v>17.032699999999998</v>
      </c>
      <c r="J900" s="31">
        <v>17.326899999999998</v>
      </c>
      <c r="K900" s="31">
        <v>14.993600000000001</v>
      </c>
      <c r="L900" s="31">
        <v>11.4977</v>
      </c>
      <c r="M900" s="31">
        <v>5.7590599999999998</v>
      </c>
      <c r="N900" s="31">
        <v>2.3284500000000001</v>
      </c>
      <c r="O900" s="31">
        <v>3.9106100000000001</v>
      </c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</row>
    <row r="901" spans="1:35" ht="13" customHeight="1" x14ac:dyDescent="0.15">
      <c r="A901" s="31">
        <v>2014</v>
      </c>
      <c r="B901" s="31">
        <v>7199.7</v>
      </c>
      <c r="C901" s="31">
        <v>1033.98</v>
      </c>
      <c r="D901" s="31">
        <v>926.58399999999995</v>
      </c>
      <c r="E901" s="31">
        <v>1010.43</v>
      </c>
      <c r="F901" s="31">
        <v>1324.52</v>
      </c>
      <c r="G901" s="31">
        <v>222.14099999999999</v>
      </c>
      <c r="H901" s="31">
        <v>111.863</v>
      </c>
      <c r="I901" s="31">
        <v>28.839300000000001</v>
      </c>
      <c r="J901" s="31">
        <v>6.7894300000000003</v>
      </c>
      <c r="K901" s="31">
        <v>4.6321700000000003</v>
      </c>
      <c r="L901" s="31">
        <v>4.7359</v>
      </c>
      <c r="M901" s="31">
        <v>4.0981500000000004</v>
      </c>
      <c r="N901" s="31">
        <v>3.14263</v>
      </c>
      <c r="O901" s="31">
        <v>3.2793999999999999</v>
      </c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</row>
    <row r="902" spans="1:35" ht="13" customHeight="1" x14ac:dyDescent="0.15">
      <c r="A902" s="31">
        <v>2016</v>
      </c>
      <c r="B902" s="31">
        <v>2060.86</v>
      </c>
      <c r="C902" s="31">
        <v>2920.06</v>
      </c>
      <c r="D902" s="31">
        <v>4295.87</v>
      </c>
      <c r="E902" s="31">
        <v>519.255</v>
      </c>
      <c r="F902" s="31">
        <v>321.33499999999998</v>
      </c>
      <c r="G902" s="31">
        <v>299.88200000000001</v>
      </c>
      <c r="H902" s="31">
        <v>389.12700000000001</v>
      </c>
      <c r="I902" s="31">
        <v>61.268000000000001</v>
      </c>
      <c r="J902" s="31">
        <v>36.276800000000001</v>
      </c>
      <c r="K902" s="31">
        <v>8.6830300000000005</v>
      </c>
      <c r="L902" s="31">
        <v>2.0140799999999999</v>
      </c>
      <c r="M902" s="31">
        <v>1.3741300000000001</v>
      </c>
      <c r="N902" s="31">
        <v>1.4049</v>
      </c>
      <c r="O902" s="31">
        <v>3.12079</v>
      </c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</row>
    <row r="903" spans="1:35" ht="13" customHeight="1" x14ac:dyDescent="0.15">
      <c r="A903" s="31" t="s">
        <v>672</v>
      </c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</row>
    <row r="904" spans="1:35" ht="13" customHeight="1" x14ac:dyDescent="0.15">
      <c r="A904" s="31">
        <v>1978</v>
      </c>
      <c r="B904" s="31">
        <v>0.25426199999999999</v>
      </c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</row>
    <row r="905" spans="1:35" ht="13" customHeight="1" x14ac:dyDescent="0.15">
      <c r="A905" s="31">
        <v>1979</v>
      </c>
      <c r="B905" s="31">
        <v>1.1439600000000001</v>
      </c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</row>
    <row r="906" spans="1:35" ht="13" customHeight="1" x14ac:dyDescent="0.15">
      <c r="A906" s="31">
        <v>1980</v>
      </c>
      <c r="B906" s="31">
        <v>0.34838400000000003</v>
      </c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</row>
    <row r="907" spans="1:35" ht="13" customHeight="1" x14ac:dyDescent="0.15">
      <c r="A907" s="31">
        <v>1981</v>
      </c>
      <c r="B907" s="31">
        <v>0.40021699999999999</v>
      </c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</row>
    <row r="908" spans="1:35" ht="13" customHeight="1" x14ac:dyDescent="0.15">
      <c r="A908" s="31">
        <v>1982</v>
      </c>
      <c r="B908" s="31">
        <v>-0.49325000000000002</v>
      </c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</row>
    <row r="909" spans="1:35" ht="13" customHeight="1" x14ac:dyDescent="0.15">
      <c r="A909" s="31">
        <v>1983</v>
      </c>
      <c r="B909" s="31">
        <v>0.56869000000000003</v>
      </c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</row>
    <row r="910" spans="1:35" ht="13" customHeight="1" x14ac:dyDescent="0.15">
      <c r="A910" s="31">
        <v>1984</v>
      </c>
      <c r="B910" s="31">
        <v>-0.76567200000000002</v>
      </c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</row>
    <row r="911" spans="1:35" ht="13" customHeight="1" x14ac:dyDescent="0.15">
      <c r="A911" s="31">
        <v>1985</v>
      </c>
      <c r="B911" s="31">
        <v>0.18823100000000001</v>
      </c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</row>
    <row r="912" spans="1:35" ht="13" customHeight="1" x14ac:dyDescent="0.15">
      <c r="A912" s="31">
        <v>1986</v>
      </c>
      <c r="B912" s="31">
        <v>-0.65274299999999996</v>
      </c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</row>
    <row r="913" spans="1:35" ht="13" customHeight="1" x14ac:dyDescent="0.15">
      <c r="A913" s="31">
        <v>1987</v>
      </c>
      <c r="B913" s="31">
        <v>-1.24326</v>
      </c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</row>
    <row r="914" spans="1:35" ht="13" customHeight="1" x14ac:dyDescent="0.15">
      <c r="A914" s="31">
        <v>1988</v>
      </c>
      <c r="B914" s="31">
        <v>-1.56857</v>
      </c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</row>
    <row r="915" spans="1:35" ht="13" customHeight="1" x14ac:dyDescent="0.15">
      <c r="A915" s="31">
        <v>1989</v>
      </c>
      <c r="B915" s="31">
        <v>-0.87735600000000002</v>
      </c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</row>
    <row r="916" spans="1:35" ht="13" customHeight="1" x14ac:dyDescent="0.15">
      <c r="A916" s="31">
        <v>1990</v>
      </c>
      <c r="B916" s="31">
        <v>0.55802600000000002</v>
      </c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</row>
    <row r="917" spans="1:35" ht="13" customHeight="1" x14ac:dyDescent="0.15">
      <c r="A917" s="31">
        <v>1991</v>
      </c>
      <c r="B917" s="31">
        <v>-0.13980200000000001</v>
      </c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</row>
    <row r="918" spans="1:35" ht="13" customHeight="1" x14ac:dyDescent="0.15">
      <c r="A918" s="31">
        <v>1992</v>
      </c>
      <c r="B918" s="31">
        <v>-0.24712799999999999</v>
      </c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</row>
    <row r="919" spans="1:35" ht="13" customHeight="1" x14ac:dyDescent="0.15">
      <c r="A919" s="31">
        <v>1993</v>
      </c>
      <c r="B919" s="31">
        <v>0.46755200000000002</v>
      </c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</row>
    <row r="920" spans="1:35" ht="13" customHeight="1" x14ac:dyDescent="0.15">
      <c r="A920" s="31">
        <v>1994</v>
      </c>
      <c r="B920" s="31">
        <v>-0.60063</v>
      </c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</row>
    <row r="921" spans="1:35" ht="13" customHeight="1" x14ac:dyDescent="0.15">
      <c r="A921" s="31">
        <v>1995</v>
      </c>
      <c r="B921" s="31">
        <v>-0.95782999999999996</v>
      </c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</row>
    <row r="922" spans="1:35" ht="13" customHeight="1" x14ac:dyDescent="0.15">
      <c r="A922" s="31">
        <v>1996</v>
      </c>
      <c r="B922" s="31">
        <v>-0.19675400000000001</v>
      </c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</row>
    <row r="923" spans="1:35" ht="13" customHeight="1" x14ac:dyDescent="0.15">
      <c r="A923" s="31">
        <v>1997</v>
      </c>
      <c r="B923" s="31">
        <v>0.113827</v>
      </c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</row>
    <row r="924" spans="1:35" ht="13" customHeight="1" x14ac:dyDescent="0.15">
      <c r="A924" s="31">
        <v>1998</v>
      </c>
      <c r="B924" s="31">
        <v>-0.60593699999999995</v>
      </c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</row>
    <row r="925" spans="1:35" ht="13" customHeight="1" x14ac:dyDescent="0.15">
      <c r="A925" s="31">
        <v>1999</v>
      </c>
      <c r="B925" s="31">
        <v>-0.54167500000000002</v>
      </c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</row>
    <row r="926" spans="1:35" ht="13" customHeight="1" x14ac:dyDescent="0.15">
      <c r="A926" s="31">
        <v>2000</v>
      </c>
      <c r="B926" s="31">
        <v>-0.112304</v>
      </c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</row>
    <row r="927" spans="1:35" ht="13" customHeight="1" x14ac:dyDescent="0.15">
      <c r="A927" s="31">
        <v>2001</v>
      </c>
      <c r="B927" s="31">
        <v>0.219888</v>
      </c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</row>
    <row r="928" spans="1:35" ht="13" customHeight="1" x14ac:dyDescent="0.15">
      <c r="A928" s="31">
        <v>2002</v>
      </c>
      <c r="B928" s="31">
        <v>-0.184753</v>
      </c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</row>
    <row r="929" spans="1:35" ht="13" customHeight="1" x14ac:dyDescent="0.15">
      <c r="A929" s="31">
        <v>2003</v>
      </c>
      <c r="B929" s="31">
        <v>-0.69042499999999996</v>
      </c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</row>
    <row r="930" spans="1:35" ht="13" customHeight="1" x14ac:dyDescent="0.15">
      <c r="A930" s="31">
        <v>2004</v>
      </c>
      <c r="B930" s="31">
        <v>-1.4681999999999999</v>
      </c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</row>
    <row r="931" spans="1:35" ht="13" customHeight="1" x14ac:dyDescent="0.15">
      <c r="A931" s="31">
        <v>2005</v>
      </c>
      <c r="B931" s="31">
        <v>-1.77765</v>
      </c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</row>
    <row r="932" spans="1:35" ht="13" customHeight="1" x14ac:dyDescent="0.15">
      <c r="A932" s="31">
        <v>2006</v>
      </c>
      <c r="B932" s="31">
        <v>-0.87019199999999997</v>
      </c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</row>
    <row r="933" spans="1:35" ht="13" customHeight="1" x14ac:dyDescent="0.15">
      <c r="A933" s="31">
        <v>2007</v>
      </c>
      <c r="B933" s="31">
        <v>-0.11436399999999999</v>
      </c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</row>
    <row r="934" spans="1:35" ht="13" customHeight="1" x14ac:dyDescent="0.15">
      <c r="A934" s="31">
        <v>2008</v>
      </c>
      <c r="B934" s="31">
        <v>-0.68748399999999998</v>
      </c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</row>
    <row r="935" spans="1:35" ht="13" customHeight="1" x14ac:dyDescent="0.15">
      <c r="A935" s="31">
        <v>2009</v>
      </c>
      <c r="B935" s="31">
        <v>0.75494499999999998</v>
      </c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</row>
    <row r="936" spans="1:35" ht="13" customHeight="1" x14ac:dyDescent="0.15">
      <c r="A936" s="31">
        <v>2010</v>
      </c>
      <c r="B936" s="31">
        <v>-0.20577799999999999</v>
      </c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</row>
    <row r="937" spans="1:35" ht="13" customHeight="1" x14ac:dyDescent="0.15">
      <c r="A937" s="31">
        <v>2011</v>
      </c>
      <c r="B937" s="31">
        <v>-0.75229599999999996</v>
      </c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</row>
    <row r="938" spans="1:35" ht="13" customHeight="1" x14ac:dyDescent="0.15">
      <c r="A938" s="31">
        <v>2012</v>
      </c>
      <c r="B938" s="31">
        <v>-0.96905699999999995</v>
      </c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</row>
    <row r="939" spans="1:35" ht="13" customHeight="1" x14ac:dyDescent="0.15">
      <c r="A939" s="31">
        <v>2013</v>
      </c>
      <c r="B939" s="31">
        <v>0.76759500000000003</v>
      </c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</row>
    <row r="940" spans="1:35" ht="13" customHeight="1" x14ac:dyDescent="0.15">
      <c r="A940" s="31">
        <v>2014</v>
      </c>
      <c r="B940" s="31">
        <v>9.5036200000000001E-2</v>
      </c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</row>
    <row r="941" spans="1:35" ht="13" customHeight="1" x14ac:dyDescent="0.15">
      <c r="A941" s="31" t="s">
        <v>678</v>
      </c>
      <c r="B941" s="31" t="s">
        <v>679</v>
      </c>
      <c r="C941" s="31" t="s">
        <v>128</v>
      </c>
      <c r="D941" s="31" t="s">
        <v>127</v>
      </c>
      <c r="E941" s="31" t="s">
        <v>683</v>
      </c>
      <c r="F941" s="31" t="s">
        <v>684</v>
      </c>
      <c r="G941" s="31" t="s">
        <v>680</v>
      </c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</row>
    <row r="942" spans="1:35" ht="13" customHeight="1" x14ac:dyDescent="0.15">
      <c r="A942" s="31"/>
      <c r="B942" s="31">
        <v>2.08296E-3</v>
      </c>
      <c r="C942" s="31">
        <v>1.3425100000000001E-2</v>
      </c>
      <c r="D942" s="31">
        <v>4.51919E-2</v>
      </c>
      <c r="E942" s="31">
        <v>0.161191</v>
      </c>
      <c r="F942" s="31">
        <v>0.162883</v>
      </c>
      <c r="G942" s="31">
        <v>0.16155600000000001</v>
      </c>
      <c r="H942" s="31">
        <v>0.155642</v>
      </c>
      <c r="I942" s="31">
        <v>0.14863499999999999</v>
      </c>
      <c r="J942" s="31">
        <v>0.142591</v>
      </c>
      <c r="K942" s="31">
        <v>0.13796</v>
      </c>
      <c r="L942" s="31">
        <v>0.13796</v>
      </c>
      <c r="M942" s="31">
        <v>0.13796</v>
      </c>
      <c r="N942" s="31">
        <v>0.13796</v>
      </c>
      <c r="O942" s="31">
        <v>0.13796</v>
      </c>
      <c r="P942" s="31">
        <v>0.13796</v>
      </c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</row>
    <row r="943" spans="1:35" ht="13" customHeight="1" x14ac:dyDescent="0.15">
      <c r="A943" s="31"/>
      <c r="B943" s="31">
        <v>2.0546200000000001E-3</v>
      </c>
      <c r="C943" s="31">
        <v>1.38333E-2</v>
      </c>
      <c r="D943" s="31">
        <v>5.26224E-2</v>
      </c>
      <c r="E943" s="31">
        <v>0.16849700000000001</v>
      </c>
      <c r="F943" s="31">
        <v>0.162774</v>
      </c>
      <c r="G943" s="31">
        <v>0.15523300000000001</v>
      </c>
      <c r="H943" s="31">
        <v>0.148642</v>
      </c>
      <c r="I943" s="31">
        <v>0.143148</v>
      </c>
      <c r="J943" s="31">
        <v>0.138432</v>
      </c>
      <c r="K943" s="31">
        <v>0.13461500000000001</v>
      </c>
      <c r="L943" s="31">
        <v>0.13461500000000001</v>
      </c>
      <c r="M943" s="31">
        <v>0.13461500000000001</v>
      </c>
      <c r="N943" s="31">
        <v>0.13461500000000001</v>
      </c>
      <c r="O943" s="31">
        <v>0.13461500000000001</v>
      </c>
      <c r="P943" s="31">
        <v>0.13461500000000001</v>
      </c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</row>
    <row r="944" spans="1:35" ht="13" customHeight="1" x14ac:dyDescent="0.15">
      <c r="A944" s="31"/>
      <c r="B944" s="31">
        <v>2.0616599999999999E-3</v>
      </c>
      <c r="C944" s="31">
        <v>1.4552300000000001E-2</v>
      </c>
      <c r="D944" s="31">
        <v>5.6547199999999999E-2</v>
      </c>
      <c r="E944" s="31">
        <v>0.15265000000000001</v>
      </c>
      <c r="F944" s="31">
        <v>0.14868999999999999</v>
      </c>
      <c r="G944" s="31">
        <v>0.14150199999999999</v>
      </c>
      <c r="H944" s="31">
        <v>0.13646900000000001</v>
      </c>
      <c r="I944" s="31">
        <v>0.13198599999999999</v>
      </c>
      <c r="J944" s="31">
        <v>0.128583</v>
      </c>
      <c r="K944" s="31">
        <v>0.12598599999999999</v>
      </c>
      <c r="L944" s="31">
        <v>0.12598599999999999</v>
      </c>
      <c r="M944" s="31">
        <v>0.12598599999999999</v>
      </c>
      <c r="N944" s="31">
        <v>0.12598599999999999</v>
      </c>
      <c r="O944" s="31">
        <v>0.12598599999999999</v>
      </c>
      <c r="P944" s="31">
        <v>0.12598599999999999</v>
      </c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</row>
    <row r="945" spans="1:35" ht="13" customHeight="1" x14ac:dyDescent="0.15">
      <c r="A945" s="31"/>
      <c r="B945" s="31">
        <v>3.8200999999999999E-3</v>
      </c>
      <c r="C945" s="31">
        <v>2.81783E-2</v>
      </c>
      <c r="D945" s="31">
        <v>0.124074</v>
      </c>
      <c r="E945" s="31">
        <v>0.23411899999999999</v>
      </c>
      <c r="F945" s="31">
        <v>0.23571800000000001</v>
      </c>
      <c r="G945" s="31">
        <v>0.230017</v>
      </c>
      <c r="H945" s="31">
        <v>0.226968</v>
      </c>
      <c r="I945" s="31">
        <v>0.22386900000000001</v>
      </c>
      <c r="J945" s="31">
        <v>0.22092800000000001</v>
      </c>
      <c r="K945" s="31">
        <v>0.219137</v>
      </c>
      <c r="L945" s="31">
        <v>0.219137</v>
      </c>
      <c r="M945" s="31">
        <v>0.219137</v>
      </c>
      <c r="N945" s="31">
        <v>0.219137</v>
      </c>
      <c r="O945" s="31">
        <v>0.219137</v>
      </c>
      <c r="P945" s="31">
        <v>0.219137</v>
      </c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</row>
    <row r="946" spans="1:35" ht="13" customHeight="1" x14ac:dyDescent="0.15">
      <c r="A946" s="31"/>
      <c r="B946" s="31">
        <v>4.37886E-3</v>
      </c>
      <c r="C946" s="31">
        <v>3.1604800000000002E-2</v>
      </c>
      <c r="D946" s="31">
        <v>0.125721</v>
      </c>
      <c r="E946" s="31">
        <v>0.23547000000000001</v>
      </c>
      <c r="F946" s="31">
        <v>0.229071</v>
      </c>
      <c r="G946" s="31">
        <v>0.22236300000000001</v>
      </c>
      <c r="H946" s="31">
        <v>0.21976399999999999</v>
      </c>
      <c r="I946" s="31">
        <v>0.21890999999999999</v>
      </c>
      <c r="J946" s="31">
        <v>0.218587</v>
      </c>
      <c r="K946" s="31">
        <v>0.218581</v>
      </c>
      <c r="L946" s="31">
        <v>0.218581</v>
      </c>
      <c r="M946" s="31">
        <v>0.218581</v>
      </c>
      <c r="N946" s="31">
        <v>0.218581</v>
      </c>
      <c r="O946" s="31">
        <v>0.218581</v>
      </c>
      <c r="P946" s="31">
        <v>0.218581</v>
      </c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</row>
    <row r="947" spans="1:35" ht="13" customHeight="1" x14ac:dyDescent="0.15">
      <c r="A947" s="31"/>
      <c r="B947" s="31">
        <v>5.2845100000000001E-3</v>
      </c>
      <c r="C947" s="31">
        <v>3.57846E-2</v>
      </c>
      <c r="D947" s="31">
        <v>0.15535099999999999</v>
      </c>
      <c r="E947" s="31">
        <v>0.225186</v>
      </c>
      <c r="F947" s="31">
        <v>0.22003600000000001</v>
      </c>
      <c r="G947" s="31">
        <v>0.21593799999999999</v>
      </c>
      <c r="H947" s="31">
        <v>0.21567</v>
      </c>
      <c r="I947" s="31">
        <v>0.225276</v>
      </c>
      <c r="J947" s="31">
        <v>0.22919900000000001</v>
      </c>
      <c r="K947" s="31">
        <v>0.234402</v>
      </c>
      <c r="L947" s="31">
        <v>0.234402</v>
      </c>
      <c r="M947" s="31">
        <v>0.234402</v>
      </c>
      <c r="N947" s="31">
        <v>0.234402</v>
      </c>
      <c r="O947" s="31">
        <v>0.234402</v>
      </c>
      <c r="P947" s="31">
        <v>0.234402</v>
      </c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</row>
    <row r="948" spans="1:35" ht="13" customHeight="1" x14ac:dyDescent="0.15">
      <c r="A948" s="31"/>
      <c r="B948" s="31">
        <v>9.1304400000000001E-3</v>
      </c>
      <c r="C948" s="31">
        <v>5.8753100000000003E-2</v>
      </c>
      <c r="D948" s="31">
        <v>0.21546599999999999</v>
      </c>
      <c r="E948" s="31">
        <v>0.25449500000000003</v>
      </c>
      <c r="F948" s="31">
        <v>0.279472</v>
      </c>
      <c r="G948" s="31">
        <v>0.278947</v>
      </c>
      <c r="H948" s="31">
        <v>0.294014</v>
      </c>
      <c r="I948" s="31">
        <v>0.32472899999999999</v>
      </c>
      <c r="J948" s="31">
        <v>0.33916200000000002</v>
      </c>
      <c r="K948" s="31">
        <v>0.361871</v>
      </c>
      <c r="L948" s="31">
        <v>0.361871</v>
      </c>
      <c r="M948" s="31">
        <v>0.361871</v>
      </c>
      <c r="N948" s="31">
        <v>0.361871</v>
      </c>
      <c r="O948" s="31">
        <v>0.361871</v>
      </c>
      <c r="P948" s="31">
        <v>0.361871</v>
      </c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</row>
    <row r="949" spans="1:35" ht="13" customHeight="1" x14ac:dyDescent="0.15">
      <c r="A949" s="31"/>
      <c r="B949" s="31">
        <v>1.2866300000000001E-2</v>
      </c>
      <c r="C949" s="31">
        <v>8.4056500000000006E-2</v>
      </c>
      <c r="D949" s="31">
        <v>0.27692499999999998</v>
      </c>
      <c r="E949" s="31">
        <v>0.33991399999999999</v>
      </c>
      <c r="F949" s="31">
        <v>0.39082899999999998</v>
      </c>
      <c r="G949" s="31">
        <v>0.38486300000000001</v>
      </c>
      <c r="H949" s="31">
        <v>0.39094400000000001</v>
      </c>
      <c r="I949" s="31">
        <v>0.45499600000000001</v>
      </c>
      <c r="J949" s="31">
        <v>0.48482900000000001</v>
      </c>
      <c r="K949" s="31">
        <v>0.52772200000000002</v>
      </c>
      <c r="L949" s="31">
        <v>0.52772200000000002</v>
      </c>
      <c r="M949" s="31">
        <v>0.52772200000000002</v>
      </c>
      <c r="N949" s="31">
        <v>0.52772200000000002</v>
      </c>
      <c r="O949" s="31">
        <v>0.52772200000000002</v>
      </c>
      <c r="P949" s="31">
        <v>0.52772200000000002</v>
      </c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</row>
    <row r="950" spans="1:35" ht="13" customHeight="1" x14ac:dyDescent="0.15">
      <c r="A950" s="31"/>
      <c r="B950" s="31">
        <v>1.1554500000000001E-2</v>
      </c>
      <c r="C950" s="31">
        <v>0.115365</v>
      </c>
      <c r="D950" s="31">
        <v>0.34997200000000001</v>
      </c>
      <c r="E950" s="31">
        <v>0.41648200000000002</v>
      </c>
      <c r="F950" s="31">
        <v>0.43292000000000003</v>
      </c>
      <c r="G950" s="31">
        <v>0.43211699999999997</v>
      </c>
      <c r="H950" s="31">
        <v>0.436469</v>
      </c>
      <c r="I950" s="31">
        <v>0.50004899999999997</v>
      </c>
      <c r="J950" s="31">
        <v>0.54086100000000004</v>
      </c>
      <c r="K950" s="31">
        <v>0.57550400000000002</v>
      </c>
      <c r="L950" s="31">
        <v>0.57550400000000002</v>
      </c>
      <c r="M950" s="31">
        <v>0.57550400000000002</v>
      </c>
      <c r="N950" s="31">
        <v>0.57550400000000002</v>
      </c>
      <c r="O950" s="31">
        <v>0.57550400000000002</v>
      </c>
      <c r="P950" s="31">
        <v>0.57550400000000002</v>
      </c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</row>
    <row r="951" spans="1:35" ht="13" customHeight="1" x14ac:dyDescent="0.15">
      <c r="A951" s="31"/>
      <c r="B951" s="31">
        <v>1.0253E-2</v>
      </c>
      <c r="C951" s="31">
        <v>0.146032</v>
      </c>
      <c r="D951" s="31">
        <v>0.42395500000000003</v>
      </c>
      <c r="E951" s="31">
        <v>0.496751</v>
      </c>
      <c r="F951" s="31">
        <v>0.51298200000000005</v>
      </c>
      <c r="G951" s="31">
        <v>0.51491299999999995</v>
      </c>
      <c r="H951" s="31">
        <v>0.51388900000000004</v>
      </c>
      <c r="I951" s="31">
        <v>0.57169700000000001</v>
      </c>
      <c r="J951" s="31">
        <v>0.61119000000000001</v>
      </c>
      <c r="K951" s="31">
        <v>0.63171699999999997</v>
      </c>
      <c r="L951" s="31">
        <v>0.63171699999999997</v>
      </c>
      <c r="M951" s="31">
        <v>0.63171699999999997</v>
      </c>
      <c r="N951" s="31">
        <v>0.63171699999999997</v>
      </c>
      <c r="O951" s="31">
        <v>0.63171699999999997</v>
      </c>
      <c r="P951" s="31">
        <v>0.63171699999999997</v>
      </c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</row>
    <row r="952" spans="1:35" ht="13" customHeight="1" x14ac:dyDescent="0.15">
      <c r="A952" s="31"/>
      <c r="B952" s="31">
        <v>8.92481E-3</v>
      </c>
      <c r="C952" s="31">
        <v>0.18068999999999999</v>
      </c>
      <c r="D952" s="31">
        <v>0.53957999999999995</v>
      </c>
      <c r="E952" s="31">
        <v>0.54702099999999998</v>
      </c>
      <c r="F952" s="31">
        <v>0.55049199999999998</v>
      </c>
      <c r="G952" s="31">
        <v>0.54872699999999996</v>
      </c>
      <c r="H952" s="31">
        <v>0.54836300000000004</v>
      </c>
      <c r="I952" s="31">
        <v>0.59639399999999998</v>
      </c>
      <c r="J952" s="31">
        <v>0.64235900000000001</v>
      </c>
      <c r="K952" s="31">
        <v>0.64546000000000003</v>
      </c>
      <c r="L952" s="31">
        <v>0.64546000000000003</v>
      </c>
      <c r="M952" s="31">
        <v>0.64546000000000003</v>
      </c>
      <c r="N952" s="31">
        <v>0.64546000000000003</v>
      </c>
      <c r="O952" s="31">
        <v>0.64546000000000003</v>
      </c>
      <c r="P952" s="31">
        <v>0.64546000000000003</v>
      </c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</row>
    <row r="953" spans="1:35" ht="13" customHeight="1" x14ac:dyDescent="0.15">
      <c r="A953" s="31"/>
      <c r="B953" s="31">
        <v>5.9424999999999999E-3</v>
      </c>
      <c r="C953" s="31">
        <v>0.12191200000000001</v>
      </c>
      <c r="D953" s="31">
        <v>0.49203000000000002</v>
      </c>
      <c r="E953" s="31">
        <v>0.47475299999999998</v>
      </c>
      <c r="F953" s="31">
        <v>0.46307900000000002</v>
      </c>
      <c r="G953" s="31">
        <v>0.45760000000000001</v>
      </c>
      <c r="H953" s="31">
        <v>0.45613599999999999</v>
      </c>
      <c r="I953" s="31">
        <v>0.47909299999999999</v>
      </c>
      <c r="J953" s="31">
        <v>0.52086500000000002</v>
      </c>
      <c r="K953" s="31">
        <v>0.52796600000000005</v>
      </c>
      <c r="L953" s="31">
        <v>0.52796600000000005</v>
      </c>
      <c r="M953" s="31">
        <v>0.52796600000000005</v>
      </c>
      <c r="N953" s="31">
        <v>0.52796600000000005</v>
      </c>
      <c r="O953" s="31">
        <v>0.52796600000000005</v>
      </c>
      <c r="P953" s="31">
        <v>0.52796600000000005</v>
      </c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</row>
    <row r="954" spans="1:35" ht="13" customHeight="1" x14ac:dyDescent="0.15">
      <c r="A954" s="31"/>
      <c r="B954" s="31">
        <v>4.2910200000000004E-3</v>
      </c>
      <c r="C954" s="31">
        <v>9.9006700000000003E-2</v>
      </c>
      <c r="D954" s="31">
        <v>0.39673700000000001</v>
      </c>
      <c r="E954" s="31">
        <v>0.44902700000000001</v>
      </c>
      <c r="F954" s="31">
        <v>0.43232199999999998</v>
      </c>
      <c r="G954" s="31">
        <v>0.42224099999999998</v>
      </c>
      <c r="H954" s="31">
        <v>0.41817500000000002</v>
      </c>
      <c r="I954" s="31">
        <v>0.42437399999999997</v>
      </c>
      <c r="J954" s="31">
        <v>0.46038499999999999</v>
      </c>
      <c r="K954" s="31">
        <v>0.46670800000000001</v>
      </c>
      <c r="L954" s="31">
        <v>0.46670800000000001</v>
      </c>
      <c r="M954" s="31">
        <v>0.46670800000000001</v>
      </c>
      <c r="N954" s="31">
        <v>0.46670800000000001</v>
      </c>
      <c r="O954" s="31">
        <v>0.46670800000000001</v>
      </c>
      <c r="P954" s="31">
        <v>0.46670800000000001</v>
      </c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</row>
    <row r="955" spans="1:35" ht="13" customHeight="1" x14ac:dyDescent="0.15">
      <c r="A955" s="31"/>
      <c r="B955" s="31">
        <v>3.0848099999999999E-3</v>
      </c>
      <c r="C955" s="31">
        <v>8.7294899999999995E-2</v>
      </c>
      <c r="D955" s="31">
        <v>0.301813</v>
      </c>
      <c r="E955" s="31">
        <v>0.37069200000000002</v>
      </c>
      <c r="F955" s="31">
        <v>0.38974900000000001</v>
      </c>
      <c r="G955" s="31">
        <v>0.38272099999999998</v>
      </c>
      <c r="H955" s="31">
        <v>0.37846200000000002</v>
      </c>
      <c r="I955" s="31">
        <v>0.37767800000000001</v>
      </c>
      <c r="J955" s="31">
        <v>0.40736299999999998</v>
      </c>
      <c r="K955" s="31">
        <v>0.41720000000000002</v>
      </c>
      <c r="L955" s="31">
        <v>0.41720000000000002</v>
      </c>
      <c r="M955" s="31">
        <v>0.41720000000000002</v>
      </c>
      <c r="N955" s="31">
        <v>0.41720000000000002</v>
      </c>
      <c r="O955" s="31">
        <v>0.41720000000000002</v>
      </c>
      <c r="P955" s="31">
        <v>0.41720000000000002</v>
      </c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</row>
    <row r="956" spans="1:35" ht="13" customHeight="1" x14ac:dyDescent="0.15">
      <c r="A956" s="31"/>
      <c r="B956" s="31">
        <v>2.5707999999999998E-3</v>
      </c>
      <c r="C956" s="31">
        <v>7.9609700000000005E-2</v>
      </c>
      <c r="D956" s="31">
        <v>0.303201</v>
      </c>
      <c r="E956" s="31">
        <v>0.377077</v>
      </c>
      <c r="F956" s="31">
        <v>0.423072</v>
      </c>
      <c r="G956" s="31">
        <v>0.41753099999999999</v>
      </c>
      <c r="H956" s="31">
        <v>0.41719099999999998</v>
      </c>
      <c r="I956" s="31">
        <v>0.41665200000000002</v>
      </c>
      <c r="J956" s="31">
        <v>0.44721</v>
      </c>
      <c r="K956" s="31">
        <v>0.45838800000000002</v>
      </c>
      <c r="L956" s="31">
        <v>0.45838800000000002</v>
      </c>
      <c r="M956" s="31">
        <v>0.45838800000000002</v>
      </c>
      <c r="N956" s="31">
        <v>0.45838800000000002</v>
      </c>
      <c r="O956" s="31">
        <v>0.45838800000000002</v>
      </c>
      <c r="P956" s="31">
        <v>0.45838800000000002</v>
      </c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</row>
    <row r="957" spans="1:35" ht="13" customHeight="1" x14ac:dyDescent="0.15">
      <c r="A957" s="31"/>
      <c r="B957" s="31">
        <v>2.0940500000000001E-3</v>
      </c>
      <c r="C957" s="31">
        <v>5.3261000000000003E-2</v>
      </c>
      <c r="D957" s="31">
        <v>0.25145200000000001</v>
      </c>
      <c r="E957" s="31">
        <v>0.35302699999999998</v>
      </c>
      <c r="F957" s="31">
        <v>0.44788600000000001</v>
      </c>
      <c r="G957" s="31">
        <v>0.45981</v>
      </c>
      <c r="H957" s="31">
        <v>0.45319799999999999</v>
      </c>
      <c r="I957" s="31">
        <v>0.45283499999999999</v>
      </c>
      <c r="J957" s="31">
        <v>0.47891</v>
      </c>
      <c r="K957" s="31">
        <v>0.48005399999999998</v>
      </c>
      <c r="L957" s="31">
        <v>0.48005399999999998</v>
      </c>
      <c r="M957" s="31">
        <v>0.48005399999999998</v>
      </c>
      <c r="N957" s="31">
        <v>0.48005399999999998</v>
      </c>
      <c r="O957" s="31">
        <v>0.48005399999999998</v>
      </c>
      <c r="P957" s="31">
        <v>0.48005399999999998</v>
      </c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</row>
    <row r="958" spans="1:35" ht="13" customHeight="1" x14ac:dyDescent="0.15">
      <c r="A958" s="31"/>
      <c r="B958" s="31">
        <v>1.48416E-3</v>
      </c>
      <c r="C958" s="31">
        <v>2.7778600000000001E-2</v>
      </c>
      <c r="D958" s="31">
        <v>0.16401299999999999</v>
      </c>
      <c r="E958" s="31">
        <v>0.324687</v>
      </c>
      <c r="F958" s="31">
        <v>0.42530299999999999</v>
      </c>
      <c r="G958" s="31">
        <v>0.44966899999999999</v>
      </c>
      <c r="H958" s="31">
        <v>0.44262400000000002</v>
      </c>
      <c r="I958" s="31">
        <v>0.43859399999999998</v>
      </c>
      <c r="J958" s="31">
        <v>0.44652999999999998</v>
      </c>
      <c r="K958" s="31">
        <v>0.44632100000000002</v>
      </c>
      <c r="L958" s="31">
        <v>0.44632100000000002</v>
      </c>
      <c r="M958" s="31">
        <v>0.44632100000000002</v>
      </c>
      <c r="N958" s="31">
        <v>0.44632100000000002</v>
      </c>
      <c r="O958" s="31">
        <v>0.44632100000000002</v>
      </c>
      <c r="P958" s="31">
        <v>0.44632100000000002</v>
      </c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</row>
    <row r="959" spans="1:35" ht="13" customHeight="1" x14ac:dyDescent="0.15">
      <c r="A959" s="31"/>
      <c r="B959" s="31">
        <v>8.7487100000000005E-4</v>
      </c>
      <c r="C959" s="31">
        <v>1.47236E-2</v>
      </c>
      <c r="D959" s="31">
        <v>8.3682599999999996E-2</v>
      </c>
      <c r="E959" s="31">
        <v>0.21771199999999999</v>
      </c>
      <c r="F959" s="31">
        <v>0.327094</v>
      </c>
      <c r="G959" s="31">
        <v>0.33331100000000002</v>
      </c>
      <c r="H959" s="31">
        <v>0.33148899999999998</v>
      </c>
      <c r="I959" s="31">
        <v>0.33133600000000002</v>
      </c>
      <c r="J959" s="31">
        <v>0.33558500000000002</v>
      </c>
      <c r="K959" s="31">
        <v>0.33496900000000002</v>
      </c>
      <c r="L959" s="31">
        <v>0.33496900000000002</v>
      </c>
      <c r="M959" s="31">
        <v>0.33496900000000002</v>
      </c>
      <c r="N959" s="31">
        <v>0.33496900000000002</v>
      </c>
      <c r="O959" s="31">
        <v>0.33496900000000002</v>
      </c>
      <c r="P959" s="31">
        <v>0.33496900000000002</v>
      </c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</row>
    <row r="960" spans="1:35" ht="13" customHeight="1" x14ac:dyDescent="0.15">
      <c r="A960" s="31"/>
      <c r="B960" s="31">
        <v>4.91151E-4</v>
      </c>
      <c r="C960" s="31">
        <v>8.3791899999999999E-3</v>
      </c>
      <c r="D960" s="31">
        <v>3.9474500000000003E-2</v>
      </c>
      <c r="E960" s="31">
        <v>0.12928000000000001</v>
      </c>
      <c r="F960" s="31">
        <v>0.208784</v>
      </c>
      <c r="G960" s="31">
        <v>0.22492599999999999</v>
      </c>
      <c r="H960" s="31">
        <v>0.22293099999999999</v>
      </c>
      <c r="I960" s="31">
        <v>0.22614300000000001</v>
      </c>
      <c r="J960" s="31">
        <v>0.23222400000000001</v>
      </c>
      <c r="K960" s="31">
        <v>0.23194600000000001</v>
      </c>
      <c r="L960" s="31">
        <v>0.23194600000000001</v>
      </c>
      <c r="M960" s="31">
        <v>0.23194600000000001</v>
      </c>
      <c r="N960" s="31">
        <v>0.23194600000000001</v>
      </c>
      <c r="O960" s="31">
        <v>0.23194600000000001</v>
      </c>
      <c r="P960" s="31">
        <v>0.23194600000000001</v>
      </c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</row>
    <row r="961" spans="1:35" ht="13" customHeight="1" x14ac:dyDescent="0.15">
      <c r="A961" s="31"/>
      <c r="B961" s="31">
        <v>3.5513100000000001E-4</v>
      </c>
      <c r="C961" s="31">
        <v>7.5386200000000002E-3</v>
      </c>
      <c r="D961" s="31">
        <v>2.9720799999999999E-2</v>
      </c>
      <c r="E961" s="31">
        <v>9.1014100000000001E-2</v>
      </c>
      <c r="F961" s="31">
        <v>0.154728</v>
      </c>
      <c r="G961" s="31">
        <v>0.19336600000000001</v>
      </c>
      <c r="H961" s="31">
        <v>0.19217600000000001</v>
      </c>
      <c r="I961" s="31">
        <v>0.193772</v>
      </c>
      <c r="J961" s="31">
        <v>0.204038</v>
      </c>
      <c r="K961" s="31">
        <v>0.20807600000000001</v>
      </c>
      <c r="L961" s="31">
        <v>0.20807600000000001</v>
      </c>
      <c r="M961" s="31">
        <v>0.20807600000000001</v>
      </c>
      <c r="N961" s="31">
        <v>0.20807600000000001</v>
      </c>
      <c r="O961" s="31">
        <v>0.20807600000000001</v>
      </c>
      <c r="P961" s="31">
        <v>0.20807600000000001</v>
      </c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</row>
    <row r="962" spans="1:35" ht="13" customHeight="1" x14ac:dyDescent="0.15">
      <c r="A962" s="31"/>
      <c r="B962" s="31">
        <v>3.0164800000000001E-4</v>
      </c>
      <c r="C962" s="31">
        <v>6.0396499999999997E-3</v>
      </c>
      <c r="D962" s="31">
        <v>2.9096199999999999E-2</v>
      </c>
      <c r="E962" s="31">
        <v>8.0554500000000001E-2</v>
      </c>
      <c r="F962" s="31">
        <v>0.15792200000000001</v>
      </c>
      <c r="G962" s="31">
        <v>0.184033</v>
      </c>
      <c r="H962" s="31">
        <v>0.19272700000000001</v>
      </c>
      <c r="I962" s="31">
        <v>0.19181599999999999</v>
      </c>
      <c r="J962" s="31">
        <v>0.20224200000000001</v>
      </c>
      <c r="K962" s="31">
        <v>0.20952299999999999</v>
      </c>
      <c r="L962" s="31">
        <v>0.20952299999999999</v>
      </c>
      <c r="M962" s="31">
        <v>0.20952299999999999</v>
      </c>
      <c r="N962" s="31">
        <v>0.20952299999999999</v>
      </c>
      <c r="O962" s="31">
        <v>0.20952299999999999</v>
      </c>
      <c r="P962" s="31">
        <v>0.20952299999999999</v>
      </c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</row>
    <row r="963" spans="1:35" ht="13" customHeight="1" x14ac:dyDescent="0.15">
      <c r="A963" s="31"/>
      <c r="B963" s="1">
        <v>2.61709E-4</v>
      </c>
      <c r="C963" s="31">
        <v>6.2642100000000001E-3</v>
      </c>
      <c r="D963" s="31">
        <v>3.1635000000000003E-2</v>
      </c>
      <c r="E963" s="31">
        <v>7.2393899999999997E-2</v>
      </c>
      <c r="F963" s="31">
        <v>0.12671299999999999</v>
      </c>
      <c r="G963" s="31">
        <v>0.19967799999999999</v>
      </c>
      <c r="H963" s="31">
        <v>0.19697400000000001</v>
      </c>
      <c r="I963" s="31">
        <v>0.19697300000000001</v>
      </c>
      <c r="J963" s="31">
        <v>0.205376</v>
      </c>
      <c r="K963" s="31">
        <v>0.215591</v>
      </c>
      <c r="L963" s="31">
        <v>0.215591</v>
      </c>
      <c r="M963" s="31">
        <v>0.215591</v>
      </c>
      <c r="N963" s="31">
        <v>0.215591</v>
      </c>
      <c r="O963" s="31">
        <v>0.215591</v>
      </c>
      <c r="P963" s="31">
        <v>0.215591</v>
      </c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</row>
    <row r="964" spans="1:35" ht="13" customHeight="1" x14ac:dyDescent="0.15">
      <c r="A964" s="31"/>
      <c r="B964" s="1">
        <v>2.10678E-4</v>
      </c>
      <c r="C964" s="31">
        <v>5.6325899999999998E-3</v>
      </c>
      <c r="D964" s="31">
        <v>3.1587499999999998E-2</v>
      </c>
      <c r="E964" s="31">
        <v>7.7680100000000002E-2</v>
      </c>
      <c r="F964" s="31">
        <v>0.11361</v>
      </c>
      <c r="G964" s="31">
        <v>0.176984</v>
      </c>
      <c r="H964" s="31">
        <v>0.184284</v>
      </c>
      <c r="I964" s="31">
        <v>0.172345</v>
      </c>
      <c r="J964" s="31">
        <v>0.19561400000000001</v>
      </c>
      <c r="K964" s="31">
        <v>0.20072000000000001</v>
      </c>
      <c r="L964" s="31">
        <v>0.20072000000000001</v>
      </c>
      <c r="M964" s="31">
        <v>0.20072000000000001</v>
      </c>
      <c r="N964" s="31">
        <v>0.20072000000000001</v>
      </c>
      <c r="O964" s="31">
        <v>0.20072000000000001</v>
      </c>
      <c r="P964" s="31">
        <v>0.20072000000000001</v>
      </c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</row>
    <row r="965" spans="1:35" ht="13" customHeight="1" x14ac:dyDescent="0.15">
      <c r="A965" s="31"/>
      <c r="B965" s="1">
        <v>1.31612E-4</v>
      </c>
      <c r="C965" s="31">
        <v>3.8366300000000002E-3</v>
      </c>
      <c r="D965" s="31">
        <v>2.54436E-2</v>
      </c>
      <c r="E965" s="31">
        <v>5.1564899999999997E-2</v>
      </c>
      <c r="F965" s="31">
        <v>8.2357100000000003E-2</v>
      </c>
      <c r="G965" s="31">
        <v>0.118031</v>
      </c>
      <c r="H965" s="31">
        <v>0.12307700000000001</v>
      </c>
      <c r="I965" s="31">
        <v>0.14116400000000001</v>
      </c>
      <c r="J965" s="31">
        <v>0.150417</v>
      </c>
      <c r="K965" s="31">
        <v>0.147235</v>
      </c>
      <c r="L965" s="31">
        <v>0.147235</v>
      </c>
      <c r="M965" s="31">
        <v>0.147235</v>
      </c>
      <c r="N965" s="31">
        <v>0.147235</v>
      </c>
      <c r="O965" s="31">
        <v>0.147235</v>
      </c>
      <c r="P965" s="31">
        <v>0.147235</v>
      </c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</row>
    <row r="966" spans="1:35" ht="13" customHeight="1" x14ac:dyDescent="0.15">
      <c r="A966" s="31"/>
      <c r="B966" s="1">
        <v>1.5321700000000001E-4</v>
      </c>
      <c r="C966" s="31">
        <v>4.9330900000000002E-3</v>
      </c>
      <c r="D966" s="31">
        <v>5.7017400000000003E-2</v>
      </c>
      <c r="E966" s="31">
        <v>7.4630199999999994E-2</v>
      </c>
      <c r="F966" s="31">
        <v>0.12981400000000001</v>
      </c>
      <c r="G966" s="31">
        <v>0.15271699999999999</v>
      </c>
      <c r="H966" s="31">
        <v>0.18955900000000001</v>
      </c>
      <c r="I966" s="31">
        <v>0.18120800000000001</v>
      </c>
      <c r="J966" s="31">
        <v>0.19172700000000001</v>
      </c>
      <c r="K966" s="31">
        <v>0.18704799999999999</v>
      </c>
      <c r="L966" s="31">
        <v>0.18704799999999999</v>
      </c>
      <c r="M966" s="31">
        <v>0.18704799999999999</v>
      </c>
      <c r="N966" s="31">
        <v>0.18704799999999999</v>
      </c>
      <c r="O966" s="31">
        <v>0.18704799999999999</v>
      </c>
      <c r="P966" s="31">
        <v>0.18704799999999999</v>
      </c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</row>
    <row r="967" spans="1:35" ht="13" customHeight="1" x14ac:dyDescent="0.15">
      <c r="A967" s="31"/>
      <c r="B967" s="1">
        <v>1.31972E-4</v>
      </c>
      <c r="C967" s="31">
        <v>4.7749400000000001E-3</v>
      </c>
      <c r="D967" s="31">
        <v>4.1668799999999999E-2</v>
      </c>
      <c r="E967" s="31">
        <v>8.9343000000000006E-2</v>
      </c>
      <c r="F967" s="31">
        <v>0.13362299999999999</v>
      </c>
      <c r="G967" s="31">
        <v>0.16517499999999999</v>
      </c>
      <c r="H967" s="31">
        <v>0.20974100000000001</v>
      </c>
      <c r="I967" s="31">
        <v>0.197077</v>
      </c>
      <c r="J967" s="31">
        <v>0.187224</v>
      </c>
      <c r="K967" s="31">
        <v>0.18537100000000001</v>
      </c>
      <c r="L967" s="31">
        <v>0.18537100000000001</v>
      </c>
      <c r="M967" s="31">
        <v>0.18537100000000001</v>
      </c>
      <c r="N967" s="31">
        <v>0.18537100000000001</v>
      </c>
      <c r="O967" s="31">
        <v>0.18537100000000001</v>
      </c>
      <c r="P967" s="31">
        <v>0.18537100000000001</v>
      </c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</row>
    <row r="968" spans="1:35" ht="13" customHeight="1" x14ac:dyDescent="0.15">
      <c r="A968" s="31"/>
      <c r="B968" s="1">
        <v>1.6026500000000001E-4</v>
      </c>
      <c r="C968" s="31">
        <v>6.7068199999999996E-3</v>
      </c>
      <c r="D968" s="31">
        <v>4.5807899999999999E-2</v>
      </c>
      <c r="E968" s="31">
        <v>0.13894899999999999</v>
      </c>
      <c r="F968" s="31">
        <v>0.22803399999999999</v>
      </c>
      <c r="G968" s="31">
        <v>0.249692</v>
      </c>
      <c r="H968" s="31">
        <v>0.28014600000000001</v>
      </c>
      <c r="I968" s="31">
        <v>0.28533700000000001</v>
      </c>
      <c r="J968" s="31">
        <v>0.27444600000000002</v>
      </c>
      <c r="K968" s="31">
        <v>0.26362400000000002</v>
      </c>
      <c r="L968" s="31">
        <v>0.26362400000000002</v>
      </c>
      <c r="M968" s="31">
        <v>0.26362400000000002</v>
      </c>
      <c r="N968" s="31">
        <v>0.26362400000000002</v>
      </c>
      <c r="O968" s="31">
        <v>0.26362400000000002</v>
      </c>
      <c r="P968" s="31">
        <v>0.26362400000000002</v>
      </c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</row>
    <row r="969" spans="1:35" ht="13" customHeight="1" x14ac:dyDescent="0.15">
      <c r="A969" s="31"/>
      <c r="B969" s="1">
        <v>1.5028E-4</v>
      </c>
      <c r="C969" s="31">
        <v>7.1194800000000001E-3</v>
      </c>
      <c r="D969" s="31">
        <v>3.65247E-2</v>
      </c>
      <c r="E969" s="31">
        <v>0.11632099999999999</v>
      </c>
      <c r="F969" s="31">
        <v>0.20541999999999999</v>
      </c>
      <c r="G969" s="31">
        <v>0.25295899999999999</v>
      </c>
      <c r="H969" s="31">
        <v>0.32871299999999998</v>
      </c>
      <c r="I969" s="31">
        <v>0.29341600000000001</v>
      </c>
      <c r="J969" s="31">
        <v>0.33236700000000002</v>
      </c>
      <c r="K969" s="31">
        <v>0.330926</v>
      </c>
      <c r="L969" s="31">
        <v>0.330926</v>
      </c>
      <c r="M969" s="31">
        <v>0.330926</v>
      </c>
      <c r="N969" s="31">
        <v>0.330926</v>
      </c>
      <c r="O969" s="31">
        <v>0.330926</v>
      </c>
      <c r="P969" s="31">
        <v>0.330926</v>
      </c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</row>
    <row r="970" spans="1:35" ht="13" customHeight="1" x14ac:dyDescent="0.15">
      <c r="A970" s="31"/>
      <c r="B970" s="1">
        <v>1.7074599999999999E-4</v>
      </c>
      <c r="C970" s="31">
        <v>8.4640900000000005E-3</v>
      </c>
      <c r="D970" s="31">
        <v>6.5516099999999994E-2</v>
      </c>
      <c r="E970" s="31">
        <v>0.11994100000000001</v>
      </c>
      <c r="F970" s="31">
        <v>0.19960600000000001</v>
      </c>
      <c r="G970" s="31">
        <v>0.32208799999999999</v>
      </c>
      <c r="H970" s="31">
        <v>0.424738</v>
      </c>
      <c r="I970" s="31">
        <v>0.45332600000000001</v>
      </c>
      <c r="J970" s="31">
        <v>0.457264</v>
      </c>
      <c r="K970" s="31">
        <v>0.45011400000000001</v>
      </c>
      <c r="L970" s="31">
        <v>0.45011400000000001</v>
      </c>
      <c r="M970" s="31">
        <v>0.45011400000000001</v>
      </c>
      <c r="N970" s="31">
        <v>0.45011400000000001</v>
      </c>
      <c r="O970" s="31">
        <v>0.45011400000000001</v>
      </c>
      <c r="P970" s="31">
        <v>0.45011400000000001</v>
      </c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</row>
    <row r="971" spans="1:35" ht="13" customHeight="1" x14ac:dyDescent="0.15">
      <c r="A971" s="31"/>
      <c r="B971" s="1">
        <v>1.01165E-4</v>
      </c>
      <c r="C971" s="31">
        <v>3.7184499999999999E-3</v>
      </c>
      <c r="D971" s="31">
        <v>4.1114299999999999E-2</v>
      </c>
      <c r="E971" s="31">
        <v>0.15206900000000001</v>
      </c>
      <c r="F971" s="31">
        <v>0.134404</v>
      </c>
      <c r="G971" s="31">
        <v>0.216194</v>
      </c>
      <c r="H971" s="31">
        <v>0.30252800000000002</v>
      </c>
      <c r="I971" s="31">
        <v>0.30207200000000001</v>
      </c>
      <c r="J971" s="31">
        <v>0.301481</v>
      </c>
      <c r="K971" s="31">
        <v>0.289904</v>
      </c>
      <c r="L971" s="31">
        <v>0.289904</v>
      </c>
      <c r="M971" s="31">
        <v>0.289904</v>
      </c>
      <c r="N971" s="31">
        <v>0.289904</v>
      </c>
      <c r="O971" s="31">
        <v>0.289904</v>
      </c>
      <c r="P971" s="31">
        <v>0.289904</v>
      </c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</row>
    <row r="972" spans="1:35" ht="13" customHeight="1" x14ac:dyDescent="0.15">
      <c r="A972" s="31"/>
      <c r="B972" s="1">
        <v>8.4958999999999998E-5</v>
      </c>
      <c r="C972" s="31">
        <v>3.2315099999999999E-3</v>
      </c>
      <c r="D972" s="31">
        <v>1.8822200000000001E-2</v>
      </c>
      <c r="E972" s="31">
        <v>8.4951899999999997E-2</v>
      </c>
      <c r="F972" s="31">
        <v>0.22507099999999999</v>
      </c>
      <c r="G972" s="31">
        <v>0.217555</v>
      </c>
      <c r="H972" s="31">
        <v>0.27792</v>
      </c>
      <c r="I972" s="31">
        <v>0.276557</v>
      </c>
      <c r="J972" s="31">
        <v>0.27324500000000002</v>
      </c>
      <c r="K972" s="31">
        <v>0.26686799999999999</v>
      </c>
      <c r="L972" s="31">
        <v>0.26686799999999999</v>
      </c>
      <c r="M972" s="31">
        <v>0.26686799999999999</v>
      </c>
      <c r="N972" s="31">
        <v>0.26686799999999999</v>
      </c>
      <c r="O972" s="31">
        <v>0.26686799999999999</v>
      </c>
      <c r="P972" s="31">
        <v>0.26686799999999999</v>
      </c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</row>
    <row r="973" spans="1:35" ht="13" customHeight="1" x14ac:dyDescent="0.15">
      <c r="A973" s="31"/>
      <c r="B973" s="1">
        <v>7.3000699999999994E-5</v>
      </c>
      <c r="C973" s="31">
        <v>3.3412899999999998E-3</v>
      </c>
      <c r="D973" s="31">
        <v>1.22579E-2</v>
      </c>
      <c r="E973" s="31">
        <v>4.0173300000000002E-2</v>
      </c>
      <c r="F973" s="31">
        <v>0.14724300000000001</v>
      </c>
      <c r="G973" s="31">
        <v>0.30435200000000001</v>
      </c>
      <c r="H973" s="31">
        <v>0.27930899999999997</v>
      </c>
      <c r="I973" s="31">
        <v>0.277694</v>
      </c>
      <c r="J973" s="31">
        <v>0.26946300000000001</v>
      </c>
      <c r="K973" s="31">
        <v>0.26116</v>
      </c>
      <c r="L973" s="31">
        <v>0.26116</v>
      </c>
      <c r="M973" s="31">
        <v>0.26116</v>
      </c>
      <c r="N973" s="31">
        <v>0.26116</v>
      </c>
      <c r="O973" s="31">
        <v>0.26116</v>
      </c>
      <c r="P973" s="31">
        <v>0.26116</v>
      </c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</row>
    <row r="974" spans="1:35" ht="13" customHeight="1" x14ac:dyDescent="0.15">
      <c r="A974" s="31"/>
      <c r="B974" s="1">
        <v>7.4104799999999996E-5</v>
      </c>
      <c r="C974" s="31">
        <v>5.1077099999999997E-3</v>
      </c>
      <c r="D974" s="31">
        <v>1.59953E-2</v>
      </c>
      <c r="E974" s="31">
        <v>2.2672000000000001E-2</v>
      </c>
      <c r="F974" s="31">
        <v>8.3275799999999997E-2</v>
      </c>
      <c r="G974" s="31">
        <v>0.249441</v>
      </c>
      <c r="H974" s="31">
        <v>0.39406200000000002</v>
      </c>
      <c r="I974" s="31">
        <v>0.386129</v>
      </c>
      <c r="J974" s="31">
        <v>0.34237499999999998</v>
      </c>
      <c r="K974" s="31">
        <v>0.30965999999999999</v>
      </c>
      <c r="L974" s="31">
        <v>0.30965999999999999</v>
      </c>
      <c r="M974" s="31">
        <v>0.30965999999999999</v>
      </c>
      <c r="N974" s="31">
        <v>0.30965999999999999</v>
      </c>
      <c r="O974" s="31">
        <v>0.30965999999999999</v>
      </c>
      <c r="P974" s="31">
        <v>0.30965999999999999</v>
      </c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</row>
    <row r="975" spans="1:35" ht="13" customHeight="1" x14ac:dyDescent="0.15">
      <c r="A975" s="31"/>
      <c r="B975" s="1">
        <v>6.8486300000000002E-5</v>
      </c>
      <c r="C975" s="31">
        <v>6.9937899999999997E-3</v>
      </c>
      <c r="D975" s="31">
        <v>1.9025E-2</v>
      </c>
      <c r="E975" s="31">
        <v>3.8958899999999998E-2</v>
      </c>
      <c r="F975" s="31">
        <v>8.6636000000000005E-2</v>
      </c>
      <c r="G975" s="31">
        <v>0.17924100000000001</v>
      </c>
      <c r="H975" s="31">
        <v>0.30168899999999998</v>
      </c>
      <c r="I975" s="31">
        <v>0.34664499999999998</v>
      </c>
      <c r="J975" s="31">
        <v>0.36539500000000003</v>
      </c>
      <c r="K975" s="31">
        <v>0.34295100000000001</v>
      </c>
      <c r="L975" s="31">
        <v>0.34295100000000001</v>
      </c>
      <c r="M975" s="31">
        <v>0.34295100000000001</v>
      </c>
      <c r="N975" s="31">
        <v>0.34295100000000001</v>
      </c>
      <c r="O975" s="31">
        <v>0.34295100000000001</v>
      </c>
      <c r="P975" s="31">
        <v>0.34295100000000001</v>
      </c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</row>
    <row r="976" spans="1:35" ht="13" customHeight="1" x14ac:dyDescent="0.15">
      <c r="A976" s="31"/>
      <c r="B976" s="1">
        <v>5.2590699999999998E-5</v>
      </c>
      <c r="C976" s="31">
        <v>4.5767300000000002E-3</v>
      </c>
      <c r="D976" s="31">
        <v>2.28148E-2</v>
      </c>
      <c r="E976" s="31">
        <v>4.7185400000000002E-2</v>
      </c>
      <c r="F976" s="31">
        <v>8.9300400000000002E-2</v>
      </c>
      <c r="G976" s="31">
        <v>0.19290599999999999</v>
      </c>
      <c r="H976" s="31">
        <v>0.20636599999999999</v>
      </c>
      <c r="I976" s="31">
        <v>0.28174700000000003</v>
      </c>
      <c r="J976" s="31">
        <v>0.31075999999999998</v>
      </c>
      <c r="K976" s="31">
        <v>0.29052699999999998</v>
      </c>
      <c r="L976" s="31">
        <v>0.29052699999999998</v>
      </c>
      <c r="M976" s="31">
        <v>0.29052699999999998</v>
      </c>
      <c r="N976" s="31">
        <v>0.29052699999999998</v>
      </c>
      <c r="O976" s="31">
        <v>0.29052699999999998</v>
      </c>
      <c r="P976" s="31">
        <v>0.29052699999999998</v>
      </c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</row>
    <row r="977" spans="1:35" ht="13" customHeight="1" x14ac:dyDescent="0.15">
      <c r="A977" s="31"/>
      <c r="B977" s="1">
        <v>3.5756300000000002E-5</v>
      </c>
      <c r="C977" s="31">
        <v>2.5230399999999998E-3</v>
      </c>
      <c r="D977" s="31">
        <v>4.03489E-2</v>
      </c>
      <c r="E977" s="31">
        <v>6.23311E-2</v>
      </c>
      <c r="F977" s="31">
        <v>8.8118799999999997E-2</v>
      </c>
      <c r="G977" s="31">
        <v>0.130855</v>
      </c>
      <c r="H977" s="31">
        <v>0.222945</v>
      </c>
      <c r="I977" s="31">
        <v>0.21315000000000001</v>
      </c>
      <c r="J977" s="31">
        <v>0.206008</v>
      </c>
      <c r="K977" s="31">
        <v>0.194385</v>
      </c>
      <c r="L977" s="31">
        <v>0.194385</v>
      </c>
      <c r="M977" s="31">
        <v>0.194385</v>
      </c>
      <c r="N977" s="31">
        <v>0.194385</v>
      </c>
      <c r="O977" s="31">
        <v>0.194385</v>
      </c>
      <c r="P977" s="31">
        <v>0.194385</v>
      </c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</row>
    <row r="978" spans="1:35" ht="13" customHeight="1" x14ac:dyDescent="0.15">
      <c r="A978" s="31"/>
      <c r="B978" s="1">
        <v>3.55359E-5</v>
      </c>
      <c r="C978" s="31">
        <v>2.4470300000000002E-3</v>
      </c>
      <c r="D978" s="31">
        <v>2.4098499999999998E-2</v>
      </c>
      <c r="E978" s="31">
        <v>8.9025400000000005E-2</v>
      </c>
      <c r="F978" s="31">
        <v>0.143595</v>
      </c>
      <c r="G978" s="31">
        <v>0.14246900000000001</v>
      </c>
      <c r="H978" s="31">
        <v>0.22899</v>
      </c>
      <c r="I978" s="31">
        <v>0.29192600000000002</v>
      </c>
      <c r="J978" s="31">
        <v>0.23325699999999999</v>
      </c>
      <c r="K978" s="31">
        <v>0.20647699999999999</v>
      </c>
      <c r="L978" s="31">
        <v>0.20647699999999999</v>
      </c>
      <c r="M978" s="31">
        <v>0.20647699999999999</v>
      </c>
      <c r="N978" s="31">
        <v>0.20647699999999999</v>
      </c>
      <c r="O978" s="31">
        <v>0.20647699999999999</v>
      </c>
      <c r="P978" s="31">
        <v>0.20647699999999999</v>
      </c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</row>
    <row r="979" spans="1:35" ht="13" customHeight="1" x14ac:dyDescent="0.15">
      <c r="A979" s="31"/>
      <c r="B979" s="1">
        <v>3.7555100000000002E-5</v>
      </c>
      <c r="C979" s="31">
        <v>2.1251899999999999E-3</v>
      </c>
      <c r="D979" s="31">
        <v>1.8076200000000001E-2</v>
      </c>
      <c r="E979" s="31">
        <v>7.1499999999999994E-2</v>
      </c>
      <c r="F979" s="31">
        <v>0.195246</v>
      </c>
      <c r="G979" s="31">
        <v>0.285325</v>
      </c>
      <c r="H979" s="31">
        <v>0.28002500000000002</v>
      </c>
      <c r="I979" s="31">
        <v>0.27892</v>
      </c>
      <c r="J979" s="31">
        <v>0.25643300000000002</v>
      </c>
      <c r="K979" s="31">
        <v>0.23954400000000001</v>
      </c>
      <c r="L979" s="31">
        <v>0.23954400000000001</v>
      </c>
      <c r="M979" s="31">
        <v>0.23954400000000001</v>
      </c>
      <c r="N979" s="31">
        <v>0.23954400000000001</v>
      </c>
      <c r="O979" s="31">
        <v>0.23954400000000001</v>
      </c>
      <c r="P979" s="31">
        <v>0.23954400000000001</v>
      </c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</row>
    <row r="980" spans="1:35" ht="13" customHeight="1" x14ac:dyDescent="0.15">
      <c r="A980" s="31"/>
      <c r="B980" s="1">
        <v>4.18344E-5</v>
      </c>
      <c r="C980" s="31">
        <v>3.5945399999999998E-3</v>
      </c>
      <c r="D980" s="31">
        <v>2.1685400000000001E-2</v>
      </c>
      <c r="E980" s="31">
        <v>8.23155E-2</v>
      </c>
      <c r="F980" s="31">
        <v>0.18418899999999999</v>
      </c>
      <c r="G980" s="31">
        <v>0.35830600000000001</v>
      </c>
      <c r="H980" s="31">
        <v>0.3533</v>
      </c>
      <c r="I980" s="31">
        <v>0.34819</v>
      </c>
      <c r="J980" s="31">
        <v>0.31805600000000001</v>
      </c>
      <c r="K980" s="31">
        <v>0.26854299999999998</v>
      </c>
      <c r="L980" s="31">
        <v>0.26854299999999998</v>
      </c>
      <c r="M980" s="31">
        <v>0.26854299999999998</v>
      </c>
      <c r="N980" s="31">
        <v>0.26854299999999998</v>
      </c>
      <c r="O980" s="31">
        <v>0.26854299999999998</v>
      </c>
      <c r="P980" s="31">
        <v>0.26854299999999998</v>
      </c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</row>
    <row r="981" spans="1:35" ht="13" customHeight="1" x14ac:dyDescent="0.15">
      <c r="A981" s="31"/>
      <c r="B981" s="1">
        <v>4.1767700000000003E-5</v>
      </c>
      <c r="C981" s="31">
        <v>2.5154600000000002E-3</v>
      </c>
      <c r="D981" s="31">
        <v>4.7896399999999999E-2</v>
      </c>
      <c r="E981" s="31">
        <v>8.41837E-2</v>
      </c>
      <c r="F981" s="31">
        <v>0.21804000000000001</v>
      </c>
      <c r="G981" s="31">
        <v>0.33343600000000001</v>
      </c>
      <c r="H981" s="31">
        <v>0.38532100000000002</v>
      </c>
      <c r="I981" s="31">
        <v>0.37647799999999998</v>
      </c>
      <c r="J981" s="31">
        <v>0.32872400000000002</v>
      </c>
      <c r="K981" s="31">
        <v>0.26776800000000001</v>
      </c>
      <c r="L981" s="31">
        <v>0.26776800000000001</v>
      </c>
      <c r="M981" s="31">
        <v>0.26776800000000001</v>
      </c>
      <c r="N981" s="31">
        <v>0.26776800000000001</v>
      </c>
      <c r="O981" s="31">
        <v>0.26776800000000001</v>
      </c>
      <c r="P981" s="31">
        <v>0.26776800000000001</v>
      </c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</row>
    <row r="982" spans="1:35" ht="13" customHeight="1" x14ac:dyDescent="0.15">
      <c r="A982" s="31"/>
      <c r="B982" s="1">
        <v>3.5212400000000002E-5</v>
      </c>
      <c r="C982" s="31">
        <v>1.7749E-3</v>
      </c>
      <c r="D982" s="31">
        <v>2.0527299999999998E-2</v>
      </c>
      <c r="E982" s="31">
        <v>0.15812799999999999</v>
      </c>
      <c r="F982" s="31">
        <v>0.19119700000000001</v>
      </c>
      <c r="G982" s="31">
        <v>0.256351</v>
      </c>
      <c r="H982" s="31">
        <v>0.33482699999999999</v>
      </c>
      <c r="I982" s="31">
        <v>0.32587899999999997</v>
      </c>
      <c r="J982" s="31">
        <v>0.28314400000000001</v>
      </c>
      <c r="K982" s="31">
        <v>0.23790600000000001</v>
      </c>
      <c r="L982" s="31">
        <v>0.23790600000000001</v>
      </c>
      <c r="M982" s="31">
        <v>0.23790600000000001</v>
      </c>
      <c r="N982" s="31">
        <v>0.23790600000000001</v>
      </c>
      <c r="O982" s="31">
        <v>0.23790600000000001</v>
      </c>
      <c r="P982" s="31">
        <v>0.23790600000000001</v>
      </c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</row>
    <row r="983" spans="1:35" ht="13" customHeight="1" x14ac:dyDescent="0.15">
      <c r="A983" s="31"/>
      <c r="B983" s="1">
        <v>3.1845099999999998E-5</v>
      </c>
      <c r="C983" s="31">
        <v>1.86364E-3</v>
      </c>
      <c r="D983" s="31">
        <v>1.9925399999999999E-2</v>
      </c>
      <c r="E983" s="31">
        <v>0.107403</v>
      </c>
      <c r="F983" s="31">
        <v>0.28027200000000002</v>
      </c>
      <c r="G983" s="31">
        <v>0.31720500000000001</v>
      </c>
      <c r="H983" s="31">
        <v>0.28559400000000001</v>
      </c>
      <c r="I983" s="31">
        <v>0.261322</v>
      </c>
      <c r="J983" s="31">
        <v>0.24609600000000001</v>
      </c>
      <c r="K983" s="31">
        <v>0.21298700000000001</v>
      </c>
      <c r="L983" s="31">
        <v>0.21298700000000001</v>
      </c>
      <c r="M983" s="31">
        <v>0.21298700000000001</v>
      </c>
      <c r="N983" s="31">
        <v>0.21298700000000001</v>
      </c>
      <c r="O983" s="31">
        <v>0.21298700000000001</v>
      </c>
      <c r="P983" s="31">
        <v>0.21298700000000001</v>
      </c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</row>
    <row r="984" spans="1:35" ht="13" customHeight="1" x14ac:dyDescent="0.15">
      <c r="A984" s="31"/>
      <c r="B984" s="1">
        <v>3.8108700000000003E-5</v>
      </c>
      <c r="C984" s="31">
        <v>2.9125900000000001E-3</v>
      </c>
      <c r="D984" s="31">
        <v>4.5701699999999998E-2</v>
      </c>
      <c r="E984" s="31">
        <v>0.12748799999999999</v>
      </c>
      <c r="F984" s="31">
        <v>0.26968799999999998</v>
      </c>
      <c r="G984" s="31">
        <v>0.36821599999999999</v>
      </c>
      <c r="H984" s="31">
        <v>0.35072399999999998</v>
      </c>
      <c r="I984" s="31">
        <v>0.33373999999999998</v>
      </c>
      <c r="J984" s="31">
        <v>0.30076599999999998</v>
      </c>
      <c r="K984" s="31">
        <v>0.27109699999999998</v>
      </c>
      <c r="L984" s="31">
        <v>0.27109699999999998</v>
      </c>
      <c r="M984" s="31">
        <v>0.27109699999999998</v>
      </c>
      <c r="N984" s="31">
        <v>0.27109699999999998</v>
      </c>
      <c r="O984" s="31">
        <v>0.27109699999999998</v>
      </c>
      <c r="P984" s="31">
        <v>0.27109699999999998</v>
      </c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</row>
    <row r="985" spans="1:35" ht="13" customHeight="1" x14ac:dyDescent="0.15">
      <c r="A985" s="31"/>
      <c r="B985" s="1">
        <v>3.8266300000000003E-5</v>
      </c>
      <c r="C985" s="31">
        <v>3.2812700000000002E-3</v>
      </c>
      <c r="D985" s="31">
        <v>4.4994399999999997E-2</v>
      </c>
      <c r="E985" s="31">
        <v>0.12504699999999999</v>
      </c>
      <c r="F985" s="31">
        <v>0.26935500000000001</v>
      </c>
      <c r="G985" s="31">
        <v>0.41100300000000001</v>
      </c>
      <c r="H985" s="31">
        <v>0.36662</v>
      </c>
      <c r="I985" s="31">
        <v>0.331511</v>
      </c>
      <c r="J985" s="31">
        <v>0.31013800000000002</v>
      </c>
      <c r="K985" s="31">
        <v>0.29019</v>
      </c>
      <c r="L985" s="31">
        <v>0.29019</v>
      </c>
      <c r="M985" s="31">
        <v>0.29019</v>
      </c>
      <c r="N985" s="31">
        <v>0.29019</v>
      </c>
      <c r="O985" s="31">
        <v>0.29019</v>
      </c>
      <c r="P985" s="31">
        <v>0.29019</v>
      </c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</row>
    <row r="986" spans="1:35" ht="13" customHeight="1" x14ac:dyDescent="0.15">
      <c r="A986" s="31"/>
      <c r="B986" s="1">
        <v>3.7878800000000001E-5</v>
      </c>
      <c r="C986" s="31">
        <v>2.8153900000000001E-3</v>
      </c>
      <c r="D986" s="31">
        <v>2.53659E-2</v>
      </c>
      <c r="E986" s="31">
        <v>0.11447300000000001</v>
      </c>
      <c r="F986" s="31">
        <v>0.24986</v>
      </c>
      <c r="G986" s="31">
        <v>0.42999199999999999</v>
      </c>
      <c r="H986" s="31">
        <v>0.40385399999999999</v>
      </c>
      <c r="I986" s="31">
        <v>0.35945199999999999</v>
      </c>
      <c r="J986" s="31">
        <v>0.35361399999999998</v>
      </c>
      <c r="K986" s="31">
        <v>0.32178299999999999</v>
      </c>
      <c r="L986" s="31">
        <v>0.32178299999999999</v>
      </c>
      <c r="M986" s="31">
        <v>0.32178299999999999</v>
      </c>
      <c r="N986" s="31">
        <v>0.32178299999999999</v>
      </c>
      <c r="O986" s="31">
        <v>0.32178299999999999</v>
      </c>
      <c r="P986" s="31">
        <v>0.32178299999999999</v>
      </c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</row>
    <row r="987" spans="1:35" ht="13" customHeight="1" x14ac:dyDescent="0.15">
      <c r="A987" s="31"/>
      <c r="B987" s="1">
        <v>3.3735700000000003E-5</v>
      </c>
      <c r="C987" s="31">
        <v>1.85301E-3</v>
      </c>
      <c r="D987" s="31">
        <v>2.4380800000000001E-2</v>
      </c>
      <c r="E987" s="31">
        <v>0.102689</v>
      </c>
      <c r="F987" s="31">
        <v>0.17422799999999999</v>
      </c>
      <c r="G987" s="31">
        <v>0.30617100000000003</v>
      </c>
      <c r="H987" s="31">
        <v>0.34595999999999999</v>
      </c>
      <c r="I987" s="31">
        <v>0.33741700000000002</v>
      </c>
      <c r="J987" s="31">
        <v>0.34615200000000002</v>
      </c>
      <c r="K987" s="31">
        <v>0.33928399999999997</v>
      </c>
      <c r="L987" s="31">
        <v>0.33928399999999997</v>
      </c>
      <c r="M987" s="31">
        <v>0.33928399999999997</v>
      </c>
      <c r="N987" s="31">
        <v>0.33928399999999997</v>
      </c>
      <c r="O987" s="31">
        <v>0.33928399999999997</v>
      </c>
      <c r="P987" s="31">
        <v>0.33928399999999997</v>
      </c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</row>
    <row r="988" spans="1:35" ht="13" customHeight="1" x14ac:dyDescent="0.15">
      <c r="A988" s="31"/>
      <c r="B988" s="1">
        <v>2.83803E-5</v>
      </c>
      <c r="C988" s="31">
        <v>1.6349699999999999E-3</v>
      </c>
      <c r="D988" s="31">
        <v>1.2445700000000001E-2</v>
      </c>
      <c r="E988" s="31">
        <v>0.13864099999999999</v>
      </c>
      <c r="F988" s="31">
        <v>0.186448</v>
      </c>
      <c r="G988" s="31">
        <v>0.21888199999999999</v>
      </c>
      <c r="H988" s="31">
        <v>0.26201999999999998</v>
      </c>
      <c r="I988" s="31">
        <v>0.28563100000000002</v>
      </c>
      <c r="J988" s="31">
        <v>0.27935399999999999</v>
      </c>
      <c r="K988" s="31">
        <v>0.273368</v>
      </c>
      <c r="L988" s="31">
        <v>0.273368</v>
      </c>
      <c r="M988" s="31">
        <v>0.273368</v>
      </c>
      <c r="N988" s="31">
        <v>0.273368</v>
      </c>
      <c r="O988" s="31">
        <v>0.273368</v>
      </c>
      <c r="P988" s="31">
        <v>0.273368</v>
      </c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</row>
    <row r="989" spans="1:35" ht="13" customHeight="1" x14ac:dyDescent="0.15">
      <c r="A989" s="31"/>
      <c r="B989" s="1">
        <v>3.73223E-5</v>
      </c>
      <c r="C989" s="31">
        <v>2.31562E-3</v>
      </c>
      <c r="D989" s="31">
        <v>1.6150899999999999E-2</v>
      </c>
      <c r="E989" s="31">
        <v>6.1735400000000003E-2</v>
      </c>
      <c r="F989" s="31">
        <v>0.36342000000000002</v>
      </c>
      <c r="G989" s="31">
        <v>0.41209800000000002</v>
      </c>
      <c r="H989" s="31">
        <v>0.38665300000000002</v>
      </c>
      <c r="I989" s="31">
        <v>0.374135</v>
      </c>
      <c r="J989" s="31">
        <v>0.36213600000000001</v>
      </c>
      <c r="K989" s="31">
        <v>0.34841699999999998</v>
      </c>
      <c r="L989" s="31">
        <v>0.34841699999999998</v>
      </c>
      <c r="M989" s="31">
        <v>0.34841699999999998</v>
      </c>
      <c r="N989" s="31">
        <v>0.34841699999999998</v>
      </c>
      <c r="O989" s="31">
        <v>0.34841699999999998</v>
      </c>
      <c r="P989" s="31">
        <v>0.34841699999999998</v>
      </c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</row>
    <row r="990" spans="1:35" ht="13" customHeight="1" x14ac:dyDescent="0.15">
      <c r="A990" s="31"/>
      <c r="B990" s="1">
        <v>3.6119199999999998E-5</v>
      </c>
      <c r="C990" s="31">
        <v>3.0562499999999999E-3</v>
      </c>
      <c r="D990" s="31">
        <v>2.3209400000000002E-2</v>
      </c>
      <c r="E990" s="31">
        <v>0.106896</v>
      </c>
      <c r="F990" s="31">
        <v>0.122116</v>
      </c>
      <c r="G990" s="31">
        <v>0.38594299999999998</v>
      </c>
      <c r="H990" s="31">
        <v>0.39073099999999999</v>
      </c>
      <c r="I990" s="31">
        <v>0.386818</v>
      </c>
      <c r="J990" s="31">
        <v>0.36559199999999997</v>
      </c>
      <c r="K990" s="31">
        <v>0.35555799999999999</v>
      </c>
      <c r="L990" s="31">
        <v>0.35555799999999999</v>
      </c>
      <c r="M990" s="31">
        <v>0.35555799999999999</v>
      </c>
      <c r="N990" s="31">
        <v>0.35555799999999999</v>
      </c>
      <c r="O990" s="31">
        <v>0.35555799999999999</v>
      </c>
      <c r="P990" s="31">
        <v>0.35555799999999999</v>
      </c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</row>
    <row r="991" spans="1:35" ht="13" customHeight="1" x14ac:dyDescent="0.15">
      <c r="A991" s="31"/>
      <c r="B991" s="1">
        <v>3.2704299999999998E-5</v>
      </c>
      <c r="C991" s="31">
        <v>2.0312799999999999E-3</v>
      </c>
      <c r="D991" s="31">
        <v>2.29322E-2</v>
      </c>
      <c r="E991" s="31">
        <v>0.101219</v>
      </c>
      <c r="F991" s="31">
        <v>0.17030799999999999</v>
      </c>
      <c r="G991" s="31">
        <v>0.18948499999999999</v>
      </c>
      <c r="H991" s="31">
        <v>0.28647099999999998</v>
      </c>
      <c r="I991" s="31">
        <v>0.36524899999999999</v>
      </c>
      <c r="J991" s="31">
        <v>0.36158800000000002</v>
      </c>
      <c r="K991" s="31">
        <v>0.36048200000000002</v>
      </c>
      <c r="L991" s="31">
        <v>0.36048200000000002</v>
      </c>
      <c r="M991" s="31">
        <v>0.36048200000000002</v>
      </c>
      <c r="N991" s="31">
        <v>0.36048200000000002</v>
      </c>
      <c r="O991" s="31">
        <v>0.36048200000000002</v>
      </c>
      <c r="P991" s="31">
        <v>0.36048200000000002</v>
      </c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</row>
    <row r="992" spans="1:35" ht="13" customHeight="1" x14ac:dyDescent="0.15">
      <c r="A992" s="31"/>
      <c r="B992" s="1">
        <v>2.8858200000000001E-5</v>
      </c>
      <c r="C992" s="31">
        <v>1.8829199999999999E-3</v>
      </c>
      <c r="D992" s="31">
        <v>1.8697999999999999E-2</v>
      </c>
      <c r="E992" s="31">
        <v>8.5856299999999997E-2</v>
      </c>
      <c r="F992" s="31">
        <v>0.17966799999999999</v>
      </c>
      <c r="G992" s="31">
        <v>0.221273</v>
      </c>
      <c r="H992" s="31">
        <v>0.313193</v>
      </c>
      <c r="I992" s="31">
        <v>0.28719499999999998</v>
      </c>
      <c r="J992" s="31">
        <v>0.28798299999999999</v>
      </c>
      <c r="K992" s="31">
        <v>0.317658</v>
      </c>
      <c r="L992" s="31">
        <v>0.317658</v>
      </c>
      <c r="M992" s="31">
        <v>0.317658</v>
      </c>
      <c r="N992" s="31">
        <v>0.317658</v>
      </c>
      <c r="O992" s="31">
        <v>0.317658</v>
      </c>
      <c r="P992" s="31">
        <v>0.317658</v>
      </c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</row>
    <row r="993" spans="1:35" ht="13" customHeight="1" x14ac:dyDescent="0.15">
      <c r="A993" s="31"/>
      <c r="B993" s="1">
        <v>2.7803299999999999E-5</v>
      </c>
      <c r="C993" s="31">
        <v>1.6691099999999999E-3</v>
      </c>
      <c r="D993" s="31">
        <v>4.0263100000000003E-2</v>
      </c>
      <c r="E993" s="31">
        <v>9.8208799999999999E-2</v>
      </c>
      <c r="F993" s="31">
        <v>0.15354000000000001</v>
      </c>
      <c r="G993" s="31">
        <v>0.25400400000000001</v>
      </c>
      <c r="H993" s="31">
        <v>0.235905</v>
      </c>
      <c r="I993" s="31">
        <v>0.24168400000000001</v>
      </c>
      <c r="J993" s="31">
        <v>0.23732700000000001</v>
      </c>
      <c r="K993" s="31">
        <v>0.31120399999999998</v>
      </c>
      <c r="L993" s="31">
        <v>0.31120399999999998</v>
      </c>
      <c r="M993" s="31">
        <v>0.31120399999999998</v>
      </c>
      <c r="N993" s="31">
        <v>0.31120399999999998</v>
      </c>
      <c r="O993" s="31">
        <v>0.31120399999999998</v>
      </c>
      <c r="P993" s="31">
        <v>0.31120399999999998</v>
      </c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</row>
    <row r="994" spans="1:35" ht="13" customHeight="1" x14ac:dyDescent="0.15">
      <c r="A994" s="31"/>
      <c r="B994" s="1">
        <v>2.59622E-5</v>
      </c>
      <c r="C994" s="31">
        <v>1.5520099999999999E-3</v>
      </c>
      <c r="D994" s="31">
        <v>3.5260399999999997E-2</v>
      </c>
      <c r="E994" s="31">
        <v>8.62097E-2</v>
      </c>
      <c r="F994" s="31">
        <v>0.131664</v>
      </c>
      <c r="G994" s="31">
        <v>0.23175200000000001</v>
      </c>
      <c r="H994" s="31">
        <v>0.22941700000000001</v>
      </c>
      <c r="I994" s="31">
        <v>0.23060900000000001</v>
      </c>
      <c r="J994" s="31">
        <v>0.228659</v>
      </c>
      <c r="K994" s="31">
        <v>0.29034799999999999</v>
      </c>
      <c r="L994" s="31">
        <v>0.29034799999999999</v>
      </c>
      <c r="M994" s="31">
        <v>0.29034799999999999</v>
      </c>
      <c r="N994" s="31">
        <v>0.29034799999999999</v>
      </c>
      <c r="O994" s="31">
        <v>0.29034799999999999</v>
      </c>
      <c r="P994" s="31">
        <v>0.29034799999999999</v>
      </c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</row>
    <row r="995" spans="1:35" ht="13" customHeight="1" x14ac:dyDescent="0.15">
      <c r="A995" s="31"/>
      <c r="B995" s="1">
        <v>0.20322499999999999</v>
      </c>
      <c r="C995" s="31">
        <v>0.37668000000000001</v>
      </c>
      <c r="D995" s="31">
        <v>0.55155799999999999</v>
      </c>
      <c r="E995" s="31">
        <v>0.70846200000000004</v>
      </c>
      <c r="F995" s="31">
        <v>0.83990900000000002</v>
      </c>
      <c r="G995" s="31">
        <v>0.94535999999999998</v>
      </c>
      <c r="H995" s="31">
        <v>1.0275700000000001</v>
      </c>
      <c r="I995" s="31">
        <v>1.0904199999999999</v>
      </c>
      <c r="J995" s="31">
        <v>1.1378200000000001</v>
      </c>
      <c r="K995" s="31">
        <v>1.17323</v>
      </c>
      <c r="L995" s="31">
        <v>1.1995100000000001</v>
      </c>
      <c r="M995" s="31">
        <v>1.2189099999999999</v>
      </c>
      <c r="N995" s="31">
        <v>1.23319</v>
      </c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</row>
    <row r="996" spans="1:35" ht="13" customHeight="1" x14ac:dyDescent="0.15">
      <c r="A996" s="31"/>
      <c r="B996" s="1">
        <v>0.206985</v>
      </c>
      <c r="C996" s="31">
        <v>0.395652</v>
      </c>
      <c r="D996" s="31">
        <v>0.57068600000000003</v>
      </c>
      <c r="E996" s="31">
        <v>0.72562400000000005</v>
      </c>
      <c r="F996" s="31">
        <v>0.85428700000000002</v>
      </c>
      <c r="G996" s="31">
        <v>0.95689500000000005</v>
      </c>
      <c r="H996" s="31">
        <v>1.0365599999999999</v>
      </c>
      <c r="I996" s="31">
        <v>1.0972900000000001</v>
      </c>
      <c r="J996" s="31">
        <v>1.143</v>
      </c>
      <c r="K996" s="31">
        <v>1.1771100000000001</v>
      </c>
      <c r="L996" s="31">
        <v>1.20238</v>
      </c>
      <c r="M996" s="31">
        <v>1.2210399999999999</v>
      </c>
      <c r="N996" s="31">
        <v>1.23475</v>
      </c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</row>
    <row r="997" spans="1:35" ht="13" customHeight="1" x14ac:dyDescent="0.15">
      <c r="A997" s="31"/>
      <c r="B997" s="1">
        <v>0.20315</v>
      </c>
      <c r="C997" s="31">
        <v>0.41491499999999998</v>
      </c>
      <c r="D997" s="31">
        <v>0.60528800000000005</v>
      </c>
      <c r="E997" s="31">
        <v>0.75877499999999998</v>
      </c>
      <c r="F997" s="31">
        <v>0.88319700000000001</v>
      </c>
      <c r="G997" s="31">
        <v>0.98069700000000004</v>
      </c>
      <c r="H997" s="31">
        <v>1.0554399999999999</v>
      </c>
      <c r="I997" s="31">
        <v>1.1119000000000001</v>
      </c>
      <c r="J997" s="31">
        <v>1.15412</v>
      </c>
      <c r="K997" s="31">
        <v>1.18546</v>
      </c>
      <c r="L997" s="31">
        <v>1.20861</v>
      </c>
      <c r="M997" s="31">
        <v>1.2256400000000001</v>
      </c>
      <c r="N997" s="31">
        <v>1.2381500000000001</v>
      </c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</row>
    <row r="998" spans="1:35" ht="13" customHeight="1" x14ac:dyDescent="0.15">
      <c r="A998" s="31"/>
      <c r="B998" s="1">
        <v>0.20956900000000001</v>
      </c>
      <c r="C998" s="31">
        <v>0.39369199999999999</v>
      </c>
      <c r="D998" s="31">
        <v>0.60702</v>
      </c>
      <c r="E998" s="31">
        <v>0.77764900000000003</v>
      </c>
      <c r="F998" s="31">
        <v>0.90317199999999997</v>
      </c>
      <c r="G998" s="31">
        <v>0.99903600000000004</v>
      </c>
      <c r="H998" s="31">
        <v>1.071</v>
      </c>
      <c r="I998" s="31">
        <v>1.1244799999999999</v>
      </c>
      <c r="J998" s="31">
        <v>1.1639699999999999</v>
      </c>
      <c r="K998" s="31">
        <v>1.19302</v>
      </c>
      <c r="L998" s="31">
        <v>1.2143200000000001</v>
      </c>
      <c r="M998" s="31">
        <v>1.2299199999999999</v>
      </c>
      <c r="N998" s="31">
        <v>1.24133</v>
      </c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</row>
    <row r="999" spans="1:35" ht="13" customHeight="1" x14ac:dyDescent="0.15">
      <c r="A999" s="31"/>
      <c r="B999" s="1">
        <v>0.202823</v>
      </c>
      <c r="C999" s="31">
        <v>0.43883299999999997</v>
      </c>
      <c r="D999" s="31">
        <v>0.624838</v>
      </c>
      <c r="E999" s="31">
        <v>0.81440900000000005</v>
      </c>
      <c r="F999" s="31">
        <v>0.95138999999999996</v>
      </c>
      <c r="G999" s="31">
        <v>1.0425500000000001</v>
      </c>
      <c r="H999" s="31">
        <v>1.1076900000000001</v>
      </c>
      <c r="I999" s="31">
        <v>1.1540699999999999</v>
      </c>
      <c r="J999" s="31">
        <v>1.1871400000000001</v>
      </c>
      <c r="K999" s="31">
        <v>1.21078</v>
      </c>
      <c r="L999" s="31">
        <v>1.2277499999999999</v>
      </c>
      <c r="M999" s="31">
        <v>1.23997</v>
      </c>
      <c r="N999" s="31">
        <v>1.2487900000000001</v>
      </c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</row>
    <row r="1000" spans="1:35" ht="13" customHeight="1" x14ac:dyDescent="0.15">
      <c r="A1000" s="31"/>
      <c r="B1000" s="1">
        <v>0.20497699999999999</v>
      </c>
      <c r="C1000" s="31">
        <v>0.40548499999999998</v>
      </c>
      <c r="D1000" s="31">
        <v>0.64315800000000001</v>
      </c>
      <c r="E1000" s="31">
        <v>0.80816200000000005</v>
      </c>
      <c r="F1000" s="31">
        <v>0.96799000000000002</v>
      </c>
      <c r="G1000" s="31">
        <v>1.0746</v>
      </c>
      <c r="H1000" s="31">
        <v>1.1386000000000001</v>
      </c>
      <c r="I1000" s="31">
        <v>1.18113</v>
      </c>
      <c r="J1000" s="31">
        <v>1.20946</v>
      </c>
      <c r="K1000" s="31">
        <v>1.22851</v>
      </c>
      <c r="L1000" s="31">
        <v>1.2414799999999999</v>
      </c>
      <c r="M1000" s="31">
        <v>1.2504200000000001</v>
      </c>
      <c r="N1000" s="31">
        <v>1.25665</v>
      </c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</row>
    <row r="1001" spans="1:35" ht="13" customHeight="1" x14ac:dyDescent="0.15">
      <c r="A1001" s="31"/>
      <c r="B1001" s="1">
        <v>0.20263900000000001</v>
      </c>
      <c r="C1001" s="31">
        <v>0.40177200000000002</v>
      </c>
      <c r="D1001" s="31">
        <v>0.60389400000000004</v>
      </c>
      <c r="E1001" s="31">
        <v>0.82117499999999999</v>
      </c>
      <c r="F1001" s="31">
        <v>0.95729699999999995</v>
      </c>
      <c r="G1001" s="31">
        <v>1.0876300000000001</v>
      </c>
      <c r="H1001" s="31">
        <v>1.16787</v>
      </c>
      <c r="I1001" s="31">
        <v>1.20991</v>
      </c>
      <c r="J1001" s="31">
        <v>1.23491</v>
      </c>
      <c r="K1001" s="31">
        <v>1.2496400000000001</v>
      </c>
      <c r="L1001" s="31">
        <v>1.2583299999999999</v>
      </c>
      <c r="M1001" s="31">
        <v>1.2635000000000001</v>
      </c>
      <c r="N1001" s="31">
        <v>1.2666200000000001</v>
      </c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</row>
    <row r="1002" spans="1:35" ht="13" customHeight="1" x14ac:dyDescent="0.15">
      <c r="A1002" s="31"/>
      <c r="B1002" s="1">
        <v>0.20662800000000001</v>
      </c>
      <c r="C1002" s="31">
        <v>0.37918299999999999</v>
      </c>
      <c r="D1002" s="31">
        <v>0.57976499999999997</v>
      </c>
      <c r="E1002" s="31">
        <v>0.76359299999999997</v>
      </c>
      <c r="F1002" s="31">
        <v>0.95496400000000004</v>
      </c>
      <c r="G1002" s="31">
        <v>1.06463</v>
      </c>
      <c r="H1002" s="31">
        <v>1.1713</v>
      </c>
      <c r="I1002" s="31">
        <v>1.23184</v>
      </c>
      <c r="J1002" s="31">
        <v>1.2581599999999999</v>
      </c>
      <c r="K1002" s="31">
        <v>1.27095</v>
      </c>
      <c r="L1002" s="31">
        <v>1.2763800000000001</v>
      </c>
      <c r="M1002" s="31">
        <v>1.2780800000000001</v>
      </c>
      <c r="N1002" s="31">
        <v>1.27803</v>
      </c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  <c r="AF1002" s="31"/>
      <c r="AG1002" s="31"/>
      <c r="AH1002" s="31"/>
      <c r="AI1002" s="31"/>
    </row>
    <row r="1003" spans="1:35" ht="13" customHeight="1" x14ac:dyDescent="0.15">
      <c r="A1003" s="31"/>
      <c r="B1003" s="1">
        <v>0.215557</v>
      </c>
      <c r="C1003" s="31">
        <v>0.39048899999999998</v>
      </c>
      <c r="D1003" s="31">
        <v>0.564554</v>
      </c>
      <c r="E1003" s="31">
        <v>0.74608300000000005</v>
      </c>
      <c r="F1003" s="31">
        <v>0.90292700000000004</v>
      </c>
      <c r="G1003" s="31">
        <v>1.06674</v>
      </c>
      <c r="H1003" s="31">
        <v>1.15177</v>
      </c>
      <c r="I1003" s="31">
        <v>1.2379199999999999</v>
      </c>
      <c r="J1003" s="31">
        <v>1.2820800000000001</v>
      </c>
      <c r="K1003" s="31">
        <v>1.29569</v>
      </c>
      <c r="L1003" s="31">
        <v>1.29881</v>
      </c>
      <c r="M1003" s="31">
        <v>1.29695</v>
      </c>
      <c r="N1003" s="31">
        <v>1.29321</v>
      </c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</row>
    <row r="1004" spans="1:35" ht="13" customHeight="1" x14ac:dyDescent="0.15">
      <c r="A1004" s="31"/>
      <c r="B1004" s="1">
        <v>0.20331199999999999</v>
      </c>
      <c r="C1004" s="31">
        <v>0.58490600000000004</v>
      </c>
      <c r="D1004" s="31">
        <v>0.76287000000000005</v>
      </c>
      <c r="E1004" s="31">
        <v>0.89866100000000004</v>
      </c>
      <c r="F1004" s="31">
        <v>1.0259799999999999</v>
      </c>
      <c r="G1004" s="31">
        <v>1.12747</v>
      </c>
      <c r="H1004" s="31">
        <v>1.2417899999999999</v>
      </c>
      <c r="I1004" s="31">
        <v>1.2856000000000001</v>
      </c>
      <c r="J1004" s="31">
        <v>1.3388599999999999</v>
      </c>
      <c r="K1004" s="31">
        <v>1.3574900000000001</v>
      </c>
      <c r="L1004" s="31">
        <v>1.35165</v>
      </c>
      <c r="M1004" s="31">
        <v>1.34012</v>
      </c>
      <c r="N1004" s="31">
        <v>1.32735</v>
      </c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</row>
    <row r="1005" spans="1:35" ht="13" customHeight="1" x14ac:dyDescent="0.15">
      <c r="A1005" s="31"/>
      <c r="B1005" s="1">
        <v>0.191964</v>
      </c>
      <c r="C1005" s="31">
        <v>0.49325600000000003</v>
      </c>
      <c r="D1005" s="31">
        <v>0.87722900000000004</v>
      </c>
      <c r="E1005" s="31">
        <v>1.02515</v>
      </c>
      <c r="F1005" s="31">
        <v>1.11839</v>
      </c>
      <c r="G1005" s="31">
        <v>1.20225</v>
      </c>
      <c r="H1005" s="31">
        <v>1.2648900000000001</v>
      </c>
      <c r="I1005" s="31">
        <v>1.3468500000000001</v>
      </c>
      <c r="J1005" s="31">
        <v>1.36483</v>
      </c>
      <c r="K1005" s="31">
        <v>1.3980600000000001</v>
      </c>
      <c r="L1005" s="31">
        <v>1.4014200000000001</v>
      </c>
      <c r="M1005" s="31">
        <v>1.38408</v>
      </c>
      <c r="N1005" s="31">
        <v>1.36399</v>
      </c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</row>
    <row r="1006" spans="1:35" ht="13" customHeight="1" x14ac:dyDescent="0.15">
      <c r="A1006" s="31"/>
      <c r="B1006" s="1">
        <v>0.219689</v>
      </c>
      <c r="C1006" s="31">
        <v>0.34034399999999998</v>
      </c>
      <c r="D1006" s="31">
        <v>0.64285400000000004</v>
      </c>
      <c r="E1006" s="31">
        <v>1.01145</v>
      </c>
      <c r="F1006" s="31">
        <v>1.1375900000000001</v>
      </c>
      <c r="G1006" s="31">
        <v>1.2085900000000001</v>
      </c>
      <c r="H1006" s="31">
        <v>1.27258</v>
      </c>
      <c r="I1006" s="31">
        <v>1.3186500000000001</v>
      </c>
      <c r="J1006" s="31">
        <v>1.3874</v>
      </c>
      <c r="K1006" s="31">
        <v>1.39513</v>
      </c>
      <c r="L1006" s="31">
        <v>1.4205399999999999</v>
      </c>
      <c r="M1006" s="31">
        <v>1.41801</v>
      </c>
      <c r="N1006" s="31">
        <v>1.3963000000000001</v>
      </c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</row>
    <row r="1007" spans="1:35" ht="13" customHeight="1" x14ac:dyDescent="0.15">
      <c r="A1007" s="31"/>
      <c r="B1007" s="1">
        <v>0.27403</v>
      </c>
      <c r="C1007" s="31">
        <v>0.44281999999999999</v>
      </c>
      <c r="D1007" s="31">
        <v>0.56530599999999998</v>
      </c>
      <c r="E1007" s="31">
        <v>0.84469399999999994</v>
      </c>
      <c r="F1007" s="31">
        <v>1.1805399999999999</v>
      </c>
      <c r="G1007" s="31">
        <v>1.27325</v>
      </c>
      <c r="H1007" s="31">
        <v>1.3143400000000001</v>
      </c>
      <c r="I1007" s="31">
        <v>1.3534299999999999</v>
      </c>
      <c r="J1007" s="31">
        <v>1.3796299999999999</v>
      </c>
      <c r="K1007" s="31">
        <v>1.4329499999999999</v>
      </c>
      <c r="L1007" s="31">
        <v>1.42893</v>
      </c>
      <c r="M1007" s="31">
        <v>1.4455</v>
      </c>
      <c r="N1007" s="31">
        <v>1.43638</v>
      </c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</row>
    <row r="1008" spans="1:35" ht="13" customHeight="1" x14ac:dyDescent="0.15">
      <c r="A1008" s="31"/>
      <c r="B1008" s="1">
        <v>0.28463500000000003</v>
      </c>
      <c r="C1008" s="31">
        <v>0.45588299999999998</v>
      </c>
      <c r="D1008" s="31">
        <v>0.62616499999999997</v>
      </c>
      <c r="E1008" s="31">
        <v>0.72980699999999998</v>
      </c>
      <c r="F1008" s="31">
        <v>0.98250599999999999</v>
      </c>
      <c r="G1008" s="31">
        <v>1.2910999999999999</v>
      </c>
      <c r="H1008" s="31">
        <v>1.3594299999999999</v>
      </c>
      <c r="I1008" s="31">
        <v>1.3802399999999999</v>
      </c>
      <c r="J1008" s="31">
        <v>1.4031199999999999</v>
      </c>
      <c r="K1008" s="31">
        <v>1.41676</v>
      </c>
      <c r="L1008" s="31">
        <v>1.4604999999999999</v>
      </c>
      <c r="M1008" s="31">
        <v>1.4492700000000001</v>
      </c>
      <c r="N1008" s="31">
        <v>1.4604699999999999</v>
      </c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</row>
    <row r="1009" spans="1:35" ht="13" customHeight="1" x14ac:dyDescent="0.15">
      <c r="A1009" s="31"/>
      <c r="B1009" s="1">
        <v>0.30776500000000001</v>
      </c>
      <c r="C1009" s="31">
        <v>0.46577000000000002</v>
      </c>
      <c r="D1009" s="31">
        <v>0.63850399999999996</v>
      </c>
      <c r="E1009" s="31">
        <v>0.79001699999999997</v>
      </c>
      <c r="F1009" s="31">
        <v>0.86707500000000004</v>
      </c>
      <c r="G1009" s="31">
        <v>1.09263</v>
      </c>
      <c r="H1009" s="31">
        <v>1.3769499999999999</v>
      </c>
      <c r="I1009" s="31">
        <v>1.42506</v>
      </c>
      <c r="J1009" s="31">
        <v>1.42974</v>
      </c>
      <c r="K1009" s="31">
        <v>1.44011</v>
      </c>
      <c r="L1009" s="31">
        <v>1.4441999999999999</v>
      </c>
      <c r="M1009" s="31">
        <v>1.4807699999999999</v>
      </c>
      <c r="N1009" s="31">
        <v>1.46418</v>
      </c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</row>
    <row r="1010" spans="1:35" ht="13" customHeight="1" x14ac:dyDescent="0.15">
      <c r="A1010" s="31"/>
      <c r="B1010" s="1">
        <v>0.30968800000000002</v>
      </c>
      <c r="C1010" s="31">
        <v>0.483213</v>
      </c>
      <c r="D1010" s="31">
        <v>0.64265799999999995</v>
      </c>
      <c r="E1010" s="31">
        <v>0.797211</v>
      </c>
      <c r="F1010" s="31">
        <v>0.92297499999999999</v>
      </c>
      <c r="G1010" s="31">
        <v>0.97373799999999999</v>
      </c>
      <c r="H1010" s="31">
        <v>1.17578</v>
      </c>
      <c r="I1010" s="31">
        <v>1.44052</v>
      </c>
      <c r="J1010" s="31">
        <v>1.4730099999999999</v>
      </c>
      <c r="K1010" s="31">
        <v>1.46556</v>
      </c>
      <c r="L1010" s="31">
        <v>1.46668</v>
      </c>
      <c r="M1010" s="31">
        <v>1.46383</v>
      </c>
      <c r="N1010" s="31">
        <v>1.4952099999999999</v>
      </c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</row>
    <row r="1011" spans="1:35" ht="13" customHeight="1" x14ac:dyDescent="0.15">
      <c r="A1011" s="31"/>
      <c r="B1011" s="1">
        <v>0.26917600000000003</v>
      </c>
      <c r="C1011" s="31">
        <v>0.42081600000000002</v>
      </c>
      <c r="D1011" s="31">
        <v>0.59525399999999995</v>
      </c>
      <c r="E1011" s="31">
        <v>0.74318300000000004</v>
      </c>
      <c r="F1011" s="31">
        <v>0.88142699999999996</v>
      </c>
      <c r="G1011" s="31">
        <v>0.99053500000000005</v>
      </c>
      <c r="H1011" s="31">
        <v>1.02641</v>
      </c>
      <c r="I1011" s="31">
        <v>1.21604</v>
      </c>
      <c r="J1011" s="31">
        <v>1.47089</v>
      </c>
      <c r="K1011" s="31">
        <v>1.4957</v>
      </c>
      <c r="L1011" s="31">
        <v>1.4823900000000001</v>
      </c>
      <c r="M1011" s="31">
        <v>1.47912</v>
      </c>
      <c r="N1011" s="31">
        <v>1.4729699999999999</v>
      </c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</row>
    <row r="1012" spans="1:35" ht="13" customHeight="1" x14ac:dyDescent="0.15">
      <c r="A1012" s="31"/>
      <c r="B1012" s="1">
        <v>0.31077300000000002</v>
      </c>
      <c r="C1012" s="31">
        <v>0.42191800000000002</v>
      </c>
      <c r="D1012" s="31">
        <v>0.57481199999999999</v>
      </c>
      <c r="E1012" s="31">
        <v>0.73342200000000002</v>
      </c>
      <c r="F1012" s="31">
        <v>0.85893399999999998</v>
      </c>
      <c r="G1012" s="31">
        <v>0.97428599999999999</v>
      </c>
      <c r="H1012" s="31">
        <v>1.0629299999999999</v>
      </c>
      <c r="I1012" s="31">
        <v>1.08175</v>
      </c>
      <c r="J1012" s="31">
        <v>1.25779</v>
      </c>
      <c r="K1012" s="31">
        <v>1.50207</v>
      </c>
      <c r="L1012" s="31">
        <v>1.51884</v>
      </c>
      <c r="M1012" s="31">
        <v>1.4994799999999999</v>
      </c>
      <c r="N1012" s="31">
        <v>1.49169</v>
      </c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  <c r="AF1012" s="31"/>
      <c r="AG1012" s="31"/>
      <c r="AH1012" s="31"/>
      <c r="AI1012" s="31"/>
    </row>
    <row r="1013" spans="1:35" ht="13" customHeight="1" x14ac:dyDescent="0.15">
      <c r="A1013" s="31"/>
      <c r="B1013" s="1">
        <v>0.33699899999999999</v>
      </c>
      <c r="C1013" s="31">
        <v>0.454094</v>
      </c>
      <c r="D1013" s="31">
        <v>0.56641600000000003</v>
      </c>
      <c r="E1013" s="31">
        <v>0.70445800000000003</v>
      </c>
      <c r="F1013" s="31">
        <v>0.84203399999999995</v>
      </c>
      <c r="G1013" s="31">
        <v>0.94606599999999996</v>
      </c>
      <c r="H1013" s="31">
        <v>1.0422100000000001</v>
      </c>
      <c r="I1013" s="31">
        <v>1.11486</v>
      </c>
      <c r="J1013" s="31">
        <v>1.1209199999999999</v>
      </c>
      <c r="K1013" s="31">
        <v>1.28705</v>
      </c>
      <c r="L1013" s="31">
        <v>1.52379</v>
      </c>
      <c r="M1013" s="31">
        <v>1.53487</v>
      </c>
      <c r="N1013" s="31">
        <v>1.51128</v>
      </c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</row>
    <row r="1014" spans="1:35" ht="13" customHeight="1" x14ac:dyDescent="0.15">
      <c r="A1014" s="31"/>
      <c r="B1014" s="1">
        <v>0.28919400000000001</v>
      </c>
      <c r="C1014" s="31">
        <v>0.46238200000000002</v>
      </c>
      <c r="D1014" s="31">
        <v>0.58050599999999997</v>
      </c>
      <c r="E1014" s="31">
        <v>0.67983499999999997</v>
      </c>
      <c r="F1014" s="31">
        <v>0.79947599999999996</v>
      </c>
      <c r="G1014" s="31">
        <v>0.91825999999999997</v>
      </c>
      <c r="H1014" s="31">
        <v>1.00549</v>
      </c>
      <c r="I1014" s="31">
        <v>1.0876399999999999</v>
      </c>
      <c r="J1014" s="31">
        <v>1.1491199999999999</v>
      </c>
      <c r="K1014" s="31">
        <v>1.14652</v>
      </c>
      <c r="L1014" s="31">
        <v>1.3060400000000001</v>
      </c>
      <c r="M1014" s="31">
        <v>1.5378099999999999</v>
      </c>
      <c r="N1014" s="31">
        <v>1.5451900000000001</v>
      </c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  <c r="AF1014" s="31"/>
      <c r="AG1014" s="31"/>
      <c r="AH1014" s="31"/>
      <c r="AI1014" s="31"/>
    </row>
    <row r="1015" spans="1:35" ht="13" customHeight="1" x14ac:dyDescent="0.15">
      <c r="A1015" s="31"/>
      <c r="B1015" s="1">
        <v>0.27352700000000002</v>
      </c>
      <c r="C1015" s="31">
        <v>0.45936700000000003</v>
      </c>
      <c r="D1015" s="31">
        <v>0.63395299999999999</v>
      </c>
      <c r="E1015" s="31">
        <v>0.73444299999999996</v>
      </c>
      <c r="F1015" s="31">
        <v>0.80879599999999996</v>
      </c>
      <c r="G1015" s="31">
        <v>0.90293299999999999</v>
      </c>
      <c r="H1015" s="31">
        <v>0.99891200000000002</v>
      </c>
      <c r="I1015" s="31">
        <v>1.06715</v>
      </c>
      <c r="J1015" s="31">
        <v>1.13415</v>
      </c>
      <c r="K1015" s="31">
        <v>1.18387</v>
      </c>
      <c r="L1015" s="31">
        <v>1.1722999999999999</v>
      </c>
      <c r="M1015" s="31">
        <v>1.32508</v>
      </c>
      <c r="N1015" s="31">
        <v>1.55182</v>
      </c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</row>
    <row r="1016" spans="1:35" ht="13" customHeight="1" x14ac:dyDescent="0.15">
      <c r="A1016" s="31"/>
      <c r="B1016" s="1">
        <v>0.26393699999999998</v>
      </c>
      <c r="C1016" s="31">
        <v>0.43590699999999999</v>
      </c>
      <c r="D1016" s="31">
        <v>0.62307999999999997</v>
      </c>
      <c r="E1016" s="31">
        <v>0.78083800000000003</v>
      </c>
      <c r="F1016" s="31">
        <v>0.85749699999999995</v>
      </c>
      <c r="G1016" s="31">
        <v>0.90751499999999996</v>
      </c>
      <c r="H1016" s="31">
        <v>0.97989099999999996</v>
      </c>
      <c r="I1016" s="31">
        <v>1.05775</v>
      </c>
      <c r="J1016" s="31">
        <v>1.1115299999999999</v>
      </c>
      <c r="K1016" s="31">
        <v>1.1673</v>
      </c>
      <c r="L1016" s="31">
        <v>1.2084699999999999</v>
      </c>
      <c r="M1016" s="31">
        <v>1.1904600000000001</v>
      </c>
      <c r="N1016" s="31">
        <v>1.3384499999999999</v>
      </c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  <c r="AF1016" s="31"/>
      <c r="AG1016" s="31"/>
      <c r="AH1016" s="31"/>
      <c r="AI1016" s="31"/>
    </row>
    <row r="1017" spans="1:35" ht="13" customHeight="1" x14ac:dyDescent="0.15">
      <c r="A1017" s="31"/>
      <c r="B1017" s="1">
        <v>0.38934299999999999</v>
      </c>
      <c r="C1017" s="31">
        <v>0.45108799999999999</v>
      </c>
      <c r="D1017" s="31">
        <v>0.62459299999999995</v>
      </c>
      <c r="E1017" s="31">
        <v>0.79237299999999999</v>
      </c>
      <c r="F1017" s="31">
        <v>0.92266499999999996</v>
      </c>
      <c r="G1017" s="31">
        <v>0.971275</v>
      </c>
      <c r="H1017" s="31">
        <v>0.99621300000000002</v>
      </c>
      <c r="I1017" s="31">
        <v>1.0477000000000001</v>
      </c>
      <c r="J1017" s="31">
        <v>1.1088899999999999</v>
      </c>
      <c r="K1017" s="31">
        <v>1.14974</v>
      </c>
      <c r="L1017" s="31">
        <v>1.1956500000000001</v>
      </c>
      <c r="M1017" s="31">
        <v>1.2294</v>
      </c>
      <c r="N1017" s="31">
        <v>1.20587</v>
      </c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</row>
    <row r="1018" spans="1:35" ht="13" customHeight="1" x14ac:dyDescent="0.15">
      <c r="A1018" s="31"/>
      <c r="B1018" s="1">
        <v>0.40709699999999999</v>
      </c>
      <c r="C1018" s="31">
        <v>0.59073799999999999</v>
      </c>
      <c r="D1018" s="31">
        <v>0.65413500000000002</v>
      </c>
      <c r="E1018" s="31">
        <v>0.80677200000000004</v>
      </c>
      <c r="F1018" s="31">
        <v>0.944994</v>
      </c>
      <c r="G1018" s="31">
        <v>1.0450999999999999</v>
      </c>
      <c r="H1018" s="31">
        <v>1.0667199999999999</v>
      </c>
      <c r="I1018" s="31">
        <v>1.0691900000000001</v>
      </c>
      <c r="J1018" s="31">
        <v>1.1027400000000001</v>
      </c>
      <c r="K1018" s="31">
        <v>1.15001</v>
      </c>
      <c r="L1018" s="31">
        <v>1.18025</v>
      </c>
      <c r="M1018" s="31">
        <v>1.21818</v>
      </c>
      <c r="N1018" s="31">
        <v>1.2459800000000001</v>
      </c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</row>
    <row r="1019" spans="1:35" ht="13" customHeight="1" x14ac:dyDescent="0.15">
      <c r="A1019" s="31"/>
      <c r="B1019" s="1">
        <v>0.34780299999999997</v>
      </c>
      <c r="C1019" s="31">
        <v>0.56022400000000006</v>
      </c>
      <c r="D1019" s="31">
        <v>0.74512199999999995</v>
      </c>
      <c r="E1019" s="31">
        <v>0.79265200000000002</v>
      </c>
      <c r="F1019" s="31">
        <v>0.92281500000000005</v>
      </c>
      <c r="G1019" s="31">
        <v>1.03809</v>
      </c>
      <c r="H1019" s="31">
        <v>1.11768</v>
      </c>
      <c r="I1019" s="31">
        <v>1.1222099999999999</v>
      </c>
      <c r="J1019" s="31">
        <v>1.11103</v>
      </c>
      <c r="K1019" s="31">
        <v>1.1339999999999999</v>
      </c>
      <c r="L1019" s="31">
        <v>1.1732100000000001</v>
      </c>
      <c r="M1019" s="31">
        <v>1.1973800000000001</v>
      </c>
      <c r="N1019" s="31">
        <v>1.2307900000000001</v>
      </c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</row>
    <row r="1020" spans="1:35" ht="13" customHeight="1" x14ac:dyDescent="0.15">
      <c r="A1020" s="31"/>
      <c r="B1020" s="1">
        <v>0.20810200000000001</v>
      </c>
      <c r="C1020" s="31">
        <v>0.44859900000000003</v>
      </c>
      <c r="D1020" s="31">
        <v>0.66184699999999996</v>
      </c>
      <c r="E1020" s="31">
        <v>0.83630000000000004</v>
      </c>
      <c r="F1020" s="31">
        <v>0.86903699999999995</v>
      </c>
      <c r="G1020" s="31">
        <v>0.984093</v>
      </c>
      <c r="H1020" s="31">
        <v>1.08586</v>
      </c>
      <c r="I1020" s="31">
        <v>1.1541999999999999</v>
      </c>
      <c r="J1020" s="31">
        <v>1.14975</v>
      </c>
      <c r="K1020" s="31">
        <v>1.13161</v>
      </c>
      <c r="L1020" s="31">
        <v>1.14927</v>
      </c>
      <c r="M1020" s="31">
        <v>1.18449</v>
      </c>
      <c r="N1020" s="31">
        <v>1.20567</v>
      </c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</row>
    <row r="1021" spans="1:35" ht="13" customHeight="1" x14ac:dyDescent="0.15">
      <c r="A1021" s="31"/>
      <c r="B1021" s="1">
        <v>0.226323</v>
      </c>
      <c r="C1021" s="31">
        <v>0.353217</v>
      </c>
      <c r="D1021" s="31">
        <v>0.59490500000000002</v>
      </c>
      <c r="E1021" s="31">
        <v>0.79311600000000004</v>
      </c>
      <c r="F1021" s="31">
        <v>0.94627099999999997</v>
      </c>
      <c r="G1021" s="31">
        <v>0.95725899999999997</v>
      </c>
      <c r="H1021" s="31">
        <v>1.05287</v>
      </c>
      <c r="I1021" s="31">
        <v>1.1384399999999999</v>
      </c>
      <c r="J1021" s="31">
        <v>1.1938599999999999</v>
      </c>
      <c r="K1021" s="31">
        <v>1.1793800000000001</v>
      </c>
      <c r="L1021" s="31">
        <v>1.1536</v>
      </c>
      <c r="M1021" s="31">
        <v>1.16551</v>
      </c>
      <c r="N1021" s="31">
        <v>1.1964300000000001</v>
      </c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</row>
    <row r="1022" spans="1:35" ht="13" customHeight="1" x14ac:dyDescent="0.15">
      <c r="A1022" s="31"/>
      <c r="B1022" s="1">
        <v>0.33248100000000003</v>
      </c>
      <c r="C1022" s="31">
        <v>0.43080499999999999</v>
      </c>
      <c r="D1022" s="31">
        <v>0.55937700000000001</v>
      </c>
      <c r="E1022" s="31">
        <v>0.77987600000000001</v>
      </c>
      <c r="F1022" s="31">
        <v>0.94807699999999995</v>
      </c>
      <c r="G1022" s="31">
        <v>1.0705899999999999</v>
      </c>
      <c r="H1022" s="31">
        <v>1.0541700000000001</v>
      </c>
      <c r="I1022" s="31">
        <v>1.12696</v>
      </c>
      <c r="J1022" s="31">
        <v>1.19432</v>
      </c>
      <c r="K1022" s="31">
        <v>1.2356</v>
      </c>
      <c r="L1022" s="31">
        <v>1.2103600000000001</v>
      </c>
      <c r="M1022" s="31">
        <v>1.1764699999999999</v>
      </c>
      <c r="N1022" s="31">
        <v>1.1823399999999999</v>
      </c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</row>
    <row r="1023" spans="1:35" ht="13" customHeight="1" x14ac:dyDescent="0.15">
      <c r="A1023" s="31"/>
      <c r="B1023" s="1">
        <v>0.26680599999999999</v>
      </c>
      <c r="C1023" s="31">
        <v>0.41702099999999998</v>
      </c>
      <c r="D1023" s="31">
        <v>0.51604000000000005</v>
      </c>
      <c r="E1023" s="31">
        <v>0.63585100000000006</v>
      </c>
      <c r="F1023" s="31">
        <v>0.843943</v>
      </c>
      <c r="G1023" s="31">
        <v>0.99947299999999994</v>
      </c>
      <c r="H1023" s="31">
        <v>1.1106499999999999</v>
      </c>
      <c r="I1023" s="31">
        <v>1.0848</v>
      </c>
      <c r="J1023" s="31">
        <v>1.1500600000000001</v>
      </c>
      <c r="K1023" s="31">
        <v>1.2115800000000001</v>
      </c>
      <c r="L1023" s="31">
        <v>1.24841</v>
      </c>
      <c r="M1023" s="31">
        <v>1.2198199999999999</v>
      </c>
      <c r="N1023" s="31">
        <v>1.18343</v>
      </c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</row>
    <row r="1024" spans="1:35" ht="13" customHeight="1" x14ac:dyDescent="0.15">
      <c r="A1024" s="31"/>
      <c r="B1024" s="1">
        <v>0.339619</v>
      </c>
      <c r="C1024" s="31">
        <v>0.45427000000000001</v>
      </c>
      <c r="D1024" s="31">
        <v>0.60602299999999998</v>
      </c>
      <c r="E1024" s="31">
        <v>0.685616</v>
      </c>
      <c r="F1024" s="31">
        <v>0.77791500000000002</v>
      </c>
      <c r="G1024" s="31">
        <v>0.95791000000000004</v>
      </c>
      <c r="H1024" s="31">
        <v>1.08832</v>
      </c>
      <c r="I1024" s="31">
        <v>1.17858</v>
      </c>
      <c r="J1024" s="31">
        <v>1.1360300000000001</v>
      </c>
      <c r="K1024" s="31">
        <v>1.18834</v>
      </c>
      <c r="L1024" s="31">
        <v>1.2399800000000001</v>
      </c>
      <c r="M1024" s="31">
        <v>1.26938</v>
      </c>
      <c r="N1024" s="31">
        <v>1.23525</v>
      </c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/>
      <c r="AG1024" s="31"/>
      <c r="AH1024" s="31"/>
      <c r="AI1024" s="31"/>
    </row>
    <row r="1025" spans="1:35" ht="13" customHeight="1" x14ac:dyDescent="0.15">
      <c r="A1025" s="31"/>
      <c r="B1025" s="1">
        <v>0.30112299999999997</v>
      </c>
      <c r="C1025" s="31">
        <v>0.49019200000000002</v>
      </c>
      <c r="D1025" s="31">
        <v>0.60607900000000003</v>
      </c>
      <c r="E1025" s="31">
        <v>0.74222900000000003</v>
      </c>
      <c r="F1025" s="31">
        <v>0.79972399999999999</v>
      </c>
      <c r="G1025" s="31">
        <v>0.86945499999999998</v>
      </c>
      <c r="H1025" s="31">
        <v>1.0292699999999999</v>
      </c>
      <c r="I1025" s="31">
        <v>1.1428799999999999</v>
      </c>
      <c r="J1025" s="31">
        <v>1.21973</v>
      </c>
      <c r="K1025" s="31">
        <v>1.1667799999999999</v>
      </c>
      <c r="L1025" s="31">
        <v>1.2111499999999999</v>
      </c>
      <c r="M1025" s="31">
        <v>1.2568299999999999</v>
      </c>
      <c r="N1025" s="31">
        <v>1.2817799999999999</v>
      </c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  <c r="AB1025" s="31"/>
      <c r="AC1025" s="31"/>
      <c r="AD1025" s="31"/>
      <c r="AE1025" s="31"/>
      <c r="AF1025" s="31"/>
      <c r="AG1025" s="31"/>
      <c r="AH1025" s="31"/>
      <c r="AI1025" s="31"/>
    </row>
    <row r="1026" spans="1:35" ht="13" customHeight="1" x14ac:dyDescent="0.15">
      <c r="A1026" s="31"/>
      <c r="B1026" s="1">
        <v>0.26248199999999999</v>
      </c>
      <c r="C1026" s="31">
        <v>0.45425199999999999</v>
      </c>
      <c r="D1026" s="31">
        <v>0.64457799999999998</v>
      </c>
      <c r="E1026" s="31">
        <v>0.74459699999999995</v>
      </c>
      <c r="F1026" s="31">
        <v>0.85827399999999998</v>
      </c>
      <c r="G1026" s="31">
        <v>0.892818</v>
      </c>
      <c r="H1026" s="31">
        <v>0.94202900000000001</v>
      </c>
      <c r="I1026" s="31">
        <v>1.0847599999999999</v>
      </c>
      <c r="J1026" s="31">
        <v>1.1847300000000001</v>
      </c>
      <c r="K1026" s="31">
        <v>1.25099</v>
      </c>
      <c r="L1026" s="31">
        <v>1.18997</v>
      </c>
      <c r="M1026" s="31">
        <v>1.22828</v>
      </c>
      <c r="N1026" s="31">
        <v>1.2694300000000001</v>
      </c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  <c r="AA1026" s="31"/>
      <c r="AB1026" s="31"/>
      <c r="AC1026" s="31"/>
      <c r="AD1026" s="31"/>
      <c r="AE1026" s="31"/>
      <c r="AF1026" s="31"/>
      <c r="AG1026" s="31"/>
      <c r="AH1026" s="31"/>
      <c r="AI1026" s="31"/>
    </row>
    <row r="1027" spans="1:35" ht="13" customHeight="1" x14ac:dyDescent="0.15">
      <c r="A1027" s="31"/>
      <c r="B1027" s="1">
        <v>0.36832799999999999</v>
      </c>
      <c r="C1027" s="31">
        <v>0.48072599999999999</v>
      </c>
      <c r="D1027" s="31">
        <v>0.67428699999999997</v>
      </c>
      <c r="E1027" s="31">
        <v>0.84199800000000002</v>
      </c>
      <c r="F1027" s="31">
        <v>0.90998699999999999</v>
      </c>
      <c r="G1027" s="31">
        <v>0.990954</v>
      </c>
      <c r="H1027" s="31">
        <v>0.99625200000000003</v>
      </c>
      <c r="I1027" s="31">
        <v>1.02111</v>
      </c>
      <c r="J1027" s="31">
        <v>1.1444000000000001</v>
      </c>
      <c r="K1027" s="31">
        <v>1.2292799999999999</v>
      </c>
      <c r="L1027" s="31">
        <v>1.2840499999999999</v>
      </c>
      <c r="M1027" s="31">
        <v>1.2143900000000001</v>
      </c>
      <c r="N1027" s="31">
        <v>1.24624</v>
      </c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  <c r="AB1027" s="31"/>
      <c r="AC1027" s="31"/>
      <c r="AD1027" s="31"/>
      <c r="AE1027" s="31"/>
      <c r="AF1027" s="31"/>
      <c r="AG1027" s="31"/>
      <c r="AH1027" s="31"/>
      <c r="AI1027" s="31"/>
    </row>
    <row r="1028" spans="1:35" ht="13" customHeight="1" x14ac:dyDescent="0.15">
      <c r="A1028" s="31"/>
      <c r="B1028" s="1">
        <v>0.40709699999999999</v>
      </c>
      <c r="C1028" s="31">
        <v>0.53029499999999996</v>
      </c>
      <c r="D1028" s="31">
        <v>0.64402199999999998</v>
      </c>
      <c r="E1028" s="31">
        <v>0.82079899999999995</v>
      </c>
      <c r="F1028" s="31">
        <v>0.96473900000000001</v>
      </c>
      <c r="G1028" s="31">
        <v>1.0084500000000001</v>
      </c>
      <c r="H1028" s="31">
        <v>1.06772</v>
      </c>
      <c r="I1028" s="31">
        <v>1.05494</v>
      </c>
      <c r="J1028" s="31">
        <v>1.0653699999999999</v>
      </c>
      <c r="K1028" s="31">
        <v>1.17747</v>
      </c>
      <c r="L1028" s="31">
        <v>1.2538199999999999</v>
      </c>
      <c r="M1028" s="31">
        <v>1.30217</v>
      </c>
      <c r="N1028" s="31">
        <v>1.2277199999999999</v>
      </c>
      <c r="O1028" s="31"/>
      <c r="P1028" s="31"/>
      <c r="Q1028" s="31"/>
      <c r="R1028" s="31"/>
      <c r="S1028" s="31"/>
      <c r="T1028" s="31"/>
      <c r="U1028" s="31"/>
      <c r="V1028" s="31"/>
      <c r="W1028" s="31"/>
      <c r="X1028" s="31"/>
      <c r="Y1028" s="31"/>
      <c r="Z1028" s="31"/>
      <c r="AA1028" s="31"/>
      <c r="AB1028" s="31"/>
      <c r="AC1028" s="31"/>
      <c r="AD1028" s="31"/>
      <c r="AE1028" s="31"/>
      <c r="AF1028" s="31"/>
      <c r="AG1028" s="31"/>
      <c r="AH1028" s="31"/>
      <c r="AI1028" s="31"/>
    </row>
    <row r="1029" spans="1:35" ht="13" customHeight="1" x14ac:dyDescent="0.15">
      <c r="A1029" s="31"/>
      <c r="B1029" s="1">
        <v>0.387492</v>
      </c>
      <c r="C1029" s="31">
        <v>0.56088000000000005</v>
      </c>
      <c r="D1029" s="31">
        <v>0.68533999999999995</v>
      </c>
      <c r="E1029" s="31">
        <v>0.78313100000000002</v>
      </c>
      <c r="F1029" s="31">
        <v>0.93733900000000003</v>
      </c>
      <c r="G1029" s="31">
        <v>1.05823</v>
      </c>
      <c r="H1029" s="31">
        <v>1.08134</v>
      </c>
      <c r="I1029" s="31">
        <v>1.12344</v>
      </c>
      <c r="J1029" s="31">
        <v>1.09697</v>
      </c>
      <c r="K1029" s="31">
        <v>1.09677</v>
      </c>
      <c r="L1029" s="31">
        <v>1.2007699999999999</v>
      </c>
      <c r="M1029" s="31">
        <v>1.27102</v>
      </c>
      <c r="N1029" s="31">
        <v>1.3148299999999999</v>
      </c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  <c r="AA1029" s="31"/>
      <c r="AB1029" s="31"/>
      <c r="AC1029" s="31"/>
      <c r="AD1029" s="31"/>
      <c r="AE1029" s="31"/>
      <c r="AF1029" s="31"/>
      <c r="AG1029" s="31"/>
      <c r="AH1029" s="31"/>
      <c r="AI1029" s="31"/>
    </row>
    <row r="1030" spans="1:35" ht="13" customHeight="1" x14ac:dyDescent="0.15">
      <c r="A1030" s="31"/>
      <c r="B1030" s="1">
        <v>0.32760400000000001</v>
      </c>
      <c r="C1030" s="31">
        <v>0.489782</v>
      </c>
      <c r="D1030" s="31">
        <v>0.66400999999999999</v>
      </c>
      <c r="E1030" s="31">
        <v>0.77786999999999995</v>
      </c>
      <c r="F1030" s="31">
        <v>0.860649</v>
      </c>
      <c r="G1030" s="31">
        <v>0.99952600000000003</v>
      </c>
      <c r="H1030" s="31">
        <v>1.1067100000000001</v>
      </c>
      <c r="I1030" s="31">
        <v>1.1184000000000001</v>
      </c>
      <c r="J1030" s="31">
        <v>1.1513899999999999</v>
      </c>
      <c r="K1030" s="31">
        <v>1.11785</v>
      </c>
      <c r="L1030" s="31">
        <v>1.11226</v>
      </c>
      <c r="M1030" s="31">
        <v>1.21221</v>
      </c>
      <c r="N1030" s="31">
        <v>1.2794399999999999</v>
      </c>
      <c r="O1030" s="31"/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  <c r="AA1030" s="31"/>
      <c r="AB1030" s="31"/>
      <c r="AC1030" s="31"/>
      <c r="AD1030" s="31"/>
      <c r="AE1030" s="31"/>
      <c r="AF1030" s="31"/>
      <c r="AG1030" s="31"/>
      <c r="AH1030" s="31"/>
      <c r="AI1030" s="31"/>
    </row>
    <row r="1031" spans="1:35" ht="13" customHeight="1" x14ac:dyDescent="0.15">
      <c r="A1031" s="31"/>
      <c r="B1031" s="1">
        <v>0.29319600000000001</v>
      </c>
      <c r="C1031" s="31">
        <v>0.44917400000000002</v>
      </c>
      <c r="D1031" s="31">
        <v>0.61234999999999995</v>
      </c>
      <c r="E1031" s="31">
        <v>0.77398</v>
      </c>
      <c r="F1031" s="31">
        <v>0.86999800000000005</v>
      </c>
      <c r="G1031" s="31">
        <v>0.93455699999999997</v>
      </c>
      <c r="H1031" s="31">
        <v>1.05714</v>
      </c>
      <c r="I1031" s="31">
        <v>1.15076</v>
      </c>
      <c r="J1031" s="31">
        <v>1.1516200000000001</v>
      </c>
      <c r="K1031" s="31">
        <v>1.17621</v>
      </c>
      <c r="L1031" s="31">
        <v>1.1362699999999999</v>
      </c>
      <c r="M1031" s="31">
        <v>1.1258600000000001</v>
      </c>
      <c r="N1031" s="31">
        <v>1.2222200000000001</v>
      </c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  <c r="AA1031" s="31"/>
      <c r="AB1031" s="31"/>
      <c r="AC1031" s="31"/>
      <c r="AD1031" s="31"/>
      <c r="AE1031" s="31"/>
      <c r="AF1031" s="31"/>
      <c r="AG1031" s="31"/>
      <c r="AH1031" s="31"/>
      <c r="AI1031" s="31"/>
    </row>
    <row r="1032" spans="1:35" ht="13" customHeight="1" x14ac:dyDescent="0.15">
      <c r="A1032" s="31"/>
      <c r="B1032" s="1">
        <v>0.37600099999999997</v>
      </c>
      <c r="C1032" s="31">
        <v>0.51797099999999996</v>
      </c>
      <c r="D1032" s="31">
        <v>0.67579299999999998</v>
      </c>
      <c r="E1032" s="31">
        <v>0.81567699999999999</v>
      </c>
      <c r="F1032" s="31">
        <v>0.94431900000000002</v>
      </c>
      <c r="G1032" s="31">
        <v>1.00665</v>
      </c>
      <c r="H1032" s="31">
        <v>1.0410900000000001</v>
      </c>
      <c r="I1032" s="31">
        <v>1.13859</v>
      </c>
      <c r="J1032" s="31">
        <v>1.2121900000000001</v>
      </c>
      <c r="K1032" s="31">
        <v>1.1975199999999999</v>
      </c>
      <c r="L1032" s="31">
        <v>1.21027</v>
      </c>
      <c r="M1032" s="31">
        <v>1.1614100000000001</v>
      </c>
      <c r="N1032" s="31">
        <v>1.1443700000000001</v>
      </c>
      <c r="O1032" s="31"/>
      <c r="P1032" s="31"/>
      <c r="Q1032" s="31"/>
      <c r="R1032" s="31"/>
      <c r="S1032" s="31"/>
      <c r="T1032" s="31"/>
      <c r="U1032" s="31"/>
      <c r="V1032" s="31"/>
      <c r="W1032" s="31"/>
      <c r="X1032" s="31"/>
      <c r="Y1032" s="31"/>
      <c r="Z1032" s="31"/>
      <c r="AA1032" s="31"/>
      <c r="AB1032" s="31"/>
      <c r="AC1032" s="31"/>
      <c r="AD1032" s="31"/>
      <c r="AE1032" s="31"/>
      <c r="AF1032" s="31"/>
      <c r="AG1032" s="31"/>
      <c r="AH1032" s="31"/>
      <c r="AI1032" s="31"/>
    </row>
    <row r="1033" spans="1:35" ht="13" customHeight="1" x14ac:dyDescent="0.15">
      <c r="A1033" s="31"/>
      <c r="B1033" s="1">
        <v>0.29470299999999999</v>
      </c>
      <c r="C1033" s="31">
        <v>0.52843899999999999</v>
      </c>
      <c r="D1033" s="31">
        <v>0.67166000000000003</v>
      </c>
      <c r="E1033" s="31">
        <v>0.81368600000000002</v>
      </c>
      <c r="F1033" s="31">
        <v>0.93119799999999997</v>
      </c>
      <c r="G1033" s="31">
        <v>1.0369900000000001</v>
      </c>
      <c r="H1033" s="31">
        <v>1.0789</v>
      </c>
      <c r="I1033" s="31">
        <v>1.09632</v>
      </c>
      <c r="J1033" s="31">
        <v>1.18025</v>
      </c>
      <c r="K1033" s="31">
        <v>1.2433099999999999</v>
      </c>
      <c r="L1033" s="31">
        <v>1.22061</v>
      </c>
      <c r="M1033" s="31">
        <v>1.22732</v>
      </c>
      <c r="N1033" s="31">
        <v>1.1739599999999999</v>
      </c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/>
      <c r="AB1033" s="31"/>
      <c r="AC1033" s="31"/>
      <c r="AD1033" s="31"/>
      <c r="AE1033" s="31"/>
      <c r="AF1033" s="31"/>
      <c r="AG1033" s="31"/>
      <c r="AH1033" s="31"/>
      <c r="AI1033" s="31"/>
    </row>
    <row r="1034" spans="1:35" ht="13" customHeight="1" x14ac:dyDescent="0.15">
      <c r="A1034" s="31"/>
      <c r="B1034" s="1">
        <v>0.305865</v>
      </c>
      <c r="C1034" s="31">
        <v>0.51468400000000003</v>
      </c>
      <c r="D1034" s="31">
        <v>0.75022500000000003</v>
      </c>
      <c r="E1034" s="31">
        <v>0.87065000000000003</v>
      </c>
      <c r="F1034" s="31">
        <v>0.98039100000000001</v>
      </c>
      <c r="G1034" s="31">
        <v>1.0649299999999999</v>
      </c>
      <c r="H1034" s="31">
        <v>1.1412500000000001</v>
      </c>
      <c r="I1034" s="31">
        <v>1.1586000000000001</v>
      </c>
      <c r="J1034" s="31">
        <v>1.1564399999999999</v>
      </c>
      <c r="K1034" s="31">
        <v>1.22516</v>
      </c>
      <c r="L1034" s="31">
        <v>1.27664</v>
      </c>
      <c r="M1034" s="31">
        <v>1.24522</v>
      </c>
      <c r="N1034" s="31">
        <v>1.24543</v>
      </c>
      <c r="O1034" s="31"/>
      <c r="P1034" s="31"/>
      <c r="Q1034" s="31"/>
      <c r="R1034" s="31"/>
      <c r="S1034" s="31"/>
      <c r="T1034" s="31"/>
      <c r="U1034" s="31"/>
      <c r="V1034" s="31"/>
      <c r="W1034" s="31"/>
      <c r="X1034" s="31"/>
      <c r="Y1034" s="31"/>
      <c r="Z1034" s="31"/>
      <c r="AA1034" s="31"/>
      <c r="AB1034" s="31"/>
      <c r="AC1034" s="31"/>
      <c r="AD1034" s="31"/>
      <c r="AE1034" s="31"/>
      <c r="AF1034" s="31"/>
      <c r="AG1034" s="31"/>
      <c r="AH1034" s="31"/>
      <c r="AI1034" s="31"/>
    </row>
    <row r="1035" spans="1:35" ht="13" customHeight="1" x14ac:dyDescent="0.15">
      <c r="A1035" s="31"/>
      <c r="B1035" s="1">
        <v>0.353601</v>
      </c>
      <c r="C1035" s="31">
        <v>0.49634699999999998</v>
      </c>
      <c r="D1035" s="31">
        <v>0.70672800000000002</v>
      </c>
      <c r="E1035" s="31">
        <v>0.92253099999999999</v>
      </c>
      <c r="F1035" s="31">
        <v>1.0149999999999999</v>
      </c>
      <c r="G1035" s="31">
        <v>1.09619</v>
      </c>
      <c r="H1035" s="31">
        <v>1.1552100000000001</v>
      </c>
      <c r="I1035" s="31">
        <v>1.21027</v>
      </c>
      <c r="J1035" s="31">
        <v>1.2106600000000001</v>
      </c>
      <c r="K1035" s="31">
        <v>1.19533</v>
      </c>
      <c r="L1035" s="31">
        <v>1.2540199999999999</v>
      </c>
      <c r="M1035" s="31">
        <v>1.2979499999999999</v>
      </c>
      <c r="N1035" s="31">
        <v>1.2608999999999999</v>
      </c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  <c r="AC1035" s="31"/>
      <c r="AD1035" s="31"/>
      <c r="AE1035" s="31"/>
      <c r="AF1035" s="31"/>
      <c r="AG1035" s="31"/>
      <c r="AH1035" s="31"/>
      <c r="AI1035" s="31"/>
    </row>
    <row r="1036" spans="1:35" ht="13" customHeight="1" x14ac:dyDescent="0.15">
      <c r="A1036" s="31"/>
      <c r="B1036" s="1">
        <v>0.28172199999999997</v>
      </c>
      <c r="C1036" s="31">
        <v>0.52775000000000005</v>
      </c>
      <c r="D1036" s="31">
        <v>0.67192499999999999</v>
      </c>
      <c r="E1036" s="31">
        <v>0.86426099999999995</v>
      </c>
      <c r="F1036" s="31">
        <v>1.0545</v>
      </c>
      <c r="G1036" s="31">
        <v>1.12087</v>
      </c>
      <c r="H1036" s="31">
        <v>1.1787300000000001</v>
      </c>
      <c r="I1036" s="31">
        <v>1.21831</v>
      </c>
      <c r="J1036" s="31">
        <v>1.25786</v>
      </c>
      <c r="K1036" s="31">
        <v>1.24621</v>
      </c>
      <c r="L1036" s="31">
        <v>1.2217100000000001</v>
      </c>
      <c r="M1036" s="31">
        <v>1.2735000000000001</v>
      </c>
      <c r="N1036" s="31">
        <v>1.3122799999999999</v>
      </c>
      <c r="O1036" s="31"/>
      <c r="P1036" s="31"/>
      <c r="Q1036" s="31"/>
      <c r="R1036" s="31"/>
      <c r="S1036" s="31"/>
      <c r="T1036" s="31"/>
      <c r="U1036" s="31"/>
      <c r="V1036" s="31"/>
      <c r="W1036" s="31"/>
      <c r="X1036" s="31"/>
      <c r="Y1036" s="31"/>
      <c r="Z1036" s="31"/>
      <c r="AA1036" s="31"/>
      <c r="AB1036" s="31"/>
      <c r="AC1036" s="31"/>
      <c r="AD1036" s="31"/>
      <c r="AE1036" s="31"/>
      <c r="AF1036" s="31"/>
      <c r="AG1036" s="31"/>
      <c r="AH1036" s="31"/>
      <c r="AI1036" s="31"/>
    </row>
    <row r="1037" spans="1:35" ht="13" customHeight="1" x14ac:dyDescent="0.15">
      <c r="A1037" s="31"/>
      <c r="B1037" s="1">
        <v>0.301315</v>
      </c>
      <c r="C1037" s="31">
        <v>0.42254799999999998</v>
      </c>
      <c r="D1037" s="31">
        <v>0.66973099999999997</v>
      </c>
      <c r="E1037" s="31">
        <v>0.79931300000000005</v>
      </c>
      <c r="F1037" s="31">
        <v>0.97098099999999998</v>
      </c>
      <c r="G1037" s="31">
        <v>1.14012</v>
      </c>
      <c r="H1037" s="31">
        <v>1.1876199999999999</v>
      </c>
      <c r="I1037" s="31">
        <v>1.22976</v>
      </c>
      <c r="J1037" s="31">
        <v>1.2567999999999999</v>
      </c>
      <c r="K1037" s="31">
        <v>1.28661</v>
      </c>
      <c r="L1037" s="31">
        <v>1.26755</v>
      </c>
      <c r="M1037" s="31">
        <v>1.23746</v>
      </c>
      <c r="N1037" s="31">
        <v>1.2850900000000001</v>
      </c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</row>
    <row r="1038" spans="1:35" ht="13" customHeight="1" x14ac:dyDescent="0.15">
      <c r="A1038" s="31"/>
      <c r="B1038" s="1">
        <v>0.29083799999999999</v>
      </c>
      <c r="C1038" s="31">
        <v>0.46200000000000002</v>
      </c>
      <c r="D1038" s="31">
        <v>0.58455100000000004</v>
      </c>
      <c r="E1038" s="31">
        <v>0.81508400000000003</v>
      </c>
      <c r="F1038" s="31">
        <v>0.92108299999999999</v>
      </c>
      <c r="G1038" s="31">
        <v>1.06867</v>
      </c>
      <c r="H1038" s="31">
        <v>1.21627</v>
      </c>
      <c r="I1038" s="31">
        <v>1.2458400000000001</v>
      </c>
      <c r="J1038" s="31">
        <v>1.2736700000000001</v>
      </c>
      <c r="K1038" s="31">
        <v>1.2896000000000001</v>
      </c>
      <c r="L1038" s="31">
        <v>1.3109599999999999</v>
      </c>
      <c r="M1038" s="31">
        <v>1.28552</v>
      </c>
      <c r="N1038" s="31">
        <v>1.2506900000000001</v>
      </c>
      <c r="O1038" s="31"/>
      <c r="P1038" s="31"/>
      <c r="Q1038" s="31"/>
      <c r="R1038" s="31"/>
      <c r="S1038" s="31"/>
      <c r="T1038" s="31"/>
      <c r="U1038" s="31"/>
      <c r="V1038" s="31"/>
      <c r="W1038" s="31"/>
      <c r="X1038" s="31"/>
      <c r="Y1038" s="31"/>
      <c r="Z1038" s="31"/>
      <c r="AA1038" s="31"/>
      <c r="AB1038" s="31"/>
      <c r="AC1038" s="31"/>
      <c r="AD1038" s="31"/>
      <c r="AE1038" s="31"/>
      <c r="AF1038" s="31"/>
      <c r="AG1038" s="31"/>
      <c r="AH1038" s="31"/>
      <c r="AI1038" s="31"/>
    </row>
    <row r="1039" spans="1:35" ht="13" customHeight="1" x14ac:dyDescent="0.15">
      <c r="A1039" s="31"/>
      <c r="B1039" s="1">
        <v>0.28734199999999999</v>
      </c>
      <c r="C1039" s="31">
        <v>0.464283</v>
      </c>
      <c r="D1039" s="31">
        <v>0.63686900000000002</v>
      </c>
      <c r="E1039" s="31">
        <v>0.74144699999999997</v>
      </c>
      <c r="F1039" s="31">
        <v>0.94652499999999995</v>
      </c>
      <c r="G1039" s="31">
        <v>1.0265299999999999</v>
      </c>
      <c r="H1039" s="31">
        <v>1.1508700000000001</v>
      </c>
      <c r="I1039" s="31">
        <v>1.27912</v>
      </c>
      <c r="J1039" s="31">
        <v>1.2932399999999999</v>
      </c>
      <c r="K1039" s="31">
        <v>1.30908</v>
      </c>
      <c r="L1039" s="31">
        <v>1.3158799999999999</v>
      </c>
      <c r="M1039" s="31">
        <v>1.33036</v>
      </c>
      <c r="N1039" s="31">
        <v>1.2998000000000001</v>
      </c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  <c r="AC1039" s="31"/>
      <c r="AD1039" s="31"/>
      <c r="AE1039" s="31"/>
      <c r="AF1039" s="31"/>
      <c r="AG1039" s="31"/>
      <c r="AH1039" s="31"/>
      <c r="AI1039" s="31"/>
    </row>
    <row r="1040" spans="1:35" ht="13" customHeight="1" x14ac:dyDescent="0.15">
      <c r="A1040" s="31"/>
      <c r="B1040" s="1">
        <v>0.36299599999999999</v>
      </c>
      <c r="C1040" s="31">
        <v>0.48175499999999999</v>
      </c>
      <c r="D1040" s="31">
        <v>0.66029099999999996</v>
      </c>
      <c r="E1040" s="31">
        <v>0.81273099999999998</v>
      </c>
      <c r="F1040" s="31">
        <v>0.88877700000000004</v>
      </c>
      <c r="G1040" s="31">
        <v>1.0647200000000001</v>
      </c>
      <c r="H1040" s="31">
        <v>1.1186700000000001</v>
      </c>
      <c r="I1040" s="31">
        <v>1.2213099999999999</v>
      </c>
      <c r="J1040" s="31">
        <v>1.3322499999999999</v>
      </c>
      <c r="K1040" s="31">
        <v>1.3329299999999999</v>
      </c>
      <c r="L1040" s="31">
        <v>1.33853</v>
      </c>
      <c r="M1040" s="31">
        <v>1.3376300000000001</v>
      </c>
      <c r="N1040" s="31">
        <v>1.34636</v>
      </c>
      <c r="O1040" s="31"/>
      <c r="P1040" s="31"/>
      <c r="Q1040" s="31"/>
      <c r="R1040" s="31"/>
      <c r="S1040" s="31"/>
      <c r="T1040" s="31"/>
      <c r="U1040" s="31"/>
      <c r="V1040" s="31"/>
      <c r="W1040" s="31"/>
      <c r="X1040" s="31"/>
      <c r="Y1040" s="31"/>
      <c r="Z1040" s="31"/>
      <c r="AA1040" s="31"/>
      <c r="AB1040" s="31"/>
      <c r="AC1040" s="31"/>
      <c r="AD1040" s="31"/>
      <c r="AE1040" s="31"/>
      <c r="AF1040" s="31"/>
      <c r="AG1040" s="31"/>
      <c r="AH1040" s="31"/>
      <c r="AI1040" s="31"/>
    </row>
    <row r="1041" spans="1:35" ht="13" customHeight="1" x14ac:dyDescent="0.15">
      <c r="A1041" s="31"/>
      <c r="B1041" s="1">
        <v>0.34351599999999999</v>
      </c>
      <c r="C1041" s="31">
        <v>0.52235399999999998</v>
      </c>
      <c r="D1041" s="31">
        <v>0.64241999999999999</v>
      </c>
      <c r="E1041" s="31">
        <v>0.80444300000000002</v>
      </c>
      <c r="F1041" s="31">
        <v>0.93349599999999999</v>
      </c>
      <c r="G1041" s="31">
        <v>0.98565700000000001</v>
      </c>
      <c r="H1041" s="31">
        <v>1.1402399999999999</v>
      </c>
      <c r="I1041" s="31">
        <v>1.17641</v>
      </c>
      <c r="J1041" s="31">
        <v>1.2648600000000001</v>
      </c>
      <c r="K1041" s="31">
        <v>1.3647899999999999</v>
      </c>
      <c r="L1041" s="31">
        <v>1.35707</v>
      </c>
      <c r="M1041" s="31">
        <v>1.35636</v>
      </c>
      <c r="N1041" s="31">
        <v>1.3507499999999999</v>
      </c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  <c r="AA1041" s="31"/>
      <c r="AB1041" s="31"/>
      <c r="AC1041" s="31"/>
      <c r="AD1041" s="31"/>
      <c r="AE1041" s="31"/>
      <c r="AF1041" s="31"/>
      <c r="AG1041" s="31"/>
      <c r="AH1041" s="31"/>
      <c r="AI1041" s="31"/>
    </row>
    <row r="1042" spans="1:35" ht="13" customHeight="1" x14ac:dyDescent="0.15">
      <c r="A1042" s="31"/>
      <c r="B1042" s="1">
        <v>0.20514399999999999</v>
      </c>
      <c r="C1042" s="31">
        <v>0.53117499999999995</v>
      </c>
      <c r="D1042" s="31">
        <v>0.71155299999999999</v>
      </c>
      <c r="E1042" s="31">
        <v>0.81217399999999995</v>
      </c>
      <c r="F1042" s="31">
        <v>0.94665500000000002</v>
      </c>
      <c r="G1042" s="31">
        <v>1.04758</v>
      </c>
      <c r="H1042" s="31">
        <v>1.0746</v>
      </c>
      <c r="I1042" s="31">
        <v>1.20824</v>
      </c>
      <c r="J1042" s="31">
        <v>1.2276899999999999</v>
      </c>
      <c r="K1042" s="31">
        <v>1.30318</v>
      </c>
      <c r="L1042" s="31">
        <v>1.3932100000000001</v>
      </c>
      <c r="M1042" s="31">
        <v>1.3780699999999999</v>
      </c>
      <c r="N1042" s="31">
        <v>1.37181</v>
      </c>
      <c r="O1042" s="31"/>
      <c r="P1042" s="31"/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  <c r="AA1042" s="31"/>
      <c r="AB1042" s="31"/>
      <c r="AC1042" s="31"/>
      <c r="AD1042" s="31"/>
      <c r="AE1042" s="31"/>
      <c r="AF1042" s="31"/>
      <c r="AG1042" s="31"/>
      <c r="AH1042" s="31"/>
      <c r="AI1042" s="31"/>
    </row>
    <row r="1043" spans="1:35" ht="13" customHeight="1" x14ac:dyDescent="0.15">
      <c r="B1043">
        <v>0.20514399999999999</v>
      </c>
      <c r="C1043">
        <v>0.39280300000000001</v>
      </c>
      <c r="D1043">
        <v>0.72037399999999996</v>
      </c>
      <c r="E1043">
        <v>0.88130600000000003</v>
      </c>
      <c r="F1043">
        <v>0.95438599999999996</v>
      </c>
      <c r="G1043">
        <v>1.06074</v>
      </c>
      <c r="H1043">
        <v>1.13652</v>
      </c>
      <c r="I1043">
        <v>1.14259</v>
      </c>
      <c r="J1043">
        <v>1.25952</v>
      </c>
      <c r="K1043">
        <v>1.2660100000000001</v>
      </c>
      <c r="L1043">
        <v>1.33161</v>
      </c>
      <c r="M1043">
        <v>1.41421</v>
      </c>
      <c r="N1043">
        <v>1.39351</v>
      </c>
    </row>
    <row r="1045" spans="1:35" ht="13" customHeight="1" x14ac:dyDescent="0.15">
      <c r="A1045">
        <v>1980</v>
      </c>
      <c r="B1045">
        <v>2137.88</v>
      </c>
      <c r="C1045">
        <v>7041.41</v>
      </c>
    </row>
    <row r="1046" spans="1:35" ht="13" customHeight="1" x14ac:dyDescent="0.15">
      <c r="A1046">
        <v>1981</v>
      </c>
      <c r="B1046">
        <v>3285.5</v>
      </c>
      <c r="C1046">
        <v>12326.6</v>
      </c>
    </row>
    <row r="1047" spans="1:35" ht="13" customHeight="1" x14ac:dyDescent="0.15">
      <c r="A1047">
        <v>1982</v>
      </c>
      <c r="B1047">
        <v>4710.53</v>
      </c>
      <c r="C1047">
        <v>14757.6</v>
      </c>
    </row>
    <row r="1048" spans="1:35" ht="13" customHeight="1" x14ac:dyDescent="0.15">
      <c r="A1048">
        <v>1983</v>
      </c>
      <c r="B1048">
        <v>5840.28</v>
      </c>
      <c r="C1048">
        <v>16970.099999999999</v>
      </c>
    </row>
    <row r="1049" spans="1:35" ht="13" customHeight="1" x14ac:dyDescent="0.15">
      <c r="A1049">
        <v>1984</v>
      </c>
      <c r="B1049">
        <v>6427.01</v>
      </c>
      <c r="C1049">
        <v>17047.2</v>
      </c>
    </row>
    <row r="1050" spans="1:35" ht="13" customHeight="1" x14ac:dyDescent="0.15">
      <c r="A1050">
        <v>1985</v>
      </c>
      <c r="B1050">
        <v>6782.67</v>
      </c>
      <c r="C1050">
        <v>18520.099999999999</v>
      </c>
    </row>
    <row r="1051" spans="1:35" ht="13" customHeight="1" x14ac:dyDescent="0.15">
      <c r="A1051">
        <v>1986</v>
      </c>
      <c r="B1051">
        <v>6852.51</v>
      </c>
      <c r="C1051">
        <v>17337.7</v>
      </c>
    </row>
    <row r="1052" spans="1:35" ht="13" customHeight="1" x14ac:dyDescent="0.15">
      <c r="A1052">
        <v>1987</v>
      </c>
      <c r="B1052">
        <v>6639.87</v>
      </c>
      <c r="C1052">
        <v>16700.7</v>
      </c>
    </row>
    <row r="1053" spans="1:35" ht="13" customHeight="1" x14ac:dyDescent="0.15">
      <c r="A1053">
        <v>1988</v>
      </c>
      <c r="B1053">
        <v>6208.58</v>
      </c>
      <c r="C1053">
        <v>15090.5</v>
      </c>
    </row>
    <row r="1054" spans="1:35" ht="13" customHeight="1" x14ac:dyDescent="0.15">
      <c r="A1054">
        <v>1989</v>
      </c>
      <c r="B1054">
        <v>5600.38</v>
      </c>
      <c r="C1054">
        <v>13155.2</v>
      </c>
    </row>
    <row r="1055" spans="1:35" ht="13" customHeight="1" x14ac:dyDescent="0.15">
      <c r="A1055">
        <v>1990</v>
      </c>
      <c r="B1055">
        <v>4859.33</v>
      </c>
      <c r="C1055">
        <v>11208.9</v>
      </c>
    </row>
    <row r="1056" spans="1:35" ht="13" customHeight="1" x14ac:dyDescent="0.15">
      <c r="A1056">
        <v>1991</v>
      </c>
      <c r="B1056">
        <v>4139.68</v>
      </c>
      <c r="C1056">
        <v>9707.4</v>
      </c>
    </row>
    <row r="1057" spans="1:3" ht="13" customHeight="1" x14ac:dyDescent="0.15">
      <c r="A1057">
        <v>1992</v>
      </c>
      <c r="B1057">
        <v>4224.09</v>
      </c>
      <c r="C1057">
        <v>12215.5</v>
      </c>
    </row>
    <row r="1058" spans="1:3" ht="13" customHeight="1" x14ac:dyDescent="0.15">
      <c r="A1058">
        <v>1993</v>
      </c>
      <c r="B1058">
        <v>5152.97</v>
      </c>
      <c r="C1058">
        <v>14764.1</v>
      </c>
    </row>
    <row r="1059" spans="1:3" ht="13" customHeight="1" x14ac:dyDescent="0.15">
      <c r="A1059">
        <v>1994</v>
      </c>
      <c r="B1059">
        <v>5156.7299999999996</v>
      </c>
      <c r="C1059">
        <v>14246.2</v>
      </c>
    </row>
    <row r="1060" spans="1:3" ht="13" customHeight="1" x14ac:dyDescent="0.15">
      <c r="A1060">
        <v>1995</v>
      </c>
      <c r="B1060">
        <v>5386.8</v>
      </c>
      <c r="C1060">
        <v>15979.2</v>
      </c>
    </row>
    <row r="1061" spans="1:3" ht="13" customHeight="1" x14ac:dyDescent="0.15">
      <c r="A1061">
        <v>1996</v>
      </c>
      <c r="B1061">
        <v>5558</v>
      </c>
      <c r="C1061">
        <v>14592.3</v>
      </c>
    </row>
    <row r="1062" spans="1:3" ht="13" customHeight="1" x14ac:dyDescent="0.15">
      <c r="A1062">
        <v>1997</v>
      </c>
      <c r="B1062">
        <v>5307.63</v>
      </c>
      <c r="C1062">
        <v>13184.3</v>
      </c>
    </row>
    <row r="1063" spans="1:3" ht="13" customHeight="1" x14ac:dyDescent="0.15">
      <c r="A1063">
        <v>1998</v>
      </c>
      <c r="B1063">
        <v>5085.3599999999997</v>
      </c>
      <c r="C1063">
        <v>13122.6</v>
      </c>
    </row>
    <row r="1064" spans="1:3" ht="13" customHeight="1" x14ac:dyDescent="0.15">
      <c r="A1064">
        <v>1999</v>
      </c>
      <c r="B1064">
        <v>4792.75</v>
      </c>
      <c r="C1064">
        <v>13087.2</v>
      </c>
    </row>
    <row r="1065" spans="1:3" ht="13" customHeight="1" x14ac:dyDescent="0.15">
      <c r="A1065">
        <v>2000</v>
      </c>
      <c r="B1065">
        <v>4766.42</v>
      </c>
      <c r="C1065">
        <v>12365.8</v>
      </c>
    </row>
    <row r="1066" spans="1:3" ht="13" customHeight="1" x14ac:dyDescent="0.15">
      <c r="A1066">
        <v>2001</v>
      </c>
      <c r="B1066">
        <v>4983.6400000000003</v>
      </c>
      <c r="C1066">
        <v>12578.4</v>
      </c>
    </row>
    <row r="1067" spans="1:3" ht="13" customHeight="1" x14ac:dyDescent="0.15">
      <c r="A1067">
        <v>2002</v>
      </c>
      <c r="B1067">
        <v>4911.91</v>
      </c>
      <c r="C1067">
        <v>13092</v>
      </c>
    </row>
    <row r="1068" spans="1:3" ht="13" customHeight="1" x14ac:dyDescent="0.15">
      <c r="A1068">
        <v>2003</v>
      </c>
      <c r="B1068">
        <v>5077.6499999999996</v>
      </c>
      <c r="C1068">
        <v>14914.2</v>
      </c>
    </row>
    <row r="1069" spans="1:3" ht="13" customHeight="1" x14ac:dyDescent="0.15">
      <c r="A1069">
        <v>2004</v>
      </c>
      <c r="B1069">
        <v>5099.9799999999996</v>
      </c>
      <c r="C1069">
        <v>14158.5</v>
      </c>
    </row>
    <row r="1070" spans="1:3" ht="13" customHeight="1" x14ac:dyDescent="0.15">
      <c r="A1070">
        <v>2005</v>
      </c>
      <c r="B1070">
        <v>5000.3599999999997</v>
      </c>
      <c r="C1070">
        <v>12894.2</v>
      </c>
    </row>
    <row r="1071" spans="1:3" ht="13" customHeight="1" x14ac:dyDescent="0.15">
      <c r="A1071">
        <v>2006</v>
      </c>
      <c r="B1071">
        <v>4660.4399999999996</v>
      </c>
      <c r="C1071">
        <v>11301.5</v>
      </c>
    </row>
    <row r="1072" spans="1:3" ht="13" customHeight="1" x14ac:dyDescent="0.15">
      <c r="A1072">
        <v>2007</v>
      </c>
      <c r="B1072">
        <v>4648.3100000000004</v>
      </c>
      <c r="C1072">
        <v>10928.3</v>
      </c>
    </row>
    <row r="1073" spans="1:16" ht="13" customHeight="1" x14ac:dyDescent="0.15">
      <c r="A1073">
        <v>2008</v>
      </c>
      <c r="B1073">
        <v>3991.76</v>
      </c>
      <c r="C1073">
        <v>9604.2000000000007</v>
      </c>
    </row>
    <row r="1074" spans="1:16" ht="13" customHeight="1" x14ac:dyDescent="0.15">
      <c r="A1074">
        <v>2009</v>
      </c>
      <c r="B1074">
        <v>4533.18</v>
      </c>
      <c r="C1074">
        <v>11785.4</v>
      </c>
    </row>
    <row r="1075" spans="1:16" ht="13" customHeight="1" x14ac:dyDescent="0.15">
      <c r="A1075">
        <v>2010</v>
      </c>
      <c r="B1075">
        <v>4514.68</v>
      </c>
      <c r="C1075">
        <v>11601.7</v>
      </c>
    </row>
    <row r="1076" spans="1:16" ht="13" customHeight="1" x14ac:dyDescent="0.15">
      <c r="A1076">
        <v>2011</v>
      </c>
      <c r="B1076">
        <v>4793.53</v>
      </c>
      <c r="C1076">
        <v>14566.5</v>
      </c>
    </row>
    <row r="1077" spans="1:16" ht="13" customHeight="1" x14ac:dyDescent="0.15">
      <c r="A1077">
        <v>2012</v>
      </c>
      <c r="B1077">
        <v>5294.84</v>
      </c>
      <c r="C1077">
        <v>14681</v>
      </c>
    </row>
    <row r="1078" spans="1:16" ht="13" customHeight="1" x14ac:dyDescent="0.15">
      <c r="A1078">
        <v>2013</v>
      </c>
      <c r="B1078">
        <v>5991.76</v>
      </c>
      <c r="C1078">
        <v>15396.8</v>
      </c>
    </row>
    <row r="1079" spans="1:16" ht="13" customHeight="1" x14ac:dyDescent="0.15">
      <c r="A1079">
        <v>2014</v>
      </c>
      <c r="B1079">
        <v>5588.36</v>
      </c>
      <c r="C1079">
        <v>14009.8</v>
      </c>
    </row>
    <row r="1080" spans="1:16" ht="13" customHeight="1" x14ac:dyDescent="0.15">
      <c r="A1080">
        <v>2015</v>
      </c>
      <c r="B1080">
        <v>5878.87</v>
      </c>
      <c r="C1080">
        <v>15296.9</v>
      </c>
    </row>
    <row r="1082" spans="1:16" ht="13" customHeight="1" x14ac:dyDescent="0.15">
      <c r="A1082" t="s">
        <v>524</v>
      </c>
      <c r="B1082">
        <v>22700.9</v>
      </c>
      <c r="C1082">
        <v>7050.15</v>
      </c>
      <c r="D1082">
        <v>7085.88</v>
      </c>
      <c r="E1082">
        <v>1636.78</v>
      </c>
      <c r="F1082">
        <v>2103.4499999999998</v>
      </c>
      <c r="G1082">
        <v>2271.35</v>
      </c>
      <c r="H1082">
        <v>4882.3999999999996</v>
      </c>
      <c r="I1082">
        <v>739.78</v>
      </c>
      <c r="J1082">
        <v>959.51700000000005</v>
      </c>
      <c r="K1082">
        <v>288.01499999999999</v>
      </c>
      <c r="L1082">
        <v>83.236000000000004</v>
      </c>
      <c r="M1082">
        <v>88.224299999999999</v>
      </c>
      <c r="N1082">
        <v>147.501</v>
      </c>
      <c r="O1082">
        <v>181.047</v>
      </c>
      <c r="P1082">
        <v>581.93299999999999</v>
      </c>
    </row>
    <row r="1084" spans="1:16" ht="13" customHeight="1" x14ac:dyDescent="0.15">
      <c r="A1084" t="s">
        <v>44</v>
      </c>
      <c r="B1084">
        <v>2.5182300000000001E-2</v>
      </c>
      <c r="C1084">
        <v>0.18132400000000001</v>
      </c>
      <c r="D1084">
        <v>0.363568</v>
      </c>
      <c r="E1084">
        <v>0.485877</v>
      </c>
      <c r="F1084">
        <v>0.439054</v>
      </c>
      <c r="G1084">
        <v>0.53181500000000004</v>
      </c>
      <c r="H1084">
        <v>0.65578400000000003</v>
      </c>
      <c r="I1084">
        <v>0.759467</v>
      </c>
      <c r="J1084">
        <v>0.98904499999999995</v>
      </c>
      <c r="K1084">
        <v>1.22658</v>
      </c>
      <c r="L1084">
        <v>1.3715200000000001</v>
      </c>
      <c r="M1084">
        <v>1.5687500000000001</v>
      </c>
      <c r="N1084">
        <v>1.73468</v>
      </c>
      <c r="O1084">
        <v>1.8329</v>
      </c>
      <c r="P1084">
        <v>1.9409799999999999</v>
      </c>
    </row>
    <row r="1086" spans="1:16" ht="13" customHeight="1" x14ac:dyDescent="0.15">
      <c r="A1086" t="s">
        <v>45</v>
      </c>
      <c r="B1086">
        <v>2.5182300000000001E-2</v>
      </c>
      <c r="C1086">
        <v>0.18132400000000001</v>
      </c>
      <c r="D1086">
        <v>0.32477200000000001</v>
      </c>
      <c r="E1086">
        <v>0.48869000000000001</v>
      </c>
      <c r="F1086">
        <v>0.64039699999999999</v>
      </c>
      <c r="G1086">
        <v>0.802929</v>
      </c>
      <c r="H1086">
        <v>0.96725700000000003</v>
      </c>
      <c r="I1086">
        <v>1.11609</v>
      </c>
      <c r="J1086">
        <v>1.2393000000000001</v>
      </c>
      <c r="K1086">
        <v>1.3763700000000001</v>
      </c>
      <c r="L1086">
        <v>1.4757899999999999</v>
      </c>
      <c r="M1086">
        <v>1.55152</v>
      </c>
      <c r="N1086">
        <v>1.65785</v>
      </c>
      <c r="O1086">
        <v>1.7515400000000001</v>
      </c>
      <c r="P1086">
        <v>1.8384499999999999</v>
      </c>
    </row>
    <row r="1088" spans="1:16" ht="13" customHeight="1" x14ac:dyDescent="0.15">
      <c r="B1088">
        <v>571.66099999999994</v>
      </c>
      <c r="C1088">
        <v>1278.3599999999999</v>
      </c>
      <c r="D1088">
        <v>2301.29</v>
      </c>
      <c r="E1088">
        <v>799.87900000000002</v>
      </c>
      <c r="F1088">
        <v>1347.04</v>
      </c>
      <c r="G1088">
        <v>1823.73</v>
      </c>
      <c r="H1088">
        <v>4722.53</v>
      </c>
      <c r="I1088">
        <v>825.66300000000001</v>
      </c>
      <c r="J1088">
        <v>1189.1300000000001</v>
      </c>
      <c r="K1088">
        <v>396.41500000000002</v>
      </c>
      <c r="L1088">
        <v>122.839</v>
      </c>
      <c r="M1088">
        <v>136.88200000000001</v>
      </c>
      <c r="N1088">
        <v>244.535</v>
      </c>
      <c r="O1088">
        <v>317.11099999999999</v>
      </c>
      <c r="P1088">
        <v>1069.8599999999999</v>
      </c>
    </row>
    <row r="1089" spans="1:2" ht="13" customHeight="1" x14ac:dyDescent="0.15">
      <c r="A1089" t="s">
        <v>983</v>
      </c>
      <c r="B1089" t="s">
        <v>1098</v>
      </c>
    </row>
    <row r="1090" spans="1:2" ht="13" customHeight="1" x14ac:dyDescent="0.15">
      <c r="A1090" t="s">
        <v>983</v>
      </c>
      <c r="B1090" t="s">
        <v>1099</v>
      </c>
    </row>
    <row r="1091" spans="1:2" ht="13" customHeight="1" x14ac:dyDescent="0.15">
      <c r="A1091" t="s">
        <v>998</v>
      </c>
      <c r="B1091" t="s">
        <v>1100</v>
      </c>
    </row>
    <row r="1092" spans="1:2" ht="13" customHeight="1" x14ac:dyDescent="0.15">
      <c r="A1092" t="s">
        <v>998</v>
      </c>
      <c r="B1092" t="s">
        <v>1101</v>
      </c>
    </row>
    <row r="1093" spans="1:2" ht="13" customHeight="1" x14ac:dyDescent="0.15">
      <c r="A1093" t="s">
        <v>1064</v>
      </c>
    </row>
    <row r="1094" spans="1:2" ht="13" customHeight="1" x14ac:dyDescent="0.15">
      <c r="A1094" t="s">
        <v>1065</v>
      </c>
    </row>
    <row r="1095" spans="1:2" ht="13" customHeight="1" x14ac:dyDescent="0.15">
      <c r="A1095" t="s">
        <v>1066</v>
      </c>
    </row>
    <row r="1096" spans="1:2" ht="13" customHeight="1" x14ac:dyDescent="0.15">
      <c r="A1096" t="s">
        <v>1067</v>
      </c>
    </row>
    <row r="1097" spans="1:2" ht="13" customHeight="1" x14ac:dyDescent="0.15">
      <c r="A1097" t="s">
        <v>1068</v>
      </c>
    </row>
    <row r="1098" spans="1:2" ht="13" customHeight="1" x14ac:dyDescent="0.15">
      <c r="A1098" t="s">
        <v>1069</v>
      </c>
    </row>
    <row r="1099" spans="1:2" ht="13" customHeight="1" x14ac:dyDescent="0.15">
      <c r="A1099" t="s">
        <v>1070</v>
      </c>
    </row>
    <row r="1100" spans="1:2" ht="13" customHeight="1" x14ac:dyDescent="0.15">
      <c r="A1100" t="s">
        <v>1071</v>
      </c>
    </row>
    <row r="1101" spans="1:2" ht="13" customHeight="1" x14ac:dyDescent="0.15">
      <c r="A1101" t="s">
        <v>984</v>
      </c>
    </row>
    <row r="1102" spans="1:2" ht="13" customHeight="1" x14ac:dyDescent="0.15">
      <c r="A1102" t="s">
        <v>985</v>
      </c>
    </row>
    <row r="1103" spans="1:2" ht="13" customHeight="1" x14ac:dyDescent="0.15">
      <c r="A1103" t="s">
        <v>1009</v>
      </c>
    </row>
    <row r="1104" spans="1:2" ht="13" customHeight="1" x14ac:dyDescent="0.15">
      <c r="A1104" t="s">
        <v>1072</v>
      </c>
    </row>
    <row r="1105" spans="1:11" ht="13" customHeight="1" x14ac:dyDescent="0.15">
      <c r="A1105" t="s">
        <v>1073</v>
      </c>
    </row>
    <row r="1106" spans="1:11" ht="13" customHeight="1" x14ac:dyDescent="0.15">
      <c r="A1106" t="s">
        <v>1074</v>
      </c>
    </row>
    <row r="1107" spans="1:11" ht="13" customHeight="1" x14ac:dyDescent="0.15">
      <c r="A1107" t="s">
        <v>1075</v>
      </c>
    </row>
    <row r="1108" spans="1:11" ht="13" customHeight="1" x14ac:dyDescent="0.15">
      <c r="A1108" t="s">
        <v>1076</v>
      </c>
    </row>
    <row r="1109" spans="1:11" ht="13" customHeight="1" x14ac:dyDescent="0.15">
      <c r="A1109" t="s">
        <v>1077</v>
      </c>
    </row>
    <row r="1110" spans="1:11" ht="13" customHeight="1" x14ac:dyDescent="0.15">
      <c r="A1110" t="s">
        <v>986</v>
      </c>
      <c r="B1110">
        <v>1637</v>
      </c>
      <c r="C1110">
        <v>1554</v>
      </c>
      <c r="D1110">
        <v>1001.77</v>
      </c>
      <c r="E1110">
        <v>951.68600000000004</v>
      </c>
      <c r="F1110">
        <v>904.10199999999998</v>
      </c>
      <c r="G1110">
        <v>858.89700000000005</v>
      </c>
      <c r="H1110">
        <v>815.952</v>
      </c>
      <c r="I1110">
        <v>775.154</v>
      </c>
      <c r="J1110">
        <v>736.39700000000005</v>
      </c>
      <c r="K1110">
        <v>699.577</v>
      </c>
    </row>
    <row r="1111" spans="1:11" ht="13" customHeight="1" x14ac:dyDescent="0.15">
      <c r="A1111" t="s">
        <v>155</v>
      </c>
      <c r="B1111" t="s">
        <v>706</v>
      </c>
      <c r="C1111" t="s">
        <v>707</v>
      </c>
      <c r="D1111" t="s">
        <v>708</v>
      </c>
      <c r="E1111" t="s">
        <v>709</v>
      </c>
      <c r="F1111" t="s">
        <v>710</v>
      </c>
      <c r="G1111" t="s">
        <v>711</v>
      </c>
      <c r="H1111" t="s">
        <v>712</v>
      </c>
      <c r="I1111" t="s">
        <v>713</v>
      </c>
    </row>
    <row r="1112" spans="1:11" ht="13" customHeight="1" x14ac:dyDescent="0.15">
      <c r="A1112" t="s">
        <v>999</v>
      </c>
    </row>
    <row r="1113" spans="1:11" ht="13" customHeight="1" x14ac:dyDescent="0.15">
      <c r="A1113" t="s">
        <v>1078</v>
      </c>
    </row>
    <row r="1114" spans="1:11" ht="13" customHeight="1" x14ac:dyDescent="0.15">
      <c r="A1114" t="s">
        <v>987</v>
      </c>
    </row>
    <row r="1115" spans="1:11" ht="13" customHeight="1" x14ac:dyDescent="0.15">
      <c r="A1115" t="s">
        <v>813</v>
      </c>
      <c r="B1115" t="s">
        <v>814</v>
      </c>
      <c r="C1115" t="s">
        <v>743</v>
      </c>
      <c r="D1115" t="s">
        <v>814</v>
      </c>
      <c r="E1115" t="s">
        <v>1102</v>
      </c>
    </row>
    <row r="1116" spans="1:11" ht="13" customHeight="1" x14ac:dyDescent="0.15">
      <c r="A1116" t="s">
        <v>813</v>
      </c>
      <c r="B1116" t="s">
        <v>814</v>
      </c>
      <c r="C1116" t="s">
        <v>744</v>
      </c>
      <c r="D1116" t="s">
        <v>814</v>
      </c>
      <c r="E1116" t="s">
        <v>1103</v>
      </c>
    </row>
    <row r="1117" spans="1:11" ht="13" customHeight="1" x14ac:dyDescent="0.15">
      <c r="A1117" t="s">
        <v>1079</v>
      </c>
    </row>
    <row r="1118" spans="1:11" ht="13" customHeight="1" x14ac:dyDescent="0.15">
      <c r="A1118" t="s">
        <v>988</v>
      </c>
    </row>
    <row r="1119" spans="1:11" ht="13" customHeight="1" x14ac:dyDescent="0.15">
      <c r="A1119" t="s">
        <v>815</v>
      </c>
      <c r="B1119" t="s">
        <v>814</v>
      </c>
      <c r="C1119" t="s">
        <v>743</v>
      </c>
      <c r="D1119" t="s">
        <v>814</v>
      </c>
      <c r="E1119" t="s">
        <v>1104</v>
      </c>
    </row>
    <row r="1120" spans="1:11" ht="13" customHeight="1" x14ac:dyDescent="0.15">
      <c r="A1120" t="s">
        <v>815</v>
      </c>
      <c r="B1120" t="s">
        <v>814</v>
      </c>
      <c r="C1120" t="s">
        <v>744</v>
      </c>
      <c r="D1120" t="s">
        <v>814</v>
      </c>
      <c r="E1120" t="s">
        <v>1105</v>
      </c>
    </row>
    <row r="1121" spans="1:5" ht="13" customHeight="1" x14ac:dyDescent="0.15">
      <c r="A1121" t="s">
        <v>1000</v>
      </c>
    </row>
    <row r="1122" spans="1:5" ht="13" customHeight="1" x14ac:dyDescent="0.15">
      <c r="A1122" t="s">
        <v>1080</v>
      </c>
    </row>
    <row r="1123" spans="1:5" ht="13" customHeight="1" x14ac:dyDescent="0.15">
      <c r="A1123" t="s">
        <v>987</v>
      </c>
    </row>
    <row r="1124" spans="1:5" ht="13" customHeight="1" x14ac:dyDescent="0.15">
      <c r="A1124" t="s">
        <v>813</v>
      </c>
      <c r="B1124" t="s">
        <v>814</v>
      </c>
      <c r="C1124" t="s">
        <v>743</v>
      </c>
      <c r="D1124" t="s">
        <v>814</v>
      </c>
      <c r="E1124" t="s">
        <v>1102</v>
      </c>
    </row>
    <row r="1125" spans="1:5" ht="13" customHeight="1" x14ac:dyDescent="0.15">
      <c r="A1125" t="s">
        <v>813</v>
      </c>
      <c r="B1125" t="s">
        <v>814</v>
      </c>
      <c r="C1125" t="s">
        <v>744</v>
      </c>
      <c r="D1125" t="s">
        <v>814</v>
      </c>
      <c r="E1125" t="s">
        <v>1103</v>
      </c>
    </row>
    <row r="1126" spans="1:5" ht="13" customHeight="1" x14ac:dyDescent="0.15">
      <c r="A1126" t="s">
        <v>1081</v>
      </c>
    </row>
    <row r="1127" spans="1:5" ht="13" customHeight="1" x14ac:dyDescent="0.15">
      <c r="A1127" t="s">
        <v>988</v>
      </c>
    </row>
    <row r="1128" spans="1:5" ht="13" customHeight="1" x14ac:dyDescent="0.15">
      <c r="A1128" t="s">
        <v>815</v>
      </c>
      <c r="B1128" t="s">
        <v>814</v>
      </c>
      <c r="C1128" t="s">
        <v>743</v>
      </c>
      <c r="D1128" t="s">
        <v>814</v>
      </c>
      <c r="E1128" t="s">
        <v>1106</v>
      </c>
    </row>
    <row r="1129" spans="1:5" ht="13" customHeight="1" x14ac:dyDescent="0.15">
      <c r="A1129" t="s">
        <v>815</v>
      </c>
      <c r="B1129" t="s">
        <v>814</v>
      </c>
      <c r="C1129" t="s">
        <v>744</v>
      </c>
      <c r="D1129" t="s">
        <v>814</v>
      </c>
      <c r="E1129" t="s">
        <v>1107</v>
      </c>
    </row>
    <row r="1130" spans="1:5" ht="13" customHeight="1" x14ac:dyDescent="0.15">
      <c r="A1130" t="s">
        <v>989</v>
      </c>
    </row>
    <row r="1131" spans="1:5" ht="13" customHeight="1" x14ac:dyDescent="0.15">
      <c r="A1131" t="s">
        <v>1082</v>
      </c>
    </row>
    <row r="1132" spans="1:5" ht="13" customHeight="1" x14ac:dyDescent="0.15">
      <c r="A1132" t="s">
        <v>987</v>
      </c>
    </row>
    <row r="1133" spans="1:5" ht="13" customHeight="1" x14ac:dyDescent="0.15">
      <c r="A1133" t="s">
        <v>813</v>
      </c>
      <c r="B1133" t="s">
        <v>814</v>
      </c>
      <c r="C1133" t="s">
        <v>743</v>
      </c>
      <c r="D1133" t="s">
        <v>814</v>
      </c>
      <c r="E1133" t="s">
        <v>1102</v>
      </c>
    </row>
    <row r="1134" spans="1:5" ht="13" customHeight="1" x14ac:dyDescent="0.15">
      <c r="A1134" t="s">
        <v>813</v>
      </c>
      <c r="B1134" t="s">
        <v>814</v>
      </c>
      <c r="C1134" t="s">
        <v>744</v>
      </c>
      <c r="D1134" t="s">
        <v>814</v>
      </c>
      <c r="E1134" t="s">
        <v>1103</v>
      </c>
    </row>
    <row r="1135" spans="1:5" ht="13" customHeight="1" x14ac:dyDescent="0.15">
      <c r="A1135" t="s">
        <v>1083</v>
      </c>
    </row>
    <row r="1136" spans="1:5" ht="13" customHeight="1" x14ac:dyDescent="0.15">
      <c r="A1136" t="s">
        <v>988</v>
      </c>
    </row>
    <row r="1137" spans="1:5" ht="13" customHeight="1" x14ac:dyDescent="0.15">
      <c r="A1137" t="s">
        <v>815</v>
      </c>
      <c r="B1137" t="s">
        <v>814</v>
      </c>
      <c r="C1137" t="s">
        <v>743</v>
      </c>
      <c r="D1137" t="s">
        <v>814</v>
      </c>
      <c r="E1137" t="s">
        <v>1108</v>
      </c>
    </row>
    <row r="1138" spans="1:5" ht="13" customHeight="1" x14ac:dyDescent="0.15">
      <c r="A1138" t="s">
        <v>815</v>
      </c>
      <c r="B1138" t="s">
        <v>814</v>
      </c>
      <c r="C1138" t="s">
        <v>744</v>
      </c>
      <c r="D1138" t="s">
        <v>814</v>
      </c>
      <c r="E1138" t="s">
        <v>1109</v>
      </c>
    </row>
    <row r="1139" spans="1:5" ht="13" customHeight="1" x14ac:dyDescent="0.15">
      <c r="A1139" t="s">
        <v>990</v>
      </c>
    </row>
    <row r="1140" spans="1:5" ht="13" customHeight="1" x14ac:dyDescent="0.15">
      <c r="A1140" t="s">
        <v>1084</v>
      </c>
    </row>
    <row r="1141" spans="1:5" ht="13" customHeight="1" x14ac:dyDescent="0.15">
      <c r="A1141" t="s">
        <v>987</v>
      </c>
    </row>
    <row r="1142" spans="1:5" ht="13" customHeight="1" x14ac:dyDescent="0.15">
      <c r="A1142" t="s">
        <v>813</v>
      </c>
      <c r="B1142" t="s">
        <v>814</v>
      </c>
      <c r="C1142" t="s">
        <v>743</v>
      </c>
      <c r="D1142" t="s">
        <v>814</v>
      </c>
      <c r="E1142" t="s">
        <v>1102</v>
      </c>
    </row>
    <row r="1143" spans="1:5" ht="13" customHeight="1" x14ac:dyDescent="0.15">
      <c r="A1143" t="s">
        <v>813</v>
      </c>
      <c r="B1143" t="s">
        <v>814</v>
      </c>
      <c r="C1143" t="s">
        <v>744</v>
      </c>
      <c r="D1143" t="s">
        <v>814</v>
      </c>
      <c r="E1143" t="s">
        <v>1103</v>
      </c>
    </row>
    <row r="1144" spans="1:5" ht="13" customHeight="1" x14ac:dyDescent="0.15">
      <c r="A1144" t="s">
        <v>1085</v>
      </c>
    </row>
    <row r="1145" spans="1:5" ht="13" customHeight="1" x14ac:dyDescent="0.15">
      <c r="A1145" t="s">
        <v>988</v>
      </c>
    </row>
    <row r="1146" spans="1:5" ht="13" customHeight="1" x14ac:dyDescent="0.15">
      <c r="A1146" t="s">
        <v>815</v>
      </c>
      <c r="B1146" t="s">
        <v>814</v>
      </c>
      <c r="C1146" t="s">
        <v>743</v>
      </c>
      <c r="D1146" t="s">
        <v>814</v>
      </c>
      <c r="E1146" t="s">
        <v>1110</v>
      </c>
    </row>
    <row r="1147" spans="1:5" ht="13" customHeight="1" x14ac:dyDescent="0.15">
      <c r="A1147" t="s">
        <v>815</v>
      </c>
      <c r="B1147" t="s">
        <v>814</v>
      </c>
      <c r="C1147" t="s">
        <v>744</v>
      </c>
      <c r="D1147" t="s">
        <v>814</v>
      </c>
      <c r="E1147" t="s">
        <v>1111</v>
      </c>
    </row>
    <row r="1148" spans="1:5" ht="13" customHeight="1" x14ac:dyDescent="0.15">
      <c r="A1148" t="s">
        <v>991</v>
      </c>
    </row>
    <row r="1149" spans="1:5" ht="13" customHeight="1" x14ac:dyDescent="0.15">
      <c r="A1149" t="s">
        <v>1086</v>
      </c>
    </row>
    <row r="1150" spans="1:5" ht="13" customHeight="1" x14ac:dyDescent="0.15">
      <c r="A1150" t="s">
        <v>987</v>
      </c>
    </row>
    <row r="1151" spans="1:5" ht="13" customHeight="1" x14ac:dyDescent="0.15">
      <c r="A1151" t="s">
        <v>813</v>
      </c>
      <c r="B1151" t="s">
        <v>814</v>
      </c>
      <c r="C1151" t="s">
        <v>743</v>
      </c>
      <c r="D1151" t="s">
        <v>814</v>
      </c>
      <c r="E1151" t="s">
        <v>1102</v>
      </c>
    </row>
    <row r="1152" spans="1:5" ht="13" customHeight="1" x14ac:dyDescent="0.15">
      <c r="A1152" t="s">
        <v>813</v>
      </c>
      <c r="B1152" t="s">
        <v>814</v>
      </c>
      <c r="C1152" t="s">
        <v>744</v>
      </c>
      <c r="D1152" t="s">
        <v>814</v>
      </c>
      <c r="E1152" t="s">
        <v>1103</v>
      </c>
    </row>
    <row r="1153" spans="1:5" ht="13" customHeight="1" x14ac:dyDescent="0.15">
      <c r="A1153" t="s">
        <v>1087</v>
      </c>
    </row>
    <row r="1154" spans="1:5" ht="13" customHeight="1" x14ac:dyDescent="0.15">
      <c r="A1154" t="s">
        <v>988</v>
      </c>
    </row>
    <row r="1155" spans="1:5" ht="13" customHeight="1" x14ac:dyDescent="0.15">
      <c r="A1155" t="s">
        <v>815</v>
      </c>
      <c r="B1155" t="s">
        <v>814</v>
      </c>
      <c r="C1155" t="s">
        <v>743</v>
      </c>
      <c r="D1155" t="s">
        <v>814</v>
      </c>
      <c r="E1155" t="s">
        <v>1112</v>
      </c>
    </row>
    <row r="1156" spans="1:5" ht="13" customHeight="1" x14ac:dyDescent="0.15">
      <c r="A1156" t="s">
        <v>815</v>
      </c>
      <c r="B1156" t="s">
        <v>814</v>
      </c>
      <c r="C1156" t="s">
        <v>744</v>
      </c>
      <c r="D1156" t="s">
        <v>814</v>
      </c>
      <c r="E1156" t="s">
        <v>1113</v>
      </c>
    </row>
    <row r="1157" spans="1:5" ht="13" customHeight="1" x14ac:dyDescent="0.15">
      <c r="A1157" t="s">
        <v>992</v>
      </c>
    </row>
    <row r="1158" spans="1:5" ht="13" customHeight="1" x14ac:dyDescent="0.15">
      <c r="A1158" t="s">
        <v>1088</v>
      </c>
    </row>
    <row r="1159" spans="1:5" ht="13" customHeight="1" x14ac:dyDescent="0.15">
      <c r="A1159" t="s">
        <v>987</v>
      </c>
    </row>
    <row r="1160" spans="1:5" ht="13" customHeight="1" x14ac:dyDescent="0.15">
      <c r="A1160" t="s">
        <v>813</v>
      </c>
      <c r="B1160" t="s">
        <v>814</v>
      </c>
      <c r="C1160" t="s">
        <v>743</v>
      </c>
      <c r="D1160" t="s">
        <v>814</v>
      </c>
      <c r="E1160" t="s">
        <v>1102</v>
      </c>
    </row>
    <row r="1161" spans="1:5" ht="13" customHeight="1" x14ac:dyDescent="0.15">
      <c r="A1161" t="s">
        <v>813</v>
      </c>
      <c r="B1161" t="s">
        <v>814</v>
      </c>
      <c r="C1161" t="s">
        <v>744</v>
      </c>
      <c r="D1161" t="s">
        <v>814</v>
      </c>
      <c r="E1161" t="s">
        <v>1103</v>
      </c>
    </row>
    <row r="1162" spans="1:5" ht="13" customHeight="1" x14ac:dyDescent="0.15">
      <c r="A1162" t="s">
        <v>1089</v>
      </c>
    </row>
    <row r="1163" spans="1:5" ht="13" customHeight="1" x14ac:dyDescent="0.15">
      <c r="A1163" t="s">
        <v>988</v>
      </c>
    </row>
    <row r="1164" spans="1:5" ht="13" customHeight="1" x14ac:dyDescent="0.15">
      <c r="A1164" t="s">
        <v>815</v>
      </c>
      <c r="B1164" t="s">
        <v>814</v>
      </c>
      <c r="C1164" t="s">
        <v>743</v>
      </c>
      <c r="D1164" t="s">
        <v>814</v>
      </c>
      <c r="E1164" t="s">
        <v>1114</v>
      </c>
    </row>
    <row r="1165" spans="1:5" ht="13" customHeight="1" x14ac:dyDescent="0.15">
      <c r="A1165" t="s">
        <v>815</v>
      </c>
      <c r="B1165" t="s">
        <v>814</v>
      </c>
      <c r="C1165" t="s">
        <v>744</v>
      </c>
      <c r="D1165" t="s">
        <v>814</v>
      </c>
      <c r="E1165" t="s">
        <v>1115</v>
      </c>
    </row>
    <row r="1166" spans="1:5" ht="13" customHeight="1" x14ac:dyDescent="0.15">
      <c r="A1166" t="s">
        <v>993</v>
      </c>
    </row>
    <row r="1167" spans="1:5" ht="13" customHeight="1" x14ac:dyDescent="0.15">
      <c r="A1167" t="s">
        <v>1090</v>
      </c>
    </row>
    <row r="1168" spans="1:5" ht="13" customHeight="1" x14ac:dyDescent="0.15">
      <c r="A1168" t="s">
        <v>987</v>
      </c>
    </row>
    <row r="1169" spans="1:5" ht="13" customHeight="1" x14ac:dyDescent="0.15">
      <c r="A1169" t="s">
        <v>813</v>
      </c>
      <c r="B1169" t="s">
        <v>814</v>
      </c>
      <c r="C1169" t="s">
        <v>743</v>
      </c>
      <c r="D1169" t="s">
        <v>814</v>
      </c>
      <c r="E1169" t="s">
        <v>1102</v>
      </c>
    </row>
    <row r="1170" spans="1:5" ht="13" customHeight="1" x14ac:dyDescent="0.15">
      <c r="A1170" t="s">
        <v>813</v>
      </c>
      <c r="B1170" t="s">
        <v>814</v>
      </c>
      <c r="C1170" t="s">
        <v>744</v>
      </c>
      <c r="D1170" t="s">
        <v>814</v>
      </c>
      <c r="E1170" t="s">
        <v>1103</v>
      </c>
    </row>
    <row r="1171" spans="1:5" ht="13" customHeight="1" x14ac:dyDescent="0.15">
      <c r="A1171" t="s">
        <v>1091</v>
      </c>
    </row>
    <row r="1172" spans="1:5" ht="13" customHeight="1" x14ac:dyDescent="0.15">
      <c r="A1172" t="s">
        <v>988</v>
      </c>
    </row>
    <row r="1173" spans="1:5" ht="13" customHeight="1" x14ac:dyDescent="0.15">
      <c r="A1173" t="s">
        <v>815</v>
      </c>
      <c r="B1173" t="s">
        <v>814</v>
      </c>
      <c r="C1173" t="s">
        <v>743</v>
      </c>
      <c r="D1173" t="s">
        <v>814</v>
      </c>
      <c r="E1173" t="s">
        <v>1116</v>
      </c>
    </row>
    <row r="1174" spans="1:5" ht="13" customHeight="1" x14ac:dyDescent="0.15">
      <c r="A1174" t="s">
        <v>815</v>
      </c>
      <c r="B1174" t="s">
        <v>814</v>
      </c>
      <c r="C1174" t="s">
        <v>744</v>
      </c>
      <c r="D1174" t="s">
        <v>814</v>
      </c>
      <c r="E1174" t="s">
        <v>1117</v>
      </c>
    </row>
    <row r="1175" spans="1:5" ht="13" customHeight="1" x14ac:dyDescent="0.15">
      <c r="A1175" t="s">
        <v>994</v>
      </c>
    </row>
    <row r="1176" spans="1:5" ht="13" customHeight="1" x14ac:dyDescent="0.15">
      <c r="A1176" t="s">
        <v>1092</v>
      </c>
    </row>
    <row r="1177" spans="1:5" ht="13" customHeight="1" x14ac:dyDescent="0.15">
      <c r="A1177" t="s">
        <v>987</v>
      </c>
    </row>
    <row r="1178" spans="1:5" ht="13" customHeight="1" x14ac:dyDescent="0.15">
      <c r="A1178" t="s">
        <v>813</v>
      </c>
      <c r="B1178" t="s">
        <v>814</v>
      </c>
      <c r="C1178" t="s">
        <v>743</v>
      </c>
      <c r="D1178" t="s">
        <v>814</v>
      </c>
      <c r="E1178" t="s">
        <v>1102</v>
      </c>
    </row>
    <row r="1179" spans="1:5" ht="13" customHeight="1" x14ac:dyDescent="0.15">
      <c r="A1179" t="s">
        <v>813</v>
      </c>
      <c r="B1179" t="s">
        <v>814</v>
      </c>
      <c r="C1179" t="s">
        <v>744</v>
      </c>
      <c r="D1179" t="s">
        <v>814</v>
      </c>
      <c r="E1179" t="s">
        <v>1103</v>
      </c>
    </row>
    <row r="1180" spans="1:5" ht="13" customHeight="1" x14ac:dyDescent="0.15">
      <c r="A1180" t="s">
        <v>1093</v>
      </c>
    </row>
    <row r="1181" spans="1:5" ht="13" customHeight="1" x14ac:dyDescent="0.15">
      <c r="A1181" t="s">
        <v>988</v>
      </c>
    </row>
    <row r="1182" spans="1:5" ht="13" customHeight="1" x14ac:dyDescent="0.15">
      <c r="A1182" t="s">
        <v>815</v>
      </c>
      <c r="B1182" t="s">
        <v>814</v>
      </c>
      <c r="C1182" t="s">
        <v>743</v>
      </c>
      <c r="D1182" t="s">
        <v>814</v>
      </c>
      <c r="E1182" t="s">
        <v>1118</v>
      </c>
    </row>
    <row r="1183" spans="1:5" ht="13" customHeight="1" x14ac:dyDescent="0.15">
      <c r="A1183" t="s">
        <v>815</v>
      </c>
      <c r="B1183" t="s">
        <v>814</v>
      </c>
      <c r="C1183" t="s">
        <v>744</v>
      </c>
      <c r="D1183" t="s">
        <v>814</v>
      </c>
      <c r="E1183" t="s">
        <v>1119</v>
      </c>
    </row>
    <row r="1184" spans="1:5" ht="13" customHeight="1" x14ac:dyDescent="0.15">
      <c r="A1184" t="s">
        <v>995</v>
      </c>
    </row>
    <row r="1185" spans="1:5" ht="13" customHeight="1" x14ac:dyDescent="0.15">
      <c r="A1185" t="s">
        <v>1094</v>
      </c>
    </row>
    <row r="1186" spans="1:5" ht="13" customHeight="1" x14ac:dyDescent="0.15">
      <c r="A1186" t="s">
        <v>987</v>
      </c>
    </row>
    <row r="1187" spans="1:5" ht="13" customHeight="1" x14ac:dyDescent="0.15">
      <c r="A1187" t="s">
        <v>813</v>
      </c>
      <c r="B1187" t="s">
        <v>814</v>
      </c>
      <c r="C1187" t="s">
        <v>743</v>
      </c>
      <c r="D1187" t="s">
        <v>814</v>
      </c>
      <c r="E1187" t="s">
        <v>1102</v>
      </c>
    </row>
    <row r="1188" spans="1:5" ht="13" customHeight="1" x14ac:dyDescent="0.15">
      <c r="A1188" t="s">
        <v>813</v>
      </c>
      <c r="B1188" t="s">
        <v>814</v>
      </c>
      <c r="C1188" t="s">
        <v>744</v>
      </c>
      <c r="D1188" t="s">
        <v>814</v>
      </c>
      <c r="E1188" t="s">
        <v>1103</v>
      </c>
    </row>
    <row r="1189" spans="1:5" ht="13" customHeight="1" x14ac:dyDescent="0.15">
      <c r="A1189" t="s">
        <v>1095</v>
      </c>
    </row>
    <row r="1190" spans="1:5" ht="13" customHeight="1" x14ac:dyDescent="0.15">
      <c r="A1190" t="s">
        <v>988</v>
      </c>
    </row>
    <row r="1191" spans="1:5" ht="13" customHeight="1" x14ac:dyDescent="0.15">
      <c r="A1191" t="s">
        <v>815</v>
      </c>
      <c r="B1191" t="s">
        <v>814</v>
      </c>
      <c r="C1191" t="s">
        <v>743</v>
      </c>
      <c r="D1191" t="s">
        <v>814</v>
      </c>
      <c r="E1191" t="s">
        <v>1120</v>
      </c>
    </row>
    <row r="1192" spans="1:5" ht="13" customHeight="1" x14ac:dyDescent="0.15">
      <c r="A1192" t="s">
        <v>815</v>
      </c>
      <c r="B1192" t="s">
        <v>814</v>
      </c>
      <c r="C1192" t="s">
        <v>744</v>
      </c>
      <c r="D1192" t="s">
        <v>814</v>
      </c>
      <c r="E1192" t="s">
        <v>1121</v>
      </c>
    </row>
    <row r="1193" spans="1:5" ht="13" customHeight="1" x14ac:dyDescent="0.15">
      <c r="A1193" t="s">
        <v>996</v>
      </c>
    </row>
    <row r="1194" spans="1:5" ht="13" customHeight="1" x14ac:dyDescent="0.15">
      <c r="A1194" t="s">
        <v>1096</v>
      </c>
    </row>
    <row r="1195" spans="1:5" ht="13" customHeight="1" x14ac:dyDescent="0.15">
      <c r="A1195" t="s">
        <v>987</v>
      </c>
    </row>
    <row r="1196" spans="1:5" ht="13" customHeight="1" x14ac:dyDescent="0.15">
      <c r="A1196" t="s">
        <v>813</v>
      </c>
      <c r="B1196" t="s">
        <v>814</v>
      </c>
      <c r="C1196" t="s">
        <v>743</v>
      </c>
      <c r="D1196" t="s">
        <v>814</v>
      </c>
      <c r="E1196" t="s">
        <v>1102</v>
      </c>
    </row>
    <row r="1197" spans="1:5" ht="13" customHeight="1" x14ac:dyDescent="0.15">
      <c r="A1197" t="s">
        <v>813</v>
      </c>
      <c r="B1197" t="s">
        <v>814</v>
      </c>
      <c r="C1197" t="s">
        <v>744</v>
      </c>
      <c r="D1197" t="s">
        <v>814</v>
      </c>
      <c r="E1197" t="s">
        <v>1103</v>
      </c>
    </row>
    <row r="1198" spans="1:5" ht="13" customHeight="1" x14ac:dyDescent="0.15">
      <c r="A1198" t="s">
        <v>1097</v>
      </c>
    </row>
    <row r="1199" spans="1:5" ht="13" customHeight="1" x14ac:dyDescent="0.15">
      <c r="A1199" t="s">
        <v>988</v>
      </c>
    </row>
    <row r="1200" spans="1:5" ht="13" customHeight="1" x14ac:dyDescent="0.15">
      <c r="A1200" t="s">
        <v>815</v>
      </c>
      <c r="B1200" t="s">
        <v>814</v>
      </c>
      <c r="C1200" t="s">
        <v>743</v>
      </c>
      <c r="D1200" t="s">
        <v>814</v>
      </c>
      <c r="E1200" t="s">
        <v>1122</v>
      </c>
    </row>
    <row r="1201" spans="1:10" ht="13" customHeight="1" x14ac:dyDescent="0.15">
      <c r="A1201" t="s">
        <v>815</v>
      </c>
      <c r="B1201" t="s">
        <v>814</v>
      </c>
      <c r="C1201" t="s">
        <v>744</v>
      </c>
      <c r="D1201" t="s">
        <v>814</v>
      </c>
      <c r="E1201" t="s">
        <v>1123</v>
      </c>
    </row>
    <row r="1203" spans="1:10" ht="13" customHeight="1" x14ac:dyDescent="0.15">
      <c r="A1203" t="s">
        <v>208</v>
      </c>
      <c r="B1203" t="s">
        <v>271</v>
      </c>
      <c r="C1203" t="s">
        <v>173</v>
      </c>
      <c r="D1203">
        <v>2015</v>
      </c>
      <c r="E1203" t="s">
        <v>714</v>
      </c>
      <c r="F1203" t="s">
        <v>715</v>
      </c>
      <c r="G1203" t="s">
        <v>716</v>
      </c>
      <c r="H1203" t="s">
        <v>717</v>
      </c>
      <c r="I1203" t="s">
        <v>718</v>
      </c>
    </row>
    <row r="1204" spans="1:10" ht="13" customHeight="1" x14ac:dyDescent="0.15">
      <c r="A1204">
        <v>2015</v>
      </c>
      <c r="B1204">
        <v>0.61190999999999995</v>
      </c>
      <c r="C1204">
        <v>0.125137</v>
      </c>
    </row>
    <row r="1205" spans="1:10" ht="13" customHeight="1" x14ac:dyDescent="0.15">
      <c r="A1205">
        <v>2016</v>
      </c>
      <c r="B1205">
        <v>0.63865499999999997</v>
      </c>
      <c r="C1205">
        <v>0.13305400000000001</v>
      </c>
    </row>
    <row r="1206" spans="1:10" ht="13" customHeight="1" x14ac:dyDescent="0.15">
      <c r="A1206">
        <v>2016</v>
      </c>
      <c r="B1206">
        <v>0.63553199999999999</v>
      </c>
      <c r="C1206">
        <v>0.132629</v>
      </c>
    </row>
    <row r="1207" spans="1:10" ht="13" customHeight="1" x14ac:dyDescent="0.15">
      <c r="A1207">
        <v>2015</v>
      </c>
      <c r="B1207">
        <v>0.49622899999999998</v>
      </c>
      <c r="C1207">
        <v>4.7994299999999997E-2</v>
      </c>
    </row>
    <row r="1208" spans="1:10" ht="13" customHeight="1" x14ac:dyDescent="0.15">
      <c r="A1208">
        <v>2016</v>
      </c>
      <c r="B1208">
        <v>0.51791699999999996</v>
      </c>
      <c r="C1208">
        <v>5.29122E-2</v>
      </c>
    </row>
    <row r="1209" spans="1:10" ht="13" customHeight="1" x14ac:dyDescent="0.15">
      <c r="A1209">
        <v>2016</v>
      </c>
      <c r="B1209">
        <v>0.51538399999999995</v>
      </c>
      <c r="C1209">
        <v>5.2989099999999997E-2</v>
      </c>
    </row>
    <row r="1210" spans="1:10" ht="13" customHeight="1" x14ac:dyDescent="0.15">
      <c r="B1210" t="s">
        <v>719</v>
      </c>
      <c r="C1210" t="s">
        <v>156</v>
      </c>
      <c r="D1210" t="s">
        <v>720</v>
      </c>
      <c r="E1210" s="23">
        <v>0.05</v>
      </c>
      <c r="F1210" t="s">
        <v>721</v>
      </c>
      <c r="G1210" t="s">
        <v>722</v>
      </c>
      <c r="H1210" t="s">
        <v>723</v>
      </c>
      <c r="I1210" t="s">
        <v>724</v>
      </c>
      <c r="J1210" t="s">
        <v>725</v>
      </c>
    </row>
    <row r="1211" spans="1:10" ht="13" customHeight="1" x14ac:dyDescent="0.15">
      <c r="A1211" t="s">
        <v>726</v>
      </c>
      <c r="B1211">
        <v>2989.12</v>
      </c>
    </row>
    <row r="1212" spans="1:10" ht="13" customHeight="1" x14ac:dyDescent="0.15">
      <c r="A1212" t="s">
        <v>727</v>
      </c>
      <c r="B1212">
        <v>3049.82</v>
      </c>
    </row>
    <row r="1213" spans="1:10" ht="13" customHeight="1" x14ac:dyDescent="0.15">
      <c r="A1213" t="s">
        <v>728</v>
      </c>
      <c r="B1213">
        <v>3110.51</v>
      </c>
    </row>
    <row r="1214" spans="1:10" ht="13" customHeight="1" x14ac:dyDescent="0.15">
      <c r="A1214" t="s">
        <v>650</v>
      </c>
      <c r="B1214" t="s">
        <v>729</v>
      </c>
      <c r="C1214" t="s">
        <v>730</v>
      </c>
      <c r="D1214" t="s">
        <v>731</v>
      </c>
    </row>
    <row r="1215" spans="1:10" ht="13" customHeight="1" x14ac:dyDescent="0.15">
      <c r="A1215" t="s">
        <v>726</v>
      </c>
      <c r="B1215">
        <v>2989.12</v>
      </c>
    </row>
    <row r="1216" spans="1:10" ht="13" customHeight="1" x14ac:dyDescent="0.15">
      <c r="A1216" t="s">
        <v>727</v>
      </c>
      <c r="B1216">
        <v>3049.82</v>
      </c>
    </row>
    <row r="1217" spans="1:18" ht="13" customHeight="1" x14ac:dyDescent="0.15">
      <c r="A1217" t="s">
        <v>728</v>
      </c>
      <c r="B1217">
        <v>3110.51</v>
      </c>
    </row>
    <row r="1218" spans="1:18" ht="13" customHeight="1" x14ac:dyDescent="0.15">
      <c r="A1218" t="s">
        <v>732</v>
      </c>
      <c r="B1218" t="s">
        <v>733</v>
      </c>
      <c r="C1218" t="s">
        <v>734</v>
      </c>
    </row>
    <row r="1219" spans="1:18" ht="13" customHeight="1" x14ac:dyDescent="0.15">
      <c r="A1219">
        <v>1637</v>
      </c>
      <c r="B1219">
        <v>7703.71</v>
      </c>
      <c r="C1219">
        <v>7607.7</v>
      </c>
    </row>
    <row r="1220" spans="1:18" ht="13" customHeight="1" x14ac:dyDescent="0.15">
      <c r="A1220">
        <v>1554</v>
      </c>
      <c r="B1220">
        <v>7703.71</v>
      </c>
      <c r="C1220">
        <v>7607.7</v>
      </c>
    </row>
    <row r="1221" spans="1:18" ht="13" customHeight="1" x14ac:dyDescent="0.15">
      <c r="A1221">
        <v>1001.77</v>
      </c>
      <c r="B1221">
        <v>7703.71</v>
      </c>
      <c r="C1221">
        <v>7607.7</v>
      </c>
    </row>
    <row r="1222" spans="1:18" ht="13" customHeight="1" x14ac:dyDescent="0.15">
      <c r="A1222">
        <v>951.68600000000004</v>
      </c>
      <c r="B1222">
        <v>7703.71</v>
      </c>
      <c r="C1222">
        <v>7607.7</v>
      </c>
    </row>
    <row r="1223" spans="1:18" ht="13" customHeight="1" x14ac:dyDescent="0.15">
      <c r="A1223">
        <v>904.10199999999998</v>
      </c>
      <c r="B1223">
        <v>7703.71</v>
      </c>
      <c r="C1223">
        <v>7607.7</v>
      </c>
    </row>
    <row r="1224" spans="1:18" ht="13" customHeight="1" x14ac:dyDescent="0.15">
      <c r="A1224">
        <v>858.89700000000005</v>
      </c>
      <c r="B1224">
        <v>7703.71</v>
      </c>
      <c r="C1224">
        <v>7607.7</v>
      </c>
    </row>
    <row r="1225" spans="1:18" ht="13" customHeight="1" x14ac:dyDescent="0.15">
      <c r="A1225">
        <v>815.952</v>
      </c>
      <c r="B1225">
        <v>7703.71</v>
      </c>
      <c r="C1225">
        <v>7607.7</v>
      </c>
    </row>
    <row r="1226" spans="1:18" ht="13" customHeight="1" x14ac:dyDescent="0.15">
      <c r="A1226">
        <v>775.154</v>
      </c>
      <c r="B1226">
        <v>7703.71</v>
      </c>
      <c r="C1226">
        <v>7607.7</v>
      </c>
    </row>
    <row r="1227" spans="1:18" ht="13" customHeight="1" x14ac:dyDescent="0.15">
      <c r="A1227">
        <v>736.39700000000005</v>
      </c>
      <c r="B1227">
        <v>7703.71</v>
      </c>
      <c r="C1227">
        <v>7607.7</v>
      </c>
    </row>
    <row r="1228" spans="1:18" ht="13" customHeight="1" x14ac:dyDescent="0.15">
      <c r="A1228">
        <v>699.577</v>
      </c>
      <c r="B1228">
        <v>7703.71</v>
      </c>
      <c r="C1228">
        <v>7607.7</v>
      </c>
    </row>
    <row r="1229" spans="1:18" ht="13" customHeight="1" x14ac:dyDescent="0.15">
      <c r="B1229" t="s">
        <v>735</v>
      </c>
      <c r="C1229" t="s">
        <v>736</v>
      </c>
      <c r="D1229" t="s">
        <v>737</v>
      </c>
      <c r="E1229" t="s">
        <v>161</v>
      </c>
      <c r="F1229" t="s">
        <v>738</v>
      </c>
      <c r="G1229" t="s">
        <v>739</v>
      </c>
      <c r="H1229" t="s">
        <v>740</v>
      </c>
      <c r="I1229" t="s">
        <v>159</v>
      </c>
      <c r="J1229" t="s">
        <v>741</v>
      </c>
    </row>
    <row r="1230" spans="1:18" ht="13" customHeight="1" x14ac:dyDescent="0.15">
      <c r="A1230" t="s">
        <v>742</v>
      </c>
      <c r="B1230" t="s">
        <v>743</v>
      </c>
      <c r="C1230" t="s">
        <v>744</v>
      </c>
    </row>
    <row r="1231" spans="1:18" ht="13" customHeight="1" x14ac:dyDescent="0.15">
      <c r="A1231">
        <v>0</v>
      </c>
      <c r="B1231">
        <v>0.40088600000000002</v>
      </c>
      <c r="C1231">
        <v>0.51374399999999998</v>
      </c>
      <c r="D1231" s="1">
        <v>2.38964E-5</v>
      </c>
      <c r="E1231">
        <v>9.8445100000000008E-3</v>
      </c>
      <c r="F1231">
        <v>5.8698800000000002E-2</v>
      </c>
      <c r="G1231">
        <v>0.34285500000000002</v>
      </c>
      <c r="H1231">
        <v>0.75562300000000004</v>
      </c>
      <c r="I1231">
        <v>1</v>
      </c>
      <c r="J1231">
        <v>1.1939500000000001</v>
      </c>
      <c r="K1231">
        <v>1.25742</v>
      </c>
      <c r="L1231">
        <v>1.34945</v>
      </c>
      <c r="M1231">
        <v>1.3239000000000001</v>
      </c>
      <c r="N1231">
        <v>1.3239000000000001</v>
      </c>
      <c r="O1231">
        <v>1.3239000000000001</v>
      </c>
      <c r="P1231">
        <v>1.3239000000000001</v>
      </c>
      <c r="Q1231">
        <v>1.3239000000000001</v>
      </c>
      <c r="R1231">
        <v>1.3239000000000001</v>
      </c>
    </row>
    <row r="1232" spans="1:18" ht="13" customHeight="1" x14ac:dyDescent="0.15">
      <c r="A1232">
        <v>-0.5</v>
      </c>
      <c r="B1232">
        <v>0.300317</v>
      </c>
      <c r="C1232">
        <v>0.38486300000000001</v>
      </c>
      <c r="D1232">
        <v>4.9341999999999997E-3</v>
      </c>
      <c r="E1232">
        <v>3.4271700000000002E-2</v>
      </c>
      <c r="F1232">
        <v>0.20077700000000001</v>
      </c>
      <c r="G1232">
        <v>0.54923900000000003</v>
      </c>
      <c r="H1232">
        <v>0.87781200000000004</v>
      </c>
      <c r="I1232">
        <v>1.09697</v>
      </c>
      <c r="J1232">
        <v>1.2256800000000001</v>
      </c>
      <c r="K1232">
        <v>1.3034300000000001</v>
      </c>
      <c r="L1232">
        <v>1.3366800000000001</v>
      </c>
      <c r="M1232">
        <v>1.3239000000000001</v>
      </c>
      <c r="N1232">
        <v>1.3239000000000001</v>
      </c>
      <c r="O1232">
        <v>1.3239000000000001</v>
      </c>
      <c r="P1232">
        <v>1.3239000000000001</v>
      </c>
      <c r="Q1232">
        <v>1.3239000000000001</v>
      </c>
      <c r="R1232">
        <v>1.3239000000000001</v>
      </c>
    </row>
    <row r="1233" spans="1:18" ht="13" customHeight="1" x14ac:dyDescent="0.15">
      <c r="A1233">
        <v>-1</v>
      </c>
      <c r="B1233">
        <v>0.245504</v>
      </c>
      <c r="C1233">
        <v>0.31461899999999998</v>
      </c>
      <c r="D1233">
        <v>9.8445100000000008E-3</v>
      </c>
      <c r="E1233">
        <v>5.8698800000000002E-2</v>
      </c>
      <c r="F1233">
        <v>0.34285500000000002</v>
      </c>
      <c r="G1233">
        <v>0.75562300000000004</v>
      </c>
      <c r="H1233">
        <v>1</v>
      </c>
      <c r="I1233">
        <v>1.1939500000000001</v>
      </c>
      <c r="J1233">
        <v>1.25742</v>
      </c>
      <c r="K1233">
        <v>1.34945</v>
      </c>
      <c r="L1233">
        <v>1.3239000000000001</v>
      </c>
      <c r="M1233">
        <v>1.3239000000000001</v>
      </c>
      <c r="N1233">
        <v>1.3239000000000001</v>
      </c>
      <c r="O1233">
        <v>1.3239000000000001</v>
      </c>
      <c r="P1233">
        <v>1.3239000000000001</v>
      </c>
      <c r="Q1233">
        <v>1.3239000000000001</v>
      </c>
      <c r="R1233">
        <v>1.3239000000000001</v>
      </c>
    </row>
    <row r="1234" spans="1:18" ht="13" customHeight="1" x14ac:dyDescent="0.15">
      <c r="A1234">
        <v>1</v>
      </c>
      <c r="B1234">
        <v>0.83058500000000002</v>
      </c>
      <c r="C1234">
        <v>1.0644100000000001</v>
      </c>
      <c r="D1234" s="1">
        <v>2.38964E-5</v>
      </c>
      <c r="E1234" s="1">
        <v>2.38964E-5</v>
      </c>
      <c r="F1234">
        <v>9.8445100000000008E-3</v>
      </c>
      <c r="G1234">
        <v>5.8698800000000002E-2</v>
      </c>
      <c r="H1234">
        <v>0.34285500000000002</v>
      </c>
      <c r="I1234">
        <v>0.75562300000000004</v>
      </c>
      <c r="J1234">
        <v>1</v>
      </c>
      <c r="K1234">
        <v>1.1939500000000001</v>
      </c>
      <c r="L1234">
        <v>1.25742</v>
      </c>
      <c r="M1234">
        <v>1.34945</v>
      </c>
      <c r="N1234">
        <v>1.3239000000000001</v>
      </c>
      <c r="O1234">
        <v>1.3239000000000001</v>
      </c>
      <c r="P1234">
        <v>1.3239000000000001</v>
      </c>
      <c r="Q1234">
        <v>1.3239000000000001</v>
      </c>
      <c r="R1234">
        <v>1.3239000000000001</v>
      </c>
    </row>
    <row r="1235" spans="1:18" ht="13" customHeight="1" x14ac:dyDescent="0.15">
      <c r="A1235">
        <v>0.5</v>
      </c>
      <c r="B1235">
        <v>0.53620800000000002</v>
      </c>
      <c r="C1235">
        <v>0.68716299999999997</v>
      </c>
      <c r="D1235" s="1">
        <v>2.38964E-5</v>
      </c>
      <c r="E1235">
        <v>4.9341999999999997E-3</v>
      </c>
      <c r="F1235">
        <v>3.4271700000000002E-2</v>
      </c>
      <c r="G1235">
        <v>0.20077700000000001</v>
      </c>
      <c r="H1235">
        <v>0.54923900000000003</v>
      </c>
      <c r="I1235">
        <v>0.87781200000000004</v>
      </c>
      <c r="J1235">
        <v>1.09697</v>
      </c>
      <c r="K1235">
        <v>1.2256800000000001</v>
      </c>
      <c r="L1235">
        <v>1.3034300000000001</v>
      </c>
      <c r="M1235">
        <v>1.3366800000000001</v>
      </c>
      <c r="N1235">
        <v>1.3239000000000001</v>
      </c>
      <c r="O1235">
        <v>1.3239000000000001</v>
      </c>
      <c r="P1235">
        <v>1.3239000000000001</v>
      </c>
      <c r="Q1235">
        <v>1.3239000000000001</v>
      </c>
      <c r="R1235">
        <v>1.3239000000000001</v>
      </c>
    </row>
  </sheetData>
  <phoneticPr fontId="7" type="noConversion"/>
  <conditionalFormatting sqref="D239:D276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B858:P86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1:P169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headerFooter alignWithMargins="0">
    <oddHeader>&amp;A</oddHeader>
    <oddFooter>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67"/>
  <sheetViews>
    <sheetView topLeftCell="AK1133" workbookViewId="0">
      <selection activeCell="BA1167" sqref="A1:BA1167"/>
    </sheetView>
  </sheetViews>
  <sheetFormatPr baseColWidth="10" defaultColWidth="8.83203125" defaultRowHeight="13" x14ac:dyDescent="0.15"/>
  <sheetData>
    <row r="1" spans="1:53" x14ac:dyDescent="0.15">
      <c r="A1" t="s">
        <v>1036</v>
      </c>
      <c r="B1" t="s">
        <v>1037</v>
      </c>
      <c r="C1">
        <v>1.04989</v>
      </c>
      <c r="D1">
        <v>0.33318900000000001</v>
      </c>
      <c r="E1">
        <v>0.50042600000000004</v>
      </c>
      <c r="F1">
        <v>1.1431800000000001</v>
      </c>
      <c r="G1">
        <v>4.5928999999999998E-2</v>
      </c>
      <c r="H1">
        <v>0.60696899999999998</v>
      </c>
      <c r="I1" t="s">
        <v>20</v>
      </c>
      <c r="J1" t="s">
        <v>156</v>
      </c>
      <c r="K1" t="s">
        <v>21</v>
      </c>
    </row>
    <row r="2" spans="1:53" x14ac:dyDescent="0.15">
      <c r="A2" t="s">
        <v>154</v>
      </c>
      <c r="B2" t="s">
        <v>155</v>
      </c>
      <c r="C2" t="s">
        <v>156</v>
      </c>
      <c r="D2" t="s">
        <v>128</v>
      </c>
    </row>
    <row r="3" spans="1:53" x14ac:dyDescent="0.15">
      <c r="B3">
        <v>175.392</v>
      </c>
      <c r="C3">
        <v>231.28</v>
      </c>
      <c r="D3">
        <v>262.76100000000002</v>
      </c>
      <c r="E3">
        <v>551.46600000000001</v>
      </c>
      <c r="F3">
        <v>704.16899999999998</v>
      </c>
      <c r="G3">
        <v>866.08199999999999</v>
      </c>
      <c r="H3">
        <v>1257.28</v>
      </c>
      <c r="I3">
        <v>1732.99</v>
      </c>
      <c r="J3">
        <v>1860.77</v>
      </c>
      <c r="K3">
        <v>1747.62</v>
      </c>
      <c r="L3">
        <v>1584.37</v>
      </c>
      <c r="M3">
        <v>1356.8</v>
      </c>
      <c r="N3">
        <v>1180.25</v>
      </c>
      <c r="O3">
        <v>980.22400000000005</v>
      </c>
      <c r="P3">
        <v>980.572</v>
      </c>
      <c r="Q3">
        <v>936.58799999999997</v>
      </c>
      <c r="R3">
        <v>960.62300000000005</v>
      </c>
      <c r="S3">
        <v>977.11900000000003</v>
      </c>
      <c r="T3">
        <v>959.32100000000003</v>
      </c>
      <c r="U3">
        <v>985.51300000000003</v>
      </c>
      <c r="V3">
        <v>1097.49</v>
      </c>
      <c r="W3">
        <v>1144.24</v>
      </c>
      <c r="X3">
        <v>1144.3699999999999</v>
      </c>
      <c r="Y3">
        <v>862.10799999999995</v>
      </c>
      <c r="Z3">
        <v>1229.8599999999999</v>
      </c>
      <c r="AA3">
        <v>1229.99</v>
      </c>
      <c r="AB3">
        <v>1455.53</v>
      </c>
      <c r="AC3">
        <v>1202.3800000000001</v>
      </c>
      <c r="AD3">
        <v>1402.24</v>
      </c>
      <c r="AE3">
        <v>1333.54</v>
      </c>
      <c r="AF3">
        <v>1331.23</v>
      </c>
      <c r="AG3">
        <v>1278.81</v>
      </c>
      <c r="AH3">
        <v>1218.99</v>
      </c>
      <c r="AI3">
        <v>1132.99</v>
      </c>
      <c r="AJ3">
        <v>1087.1099999999999</v>
      </c>
      <c r="AK3">
        <v>969.65899999999999</v>
      </c>
      <c r="AL3">
        <v>1108.31</v>
      </c>
      <c r="AM3">
        <v>1375.64</v>
      </c>
      <c r="AN3">
        <v>1490.1</v>
      </c>
      <c r="AO3">
        <v>1496.97</v>
      </c>
      <c r="AP3">
        <v>1485.84</v>
      </c>
      <c r="AQ3">
        <v>1502.18</v>
      </c>
      <c r="AR3">
        <v>1494.51</v>
      </c>
      <c r="AS3">
        <v>1335.61</v>
      </c>
      <c r="AT3">
        <v>978.73599999999999</v>
      </c>
      <c r="AU3">
        <v>802.09799999999996</v>
      </c>
      <c r="AV3">
        <v>803.38300000000004</v>
      </c>
      <c r="AW3">
        <v>1202.72</v>
      </c>
      <c r="AX3">
        <v>1206.73</v>
      </c>
      <c r="AY3">
        <v>1253.6400000000001</v>
      </c>
      <c r="AZ3">
        <v>1284.8699999999999</v>
      </c>
      <c r="BA3">
        <v>3.3528899999999999</v>
      </c>
    </row>
    <row r="4" spans="1:53" x14ac:dyDescent="0.15">
      <c r="B4">
        <v>174.792</v>
      </c>
      <c r="C4">
        <v>230.55099999999999</v>
      </c>
      <c r="D4">
        <v>261.678</v>
      </c>
      <c r="E4">
        <v>550.36199999999997</v>
      </c>
      <c r="F4">
        <v>702.18100000000004</v>
      </c>
      <c r="G4">
        <v>862.78899999999999</v>
      </c>
      <c r="H4">
        <v>1256.57</v>
      </c>
      <c r="I4">
        <v>1743.76</v>
      </c>
      <c r="J4">
        <v>1874.53</v>
      </c>
      <c r="K4">
        <v>1758.92</v>
      </c>
      <c r="L4">
        <v>1588.39</v>
      </c>
      <c r="M4">
        <v>1356.74</v>
      </c>
      <c r="N4">
        <v>1177.82</v>
      </c>
      <c r="O4">
        <v>978.37</v>
      </c>
      <c r="P4">
        <v>979.43100000000004</v>
      </c>
      <c r="Q4">
        <v>935.71400000000006</v>
      </c>
      <c r="R4">
        <v>958.28</v>
      </c>
      <c r="S4">
        <v>973.50199999999995</v>
      </c>
      <c r="T4">
        <v>955.96400000000006</v>
      </c>
      <c r="U4">
        <v>981.45</v>
      </c>
      <c r="V4">
        <v>1092.06</v>
      </c>
      <c r="W4">
        <v>1139.68</v>
      </c>
      <c r="X4">
        <v>1141.99</v>
      </c>
      <c r="Y4">
        <v>859.41600000000005</v>
      </c>
      <c r="Z4">
        <v>1228.72</v>
      </c>
      <c r="AA4">
        <v>1229.5999999999999</v>
      </c>
      <c r="AB4">
        <v>1455.19</v>
      </c>
      <c r="AC4">
        <v>1195.6099999999999</v>
      </c>
      <c r="AD4">
        <v>1390.33</v>
      </c>
      <c r="AE4">
        <v>1326.6</v>
      </c>
      <c r="AF4">
        <v>1329.35</v>
      </c>
      <c r="AG4">
        <v>1264.24</v>
      </c>
      <c r="AH4">
        <v>1192.78</v>
      </c>
      <c r="AI4">
        <v>1124.43</v>
      </c>
      <c r="AJ4">
        <v>1101.17</v>
      </c>
      <c r="AK4">
        <v>989.81600000000003</v>
      </c>
      <c r="AL4">
        <v>1132.71</v>
      </c>
      <c r="AM4">
        <v>1387.19</v>
      </c>
      <c r="AN4">
        <v>1480.19</v>
      </c>
      <c r="AO4">
        <v>1490.9</v>
      </c>
      <c r="AP4">
        <v>1480.54</v>
      </c>
      <c r="AQ4">
        <v>1483.29</v>
      </c>
      <c r="AR4">
        <v>1486.44</v>
      </c>
      <c r="AS4">
        <v>1354.1</v>
      </c>
      <c r="AT4">
        <v>990.56600000000003</v>
      </c>
      <c r="AU4">
        <v>807.947</v>
      </c>
      <c r="AV4">
        <v>810.21500000000003</v>
      </c>
      <c r="AW4">
        <v>1199.07</v>
      </c>
      <c r="AX4">
        <v>1205.53</v>
      </c>
      <c r="AY4">
        <v>1270.75</v>
      </c>
      <c r="AZ4">
        <v>1298.5899999999999</v>
      </c>
      <c r="BA4">
        <v>1300</v>
      </c>
    </row>
    <row r="5" spans="1:53" x14ac:dyDescent="0.15">
      <c r="A5" t="s">
        <v>154</v>
      </c>
      <c r="B5" t="s">
        <v>157</v>
      </c>
      <c r="C5" t="s">
        <v>158</v>
      </c>
      <c r="D5" t="s">
        <v>159</v>
      </c>
    </row>
    <row r="6" spans="1:53" x14ac:dyDescent="0.15">
      <c r="A6">
        <v>1964</v>
      </c>
      <c r="B6">
        <v>0.40628599999999998</v>
      </c>
      <c r="C6">
        <v>0.62648599999999999</v>
      </c>
      <c r="D6">
        <v>0.69611199999999995</v>
      </c>
      <c r="E6">
        <v>0.64024300000000001</v>
      </c>
      <c r="F6">
        <v>0.641594</v>
      </c>
      <c r="G6">
        <v>0.642957</v>
      </c>
      <c r="H6">
        <v>0.64548899999999998</v>
      </c>
      <c r="I6">
        <v>0.64783199999999996</v>
      </c>
      <c r="J6">
        <v>0.64963099999999996</v>
      </c>
      <c r="K6">
        <v>0.65092799999999995</v>
      </c>
      <c r="L6">
        <v>0.65092799999999995</v>
      </c>
      <c r="M6">
        <v>0.65092799999999995</v>
      </c>
      <c r="N6">
        <v>0.65092799999999995</v>
      </c>
      <c r="O6">
        <v>0.65092799999999995</v>
      </c>
      <c r="P6">
        <v>0.65092799999999995</v>
      </c>
    </row>
    <row r="7" spans="1:53" x14ac:dyDescent="0.15">
      <c r="A7">
        <v>1965</v>
      </c>
      <c r="B7">
        <v>0.40626200000000001</v>
      </c>
      <c r="C7">
        <v>0.625448</v>
      </c>
      <c r="D7">
        <v>0.69069100000000005</v>
      </c>
      <c r="E7">
        <v>0.63155399999999995</v>
      </c>
      <c r="F7">
        <v>0.63394099999999998</v>
      </c>
      <c r="G7">
        <v>0.63658800000000004</v>
      </c>
      <c r="H7">
        <v>0.63889700000000005</v>
      </c>
      <c r="I7">
        <v>0.64077700000000004</v>
      </c>
      <c r="J7">
        <v>0.64241499999999996</v>
      </c>
      <c r="K7">
        <v>0.64394099999999999</v>
      </c>
      <c r="L7">
        <v>0.64394099999999999</v>
      </c>
      <c r="M7">
        <v>0.64394099999999999</v>
      </c>
      <c r="N7">
        <v>0.64394099999999999</v>
      </c>
      <c r="O7">
        <v>0.64394099999999999</v>
      </c>
      <c r="P7">
        <v>0.64394099999999999</v>
      </c>
    </row>
    <row r="8" spans="1:53" x14ac:dyDescent="0.15">
      <c r="A8">
        <v>1966</v>
      </c>
      <c r="B8">
        <v>0.406273</v>
      </c>
      <c r="C8">
        <v>0.62563299999999999</v>
      </c>
      <c r="D8">
        <v>0.69028599999999996</v>
      </c>
      <c r="E8">
        <v>0.63663499999999995</v>
      </c>
      <c r="F8">
        <v>0.63841300000000001</v>
      </c>
      <c r="G8">
        <v>0.64131099999999996</v>
      </c>
      <c r="H8">
        <v>0.64289300000000005</v>
      </c>
      <c r="I8">
        <v>0.64422500000000005</v>
      </c>
      <c r="J8">
        <v>0.64546300000000001</v>
      </c>
      <c r="K8">
        <v>0.64682499999999998</v>
      </c>
      <c r="L8">
        <v>0.64682499999999998</v>
      </c>
      <c r="M8">
        <v>0.64682499999999998</v>
      </c>
      <c r="N8">
        <v>0.64682499999999998</v>
      </c>
      <c r="O8">
        <v>0.64682499999999998</v>
      </c>
      <c r="P8">
        <v>0.64682499999999998</v>
      </c>
    </row>
    <row r="9" spans="1:53" x14ac:dyDescent="0.15">
      <c r="A9">
        <v>1967</v>
      </c>
      <c r="B9">
        <v>0.40606100000000001</v>
      </c>
      <c r="C9">
        <v>0.61660899999999996</v>
      </c>
      <c r="D9">
        <v>0.65120199999999995</v>
      </c>
      <c r="E9">
        <v>0.57667299999999999</v>
      </c>
      <c r="F9">
        <v>0.57758799999999999</v>
      </c>
      <c r="G9">
        <v>0.58089000000000002</v>
      </c>
      <c r="H9">
        <v>0.58203800000000006</v>
      </c>
      <c r="I9">
        <v>0.582646</v>
      </c>
      <c r="J9">
        <v>0.58388600000000002</v>
      </c>
      <c r="K9">
        <v>0.58513800000000005</v>
      </c>
      <c r="L9">
        <v>0.58513800000000005</v>
      </c>
      <c r="M9">
        <v>0.58513800000000005</v>
      </c>
      <c r="N9">
        <v>0.58513800000000005</v>
      </c>
      <c r="O9">
        <v>0.58513800000000005</v>
      </c>
      <c r="P9">
        <v>0.58513800000000005</v>
      </c>
    </row>
    <row r="10" spans="1:53" x14ac:dyDescent="0.15">
      <c r="A10">
        <v>1968</v>
      </c>
      <c r="B10">
        <v>0.406057</v>
      </c>
      <c r="C10">
        <v>0.61580199999999996</v>
      </c>
      <c r="D10">
        <v>0.64764900000000003</v>
      </c>
      <c r="E10">
        <v>0.57831999999999995</v>
      </c>
      <c r="F10">
        <v>0.57977999999999996</v>
      </c>
      <c r="G10">
        <v>0.58213199999999998</v>
      </c>
      <c r="H10">
        <v>0.58223000000000003</v>
      </c>
      <c r="I10">
        <v>0.58091599999999999</v>
      </c>
      <c r="J10">
        <v>0.58146500000000001</v>
      </c>
      <c r="K10">
        <v>0.58245800000000003</v>
      </c>
      <c r="L10">
        <v>0.58245800000000003</v>
      </c>
      <c r="M10">
        <v>0.58245800000000003</v>
      </c>
      <c r="N10">
        <v>0.58245800000000003</v>
      </c>
      <c r="O10">
        <v>0.58245800000000003</v>
      </c>
      <c r="P10">
        <v>0.58245800000000003</v>
      </c>
    </row>
    <row r="11" spans="1:53" x14ac:dyDescent="0.15">
      <c r="A11">
        <v>1969</v>
      </c>
      <c r="B11">
        <v>0.40603</v>
      </c>
      <c r="C11">
        <v>0.61394000000000004</v>
      </c>
      <c r="D11">
        <v>0.63779699999999995</v>
      </c>
      <c r="E11">
        <v>0.57640499999999995</v>
      </c>
      <c r="F11">
        <v>0.57559000000000005</v>
      </c>
      <c r="G11">
        <v>0.57703499999999996</v>
      </c>
      <c r="H11">
        <v>0.57544799999999996</v>
      </c>
      <c r="I11">
        <v>0.571357</v>
      </c>
      <c r="J11">
        <v>0.57118800000000003</v>
      </c>
      <c r="K11">
        <v>0.570496</v>
      </c>
      <c r="L11">
        <v>0.570496</v>
      </c>
      <c r="M11">
        <v>0.570496</v>
      </c>
      <c r="N11">
        <v>0.570496</v>
      </c>
      <c r="O11">
        <v>0.570496</v>
      </c>
      <c r="P11">
        <v>0.570496</v>
      </c>
    </row>
    <row r="12" spans="1:53" x14ac:dyDescent="0.15">
      <c r="A12">
        <v>1970</v>
      </c>
      <c r="B12">
        <v>0.40586299999999997</v>
      </c>
      <c r="C12">
        <v>0.60555199999999998</v>
      </c>
      <c r="D12">
        <v>0.60581300000000005</v>
      </c>
      <c r="E12">
        <v>0.544651</v>
      </c>
      <c r="F12">
        <v>0.535636</v>
      </c>
      <c r="G12">
        <v>0.53643600000000002</v>
      </c>
      <c r="H12">
        <v>0.53210800000000003</v>
      </c>
      <c r="I12">
        <v>0.52374500000000002</v>
      </c>
      <c r="J12">
        <v>0.52237599999999995</v>
      </c>
      <c r="K12">
        <v>0.51411899999999999</v>
      </c>
      <c r="L12">
        <v>0.51411899999999999</v>
      </c>
      <c r="M12">
        <v>0.51411899999999999</v>
      </c>
      <c r="N12">
        <v>0.51411899999999999</v>
      </c>
      <c r="O12">
        <v>0.51411899999999999</v>
      </c>
      <c r="P12">
        <v>0.51411899999999999</v>
      </c>
    </row>
    <row r="13" spans="1:53" x14ac:dyDescent="0.15">
      <c r="A13">
        <v>1971</v>
      </c>
      <c r="B13">
        <v>0.405642</v>
      </c>
      <c r="C13">
        <v>0.59377500000000005</v>
      </c>
      <c r="D13">
        <v>0.56254099999999996</v>
      </c>
      <c r="E13">
        <v>0.495336</v>
      </c>
      <c r="F13">
        <v>0.47848299999999999</v>
      </c>
      <c r="G13">
        <v>0.479765</v>
      </c>
      <c r="H13">
        <v>0.47419699999999998</v>
      </c>
      <c r="I13">
        <v>0.46022000000000002</v>
      </c>
      <c r="J13">
        <v>0.457256</v>
      </c>
      <c r="K13">
        <v>0.44150099999999998</v>
      </c>
      <c r="L13">
        <v>0.44150099999999998</v>
      </c>
      <c r="M13">
        <v>0.44150099999999998</v>
      </c>
      <c r="N13">
        <v>0.44150099999999998</v>
      </c>
      <c r="O13">
        <v>0.44150099999999998</v>
      </c>
      <c r="P13">
        <v>0.44150099999999998</v>
      </c>
    </row>
    <row r="14" spans="1:53" x14ac:dyDescent="0.15">
      <c r="A14">
        <v>1972</v>
      </c>
      <c r="B14">
        <v>0.40557199999999999</v>
      </c>
      <c r="C14">
        <v>0.58597200000000005</v>
      </c>
      <c r="D14">
        <v>0.53439400000000004</v>
      </c>
      <c r="E14">
        <v>0.469051</v>
      </c>
      <c r="F14">
        <v>0.451129</v>
      </c>
      <c r="G14">
        <v>0.45115100000000002</v>
      </c>
      <c r="H14">
        <v>0.44503999999999999</v>
      </c>
      <c r="I14">
        <v>0.42851899999999998</v>
      </c>
      <c r="J14">
        <v>0.42400500000000002</v>
      </c>
      <c r="K14">
        <v>0.41184399999999999</v>
      </c>
      <c r="L14">
        <v>0.41184399999999999</v>
      </c>
      <c r="M14">
        <v>0.41184399999999999</v>
      </c>
      <c r="N14">
        <v>0.41184399999999999</v>
      </c>
      <c r="O14">
        <v>0.41184399999999999</v>
      </c>
      <c r="P14">
        <v>0.41184399999999999</v>
      </c>
    </row>
    <row r="15" spans="1:53" x14ac:dyDescent="0.15">
      <c r="A15">
        <v>1973</v>
      </c>
      <c r="B15">
        <v>0.40550599999999998</v>
      </c>
      <c r="C15">
        <v>0.57805700000000004</v>
      </c>
      <c r="D15">
        <v>0.50520299999999996</v>
      </c>
      <c r="E15">
        <v>0.44142300000000001</v>
      </c>
      <c r="F15">
        <v>0.42084899999999997</v>
      </c>
      <c r="G15">
        <v>0.419792</v>
      </c>
      <c r="H15">
        <v>0.413711</v>
      </c>
      <c r="I15">
        <v>0.39525399999999999</v>
      </c>
      <c r="J15">
        <v>0.389932</v>
      </c>
      <c r="K15">
        <v>0.383301</v>
      </c>
      <c r="L15">
        <v>0.383301</v>
      </c>
      <c r="M15">
        <v>0.383301</v>
      </c>
      <c r="N15">
        <v>0.383301</v>
      </c>
      <c r="O15">
        <v>0.383301</v>
      </c>
      <c r="P15">
        <v>0.383301</v>
      </c>
    </row>
    <row r="16" spans="1:53" x14ac:dyDescent="0.15">
      <c r="A16">
        <v>1974</v>
      </c>
      <c r="B16">
        <v>0.40544400000000003</v>
      </c>
      <c r="C16">
        <v>0.56964999999999999</v>
      </c>
      <c r="D16">
        <v>0.47131000000000001</v>
      </c>
      <c r="E16">
        <v>0.41202299999999997</v>
      </c>
      <c r="F16">
        <v>0.39021299999999998</v>
      </c>
      <c r="G16">
        <v>0.389733</v>
      </c>
      <c r="H16">
        <v>0.38305600000000001</v>
      </c>
      <c r="I16">
        <v>0.36317300000000002</v>
      </c>
      <c r="J16">
        <v>0.35654200000000003</v>
      </c>
      <c r="K16">
        <v>0.358072</v>
      </c>
      <c r="L16">
        <v>0.358072</v>
      </c>
      <c r="M16">
        <v>0.358072</v>
      </c>
      <c r="N16">
        <v>0.358072</v>
      </c>
      <c r="O16">
        <v>0.358072</v>
      </c>
      <c r="P16">
        <v>0.358072</v>
      </c>
    </row>
    <row r="17" spans="1:16" x14ac:dyDescent="0.15">
      <c r="A17">
        <v>1975</v>
      </c>
      <c r="B17">
        <v>0.40567300000000001</v>
      </c>
      <c r="C17">
        <v>0.58171300000000004</v>
      </c>
      <c r="D17">
        <v>0.49665999999999999</v>
      </c>
      <c r="E17">
        <v>0.44642999999999999</v>
      </c>
      <c r="F17">
        <v>0.42626399999999998</v>
      </c>
      <c r="G17">
        <v>0.42605700000000002</v>
      </c>
      <c r="H17">
        <v>0.419987</v>
      </c>
      <c r="I17">
        <v>0.40115099999999998</v>
      </c>
      <c r="J17">
        <v>0.39312999999999998</v>
      </c>
      <c r="K17">
        <v>0.39619599999999999</v>
      </c>
      <c r="L17">
        <v>0.39619599999999999</v>
      </c>
      <c r="M17">
        <v>0.39619599999999999</v>
      </c>
      <c r="N17">
        <v>0.39619599999999999</v>
      </c>
      <c r="O17">
        <v>0.39619599999999999</v>
      </c>
      <c r="P17">
        <v>0.39619599999999999</v>
      </c>
    </row>
    <row r="18" spans="1:16" x14ac:dyDescent="0.15">
      <c r="A18">
        <v>1976</v>
      </c>
      <c r="B18">
        <v>0.40586699999999998</v>
      </c>
      <c r="C18">
        <v>0.59240999999999999</v>
      </c>
      <c r="D18">
        <v>0.53642000000000001</v>
      </c>
      <c r="E18">
        <v>0.48026400000000002</v>
      </c>
      <c r="F18">
        <v>0.46085799999999999</v>
      </c>
      <c r="G18">
        <v>0.46139000000000002</v>
      </c>
      <c r="H18">
        <v>0.45665600000000001</v>
      </c>
      <c r="I18">
        <v>0.43948100000000001</v>
      </c>
      <c r="J18">
        <v>0.42939899999999998</v>
      </c>
      <c r="K18">
        <v>0.43230499999999999</v>
      </c>
      <c r="L18">
        <v>0.43230499999999999</v>
      </c>
      <c r="M18">
        <v>0.43230499999999999</v>
      </c>
      <c r="N18">
        <v>0.43230499999999999</v>
      </c>
      <c r="O18">
        <v>0.43230499999999999</v>
      </c>
      <c r="P18">
        <v>0.43230499999999999</v>
      </c>
    </row>
    <row r="19" spans="1:16" x14ac:dyDescent="0.15">
      <c r="A19">
        <v>1977</v>
      </c>
      <c r="B19">
        <v>0.40604299999999999</v>
      </c>
      <c r="C19">
        <v>0.602599</v>
      </c>
      <c r="D19">
        <v>0.58051600000000003</v>
      </c>
      <c r="E19">
        <v>0.52747900000000003</v>
      </c>
      <c r="F19">
        <v>0.50039299999999998</v>
      </c>
      <c r="G19">
        <v>0.50143400000000005</v>
      </c>
      <c r="H19">
        <v>0.49795899999999998</v>
      </c>
      <c r="I19">
        <v>0.48341499999999998</v>
      </c>
      <c r="J19">
        <v>0.47099200000000002</v>
      </c>
      <c r="K19">
        <v>0.47209099999999998</v>
      </c>
      <c r="L19">
        <v>0.47209099999999998</v>
      </c>
      <c r="M19">
        <v>0.47209099999999998</v>
      </c>
      <c r="N19">
        <v>0.47209099999999998</v>
      </c>
      <c r="O19">
        <v>0.47209099999999998</v>
      </c>
      <c r="P19">
        <v>0.47209099999999998</v>
      </c>
    </row>
    <row r="20" spans="1:16" x14ac:dyDescent="0.15">
      <c r="A20">
        <v>1978</v>
      </c>
      <c r="B20">
        <v>0.40608699999999998</v>
      </c>
      <c r="C20">
        <v>0.60539200000000004</v>
      </c>
      <c r="D20">
        <v>0.58986300000000003</v>
      </c>
      <c r="E20">
        <v>0.53334099999999995</v>
      </c>
      <c r="F20">
        <v>0.49910500000000002</v>
      </c>
      <c r="G20">
        <v>0.49856499999999998</v>
      </c>
      <c r="H20">
        <v>0.49471399999999999</v>
      </c>
      <c r="I20">
        <v>0.48104999999999998</v>
      </c>
      <c r="J20">
        <v>0.46506599999999998</v>
      </c>
      <c r="K20">
        <v>0.46438099999999999</v>
      </c>
      <c r="L20">
        <v>0.46438099999999999</v>
      </c>
      <c r="M20">
        <v>0.46438099999999999</v>
      </c>
      <c r="N20">
        <v>0.46438099999999999</v>
      </c>
      <c r="O20">
        <v>0.46438099999999999</v>
      </c>
      <c r="P20">
        <v>0.46438099999999999</v>
      </c>
    </row>
    <row r="21" spans="1:16" x14ac:dyDescent="0.15">
      <c r="A21">
        <v>1979</v>
      </c>
      <c r="B21">
        <v>0.406167</v>
      </c>
      <c r="C21">
        <v>0.61218700000000004</v>
      </c>
      <c r="D21">
        <v>0.61455400000000004</v>
      </c>
      <c r="E21">
        <v>0.55187600000000003</v>
      </c>
      <c r="F21">
        <v>0.51221099999999997</v>
      </c>
      <c r="G21">
        <v>0.50703500000000001</v>
      </c>
      <c r="H21">
        <v>0.50755399999999995</v>
      </c>
      <c r="I21">
        <v>0.49541099999999999</v>
      </c>
      <c r="J21">
        <v>0.47739500000000001</v>
      </c>
      <c r="K21">
        <v>0.47401100000000002</v>
      </c>
      <c r="L21">
        <v>0.47401100000000002</v>
      </c>
      <c r="M21">
        <v>0.47401100000000002</v>
      </c>
      <c r="N21">
        <v>0.47401100000000002</v>
      </c>
      <c r="O21">
        <v>0.47401100000000002</v>
      </c>
      <c r="P21">
        <v>0.47401100000000002</v>
      </c>
    </row>
    <row r="22" spans="1:16" x14ac:dyDescent="0.15">
      <c r="A22">
        <v>1980</v>
      </c>
      <c r="B22">
        <v>0.406279</v>
      </c>
      <c r="C22">
        <v>0.62056800000000001</v>
      </c>
      <c r="D22">
        <v>0.64934800000000004</v>
      </c>
      <c r="E22">
        <v>0.58256699999999995</v>
      </c>
      <c r="F22">
        <v>0.54430100000000003</v>
      </c>
      <c r="G22">
        <v>0.53807899999999997</v>
      </c>
      <c r="H22">
        <v>0.539574</v>
      </c>
      <c r="I22">
        <v>0.53194300000000005</v>
      </c>
      <c r="J22">
        <v>0.51458999999999999</v>
      </c>
      <c r="K22">
        <v>0.50766999999999995</v>
      </c>
      <c r="L22">
        <v>0.50766999999999995</v>
      </c>
      <c r="M22">
        <v>0.50766999999999995</v>
      </c>
      <c r="N22">
        <v>0.50766999999999995</v>
      </c>
      <c r="O22">
        <v>0.50766999999999995</v>
      </c>
      <c r="P22">
        <v>0.50766999999999995</v>
      </c>
    </row>
    <row r="23" spans="1:16" x14ac:dyDescent="0.15">
      <c r="A23">
        <v>1981</v>
      </c>
      <c r="B23">
        <v>0.406393</v>
      </c>
      <c r="C23">
        <v>0.62751400000000002</v>
      </c>
      <c r="D23">
        <v>0.68654400000000004</v>
      </c>
      <c r="E23">
        <v>0.62983100000000003</v>
      </c>
      <c r="F23">
        <v>0.59696899999999997</v>
      </c>
      <c r="G23">
        <v>0.59257599999999999</v>
      </c>
      <c r="H23">
        <v>0.593665</v>
      </c>
      <c r="I23">
        <v>0.58904900000000004</v>
      </c>
      <c r="J23">
        <v>0.57519100000000001</v>
      </c>
      <c r="K23">
        <v>0.56712099999999999</v>
      </c>
      <c r="L23">
        <v>0.56712099999999999</v>
      </c>
      <c r="M23">
        <v>0.56712099999999999</v>
      </c>
      <c r="N23">
        <v>0.56712099999999999</v>
      </c>
      <c r="O23">
        <v>0.56712099999999999</v>
      </c>
      <c r="P23">
        <v>0.56712099999999999</v>
      </c>
    </row>
    <row r="24" spans="1:16" x14ac:dyDescent="0.15">
      <c r="A24">
        <v>1982</v>
      </c>
      <c r="B24">
        <v>0.40646199999999999</v>
      </c>
      <c r="C24">
        <v>0.63142600000000004</v>
      </c>
      <c r="D24">
        <v>0.70831599999999995</v>
      </c>
      <c r="E24">
        <v>0.66569</v>
      </c>
      <c r="F24">
        <v>0.63748300000000002</v>
      </c>
      <c r="G24">
        <v>0.63299000000000005</v>
      </c>
      <c r="H24">
        <v>0.63387300000000002</v>
      </c>
      <c r="I24">
        <v>0.63134500000000005</v>
      </c>
      <c r="J24">
        <v>0.62052300000000005</v>
      </c>
      <c r="K24">
        <v>0.61279600000000001</v>
      </c>
      <c r="L24">
        <v>0.61279600000000001</v>
      </c>
      <c r="M24">
        <v>0.61279600000000001</v>
      </c>
      <c r="N24">
        <v>0.61279600000000001</v>
      </c>
      <c r="O24">
        <v>0.61279600000000001</v>
      </c>
      <c r="P24">
        <v>0.61279600000000001</v>
      </c>
    </row>
    <row r="25" spans="1:16" x14ac:dyDescent="0.15">
      <c r="A25">
        <v>1983</v>
      </c>
      <c r="B25">
        <v>0.40648699999999999</v>
      </c>
      <c r="C25">
        <v>0.63271599999999995</v>
      </c>
      <c r="D25">
        <v>0.71545999999999998</v>
      </c>
      <c r="E25">
        <v>0.68086999999999998</v>
      </c>
      <c r="F25">
        <v>0.65321799999999997</v>
      </c>
      <c r="G25">
        <v>0.64514300000000002</v>
      </c>
      <c r="H25">
        <v>0.64603200000000005</v>
      </c>
      <c r="I25">
        <v>0.64488299999999998</v>
      </c>
      <c r="J25">
        <v>0.63496399999999997</v>
      </c>
      <c r="K25">
        <v>0.62717599999999996</v>
      </c>
      <c r="L25">
        <v>0.62717599999999996</v>
      </c>
      <c r="M25">
        <v>0.62717599999999996</v>
      </c>
      <c r="N25">
        <v>0.62717599999999996</v>
      </c>
      <c r="O25">
        <v>0.62717599999999996</v>
      </c>
      <c r="P25">
        <v>0.62717599999999996</v>
      </c>
    </row>
    <row r="26" spans="1:16" x14ac:dyDescent="0.15">
      <c r="A26">
        <v>1984</v>
      </c>
      <c r="B26">
        <v>0.40649299999999999</v>
      </c>
      <c r="C26">
        <v>0.63309300000000002</v>
      </c>
      <c r="D26">
        <v>0.71579700000000002</v>
      </c>
      <c r="E26">
        <v>0.68245100000000003</v>
      </c>
      <c r="F26">
        <v>0.65098800000000001</v>
      </c>
      <c r="G26">
        <v>0.64005999999999996</v>
      </c>
      <c r="H26">
        <v>0.63969399999999998</v>
      </c>
      <c r="I26">
        <v>0.63986699999999996</v>
      </c>
      <c r="J26">
        <v>0.62934900000000005</v>
      </c>
      <c r="K26">
        <v>0.62166100000000002</v>
      </c>
      <c r="L26">
        <v>0.62166100000000002</v>
      </c>
      <c r="M26">
        <v>0.62166100000000002</v>
      </c>
      <c r="N26">
        <v>0.62166100000000002</v>
      </c>
      <c r="O26">
        <v>0.62166100000000002</v>
      </c>
      <c r="P26">
        <v>0.62166100000000002</v>
      </c>
    </row>
    <row r="27" spans="1:16" x14ac:dyDescent="0.15">
      <c r="A27">
        <v>1985</v>
      </c>
      <c r="B27">
        <v>0.406499</v>
      </c>
      <c r="C27">
        <v>0.63331999999999999</v>
      </c>
      <c r="D27">
        <v>0.71591199999999999</v>
      </c>
      <c r="E27">
        <v>0.68459300000000001</v>
      </c>
      <c r="F27">
        <v>0.65531700000000004</v>
      </c>
      <c r="G27">
        <v>0.63536700000000002</v>
      </c>
      <c r="H27">
        <v>0.63431999999999999</v>
      </c>
      <c r="I27">
        <v>0.63534500000000005</v>
      </c>
      <c r="J27">
        <v>0.62488999999999995</v>
      </c>
      <c r="K27">
        <v>0.61820399999999998</v>
      </c>
      <c r="L27">
        <v>0.61820399999999998</v>
      </c>
      <c r="M27">
        <v>0.61820399999999998</v>
      </c>
      <c r="N27">
        <v>0.61820399999999998</v>
      </c>
      <c r="O27">
        <v>0.61820399999999998</v>
      </c>
      <c r="P27">
        <v>0.61820399999999998</v>
      </c>
    </row>
    <row r="28" spans="1:16" x14ac:dyDescent="0.15">
      <c r="A28">
        <v>1986</v>
      </c>
      <c r="B28">
        <v>0.40650700000000001</v>
      </c>
      <c r="C28">
        <v>0.63375999999999999</v>
      </c>
      <c r="D28">
        <v>0.71693300000000004</v>
      </c>
      <c r="E28">
        <v>0.68653500000000001</v>
      </c>
      <c r="F28">
        <v>0.66052900000000003</v>
      </c>
      <c r="G28">
        <v>0.63909199999999999</v>
      </c>
      <c r="H28">
        <v>0.63273900000000005</v>
      </c>
      <c r="I28">
        <v>0.63693299999999997</v>
      </c>
      <c r="J28">
        <v>0.62481100000000001</v>
      </c>
      <c r="K28">
        <v>0.62171900000000002</v>
      </c>
      <c r="L28">
        <v>0.62171900000000002</v>
      </c>
      <c r="M28">
        <v>0.62171900000000002</v>
      </c>
      <c r="N28">
        <v>0.62171900000000002</v>
      </c>
      <c r="O28">
        <v>0.62171900000000002</v>
      </c>
      <c r="P28">
        <v>0.62171900000000002</v>
      </c>
    </row>
    <row r="29" spans="1:16" x14ac:dyDescent="0.15">
      <c r="A29">
        <v>1987</v>
      </c>
      <c r="B29">
        <v>0.406528</v>
      </c>
      <c r="C29">
        <v>0.635019</v>
      </c>
      <c r="D29">
        <v>0.72334299999999996</v>
      </c>
      <c r="E29">
        <v>0.70238999999999996</v>
      </c>
      <c r="F29">
        <v>0.68243900000000002</v>
      </c>
      <c r="G29">
        <v>0.66638200000000003</v>
      </c>
      <c r="H29">
        <v>0.65843700000000005</v>
      </c>
      <c r="I29">
        <v>0.65894200000000003</v>
      </c>
      <c r="J29">
        <v>0.65099200000000002</v>
      </c>
      <c r="K29">
        <v>0.65032900000000005</v>
      </c>
      <c r="L29">
        <v>0.65032900000000005</v>
      </c>
      <c r="M29">
        <v>0.65032900000000005</v>
      </c>
      <c r="N29">
        <v>0.65032900000000005</v>
      </c>
      <c r="O29">
        <v>0.65032900000000005</v>
      </c>
      <c r="P29">
        <v>0.65032900000000005</v>
      </c>
    </row>
    <row r="30" spans="1:16" x14ac:dyDescent="0.15">
      <c r="A30">
        <v>1988</v>
      </c>
      <c r="B30">
        <v>0.40651399999999999</v>
      </c>
      <c r="C30">
        <v>0.63409700000000002</v>
      </c>
      <c r="D30">
        <v>0.71410099999999999</v>
      </c>
      <c r="E30">
        <v>0.68595600000000001</v>
      </c>
      <c r="F30">
        <v>0.65584399999999998</v>
      </c>
      <c r="G30">
        <v>0.63628700000000005</v>
      </c>
      <c r="H30">
        <v>0.61609800000000003</v>
      </c>
      <c r="I30">
        <v>0.62092199999999997</v>
      </c>
      <c r="J30">
        <v>0.61388500000000001</v>
      </c>
      <c r="K30">
        <v>0.61668000000000001</v>
      </c>
      <c r="L30">
        <v>0.61668000000000001</v>
      </c>
      <c r="M30">
        <v>0.61668000000000001</v>
      </c>
      <c r="N30">
        <v>0.61668000000000001</v>
      </c>
      <c r="O30">
        <v>0.61668000000000001</v>
      </c>
      <c r="P30">
        <v>0.61668000000000001</v>
      </c>
    </row>
    <row r="31" spans="1:16" x14ac:dyDescent="0.15">
      <c r="A31">
        <v>1989</v>
      </c>
      <c r="B31">
        <v>0.40651500000000002</v>
      </c>
      <c r="C31">
        <v>0.634127</v>
      </c>
      <c r="D31">
        <v>0.71510200000000002</v>
      </c>
      <c r="E31">
        <v>0.68125800000000003</v>
      </c>
      <c r="F31">
        <v>0.65070700000000004</v>
      </c>
      <c r="G31">
        <v>0.62719100000000005</v>
      </c>
      <c r="H31">
        <v>0.60084300000000002</v>
      </c>
      <c r="I31">
        <v>0.60574700000000004</v>
      </c>
      <c r="J31">
        <v>0.60610200000000003</v>
      </c>
      <c r="K31">
        <v>0.60726400000000003</v>
      </c>
      <c r="L31">
        <v>0.60726400000000003</v>
      </c>
      <c r="M31">
        <v>0.60726400000000003</v>
      </c>
      <c r="N31">
        <v>0.60726400000000003</v>
      </c>
      <c r="O31">
        <v>0.60726400000000003</v>
      </c>
      <c r="P31">
        <v>0.60726400000000003</v>
      </c>
    </row>
    <row r="32" spans="1:16" x14ac:dyDescent="0.15">
      <c r="A32">
        <v>1990</v>
      </c>
      <c r="B32">
        <v>0.40649800000000003</v>
      </c>
      <c r="C32">
        <v>0.63289399999999996</v>
      </c>
      <c r="D32">
        <v>0.70721100000000003</v>
      </c>
      <c r="E32">
        <v>0.65564900000000004</v>
      </c>
      <c r="F32">
        <v>0.61157799999999995</v>
      </c>
      <c r="G32">
        <v>0.57770600000000005</v>
      </c>
      <c r="H32">
        <v>0.54247199999999995</v>
      </c>
      <c r="I32">
        <v>0.54541399999999995</v>
      </c>
      <c r="J32">
        <v>0.54617099999999996</v>
      </c>
      <c r="K32">
        <v>0.55190700000000004</v>
      </c>
      <c r="L32">
        <v>0.55190700000000004</v>
      </c>
      <c r="M32">
        <v>0.55190700000000004</v>
      </c>
      <c r="N32">
        <v>0.55190700000000004</v>
      </c>
      <c r="O32">
        <v>0.55190700000000004</v>
      </c>
      <c r="P32">
        <v>0.55190700000000004</v>
      </c>
    </row>
    <row r="33" spans="1:16" x14ac:dyDescent="0.15">
      <c r="A33">
        <v>1991</v>
      </c>
      <c r="B33">
        <v>0.406501</v>
      </c>
      <c r="C33">
        <v>0.63307599999999997</v>
      </c>
      <c r="D33">
        <v>0.70948699999999998</v>
      </c>
      <c r="E33">
        <v>0.65719300000000003</v>
      </c>
      <c r="F33">
        <v>0.61278900000000003</v>
      </c>
      <c r="G33">
        <v>0.56991499999999995</v>
      </c>
      <c r="H33">
        <v>0.52414300000000003</v>
      </c>
      <c r="I33">
        <v>0.53741000000000005</v>
      </c>
      <c r="J33">
        <v>0.52734300000000001</v>
      </c>
      <c r="K33">
        <v>0.52629700000000001</v>
      </c>
      <c r="L33">
        <v>0.52629700000000001</v>
      </c>
      <c r="M33">
        <v>0.52629700000000001</v>
      </c>
      <c r="N33">
        <v>0.52629700000000001</v>
      </c>
      <c r="O33">
        <v>0.52629700000000001</v>
      </c>
      <c r="P33">
        <v>0.52629700000000001</v>
      </c>
    </row>
    <row r="34" spans="1:16" x14ac:dyDescent="0.15">
      <c r="A34">
        <v>1992</v>
      </c>
      <c r="B34">
        <v>0.40648600000000001</v>
      </c>
      <c r="C34">
        <v>0.63206399999999996</v>
      </c>
      <c r="D34">
        <v>0.69879000000000002</v>
      </c>
      <c r="E34">
        <v>0.63769600000000004</v>
      </c>
      <c r="F34">
        <v>0.58951299999999995</v>
      </c>
      <c r="G34">
        <v>0.52052900000000002</v>
      </c>
      <c r="H34">
        <v>0.46687499999999998</v>
      </c>
      <c r="I34">
        <v>0.46765600000000002</v>
      </c>
      <c r="J34">
        <v>0.46555999999999997</v>
      </c>
      <c r="K34">
        <v>0.46645900000000001</v>
      </c>
      <c r="L34">
        <v>0.46645900000000001</v>
      </c>
      <c r="M34">
        <v>0.46645900000000001</v>
      </c>
      <c r="N34">
        <v>0.46645900000000001</v>
      </c>
      <c r="O34">
        <v>0.46645900000000001</v>
      </c>
      <c r="P34">
        <v>0.46645900000000001</v>
      </c>
    </row>
    <row r="35" spans="1:16" x14ac:dyDescent="0.15">
      <c r="A35">
        <v>1993</v>
      </c>
      <c r="B35">
        <v>0.40651300000000001</v>
      </c>
      <c r="C35">
        <v>0.63400999999999996</v>
      </c>
      <c r="D35">
        <v>0.71303000000000005</v>
      </c>
      <c r="E35">
        <v>0.64966999999999997</v>
      </c>
      <c r="F35">
        <v>0.62954299999999996</v>
      </c>
      <c r="G35">
        <v>0.567222</v>
      </c>
      <c r="H35">
        <v>0.52419000000000004</v>
      </c>
      <c r="I35">
        <v>0.52514700000000003</v>
      </c>
      <c r="J35">
        <v>0.52692700000000003</v>
      </c>
      <c r="K35">
        <v>0.53729000000000005</v>
      </c>
      <c r="L35">
        <v>0.53729000000000005</v>
      </c>
      <c r="M35">
        <v>0.53729000000000005</v>
      </c>
      <c r="N35">
        <v>0.53729000000000005</v>
      </c>
      <c r="O35">
        <v>0.53729000000000005</v>
      </c>
      <c r="P35">
        <v>0.53729000000000005</v>
      </c>
    </row>
    <row r="36" spans="1:16" x14ac:dyDescent="0.15">
      <c r="A36">
        <v>1994</v>
      </c>
      <c r="B36">
        <v>0.40652300000000002</v>
      </c>
      <c r="C36">
        <v>0.63446899999999995</v>
      </c>
      <c r="D36">
        <v>0.72073200000000004</v>
      </c>
      <c r="E36">
        <v>0.67851399999999995</v>
      </c>
      <c r="F36">
        <v>0.61533499999999997</v>
      </c>
      <c r="G36">
        <v>0.57095799999999997</v>
      </c>
      <c r="H36">
        <v>0.53693999999999997</v>
      </c>
      <c r="I36">
        <v>0.53787099999999999</v>
      </c>
      <c r="J36">
        <v>0.54312000000000005</v>
      </c>
      <c r="K36">
        <v>0.55299100000000001</v>
      </c>
      <c r="L36">
        <v>0.55299100000000001</v>
      </c>
      <c r="M36">
        <v>0.55299100000000001</v>
      </c>
      <c r="N36">
        <v>0.55299100000000001</v>
      </c>
      <c r="O36">
        <v>0.55299100000000001</v>
      </c>
      <c r="P36">
        <v>0.55299100000000001</v>
      </c>
    </row>
    <row r="37" spans="1:16" x14ac:dyDescent="0.15">
      <c r="A37">
        <v>1995</v>
      </c>
      <c r="B37">
        <v>0.40653400000000001</v>
      </c>
      <c r="C37">
        <v>0.63501600000000002</v>
      </c>
      <c r="D37">
        <v>0.72639900000000002</v>
      </c>
      <c r="E37">
        <v>0.70303599999999999</v>
      </c>
      <c r="F37">
        <v>0.64810299999999998</v>
      </c>
      <c r="G37">
        <v>0.56972</v>
      </c>
      <c r="H37">
        <v>0.56164700000000001</v>
      </c>
      <c r="I37">
        <v>0.56206100000000003</v>
      </c>
      <c r="J37">
        <v>0.57069800000000004</v>
      </c>
      <c r="K37">
        <v>0.57917399999999997</v>
      </c>
      <c r="L37">
        <v>0.57917399999999997</v>
      </c>
      <c r="M37">
        <v>0.57917399999999997</v>
      </c>
      <c r="N37">
        <v>0.57917399999999997</v>
      </c>
      <c r="O37">
        <v>0.57917399999999997</v>
      </c>
      <c r="P37">
        <v>0.57917399999999997</v>
      </c>
    </row>
    <row r="38" spans="1:16" x14ac:dyDescent="0.15">
      <c r="A38">
        <v>1996</v>
      </c>
      <c r="B38">
        <v>0.40653800000000001</v>
      </c>
      <c r="C38">
        <v>0.63498900000000003</v>
      </c>
      <c r="D38">
        <v>0.72596000000000005</v>
      </c>
      <c r="E38">
        <v>0.71243699999999999</v>
      </c>
      <c r="F38">
        <v>0.66870099999999999</v>
      </c>
      <c r="G38">
        <v>0.586511</v>
      </c>
      <c r="H38">
        <v>0.54507399999999995</v>
      </c>
      <c r="I38">
        <v>0.55309900000000001</v>
      </c>
      <c r="J38">
        <v>0.56954800000000005</v>
      </c>
      <c r="K38">
        <v>0.58010899999999999</v>
      </c>
      <c r="L38">
        <v>0.58010899999999999</v>
      </c>
      <c r="M38">
        <v>0.58010899999999999</v>
      </c>
      <c r="N38">
        <v>0.58010899999999999</v>
      </c>
      <c r="O38">
        <v>0.58010899999999999</v>
      </c>
      <c r="P38">
        <v>0.58010899999999999</v>
      </c>
    </row>
    <row r="39" spans="1:16" x14ac:dyDescent="0.15">
      <c r="A39">
        <v>1997</v>
      </c>
      <c r="B39">
        <v>0.40654099999999999</v>
      </c>
      <c r="C39">
        <v>0.634934</v>
      </c>
      <c r="D39">
        <v>0.72492400000000001</v>
      </c>
      <c r="E39">
        <v>0.70828899999999995</v>
      </c>
      <c r="F39">
        <v>0.67416100000000001</v>
      </c>
      <c r="G39">
        <v>0.60802299999999998</v>
      </c>
      <c r="H39">
        <v>0.56452999999999998</v>
      </c>
      <c r="I39">
        <v>0.56409799999999999</v>
      </c>
      <c r="J39">
        <v>0.57021699999999997</v>
      </c>
      <c r="K39">
        <v>0.58138199999999995</v>
      </c>
      <c r="L39">
        <v>0.58138199999999995</v>
      </c>
      <c r="M39">
        <v>0.58138199999999995</v>
      </c>
      <c r="N39">
        <v>0.58138199999999995</v>
      </c>
      <c r="O39">
        <v>0.58138199999999995</v>
      </c>
      <c r="P39">
        <v>0.58138199999999995</v>
      </c>
    </row>
    <row r="40" spans="1:16" x14ac:dyDescent="0.15">
      <c r="A40">
        <v>1998</v>
      </c>
      <c r="B40">
        <v>0.40654299999999999</v>
      </c>
      <c r="C40">
        <v>0.63530500000000001</v>
      </c>
      <c r="D40">
        <v>0.72334600000000004</v>
      </c>
      <c r="E40">
        <v>0.70430499999999996</v>
      </c>
      <c r="F40">
        <v>0.67186400000000002</v>
      </c>
      <c r="G40">
        <v>0.61361200000000005</v>
      </c>
      <c r="H40">
        <v>0.58790699999999996</v>
      </c>
      <c r="I40">
        <v>0.57607600000000003</v>
      </c>
      <c r="J40">
        <v>0.58095799999999997</v>
      </c>
      <c r="K40">
        <v>0.59132600000000002</v>
      </c>
      <c r="L40">
        <v>0.59132600000000002</v>
      </c>
      <c r="M40">
        <v>0.59132600000000002</v>
      </c>
      <c r="N40">
        <v>0.59132600000000002</v>
      </c>
      <c r="O40">
        <v>0.59132600000000002</v>
      </c>
      <c r="P40">
        <v>0.59132600000000002</v>
      </c>
    </row>
    <row r="41" spans="1:16" x14ac:dyDescent="0.15">
      <c r="A41">
        <v>1999</v>
      </c>
      <c r="B41">
        <v>0.40654600000000002</v>
      </c>
      <c r="C41">
        <v>0.635741</v>
      </c>
      <c r="D41">
        <v>0.71997500000000003</v>
      </c>
      <c r="E41">
        <v>0.69952199999999998</v>
      </c>
      <c r="F41">
        <v>0.67000400000000004</v>
      </c>
      <c r="G41">
        <v>0.63310299999999997</v>
      </c>
      <c r="H41">
        <v>0.59536299999999998</v>
      </c>
      <c r="I41">
        <v>0.59148699999999999</v>
      </c>
      <c r="J41">
        <v>0.60178600000000004</v>
      </c>
      <c r="K41">
        <v>0.61495200000000005</v>
      </c>
      <c r="L41">
        <v>0.61495200000000005</v>
      </c>
      <c r="M41">
        <v>0.61495200000000005</v>
      </c>
      <c r="N41">
        <v>0.61495200000000005</v>
      </c>
      <c r="O41">
        <v>0.61495200000000005</v>
      </c>
      <c r="P41">
        <v>0.61495200000000005</v>
      </c>
    </row>
    <row r="42" spans="1:16" x14ac:dyDescent="0.15">
      <c r="A42">
        <v>2000</v>
      </c>
      <c r="B42">
        <v>0.40654400000000002</v>
      </c>
      <c r="C42">
        <v>0.63569500000000001</v>
      </c>
      <c r="D42">
        <v>0.72156900000000002</v>
      </c>
      <c r="E42">
        <v>0.68694200000000005</v>
      </c>
      <c r="F42">
        <v>0.64615299999999998</v>
      </c>
      <c r="G42">
        <v>0.61499199999999998</v>
      </c>
      <c r="H42">
        <v>0.57769300000000001</v>
      </c>
      <c r="I42">
        <v>0.56395899999999999</v>
      </c>
      <c r="J42">
        <v>0.58658200000000005</v>
      </c>
      <c r="K42">
        <v>0.603329</v>
      </c>
      <c r="L42">
        <v>0.603329</v>
      </c>
      <c r="M42">
        <v>0.603329</v>
      </c>
      <c r="N42">
        <v>0.603329</v>
      </c>
      <c r="O42">
        <v>0.603329</v>
      </c>
      <c r="P42">
        <v>0.603329</v>
      </c>
    </row>
    <row r="43" spans="1:16" x14ac:dyDescent="0.15">
      <c r="A43">
        <v>2001</v>
      </c>
      <c r="B43">
        <v>0.40654200000000001</v>
      </c>
      <c r="C43">
        <v>0.63567799999999997</v>
      </c>
      <c r="D43">
        <v>0.72220300000000004</v>
      </c>
      <c r="E43">
        <v>0.68532599999999999</v>
      </c>
      <c r="F43">
        <v>0.62214400000000003</v>
      </c>
      <c r="G43">
        <v>0.57027600000000001</v>
      </c>
      <c r="H43">
        <v>0.55656899999999998</v>
      </c>
      <c r="I43">
        <v>0.55471000000000004</v>
      </c>
      <c r="J43">
        <v>0.57194199999999995</v>
      </c>
      <c r="K43">
        <v>0.58619399999999999</v>
      </c>
      <c r="L43">
        <v>0.58619399999999999</v>
      </c>
      <c r="M43">
        <v>0.58619399999999999</v>
      </c>
      <c r="N43">
        <v>0.58619399999999999</v>
      </c>
      <c r="O43">
        <v>0.58619399999999999</v>
      </c>
      <c r="P43">
        <v>0.58619399999999999</v>
      </c>
    </row>
    <row r="44" spans="1:16" x14ac:dyDescent="0.15">
      <c r="A44">
        <v>2002</v>
      </c>
      <c r="B44">
        <v>0.40654000000000001</v>
      </c>
      <c r="C44">
        <v>0.63550099999999998</v>
      </c>
      <c r="D44">
        <v>0.72035800000000005</v>
      </c>
      <c r="E44">
        <v>0.67898899999999995</v>
      </c>
      <c r="F44">
        <v>0.61218899999999998</v>
      </c>
      <c r="G44">
        <v>0.53711299999999995</v>
      </c>
      <c r="H44">
        <v>0.53205800000000003</v>
      </c>
      <c r="I44">
        <v>0.53487899999999999</v>
      </c>
      <c r="J44">
        <v>0.55191800000000002</v>
      </c>
      <c r="K44">
        <v>0.574017</v>
      </c>
      <c r="L44">
        <v>0.574017</v>
      </c>
      <c r="M44">
        <v>0.574017</v>
      </c>
      <c r="N44">
        <v>0.574017</v>
      </c>
      <c r="O44">
        <v>0.574017</v>
      </c>
      <c r="P44">
        <v>0.574017</v>
      </c>
    </row>
    <row r="45" spans="1:16" x14ac:dyDescent="0.15">
      <c r="A45">
        <v>2003</v>
      </c>
      <c r="B45">
        <v>0.40653800000000001</v>
      </c>
      <c r="C45">
        <v>0.63555499999999998</v>
      </c>
      <c r="D45">
        <v>0.71423300000000001</v>
      </c>
      <c r="E45">
        <v>0.67106900000000003</v>
      </c>
      <c r="F45">
        <v>0.59808099999999997</v>
      </c>
      <c r="G45">
        <v>0.53432299999999999</v>
      </c>
      <c r="H45">
        <v>0.52170300000000003</v>
      </c>
      <c r="I45">
        <v>0.52609899999999998</v>
      </c>
      <c r="J45">
        <v>0.54503599999999996</v>
      </c>
      <c r="K45">
        <v>0.57057400000000003</v>
      </c>
      <c r="L45">
        <v>0.57057400000000003</v>
      </c>
      <c r="M45">
        <v>0.57057400000000003</v>
      </c>
      <c r="N45">
        <v>0.57057400000000003</v>
      </c>
      <c r="O45">
        <v>0.57057400000000003</v>
      </c>
      <c r="P45">
        <v>0.57057400000000003</v>
      </c>
    </row>
    <row r="46" spans="1:16" x14ac:dyDescent="0.15">
      <c r="A46">
        <v>2004</v>
      </c>
      <c r="B46">
        <v>0.40654200000000001</v>
      </c>
      <c r="C46">
        <v>0.63587000000000005</v>
      </c>
      <c r="D46">
        <v>0.72092900000000004</v>
      </c>
      <c r="E46">
        <v>0.65152699999999997</v>
      </c>
      <c r="F46">
        <v>0.60425799999999996</v>
      </c>
      <c r="G46">
        <v>0.55836200000000002</v>
      </c>
      <c r="H46">
        <v>0.54349199999999998</v>
      </c>
      <c r="I46">
        <v>0.54946700000000004</v>
      </c>
      <c r="J46">
        <v>0.56600700000000004</v>
      </c>
      <c r="K46">
        <v>0.58563399999999999</v>
      </c>
      <c r="L46">
        <v>0.58563399999999999</v>
      </c>
      <c r="M46">
        <v>0.58563399999999999</v>
      </c>
      <c r="N46">
        <v>0.58563399999999999</v>
      </c>
      <c r="O46">
        <v>0.58563399999999999</v>
      </c>
      <c r="P46">
        <v>0.58563399999999999</v>
      </c>
    </row>
    <row r="47" spans="1:16" x14ac:dyDescent="0.15">
      <c r="A47">
        <v>2005</v>
      </c>
      <c r="B47">
        <v>0.40654400000000002</v>
      </c>
      <c r="C47">
        <v>0.63597599999999999</v>
      </c>
      <c r="D47">
        <v>0.72219100000000003</v>
      </c>
      <c r="E47">
        <v>0.66255500000000001</v>
      </c>
      <c r="F47">
        <v>0.57860299999999998</v>
      </c>
      <c r="G47">
        <v>0.54793700000000001</v>
      </c>
      <c r="H47">
        <v>0.55570200000000003</v>
      </c>
      <c r="I47">
        <v>0.56423800000000002</v>
      </c>
      <c r="J47">
        <v>0.57560900000000004</v>
      </c>
      <c r="K47">
        <v>0.59275699999999998</v>
      </c>
      <c r="L47">
        <v>0.59275699999999998</v>
      </c>
      <c r="M47">
        <v>0.59275699999999998</v>
      </c>
      <c r="N47">
        <v>0.59275699999999998</v>
      </c>
      <c r="O47">
        <v>0.59275699999999998</v>
      </c>
      <c r="P47">
        <v>0.59275699999999998</v>
      </c>
    </row>
    <row r="48" spans="1:16" x14ac:dyDescent="0.15">
      <c r="A48">
        <v>2006</v>
      </c>
      <c r="B48">
        <v>0.40654099999999999</v>
      </c>
      <c r="C48">
        <v>0.63576200000000005</v>
      </c>
      <c r="D48">
        <v>0.71779999999999999</v>
      </c>
      <c r="E48">
        <v>0.65364500000000003</v>
      </c>
      <c r="F48">
        <v>0.56906000000000001</v>
      </c>
      <c r="G48">
        <v>0.51822199999999996</v>
      </c>
      <c r="H48">
        <v>0.53110400000000002</v>
      </c>
      <c r="I48">
        <v>0.54201699999999997</v>
      </c>
      <c r="J48">
        <v>0.55502799999999997</v>
      </c>
      <c r="K48">
        <v>0.57115300000000002</v>
      </c>
      <c r="L48">
        <v>0.57115300000000002</v>
      </c>
      <c r="M48">
        <v>0.57115300000000002</v>
      </c>
      <c r="N48">
        <v>0.57115300000000002</v>
      </c>
      <c r="O48">
        <v>0.57115300000000002</v>
      </c>
      <c r="P48">
        <v>0.57115300000000002</v>
      </c>
    </row>
    <row r="49" spans="1:16" x14ac:dyDescent="0.15">
      <c r="A49">
        <v>2007</v>
      </c>
      <c r="B49">
        <v>0.40654000000000001</v>
      </c>
      <c r="C49">
        <v>0.635745</v>
      </c>
      <c r="D49">
        <v>0.71773799999999999</v>
      </c>
      <c r="E49">
        <v>0.65166199999999996</v>
      </c>
      <c r="F49">
        <v>0.56975399999999998</v>
      </c>
      <c r="G49">
        <v>0.501475</v>
      </c>
      <c r="H49">
        <v>0.52084200000000003</v>
      </c>
      <c r="I49">
        <v>0.53513999999999995</v>
      </c>
      <c r="J49">
        <v>0.54524499999999998</v>
      </c>
      <c r="K49">
        <v>0.55933200000000005</v>
      </c>
      <c r="L49">
        <v>0.55933200000000005</v>
      </c>
      <c r="M49">
        <v>0.55933200000000005</v>
      </c>
      <c r="N49">
        <v>0.55933200000000005</v>
      </c>
      <c r="O49">
        <v>0.55933200000000005</v>
      </c>
      <c r="P49">
        <v>0.55933200000000005</v>
      </c>
    </row>
    <row r="50" spans="1:16" x14ac:dyDescent="0.15">
      <c r="A50">
        <v>2008</v>
      </c>
      <c r="B50">
        <v>0.40654099999999999</v>
      </c>
      <c r="C50">
        <v>0.63582399999999994</v>
      </c>
      <c r="D50">
        <v>0.72067199999999998</v>
      </c>
      <c r="E50">
        <v>0.65101399999999998</v>
      </c>
      <c r="F50">
        <v>0.57298499999999997</v>
      </c>
      <c r="G50">
        <v>0.49604500000000001</v>
      </c>
      <c r="H50">
        <v>0.50778299999999998</v>
      </c>
      <c r="I50">
        <v>0.52622599999999997</v>
      </c>
      <c r="J50">
        <v>0.53161499999999995</v>
      </c>
      <c r="K50">
        <v>0.54459000000000002</v>
      </c>
      <c r="L50">
        <v>0.54459000000000002</v>
      </c>
      <c r="M50">
        <v>0.54459000000000002</v>
      </c>
      <c r="N50">
        <v>0.54459000000000002</v>
      </c>
      <c r="O50">
        <v>0.54459000000000002</v>
      </c>
      <c r="P50">
        <v>0.54459000000000002</v>
      </c>
    </row>
    <row r="51" spans="1:16" x14ac:dyDescent="0.15">
      <c r="A51">
        <v>2009</v>
      </c>
      <c r="B51">
        <v>0.40654499999999999</v>
      </c>
      <c r="C51">
        <v>0.63615900000000003</v>
      </c>
      <c r="D51">
        <v>0.72487599999999996</v>
      </c>
      <c r="E51">
        <v>0.66195400000000004</v>
      </c>
      <c r="F51">
        <v>0.599993</v>
      </c>
      <c r="G51">
        <v>0.53636399999999995</v>
      </c>
      <c r="H51">
        <v>0.53493800000000002</v>
      </c>
      <c r="I51">
        <v>0.54285000000000005</v>
      </c>
      <c r="J51">
        <v>0.54801</v>
      </c>
      <c r="K51">
        <v>0.55076999999999998</v>
      </c>
      <c r="L51">
        <v>0.55076999999999998</v>
      </c>
      <c r="M51">
        <v>0.55076999999999998</v>
      </c>
      <c r="N51">
        <v>0.55076999999999998</v>
      </c>
      <c r="O51">
        <v>0.55076999999999998</v>
      </c>
      <c r="P51">
        <v>0.55076999999999998</v>
      </c>
    </row>
    <row r="52" spans="1:16" x14ac:dyDescent="0.15">
      <c r="A52">
        <v>2010</v>
      </c>
      <c r="B52">
        <v>0.40654800000000002</v>
      </c>
      <c r="C52">
        <v>0.63634800000000002</v>
      </c>
      <c r="D52">
        <v>0.72897199999999995</v>
      </c>
      <c r="E52">
        <v>0.66239499999999996</v>
      </c>
      <c r="F52">
        <v>0.60796499999999998</v>
      </c>
      <c r="G52">
        <v>0.56391199999999997</v>
      </c>
      <c r="H52">
        <v>0.55972100000000002</v>
      </c>
      <c r="I52">
        <v>0.56196100000000004</v>
      </c>
      <c r="J52">
        <v>0.56697600000000004</v>
      </c>
      <c r="K52">
        <v>0.57302600000000004</v>
      </c>
      <c r="L52">
        <v>0.57302600000000004</v>
      </c>
      <c r="M52">
        <v>0.57302600000000004</v>
      </c>
      <c r="N52">
        <v>0.57302600000000004</v>
      </c>
      <c r="O52">
        <v>0.57302600000000004</v>
      </c>
      <c r="P52">
        <v>0.57302600000000004</v>
      </c>
    </row>
    <row r="53" spans="1:16" x14ac:dyDescent="0.15">
      <c r="A53">
        <v>2011</v>
      </c>
      <c r="B53">
        <v>0.40654299999999999</v>
      </c>
      <c r="C53">
        <v>0.63591699999999995</v>
      </c>
      <c r="D53">
        <v>0.72671200000000002</v>
      </c>
      <c r="E53">
        <v>0.66547900000000004</v>
      </c>
      <c r="F53">
        <v>0.55248200000000003</v>
      </c>
      <c r="G53">
        <v>0.50660400000000005</v>
      </c>
      <c r="H53">
        <v>0.50983900000000004</v>
      </c>
      <c r="I53">
        <v>0.51456000000000002</v>
      </c>
      <c r="J53">
        <v>0.52157299999999995</v>
      </c>
      <c r="K53">
        <v>0.52934599999999998</v>
      </c>
      <c r="L53">
        <v>0.52934599999999998</v>
      </c>
      <c r="M53">
        <v>0.52934599999999998</v>
      </c>
      <c r="N53">
        <v>0.52934599999999998</v>
      </c>
      <c r="O53">
        <v>0.52934599999999998</v>
      </c>
      <c r="P53">
        <v>0.52934599999999998</v>
      </c>
    </row>
    <row r="54" spans="1:16" x14ac:dyDescent="0.15">
      <c r="A54">
        <v>2012</v>
      </c>
      <c r="B54">
        <v>0.40654600000000002</v>
      </c>
      <c r="C54">
        <v>0.636019</v>
      </c>
      <c r="D54">
        <v>0.727186</v>
      </c>
      <c r="E54">
        <v>0.66806500000000002</v>
      </c>
      <c r="F54">
        <v>0.61369200000000002</v>
      </c>
      <c r="G54">
        <v>0.53909300000000004</v>
      </c>
      <c r="H54">
        <v>0.52935600000000005</v>
      </c>
      <c r="I54">
        <v>0.53300199999999998</v>
      </c>
      <c r="J54">
        <v>0.53989699999999996</v>
      </c>
      <c r="K54">
        <v>0.54566099999999995</v>
      </c>
      <c r="L54">
        <v>0.54566099999999995</v>
      </c>
      <c r="M54">
        <v>0.54566099999999995</v>
      </c>
      <c r="N54">
        <v>0.54566099999999995</v>
      </c>
      <c r="O54">
        <v>0.54566099999999995</v>
      </c>
      <c r="P54">
        <v>0.54566099999999995</v>
      </c>
    </row>
    <row r="55" spans="1:16" x14ac:dyDescent="0.15">
      <c r="A55">
        <v>2013</v>
      </c>
      <c r="B55">
        <v>0.40654899999999999</v>
      </c>
      <c r="C55">
        <v>0.63621700000000003</v>
      </c>
      <c r="D55">
        <v>0.72888600000000003</v>
      </c>
      <c r="E55">
        <v>0.67866099999999996</v>
      </c>
      <c r="F55">
        <v>0.62705100000000003</v>
      </c>
      <c r="G55">
        <v>0.58676200000000001</v>
      </c>
      <c r="H55">
        <v>0.56032999999999999</v>
      </c>
      <c r="I55">
        <v>0.55687900000000001</v>
      </c>
      <c r="J55">
        <v>0.56031500000000001</v>
      </c>
      <c r="K55">
        <v>0.56135699999999999</v>
      </c>
      <c r="L55">
        <v>0.56135699999999999</v>
      </c>
      <c r="M55">
        <v>0.56135699999999999</v>
      </c>
      <c r="N55">
        <v>0.56135699999999999</v>
      </c>
      <c r="O55">
        <v>0.56135699999999999</v>
      </c>
      <c r="P55">
        <v>0.56135699999999999</v>
      </c>
    </row>
    <row r="56" spans="1:16" x14ac:dyDescent="0.15">
      <c r="A56">
        <v>2014</v>
      </c>
      <c r="B56">
        <v>0.40655000000000002</v>
      </c>
      <c r="C56">
        <v>0.63617800000000002</v>
      </c>
      <c r="D56">
        <v>0.72942799999999997</v>
      </c>
      <c r="E56">
        <v>0.68467500000000003</v>
      </c>
      <c r="F56">
        <v>0.62809099999999995</v>
      </c>
      <c r="G56">
        <v>0.59440499999999996</v>
      </c>
      <c r="H56">
        <v>0.54686800000000002</v>
      </c>
      <c r="I56">
        <v>0.56488099999999997</v>
      </c>
      <c r="J56">
        <v>0.56326299999999996</v>
      </c>
      <c r="K56">
        <v>0.56391899999999995</v>
      </c>
      <c r="L56">
        <v>0.56391899999999995</v>
      </c>
      <c r="M56">
        <v>0.56391899999999995</v>
      </c>
      <c r="N56">
        <v>0.56391899999999995</v>
      </c>
      <c r="O56">
        <v>0.56391899999999995</v>
      </c>
      <c r="P56">
        <v>0.56391899999999995</v>
      </c>
    </row>
    <row r="57" spans="1:16" x14ac:dyDescent="0.15">
      <c r="A57">
        <v>2015</v>
      </c>
      <c r="B57">
        <v>0.406551</v>
      </c>
      <c r="C57">
        <v>0.63622299999999998</v>
      </c>
      <c r="D57">
        <v>0.72978200000000004</v>
      </c>
      <c r="E57">
        <v>0.68623299999999998</v>
      </c>
      <c r="F57">
        <v>0.63059699999999996</v>
      </c>
      <c r="G57">
        <v>0.59807900000000003</v>
      </c>
      <c r="H57">
        <v>0.55817099999999997</v>
      </c>
      <c r="I57">
        <v>0.56730700000000001</v>
      </c>
      <c r="J57">
        <v>0.56748399999999999</v>
      </c>
      <c r="K57">
        <v>0.56800600000000001</v>
      </c>
      <c r="L57">
        <v>0.56800600000000001</v>
      </c>
      <c r="M57">
        <v>0.56800600000000001</v>
      </c>
      <c r="N57">
        <v>0.56800600000000001</v>
      </c>
      <c r="O57">
        <v>0.56800600000000001</v>
      </c>
      <c r="P57">
        <v>0.56800600000000001</v>
      </c>
    </row>
    <row r="58" spans="1:16" x14ac:dyDescent="0.15">
      <c r="A58" t="s">
        <v>154</v>
      </c>
      <c r="B58" t="s">
        <v>160</v>
      </c>
      <c r="C58" t="s">
        <v>158</v>
      </c>
      <c r="D58" t="s">
        <v>159</v>
      </c>
    </row>
    <row r="59" spans="1:16" x14ac:dyDescent="0.15">
      <c r="A59">
        <v>1964</v>
      </c>
      <c r="B59">
        <v>6397.97</v>
      </c>
      <c r="C59">
        <v>3197.44</v>
      </c>
      <c r="D59">
        <v>2063.8000000000002</v>
      </c>
      <c r="E59">
        <v>507.97</v>
      </c>
      <c r="F59">
        <v>220.72</v>
      </c>
      <c r="G59">
        <v>430.04700000000003</v>
      </c>
      <c r="H59">
        <v>192.06100000000001</v>
      </c>
      <c r="I59">
        <v>60.642299999999999</v>
      </c>
      <c r="J59">
        <v>38.1447</v>
      </c>
      <c r="K59">
        <v>38.197000000000003</v>
      </c>
      <c r="L59">
        <v>38.098399999999998</v>
      </c>
      <c r="M59">
        <v>38.018599999999999</v>
      </c>
      <c r="N59">
        <v>37.955100000000002</v>
      </c>
      <c r="O59">
        <v>37.889299999999999</v>
      </c>
      <c r="P59">
        <v>37.820999999999998</v>
      </c>
    </row>
    <row r="60" spans="1:16" x14ac:dyDescent="0.15">
      <c r="A60">
        <v>1965</v>
      </c>
      <c r="B60">
        <v>20667.400000000001</v>
      </c>
      <c r="C60">
        <v>2599.41</v>
      </c>
      <c r="D60">
        <v>2003.15</v>
      </c>
      <c r="E60">
        <v>1436.64</v>
      </c>
      <c r="F60">
        <v>325.22399999999999</v>
      </c>
      <c r="G60">
        <v>141.613</v>
      </c>
      <c r="H60">
        <v>276.50099999999998</v>
      </c>
      <c r="I60">
        <v>123.973</v>
      </c>
      <c r="J60">
        <v>39.286000000000001</v>
      </c>
      <c r="K60">
        <v>24.78</v>
      </c>
      <c r="L60">
        <v>24.863499999999998</v>
      </c>
      <c r="M60">
        <v>24.799299999999999</v>
      </c>
      <c r="N60">
        <v>24.747399999999999</v>
      </c>
      <c r="O60">
        <v>24.706</v>
      </c>
      <c r="P60">
        <v>49.2819</v>
      </c>
    </row>
    <row r="61" spans="1:16" x14ac:dyDescent="0.15">
      <c r="A61">
        <v>1966</v>
      </c>
      <c r="B61">
        <v>14642.3</v>
      </c>
      <c r="C61">
        <v>8396.3700000000008</v>
      </c>
      <c r="D61">
        <v>1625.79</v>
      </c>
      <c r="E61">
        <v>1383.56</v>
      </c>
      <c r="F61">
        <v>907.31299999999999</v>
      </c>
      <c r="G61">
        <v>206.173</v>
      </c>
      <c r="H61">
        <v>90.149199999999993</v>
      </c>
      <c r="I61">
        <v>176.65600000000001</v>
      </c>
      <c r="J61">
        <v>79.439099999999996</v>
      </c>
      <c r="K61">
        <v>25.2379</v>
      </c>
      <c r="L61">
        <v>15.956899999999999</v>
      </c>
      <c r="M61">
        <v>16.0106</v>
      </c>
      <c r="N61">
        <v>15.9693</v>
      </c>
      <c r="O61">
        <v>15.9359</v>
      </c>
      <c r="P61">
        <v>47.643900000000002</v>
      </c>
    </row>
    <row r="62" spans="1:16" x14ac:dyDescent="0.15">
      <c r="A62">
        <v>1967</v>
      </c>
      <c r="B62">
        <v>24038.7</v>
      </c>
      <c r="C62">
        <v>5948.75</v>
      </c>
      <c r="D62">
        <v>5253.05</v>
      </c>
      <c r="E62">
        <v>1122.26</v>
      </c>
      <c r="F62">
        <v>880.822</v>
      </c>
      <c r="G62">
        <v>579.24099999999999</v>
      </c>
      <c r="H62">
        <v>132.221</v>
      </c>
      <c r="I62">
        <v>57.956299999999999</v>
      </c>
      <c r="J62">
        <v>113.806</v>
      </c>
      <c r="K62">
        <v>51.274999999999999</v>
      </c>
      <c r="L62">
        <v>16.3245</v>
      </c>
      <c r="M62">
        <v>10.321300000000001</v>
      </c>
      <c r="N62">
        <v>10.3561</v>
      </c>
      <c r="O62">
        <v>10.3293</v>
      </c>
      <c r="P62">
        <v>41.125</v>
      </c>
    </row>
    <row r="63" spans="1:16" x14ac:dyDescent="0.15">
      <c r="A63">
        <v>1968</v>
      </c>
      <c r="B63">
        <v>21215.5</v>
      </c>
      <c r="C63">
        <v>9761.19</v>
      </c>
      <c r="D63">
        <v>3668.06</v>
      </c>
      <c r="E63">
        <v>3420.8</v>
      </c>
      <c r="F63">
        <v>647.17899999999997</v>
      </c>
      <c r="G63">
        <v>508.75200000000001</v>
      </c>
      <c r="H63">
        <v>336.47500000000002</v>
      </c>
      <c r="I63">
        <v>76.957499999999996</v>
      </c>
      <c r="J63">
        <v>33.768000000000001</v>
      </c>
      <c r="K63">
        <v>66.4499</v>
      </c>
      <c r="L63">
        <v>30.003</v>
      </c>
      <c r="M63">
        <v>9.5520999999999994</v>
      </c>
      <c r="N63">
        <v>6.0393800000000004</v>
      </c>
      <c r="O63">
        <v>6.0597200000000004</v>
      </c>
      <c r="P63">
        <v>30.107900000000001</v>
      </c>
    </row>
    <row r="64" spans="1:16" x14ac:dyDescent="0.15">
      <c r="A64">
        <v>1969</v>
      </c>
      <c r="B64">
        <v>26307.1</v>
      </c>
      <c r="C64">
        <v>8614.7000000000007</v>
      </c>
      <c r="D64">
        <v>6010.96</v>
      </c>
      <c r="E64">
        <v>2375.61</v>
      </c>
      <c r="F64">
        <v>1978.32</v>
      </c>
      <c r="G64">
        <v>375.221</v>
      </c>
      <c r="H64">
        <v>296.161</v>
      </c>
      <c r="I64">
        <v>195.90600000000001</v>
      </c>
      <c r="J64">
        <v>44.7059</v>
      </c>
      <c r="K64">
        <v>19.634899999999998</v>
      </c>
      <c r="L64">
        <v>38.704300000000003</v>
      </c>
      <c r="M64">
        <v>17.4755</v>
      </c>
      <c r="N64">
        <v>5.5636999999999999</v>
      </c>
      <c r="O64">
        <v>3.51769</v>
      </c>
      <c r="P64">
        <v>21.066099999999999</v>
      </c>
    </row>
    <row r="65" spans="1:16" x14ac:dyDescent="0.15">
      <c r="A65">
        <v>1970</v>
      </c>
      <c r="B65">
        <v>24796</v>
      </c>
      <c r="C65">
        <v>10681.5</v>
      </c>
      <c r="D65">
        <v>5288.91</v>
      </c>
      <c r="E65">
        <v>3833.77</v>
      </c>
      <c r="F65">
        <v>1369.32</v>
      </c>
      <c r="G65">
        <v>1138.7</v>
      </c>
      <c r="H65">
        <v>216.51599999999999</v>
      </c>
      <c r="I65">
        <v>170.42500000000001</v>
      </c>
      <c r="J65">
        <v>111.932</v>
      </c>
      <c r="K65">
        <v>25.535499999999999</v>
      </c>
      <c r="L65">
        <v>11.201700000000001</v>
      </c>
      <c r="M65">
        <v>22.0807</v>
      </c>
      <c r="N65">
        <v>9.9696899999999999</v>
      </c>
      <c r="O65">
        <v>3.1740699999999999</v>
      </c>
      <c r="P65">
        <v>14.025</v>
      </c>
    </row>
    <row r="66" spans="1:16" x14ac:dyDescent="0.15">
      <c r="A66">
        <v>1971</v>
      </c>
      <c r="B66">
        <v>15555.7</v>
      </c>
      <c r="C66">
        <v>10063.799999999999</v>
      </c>
      <c r="D66">
        <v>6468.19</v>
      </c>
      <c r="E66">
        <v>3204.09</v>
      </c>
      <c r="F66">
        <v>2088.0700000000002</v>
      </c>
      <c r="G66">
        <v>733.45500000000004</v>
      </c>
      <c r="H66">
        <v>610.83900000000006</v>
      </c>
      <c r="I66">
        <v>115.21</v>
      </c>
      <c r="J66">
        <v>89.259399999999999</v>
      </c>
      <c r="K66">
        <v>58.470799999999997</v>
      </c>
      <c r="L66">
        <v>13.128299999999999</v>
      </c>
      <c r="M66">
        <v>5.7589800000000002</v>
      </c>
      <c r="N66">
        <v>11.3521</v>
      </c>
      <c r="O66">
        <v>5.12561</v>
      </c>
      <c r="P66">
        <v>8.8423499999999997</v>
      </c>
    </row>
    <row r="67" spans="1:16" x14ac:dyDescent="0.15">
      <c r="A67">
        <v>1972</v>
      </c>
      <c r="B67">
        <v>12755.7</v>
      </c>
      <c r="C67">
        <v>6310.05</v>
      </c>
      <c r="D67">
        <v>5975.62</v>
      </c>
      <c r="E67">
        <v>3638.62</v>
      </c>
      <c r="F67">
        <v>1587.1</v>
      </c>
      <c r="G67">
        <v>999.10500000000002</v>
      </c>
      <c r="H67">
        <v>351.88600000000002</v>
      </c>
      <c r="I67">
        <v>289.65800000000002</v>
      </c>
      <c r="J67">
        <v>53.021900000000002</v>
      </c>
      <c r="K67">
        <v>40.814399999999999</v>
      </c>
      <c r="L67">
        <v>25.814900000000002</v>
      </c>
      <c r="M67">
        <v>5.7961400000000003</v>
      </c>
      <c r="N67">
        <v>2.5426000000000002</v>
      </c>
      <c r="O67">
        <v>5.0119499999999997</v>
      </c>
      <c r="P67">
        <v>6.1668599999999998</v>
      </c>
    </row>
    <row r="68" spans="1:16" x14ac:dyDescent="0.15">
      <c r="A68">
        <v>1973</v>
      </c>
      <c r="B68">
        <v>26808.799999999999</v>
      </c>
      <c r="C68">
        <v>5173.34</v>
      </c>
      <c r="D68">
        <v>3697.51</v>
      </c>
      <c r="E68">
        <v>3193.34</v>
      </c>
      <c r="F68">
        <v>1706.7</v>
      </c>
      <c r="G68">
        <v>715.98800000000006</v>
      </c>
      <c r="H68">
        <v>450.74700000000001</v>
      </c>
      <c r="I68">
        <v>156.60400000000001</v>
      </c>
      <c r="J68">
        <v>124.124</v>
      </c>
      <c r="K68">
        <v>22.4816</v>
      </c>
      <c r="L68">
        <v>16.809200000000001</v>
      </c>
      <c r="M68">
        <v>10.6317</v>
      </c>
      <c r="N68">
        <v>2.3871099999999998</v>
      </c>
      <c r="O68">
        <v>1.04715</v>
      </c>
      <c r="P68">
        <v>4.6039300000000001</v>
      </c>
    </row>
    <row r="69" spans="1:16" x14ac:dyDescent="0.15">
      <c r="A69">
        <v>1974</v>
      </c>
      <c r="B69">
        <v>20039</v>
      </c>
      <c r="C69">
        <v>10871.1</v>
      </c>
      <c r="D69">
        <v>2990.49</v>
      </c>
      <c r="E69">
        <v>1868</v>
      </c>
      <c r="F69">
        <v>1409.61</v>
      </c>
      <c r="G69">
        <v>718.26300000000003</v>
      </c>
      <c r="H69">
        <v>300.56599999999997</v>
      </c>
      <c r="I69">
        <v>186.47900000000001</v>
      </c>
      <c r="J69">
        <v>61.898200000000003</v>
      </c>
      <c r="K69">
        <v>48.4</v>
      </c>
      <c r="L69">
        <v>8.61721</v>
      </c>
      <c r="M69">
        <v>6.4429800000000004</v>
      </c>
      <c r="N69">
        <v>4.0751499999999998</v>
      </c>
      <c r="O69">
        <v>0.91498100000000004</v>
      </c>
      <c r="P69">
        <v>2.1660699999999999</v>
      </c>
    </row>
    <row r="70" spans="1:16" x14ac:dyDescent="0.15">
      <c r="A70">
        <v>1975</v>
      </c>
      <c r="B70">
        <v>18074.8</v>
      </c>
      <c r="C70">
        <v>8124.68</v>
      </c>
      <c r="D70">
        <v>6192.73</v>
      </c>
      <c r="E70">
        <v>1409.45</v>
      </c>
      <c r="F70">
        <v>769.65700000000004</v>
      </c>
      <c r="G70">
        <v>550.048</v>
      </c>
      <c r="H70">
        <v>279.93099999999998</v>
      </c>
      <c r="I70">
        <v>115.134</v>
      </c>
      <c r="J70">
        <v>67.724100000000007</v>
      </c>
      <c r="K70">
        <v>22.069299999999998</v>
      </c>
      <c r="L70">
        <v>17.3307</v>
      </c>
      <c r="M70">
        <v>3.0855800000000002</v>
      </c>
      <c r="N70">
        <v>2.3070499999999998</v>
      </c>
      <c r="O70">
        <v>1.4592000000000001</v>
      </c>
      <c r="P70">
        <v>1.10324</v>
      </c>
    </row>
    <row r="71" spans="1:16" x14ac:dyDescent="0.15">
      <c r="A71">
        <v>1976</v>
      </c>
      <c r="B71">
        <v>14600.5</v>
      </c>
      <c r="C71">
        <v>7332.46</v>
      </c>
      <c r="D71">
        <v>4726.24</v>
      </c>
      <c r="E71">
        <v>3075.68</v>
      </c>
      <c r="F71">
        <v>629.21900000000005</v>
      </c>
      <c r="G71">
        <v>328.077</v>
      </c>
      <c r="H71">
        <v>234.352</v>
      </c>
      <c r="I71">
        <v>117.56699999999999</v>
      </c>
      <c r="J71">
        <v>46.186</v>
      </c>
      <c r="K71">
        <v>26.624400000000001</v>
      </c>
      <c r="L71">
        <v>8.7437900000000006</v>
      </c>
      <c r="M71">
        <v>6.8663499999999997</v>
      </c>
      <c r="N71">
        <v>1.2224999999999999</v>
      </c>
      <c r="O71">
        <v>0.914045</v>
      </c>
      <c r="P71">
        <v>1.0152300000000001</v>
      </c>
    </row>
    <row r="72" spans="1:16" x14ac:dyDescent="0.15">
      <c r="A72">
        <v>1977</v>
      </c>
      <c r="B72">
        <v>16658.900000000001</v>
      </c>
      <c r="C72">
        <v>5925.86</v>
      </c>
      <c r="D72">
        <v>4343.82</v>
      </c>
      <c r="E72">
        <v>2535.25</v>
      </c>
      <c r="F72">
        <v>1477.14</v>
      </c>
      <c r="G72">
        <v>289.98099999999999</v>
      </c>
      <c r="H72">
        <v>151.37200000000001</v>
      </c>
      <c r="I72">
        <v>107.018</v>
      </c>
      <c r="J72">
        <v>51.668599999999998</v>
      </c>
      <c r="K72">
        <v>19.8322</v>
      </c>
      <c r="L72">
        <v>11.5099</v>
      </c>
      <c r="M72">
        <v>3.7799900000000002</v>
      </c>
      <c r="N72">
        <v>2.9683600000000001</v>
      </c>
      <c r="O72">
        <v>0.52849100000000004</v>
      </c>
      <c r="P72">
        <v>0.83403400000000005</v>
      </c>
    </row>
    <row r="73" spans="1:16" x14ac:dyDescent="0.15">
      <c r="A73">
        <v>1978</v>
      </c>
      <c r="B73">
        <v>29688.7</v>
      </c>
      <c r="C73">
        <v>6764.24</v>
      </c>
      <c r="D73">
        <v>3570.92</v>
      </c>
      <c r="E73">
        <v>2521.66</v>
      </c>
      <c r="F73">
        <v>1337.29</v>
      </c>
      <c r="G73">
        <v>739.15099999999995</v>
      </c>
      <c r="H73">
        <v>145.40600000000001</v>
      </c>
      <c r="I73">
        <v>75.376900000000006</v>
      </c>
      <c r="J73">
        <v>51.734200000000001</v>
      </c>
      <c r="K73">
        <v>24.3355</v>
      </c>
      <c r="L73">
        <v>9.3626100000000001</v>
      </c>
      <c r="M73">
        <v>5.4337</v>
      </c>
      <c r="N73">
        <v>1.7845</v>
      </c>
      <c r="O73">
        <v>1.40133</v>
      </c>
      <c r="P73">
        <v>0.64323600000000003</v>
      </c>
    </row>
    <row r="74" spans="1:16" x14ac:dyDescent="0.15">
      <c r="A74">
        <v>1979</v>
      </c>
      <c r="B74">
        <v>69378.2</v>
      </c>
      <c r="C74">
        <v>12056.2</v>
      </c>
      <c r="D74">
        <v>4095.01</v>
      </c>
      <c r="E74">
        <v>2106.35</v>
      </c>
      <c r="F74">
        <v>1344.9</v>
      </c>
      <c r="G74">
        <v>667.44899999999996</v>
      </c>
      <c r="H74">
        <v>368.51499999999999</v>
      </c>
      <c r="I74">
        <v>71.9345</v>
      </c>
      <c r="J74">
        <v>36.26</v>
      </c>
      <c r="K74">
        <v>24.059799999999999</v>
      </c>
      <c r="L74">
        <v>11.3009</v>
      </c>
      <c r="M74">
        <v>4.3478199999999996</v>
      </c>
      <c r="N74">
        <v>2.5233099999999999</v>
      </c>
      <c r="O74">
        <v>0.828685</v>
      </c>
      <c r="P74">
        <v>0.94945900000000005</v>
      </c>
    </row>
    <row r="75" spans="1:16" x14ac:dyDescent="0.15">
      <c r="A75">
        <v>1980</v>
      </c>
      <c r="B75">
        <v>27706</v>
      </c>
      <c r="C75">
        <v>28179.1</v>
      </c>
      <c r="D75">
        <v>7380.66</v>
      </c>
      <c r="E75">
        <v>2516.61</v>
      </c>
      <c r="F75">
        <v>1162.44</v>
      </c>
      <c r="G75">
        <v>688.87400000000002</v>
      </c>
      <c r="H75">
        <v>338.42</v>
      </c>
      <c r="I75">
        <v>187.041</v>
      </c>
      <c r="J75">
        <v>35.6372</v>
      </c>
      <c r="K75">
        <v>17.310300000000002</v>
      </c>
      <c r="L75">
        <v>11.4046</v>
      </c>
      <c r="M75">
        <v>5.35677</v>
      </c>
      <c r="N75">
        <v>2.0609099999999998</v>
      </c>
      <c r="O75">
        <v>1.19607</v>
      </c>
      <c r="P75">
        <v>0.84286000000000005</v>
      </c>
    </row>
    <row r="76" spans="1:16" x14ac:dyDescent="0.15">
      <c r="A76">
        <v>1981</v>
      </c>
      <c r="B76">
        <v>31199.8</v>
      </c>
      <c r="C76">
        <v>11256.4</v>
      </c>
      <c r="D76">
        <v>17487.099999999999</v>
      </c>
      <c r="E76">
        <v>4792.62</v>
      </c>
      <c r="F76">
        <v>1466.09</v>
      </c>
      <c r="G76">
        <v>632.71900000000005</v>
      </c>
      <c r="H76">
        <v>370.66899999999998</v>
      </c>
      <c r="I76">
        <v>182.60300000000001</v>
      </c>
      <c r="J76">
        <v>99.495400000000004</v>
      </c>
      <c r="K76">
        <v>18.3385</v>
      </c>
      <c r="L76">
        <v>8.7879400000000008</v>
      </c>
      <c r="M76">
        <v>5.7897800000000004</v>
      </c>
      <c r="N76">
        <v>2.7194699999999998</v>
      </c>
      <c r="O76">
        <v>1.04626</v>
      </c>
      <c r="P76">
        <v>1.03511</v>
      </c>
    </row>
    <row r="77" spans="1:16" x14ac:dyDescent="0.15">
      <c r="A77">
        <v>1982</v>
      </c>
      <c r="B77">
        <v>16738.900000000001</v>
      </c>
      <c r="C77">
        <v>12679.4</v>
      </c>
      <c r="D77">
        <v>7063.53</v>
      </c>
      <c r="E77">
        <v>12005.6</v>
      </c>
      <c r="F77">
        <v>3018.54</v>
      </c>
      <c r="G77">
        <v>875.21199999999999</v>
      </c>
      <c r="H77">
        <v>374.93400000000003</v>
      </c>
      <c r="I77">
        <v>220.053</v>
      </c>
      <c r="J77">
        <v>107.562</v>
      </c>
      <c r="K77">
        <v>57.228900000000003</v>
      </c>
      <c r="L77">
        <v>10.4002</v>
      </c>
      <c r="M77">
        <v>4.9838199999999997</v>
      </c>
      <c r="N77">
        <v>3.2835100000000002</v>
      </c>
      <c r="O77">
        <v>1.54227</v>
      </c>
      <c r="P77">
        <v>1.1803900000000001</v>
      </c>
    </row>
    <row r="78" spans="1:16" x14ac:dyDescent="0.15">
      <c r="A78">
        <v>1983</v>
      </c>
      <c r="B78">
        <v>50418.6</v>
      </c>
      <c r="C78">
        <v>6803.73</v>
      </c>
      <c r="D78">
        <v>8006.09</v>
      </c>
      <c r="E78">
        <v>5003.21</v>
      </c>
      <c r="F78">
        <v>7992.03</v>
      </c>
      <c r="G78">
        <v>1924.27</v>
      </c>
      <c r="H78">
        <v>554.00099999999998</v>
      </c>
      <c r="I78">
        <v>237.661</v>
      </c>
      <c r="J78">
        <v>138.929</v>
      </c>
      <c r="K78">
        <v>66.744699999999995</v>
      </c>
      <c r="L78">
        <v>35.069600000000001</v>
      </c>
      <c r="M78">
        <v>6.3731799999999996</v>
      </c>
      <c r="N78">
        <v>3.0540699999999998</v>
      </c>
      <c r="O78">
        <v>2.0121199999999999</v>
      </c>
      <c r="P78">
        <v>1.6684300000000001</v>
      </c>
    </row>
    <row r="79" spans="1:16" x14ac:dyDescent="0.15">
      <c r="A79">
        <v>1984</v>
      </c>
      <c r="B79">
        <v>12783.2</v>
      </c>
      <c r="C79">
        <v>20494.5</v>
      </c>
      <c r="D79">
        <v>4304.83</v>
      </c>
      <c r="E79">
        <v>5728.03</v>
      </c>
      <c r="F79">
        <v>3406.54</v>
      </c>
      <c r="G79">
        <v>5220.54</v>
      </c>
      <c r="H79">
        <v>1241.43</v>
      </c>
      <c r="I79">
        <v>357.90199999999999</v>
      </c>
      <c r="J79">
        <v>153.26300000000001</v>
      </c>
      <c r="K79">
        <v>88.215199999999996</v>
      </c>
      <c r="L79">
        <v>41.860700000000001</v>
      </c>
      <c r="M79">
        <v>21.994900000000001</v>
      </c>
      <c r="N79">
        <v>3.9971100000000002</v>
      </c>
      <c r="O79">
        <v>1.91544</v>
      </c>
      <c r="P79">
        <v>2.30836</v>
      </c>
    </row>
    <row r="80" spans="1:16" x14ac:dyDescent="0.15">
      <c r="A80">
        <v>1985</v>
      </c>
      <c r="B80">
        <v>32267</v>
      </c>
      <c r="C80">
        <v>5196.26</v>
      </c>
      <c r="D80">
        <v>12974.9</v>
      </c>
      <c r="E80">
        <v>3081.38</v>
      </c>
      <c r="F80">
        <v>3909.1</v>
      </c>
      <c r="G80">
        <v>2217.62</v>
      </c>
      <c r="H80">
        <v>3341.46</v>
      </c>
      <c r="I80">
        <v>794.13400000000001</v>
      </c>
      <c r="J80">
        <v>229.01</v>
      </c>
      <c r="K80">
        <v>96.456100000000006</v>
      </c>
      <c r="L80">
        <v>54.8399</v>
      </c>
      <c r="M80">
        <v>26.023099999999999</v>
      </c>
      <c r="N80">
        <v>13.673299999999999</v>
      </c>
      <c r="O80">
        <v>2.4848400000000002</v>
      </c>
      <c r="P80">
        <v>2.6257700000000002</v>
      </c>
    </row>
    <row r="81" spans="1:16" x14ac:dyDescent="0.15">
      <c r="A81">
        <v>1986</v>
      </c>
      <c r="B81">
        <v>13282.7</v>
      </c>
      <c r="C81">
        <v>13116.5</v>
      </c>
      <c r="D81">
        <v>3290.9</v>
      </c>
      <c r="E81">
        <v>9288.9</v>
      </c>
      <c r="F81">
        <v>2109.4899999999998</v>
      </c>
      <c r="G81">
        <v>2561.6999999999998</v>
      </c>
      <c r="H81">
        <v>1409</v>
      </c>
      <c r="I81">
        <v>2119.56</v>
      </c>
      <c r="J81">
        <v>504.54899999999998</v>
      </c>
      <c r="K81">
        <v>143.10599999999999</v>
      </c>
      <c r="L81">
        <v>59.6295</v>
      </c>
      <c r="M81">
        <v>33.902200000000001</v>
      </c>
      <c r="N81">
        <v>16.087599999999998</v>
      </c>
      <c r="O81">
        <v>8.4528999999999996</v>
      </c>
      <c r="P81">
        <v>3.1594000000000002</v>
      </c>
    </row>
    <row r="82" spans="1:16" x14ac:dyDescent="0.15">
      <c r="A82">
        <v>1987</v>
      </c>
      <c r="B82">
        <v>7614.19</v>
      </c>
      <c r="C82">
        <v>5399.5</v>
      </c>
      <c r="D82">
        <v>8312.7199999999993</v>
      </c>
      <c r="E82">
        <v>2359.36</v>
      </c>
      <c r="F82">
        <v>6377.16</v>
      </c>
      <c r="G82">
        <v>1393.38</v>
      </c>
      <c r="H82">
        <v>1637.16</v>
      </c>
      <c r="I82">
        <v>891.53</v>
      </c>
      <c r="J82">
        <v>1350.01</v>
      </c>
      <c r="K82">
        <v>315.24799999999999</v>
      </c>
      <c r="L82">
        <v>88.971800000000002</v>
      </c>
      <c r="M82">
        <v>37.072800000000001</v>
      </c>
      <c r="N82">
        <v>21.0777</v>
      </c>
      <c r="O82">
        <v>10.002000000000001</v>
      </c>
      <c r="P82">
        <v>7.2195900000000002</v>
      </c>
    </row>
    <row r="83" spans="1:16" x14ac:dyDescent="0.15">
      <c r="A83">
        <v>1988</v>
      </c>
      <c r="B83">
        <v>5440.55</v>
      </c>
      <c r="C83">
        <v>3095.38</v>
      </c>
      <c r="D83">
        <v>3428.78</v>
      </c>
      <c r="E83">
        <v>6012.94</v>
      </c>
      <c r="F83">
        <v>1657.19</v>
      </c>
      <c r="G83">
        <v>4352.0200000000004</v>
      </c>
      <c r="H83">
        <v>928.52499999999998</v>
      </c>
      <c r="I83">
        <v>1077.97</v>
      </c>
      <c r="J83">
        <v>587.46600000000001</v>
      </c>
      <c r="K83">
        <v>878.84799999999996</v>
      </c>
      <c r="L83">
        <v>205.01499999999999</v>
      </c>
      <c r="M83">
        <v>57.860900000000001</v>
      </c>
      <c r="N83">
        <v>24.109500000000001</v>
      </c>
      <c r="O83">
        <v>13.7074</v>
      </c>
      <c r="P83">
        <v>11.1997</v>
      </c>
    </row>
    <row r="84" spans="1:16" x14ac:dyDescent="0.15">
      <c r="A84">
        <v>1989</v>
      </c>
      <c r="B84">
        <v>11045.7</v>
      </c>
      <c r="C84">
        <v>2211.66</v>
      </c>
      <c r="D84">
        <v>1962.77</v>
      </c>
      <c r="E84">
        <v>2448.5</v>
      </c>
      <c r="F84">
        <v>4124.6099999999997</v>
      </c>
      <c r="G84">
        <v>1086.8599999999999</v>
      </c>
      <c r="H84">
        <v>2769.13</v>
      </c>
      <c r="I84">
        <v>572.06200000000001</v>
      </c>
      <c r="J84">
        <v>669.33399999999995</v>
      </c>
      <c r="K84">
        <v>360.637</v>
      </c>
      <c r="L84">
        <v>541.96799999999996</v>
      </c>
      <c r="M84">
        <v>126.429</v>
      </c>
      <c r="N84">
        <v>35.681699999999999</v>
      </c>
      <c r="O84">
        <v>14.867900000000001</v>
      </c>
      <c r="P84">
        <v>15.3597</v>
      </c>
    </row>
    <row r="85" spans="1:16" x14ac:dyDescent="0.15">
      <c r="A85">
        <v>1990</v>
      </c>
      <c r="B85">
        <v>51584.800000000003</v>
      </c>
      <c r="C85">
        <v>4490.26</v>
      </c>
      <c r="D85">
        <v>1402.47</v>
      </c>
      <c r="E85">
        <v>1403.58</v>
      </c>
      <c r="F85">
        <v>1668.06</v>
      </c>
      <c r="G85">
        <v>2683.91</v>
      </c>
      <c r="H85">
        <v>681.66700000000003</v>
      </c>
      <c r="I85">
        <v>1663.81</v>
      </c>
      <c r="J85">
        <v>346.52499999999998</v>
      </c>
      <c r="K85">
        <v>405.68400000000003</v>
      </c>
      <c r="L85">
        <v>219.00200000000001</v>
      </c>
      <c r="M85">
        <v>329.11799999999999</v>
      </c>
      <c r="N85">
        <v>76.775499999999994</v>
      </c>
      <c r="O85">
        <v>21.668199999999999</v>
      </c>
      <c r="P85">
        <v>18.356100000000001</v>
      </c>
    </row>
    <row r="86" spans="1:16" x14ac:dyDescent="0.15">
      <c r="A86">
        <v>1991</v>
      </c>
      <c r="B86">
        <v>26782</v>
      </c>
      <c r="C86">
        <v>20969.099999999999</v>
      </c>
      <c r="D86">
        <v>2841.85</v>
      </c>
      <c r="E86">
        <v>991.84500000000003</v>
      </c>
      <c r="F86">
        <v>920.25699999999995</v>
      </c>
      <c r="G86">
        <v>1020.15</v>
      </c>
      <c r="H86">
        <v>1550.51</v>
      </c>
      <c r="I86">
        <v>369.786</v>
      </c>
      <c r="J86">
        <v>907.46699999999998</v>
      </c>
      <c r="K86">
        <v>189.262</v>
      </c>
      <c r="L86">
        <v>223.9</v>
      </c>
      <c r="M86">
        <v>120.869</v>
      </c>
      <c r="N86">
        <v>181.643</v>
      </c>
      <c r="O86">
        <v>42.372999999999998</v>
      </c>
      <c r="P86">
        <v>22.089700000000001</v>
      </c>
    </row>
    <row r="87" spans="1:16" x14ac:dyDescent="0.15">
      <c r="A87">
        <v>1992</v>
      </c>
      <c r="B87">
        <v>22342</v>
      </c>
      <c r="C87">
        <v>10886.9</v>
      </c>
      <c r="D87">
        <v>13275</v>
      </c>
      <c r="E87">
        <v>2016.26</v>
      </c>
      <c r="F87">
        <v>651.83399999999995</v>
      </c>
      <c r="G87">
        <v>563.923</v>
      </c>
      <c r="H87">
        <v>581.39800000000002</v>
      </c>
      <c r="I87">
        <v>812.69</v>
      </c>
      <c r="J87">
        <v>198.726</v>
      </c>
      <c r="K87">
        <v>478.54599999999999</v>
      </c>
      <c r="L87">
        <v>99.608000000000004</v>
      </c>
      <c r="M87">
        <v>117.83799999999999</v>
      </c>
      <c r="N87">
        <v>63.612900000000003</v>
      </c>
      <c r="O87">
        <v>95.597999999999999</v>
      </c>
      <c r="P87">
        <v>33.926600000000001</v>
      </c>
    </row>
    <row r="88" spans="1:16" x14ac:dyDescent="0.15">
      <c r="A88">
        <v>1993</v>
      </c>
      <c r="B88">
        <v>46599.5</v>
      </c>
      <c r="C88">
        <v>9081.7199999999993</v>
      </c>
      <c r="D88">
        <v>6881.21</v>
      </c>
      <c r="E88">
        <v>9276.4500000000007</v>
      </c>
      <c r="F88">
        <v>1285.76</v>
      </c>
      <c r="G88">
        <v>384.26499999999999</v>
      </c>
      <c r="H88">
        <v>293.53800000000001</v>
      </c>
      <c r="I88">
        <v>271.44</v>
      </c>
      <c r="J88">
        <v>380.05900000000003</v>
      </c>
      <c r="K88">
        <v>92.519099999999995</v>
      </c>
      <c r="L88">
        <v>223.22200000000001</v>
      </c>
      <c r="M88">
        <v>46.463099999999997</v>
      </c>
      <c r="N88">
        <v>54.9666</v>
      </c>
      <c r="O88">
        <v>29.672799999999999</v>
      </c>
      <c r="P88">
        <v>60.417900000000003</v>
      </c>
    </row>
    <row r="89" spans="1:16" x14ac:dyDescent="0.15">
      <c r="A89">
        <v>1994</v>
      </c>
      <c r="B89">
        <v>14772.5</v>
      </c>
      <c r="C89">
        <v>18943.3</v>
      </c>
      <c r="D89">
        <v>5757.9</v>
      </c>
      <c r="E89">
        <v>4906.51</v>
      </c>
      <c r="F89">
        <v>6026.63</v>
      </c>
      <c r="G89">
        <v>809.44200000000001</v>
      </c>
      <c r="H89">
        <v>217.964</v>
      </c>
      <c r="I89">
        <v>153.87</v>
      </c>
      <c r="J89">
        <v>142.54599999999999</v>
      </c>
      <c r="K89">
        <v>200.26400000000001</v>
      </c>
      <c r="L89">
        <v>49.709600000000002</v>
      </c>
      <c r="M89">
        <v>119.935</v>
      </c>
      <c r="N89">
        <v>24.964099999999998</v>
      </c>
      <c r="O89">
        <v>29.533000000000001</v>
      </c>
      <c r="P89">
        <v>48.404800000000002</v>
      </c>
    </row>
    <row r="90" spans="1:16" x14ac:dyDescent="0.15">
      <c r="A90">
        <v>1995</v>
      </c>
      <c r="B90">
        <v>10187.200000000001</v>
      </c>
      <c r="C90">
        <v>6005.35</v>
      </c>
      <c r="D90">
        <v>12018.9</v>
      </c>
      <c r="E90">
        <v>4149.91</v>
      </c>
      <c r="F90">
        <v>3329.14</v>
      </c>
      <c r="G90">
        <v>3708.4</v>
      </c>
      <c r="H90">
        <v>462.15699999999998</v>
      </c>
      <c r="I90">
        <v>117.033</v>
      </c>
      <c r="J90">
        <v>82.762100000000004</v>
      </c>
      <c r="K90">
        <v>77.419499999999999</v>
      </c>
      <c r="L90">
        <v>110.744</v>
      </c>
      <c r="M90">
        <v>27.489000000000001</v>
      </c>
      <c r="N90">
        <v>66.322999999999993</v>
      </c>
      <c r="O90">
        <v>13.8049</v>
      </c>
      <c r="P90">
        <v>43.0989</v>
      </c>
    </row>
    <row r="91" spans="1:16" x14ac:dyDescent="0.15">
      <c r="A91">
        <v>1996</v>
      </c>
      <c r="B91">
        <v>23335.4</v>
      </c>
      <c r="C91">
        <v>4141.43</v>
      </c>
      <c r="D91">
        <v>3813.49</v>
      </c>
      <c r="E91">
        <v>8730.5499999999993</v>
      </c>
      <c r="F91">
        <v>2917.53</v>
      </c>
      <c r="G91">
        <v>2157.62</v>
      </c>
      <c r="H91">
        <v>2112.75</v>
      </c>
      <c r="I91">
        <v>259.56900000000002</v>
      </c>
      <c r="J91">
        <v>65.78</v>
      </c>
      <c r="K91">
        <v>47.232199999999999</v>
      </c>
      <c r="L91">
        <v>44.839399999999998</v>
      </c>
      <c r="M91">
        <v>64.140100000000004</v>
      </c>
      <c r="N91">
        <v>15.9209</v>
      </c>
      <c r="O91">
        <v>38.412599999999998</v>
      </c>
      <c r="P91">
        <v>32.957299999999996</v>
      </c>
    </row>
    <row r="92" spans="1:16" x14ac:dyDescent="0.15">
      <c r="A92">
        <v>1997</v>
      </c>
      <c r="B92">
        <v>33443.4</v>
      </c>
      <c r="C92">
        <v>9486.73</v>
      </c>
      <c r="D92">
        <v>2629.76</v>
      </c>
      <c r="E92">
        <v>2768.44</v>
      </c>
      <c r="F92">
        <v>6219.97</v>
      </c>
      <c r="G92">
        <v>1950.96</v>
      </c>
      <c r="H92">
        <v>1265.47</v>
      </c>
      <c r="I92">
        <v>1151.5999999999999</v>
      </c>
      <c r="J92">
        <v>143.56800000000001</v>
      </c>
      <c r="K92">
        <v>37.4649</v>
      </c>
      <c r="L92">
        <v>27.399799999999999</v>
      </c>
      <c r="M92">
        <v>26.011700000000001</v>
      </c>
      <c r="N92">
        <v>37.208199999999998</v>
      </c>
      <c r="O92">
        <v>9.2358600000000006</v>
      </c>
      <c r="P92">
        <v>41.402299999999997</v>
      </c>
    </row>
    <row r="93" spans="1:16" x14ac:dyDescent="0.15">
      <c r="A93">
        <v>1998</v>
      </c>
      <c r="B93">
        <v>15720.1</v>
      </c>
      <c r="C93">
        <v>13596.1</v>
      </c>
      <c r="D93">
        <v>6023.45</v>
      </c>
      <c r="E93">
        <v>1906.38</v>
      </c>
      <c r="F93">
        <v>1960.86</v>
      </c>
      <c r="G93">
        <v>4193.26</v>
      </c>
      <c r="H93">
        <v>1186.23</v>
      </c>
      <c r="I93">
        <v>714.39599999999996</v>
      </c>
      <c r="J93">
        <v>649.61800000000005</v>
      </c>
      <c r="K93">
        <v>81.864599999999996</v>
      </c>
      <c r="L93">
        <v>21.781400000000001</v>
      </c>
      <c r="M93">
        <v>15.9298</v>
      </c>
      <c r="N93">
        <v>15.1228</v>
      </c>
      <c r="O93">
        <v>21.632200000000001</v>
      </c>
      <c r="P93">
        <v>29.440100000000001</v>
      </c>
    </row>
    <row r="94" spans="1:16" x14ac:dyDescent="0.15">
      <c r="A94">
        <v>1999</v>
      </c>
      <c r="B94">
        <v>17116.099999999999</v>
      </c>
      <c r="C94">
        <v>6390.9</v>
      </c>
      <c r="D94">
        <v>8637.66</v>
      </c>
      <c r="E94">
        <v>4357.04</v>
      </c>
      <c r="F94">
        <v>1342.67</v>
      </c>
      <c r="G94">
        <v>1317.43</v>
      </c>
      <c r="H94">
        <v>2573.0300000000002</v>
      </c>
      <c r="I94">
        <v>697.39099999999996</v>
      </c>
      <c r="J94">
        <v>411.54599999999999</v>
      </c>
      <c r="K94">
        <v>377.40100000000001</v>
      </c>
      <c r="L94">
        <v>48.408700000000003</v>
      </c>
      <c r="M94">
        <v>12.879899999999999</v>
      </c>
      <c r="N94">
        <v>9.4196899999999992</v>
      </c>
      <c r="O94">
        <v>8.9424799999999998</v>
      </c>
      <c r="P94">
        <v>30.200399999999998</v>
      </c>
    </row>
    <row r="95" spans="1:16" x14ac:dyDescent="0.15">
      <c r="A95">
        <v>2000</v>
      </c>
      <c r="B95">
        <v>26342.400000000001</v>
      </c>
      <c r="C95">
        <v>6958.5</v>
      </c>
      <c r="D95">
        <v>4062.96</v>
      </c>
      <c r="E95">
        <v>6218.9</v>
      </c>
      <c r="F95">
        <v>3047.85</v>
      </c>
      <c r="G95">
        <v>899.59500000000003</v>
      </c>
      <c r="H95">
        <v>834.06899999999996</v>
      </c>
      <c r="I95">
        <v>1531.89</v>
      </c>
      <c r="J95">
        <v>412.49799999999999</v>
      </c>
      <c r="K95">
        <v>247.66300000000001</v>
      </c>
      <c r="L95">
        <v>232.083</v>
      </c>
      <c r="M95">
        <v>29.768999999999998</v>
      </c>
      <c r="N95">
        <v>7.9205300000000003</v>
      </c>
      <c r="O95">
        <v>5.7926500000000001</v>
      </c>
      <c r="P95">
        <v>24.071000000000002</v>
      </c>
    </row>
    <row r="96" spans="1:16" x14ac:dyDescent="0.15">
      <c r="A96">
        <v>2001</v>
      </c>
      <c r="B96">
        <v>37573.1</v>
      </c>
      <c r="C96">
        <v>10709.3</v>
      </c>
      <c r="D96">
        <v>4423.4799999999996</v>
      </c>
      <c r="E96">
        <v>2931.71</v>
      </c>
      <c r="F96">
        <v>4272.0200000000004</v>
      </c>
      <c r="G96">
        <v>1969.37</v>
      </c>
      <c r="H96">
        <v>553.24400000000003</v>
      </c>
      <c r="I96">
        <v>481.83600000000001</v>
      </c>
      <c r="J96">
        <v>863.92200000000003</v>
      </c>
      <c r="K96">
        <v>241.964</v>
      </c>
      <c r="L96">
        <v>149.422</v>
      </c>
      <c r="M96">
        <v>140.02199999999999</v>
      </c>
      <c r="N96">
        <v>17.9605</v>
      </c>
      <c r="O96">
        <v>4.7786799999999996</v>
      </c>
      <c r="P96">
        <v>18.017600000000002</v>
      </c>
    </row>
    <row r="97" spans="1:16" x14ac:dyDescent="0.15">
      <c r="A97">
        <v>2002</v>
      </c>
      <c r="B97">
        <v>23600.5</v>
      </c>
      <c r="C97">
        <v>15275.1</v>
      </c>
      <c r="D97">
        <v>6807.69</v>
      </c>
      <c r="E97">
        <v>3194.65</v>
      </c>
      <c r="F97">
        <v>2009.17</v>
      </c>
      <c r="G97">
        <v>2657.81</v>
      </c>
      <c r="H97">
        <v>1123.0899999999999</v>
      </c>
      <c r="I97">
        <v>307.91899999999998</v>
      </c>
      <c r="J97">
        <v>267.279</v>
      </c>
      <c r="K97">
        <v>494.113</v>
      </c>
      <c r="L97">
        <v>141.83799999999999</v>
      </c>
      <c r="M97">
        <v>87.590299999999999</v>
      </c>
      <c r="N97">
        <v>82.080399999999997</v>
      </c>
      <c r="O97">
        <v>10.5283</v>
      </c>
      <c r="P97">
        <v>13.363</v>
      </c>
    </row>
    <row r="98" spans="1:16" x14ac:dyDescent="0.15">
      <c r="A98">
        <v>2003</v>
      </c>
      <c r="B98">
        <v>14377.7</v>
      </c>
      <c r="C98">
        <v>9594.5499999999993</v>
      </c>
      <c r="D98">
        <v>9707.32</v>
      </c>
      <c r="E98">
        <v>4903.97</v>
      </c>
      <c r="F98">
        <v>2169.13</v>
      </c>
      <c r="G98">
        <v>1230</v>
      </c>
      <c r="H98">
        <v>1427.55</v>
      </c>
      <c r="I98">
        <v>597.548</v>
      </c>
      <c r="J98">
        <v>164.69900000000001</v>
      </c>
      <c r="K98">
        <v>147.51599999999999</v>
      </c>
      <c r="L98">
        <v>283.63</v>
      </c>
      <c r="M98">
        <v>81.417400000000001</v>
      </c>
      <c r="N98">
        <v>50.278399999999998</v>
      </c>
      <c r="O98">
        <v>47.115600000000001</v>
      </c>
      <c r="P98">
        <v>13.7141</v>
      </c>
    </row>
    <row r="99" spans="1:16" x14ac:dyDescent="0.15">
      <c r="A99">
        <v>2004</v>
      </c>
      <c r="B99">
        <v>6494.51</v>
      </c>
      <c r="C99">
        <v>5845.07</v>
      </c>
      <c r="D99">
        <v>6097.86</v>
      </c>
      <c r="E99">
        <v>6933.29</v>
      </c>
      <c r="F99">
        <v>3290.9</v>
      </c>
      <c r="G99">
        <v>1297.32</v>
      </c>
      <c r="H99">
        <v>657.21500000000003</v>
      </c>
      <c r="I99">
        <v>744.755</v>
      </c>
      <c r="J99">
        <v>314.36900000000003</v>
      </c>
      <c r="K99">
        <v>89.766999999999996</v>
      </c>
      <c r="L99">
        <v>84.168700000000001</v>
      </c>
      <c r="M99">
        <v>161.83199999999999</v>
      </c>
      <c r="N99">
        <v>46.454599999999999</v>
      </c>
      <c r="O99">
        <v>28.6875</v>
      </c>
      <c r="P99">
        <v>34.707799999999999</v>
      </c>
    </row>
    <row r="100" spans="1:16" x14ac:dyDescent="0.15">
      <c r="A100">
        <v>2005</v>
      </c>
      <c r="B100">
        <v>4468.57</v>
      </c>
      <c r="C100">
        <v>2640.29</v>
      </c>
      <c r="D100">
        <v>3716.71</v>
      </c>
      <c r="E100">
        <v>4396.13</v>
      </c>
      <c r="F100">
        <v>4517.2299999999996</v>
      </c>
      <c r="G100">
        <v>1988.55</v>
      </c>
      <c r="H100">
        <v>724.37199999999996</v>
      </c>
      <c r="I100">
        <v>357.19099999999997</v>
      </c>
      <c r="J100">
        <v>409.21899999999999</v>
      </c>
      <c r="K100">
        <v>177.935</v>
      </c>
      <c r="L100">
        <v>52.570599999999999</v>
      </c>
      <c r="M100">
        <v>49.292099999999998</v>
      </c>
      <c r="N100">
        <v>94.774100000000004</v>
      </c>
      <c r="O100">
        <v>27.205400000000001</v>
      </c>
      <c r="P100">
        <v>37.1265</v>
      </c>
    </row>
    <row r="101" spans="1:16" x14ac:dyDescent="0.15">
      <c r="A101">
        <v>2006</v>
      </c>
      <c r="B101">
        <v>11749.8</v>
      </c>
      <c r="C101">
        <v>1816.67</v>
      </c>
      <c r="D101">
        <v>1679.16</v>
      </c>
      <c r="E101">
        <v>2684.17</v>
      </c>
      <c r="F101">
        <v>2912.67</v>
      </c>
      <c r="G101">
        <v>2613.6799999999998</v>
      </c>
      <c r="H101">
        <v>1089.5999999999999</v>
      </c>
      <c r="I101">
        <v>402.53500000000003</v>
      </c>
      <c r="J101">
        <v>201.541</v>
      </c>
      <c r="K101">
        <v>235.55</v>
      </c>
      <c r="L101">
        <v>105.47199999999999</v>
      </c>
      <c r="M101">
        <v>31.1616</v>
      </c>
      <c r="N101">
        <v>29.2182</v>
      </c>
      <c r="O101">
        <v>56.178100000000001</v>
      </c>
      <c r="P101">
        <v>38.133200000000002</v>
      </c>
    </row>
    <row r="102" spans="1:16" x14ac:dyDescent="0.15">
      <c r="A102">
        <v>2007</v>
      </c>
      <c r="B102">
        <v>29218.6</v>
      </c>
      <c r="C102">
        <v>4776.7700000000004</v>
      </c>
      <c r="D102">
        <v>1154.97</v>
      </c>
      <c r="E102">
        <v>1205.3</v>
      </c>
      <c r="F102">
        <v>1754.5</v>
      </c>
      <c r="G102">
        <v>1657.49</v>
      </c>
      <c r="H102">
        <v>1354.47</v>
      </c>
      <c r="I102">
        <v>578.69100000000003</v>
      </c>
      <c r="J102">
        <v>218.18100000000001</v>
      </c>
      <c r="K102">
        <v>111.861</v>
      </c>
      <c r="L102">
        <v>134.535</v>
      </c>
      <c r="M102">
        <v>60.2408</v>
      </c>
      <c r="N102">
        <v>17.797999999999998</v>
      </c>
      <c r="O102">
        <v>16.688099999999999</v>
      </c>
      <c r="P102">
        <v>53.866100000000003</v>
      </c>
    </row>
    <row r="103" spans="1:16" x14ac:dyDescent="0.15">
      <c r="A103">
        <v>2008</v>
      </c>
      <c r="B103">
        <v>12804.1</v>
      </c>
      <c r="C103">
        <v>11878.5</v>
      </c>
      <c r="D103">
        <v>3036.8</v>
      </c>
      <c r="E103">
        <v>828.96500000000003</v>
      </c>
      <c r="F103">
        <v>785.45100000000002</v>
      </c>
      <c r="G103">
        <v>999.63099999999997</v>
      </c>
      <c r="H103">
        <v>831.18899999999996</v>
      </c>
      <c r="I103">
        <v>705.46400000000006</v>
      </c>
      <c r="J103">
        <v>309.68099999999998</v>
      </c>
      <c r="K103">
        <v>118.962</v>
      </c>
      <c r="L103">
        <v>62.567300000000003</v>
      </c>
      <c r="M103">
        <v>75.249700000000004</v>
      </c>
      <c r="N103">
        <v>33.694600000000001</v>
      </c>
      <c r="O103">
        <v>9.9550099999999997</v>
      </c>
      <c r="P103">
        <v>39.463200000000001</v>
      </c>
    </row>
    <row r="104" spans="1:16" x14ac:dyDescent="0.15">
      <c r="A104">
        <v>2009</v>
      </c>
      <c r="B104">
        <v>57235.5</v>
      </c>
      <c r="C104">
        <v>5205.3999999999996</v>
      </c>
      <c r="D104">
        <v>7552.66</v>
      </c>
      <c r="E104">
        <v>2188.54</v>
      </c>
      <c r="F104">
        <v>539.66800000000001</v>
      </c>
      <c r="G104">
        <v>450.05200000000002</v>
      </c>
      <c r="H104">
        <v>495.86200000000002</v>
      </c>
      <c r="I104">
        <v>422.06299999999999</v>
      </c>
      <c r="J104">
        <v>371.233</v>
      </c>
      <c r="K104">
        <v>164.631</v>
      </c>
      <c r="L104">
        <v>64.785499999999999</v>
      </c>
      <c r="M104">
        <v>34.073500000000003</v>
      </c>
      <c r="N104">
        <v>40.980200000000004</v>
      </c>
      <c r="O104">
        <v>18.349699999999999</v>
      </c>
      <c r="P104">
        <v>26.912600000000001</v>
      </c>
    </row>
    <row r="105" spans="1:16" x14ac:dyDescent="0.15">
      <c r="A105">
        <v>2010</v>
      </c>
      <c r="B105">
        <v>24182.5</v>
      </c>
      <c r="C105">
        <v>23268.799999999999</v>
      </c>
      <c r="D105">
        <v>3311.47</v>
      </c>
      <c r="E105">
        <v>5474.74</v>
      </c>
      <c r="F105">
        <v>1448.71</v>
      </c>
      <c r="G105">
        <v>323.79700000000003</v>
      </c>
      <c r="H105">
        <v>241.392</v>
      </c>
      <c r="I105">
        <v>265.255</v>
      </c>
      <c r="J105">
        <v>229.11699999999999</v>
      </c>
      <c r="K105">
        <v>203.43899999999999</v>
      </c>
      <c r="L105">
        <v>90.6738</v>
      </c>
      <c r="M105">
        <v>35.681899999999999</v>
      </c>
      <c r="N105">
        <v>18.7667</v>
      </c>
      <c r="O105">
        <v>22.570699999999999</v>
      </c>
      <c r="P105">
        <v>24.929200000000002</v>
      </c>
    </row>
    <row r="106" spans="1:16" x14ac:dyDescent="0.15">
      <c r="A106">
        <v>2011</v>
      </c>
      <c r="B106">
        <v>16024</v>
      </c>
      <c r="C106">
        <v>9831.34</v>
      </c>
      <c r="D106">
        <v>14807.1</v>
      </c>
      <c r="E106">
        <v>2413.96</v>
      </c>
      <c r="F106">
        <v>3626.44</v>
      </c>
      <c r="G106">
        <v>880.76599999999996</v>
      </c>
      <c r="H106">
        <v>182.59299999999999</v>
      </c>
      <c r="I106">
        <v>135.11199999999999</v>
      </c>
      <c r="J106">
        <v>149.06299999999999</v>
      </c>
      <c r="K106">
        <v>129.904</v>
      </c>
      <c r="L106">
        <v>116.57599999999999</v>
      </c>
      <c r="M106">
        <v>51.958399999999997</v>
      </c>
      <c r="N106">
        <v>20.4467</v>
      </c>
      <c r="O106">
        <v>10.7538</v>
      </c>
      <c r="P106">
        <v>27.218599999999999</v>
      </c>
    </row>
    <row r="107" spans="1:16" x14ac:dyDescent="0.15">
      <c r="A107">
        <v>2012</v>
      </c>
      <c r="B107">
        <v>10778.3</v>
      </c>
      <c r="C107">
        <v>6514.44</v>
      </c>
      <c r="D107">
        <v>6251.92</v>
      </c>
      <c r="E107">
        <v>10760.5</v>
      </c>
      <c r="F107">
        <v>1606.44</v>
      </c>
      <c r="G107">
        <v>2003.54</v>
      </c>
      <c r="H107">
        <v>446.19900000000001</v>
      </c>
      <c r="I107">
        <v>93.093100000000007</v>
      </c>
      <c r="J107">
        <v>69.523300000000006</v>
      </c>
      <c r="K107">
        <v>77.747299999999996</v>
      </c>
      <c r="L107">
        <v>68.764099999999999</v>
      </c>
      <c r="M107">
        <v>61.709000000000003</v>
      </c>
      <c r="N107">
        <v>27.504000000000001</v>
      </c>
      <c r="O107">
        <v>10.823399999999999</v>
      </c>
      <c r="P107">
        <v>20.1005</v>
      </c>
    </row>
    <row r="108" spans="1:16" x14ac:dyDescent="0.15">
      <c r="A108">
        <v>2013</v>
      </c>
      <c r="B108">
        <v>37136.300000000003</v>
      </c>
      <c r="C108">
        <v>4381.87</v>
      </c>
      <c r="D108">
        <v>4143.3100000000004</v>
      </c>
      <c r="E108">
        <v>4546.3100000000004</v>
      </c>
      <c r="F108">
        <v>7188.7</v>
      </c>
      <c r="G108">
        <v>985.86099999999999</v>
      </c>
      <c r="H108">
        <v>1080.0999999999999</v>
      </c>
      <c r="I108">
        <v>236.19800000000001</v>
      </c>
      <c r="J108">
        <v>49.6188</v>
      </c>
      <c r="K108">
        <v>37.535400000000003</v>
      </c>
      <c r="L108">
        <v>42.423699999999997</v>
      </c>
      <c r="M108">
        <v>37.521900000000002</v>
      </c>
      <c r="N108">
        <v>33.672199999999997</v>
      </c>
      <c r="O108">
        <v>15.007899999999999</v>
      </c>
      <c r="P108">
        <v>16.873999999999999</v>
      </c>
    </row>
    <row r="109" spans="1:16" x14ac:dyDescent="0.15">
      <c r="A109">
        <v>2014</v>
      </c>
      <c r="B109">
        <v>25495.4</v>
      </c>
      <c r="C109">
        <v>15097.7</v>
      </c>
      <c r="D109">
        <v>2787.82</v>
      </c>
      <c r="E109">
        <v>3020</v>
      </c>
      <c r="F109">
        <v>3085.4</v>
      </c>
      <c r="G109">
        <v>4507.68</v>
      </c>
      <c r="H109">
        <v>578.46600000000001</v>
      </c>
      <c r="I109">
        <v>605.21100000000001</v>
      </c>
      <c r="J109">
        <v>131.53399999999999</v>
      </c>
      <c r="K109">
        <v>27.802199999999999</v>
      </c>
      <c r="L109">
        <v>21.070799999999998</v>
      </c>
      <c r="M109">
        <v>23.814900000000002</v>
      </c>
      <c r="N109">
        <v>21.063199999999998</v>
      </c>
      <c r="O109">
        <v>18.902100000000001</v>
      </c>
      <c r="P109">
        <v>17.897099999999998</v>
      </c>
    </row>
    <row r="110" spans="1:16" x14ac:dyDescent="0.15">
      <c r="A110">
        <v>2015</v>
      </c>
      <c r="B110">
        <v>22449.3</v>
      </c>
      <c r="C110">
        <v>10365.200000000001</v>
      </c>
      <c r="D110">
        <v>9604.84</v>
      </c>
      <c r="E110">
        <v>2033.51</v>
      </c>
      <c r="F110">
        <v>2067.7199999999998</v>
      </c>
      <c r="G110">
        <v>1937.91</v>
      </c>
      <c r="H110">
        <v>2679.39</v>
      </c>
      <c r="I110">
        <v>316.34500000000003</v>
      </c>
      <c r="J110">
        <v>341.87299999999999</v>
      </c>
      <c r="K110">
        <v>74.088099999999997</v>
      </c>
      <c r="L110">
        <v>15.6782</v>
      </c>
      <c r="M110">
        <v>11.882199999999999</v>
      </c>
      <c r="N110">
        <v>13.4297</v>
      </c>
      <c r="O110">
        <v>11.8779</v>
      </c>
      <c r="P110">
        <v>20.751799999999999</v>
      </c>
    </row>
    <row r="111" spans="1:16" x14ac:dyDescent="0.15">
      <c r="A111" t="s">
        <v>161</v>
      </c>
      <c r="B111" t="s">
        <v>22</v>
      </c>
      <c r="C111" t="s">
        <v>162</v>
      </c>
      <c r="D111" t="s">
        <v>23</v>
      </c>
      <c r="E111" t="s">
        <v>156</v>
      </c>
      <c r="F111" t="s">
        <v>163</v>
      </c>
      <c r="G111" t="s">
        <v>164</v>
      </c>
    </row>
    <row r="112" spans="1:16" x14ac:dyDescent="0.15">
      <c r="A112">
        <v>1964</v>
      </c>
      <c r="B112">
        <v>6.1930700000000002E-3</v>
      </c>
      <c r="C112">
        <v>0.15635399999999999</v>
      </c>
      <c r="D112">
        <v>0.55203800000000003</v>
      </c>
      <c r="E112">
        <v>1.29403</v>
      </c>
      <c r="F112">
        <v>1.2753300000000001</v>
      </c>
      <c r="G112">
        <v>1.25651</v>
      </c>
      <c r="H112">
        <v>1.2216499999999999</v>
      </c>
      <c r="I112">
        <v>1.18953</v>
      </c>
      <c r="J112">
        <v>1.16492</v>
      </c>
      <c r="K112">
        <v>1.14724</v>
      </c>
      <c r="L112">
        <v>1.14724</v>
      </c>
      <c r="M112">
        <v>1.14724</v>
      </c>
      <c r="N112">
        <v>1.14724</v>
      </c>
      <c r="O112">
        <v>1.14724</v>
      </c>
      <c r="P112">
        <v>1.14724</v>
      </c>
    </row>
    <row r="113" spans="1:16" x14ac:dyDescent="0.15">
      <c r="A113">
        <v>1965</v>
      </c>
      <c r="B113">
        <v>6.1943800000000002E-3</v>
      </c>
      <c r="C113">
        <v>0.157776</v>
      </c>
      <c r="D113">
        <v>0.57315700000000003</v>
      </c>
      <c r="E113">
        <v>1.3053900000000001</v>
      </c>
      <c r="F113">
        <v>1.27454</v>
      </c>
      <c r="G113">
        <v>1.24044</v>
      </c>
      <c r="H113">
        <v>1.21082</v>
      </c>
      <c r="I113">
        <v>1.18679</v>
      </c>
      <c r="J113">
        <v>1.16591</v>
      </c>
      <c r="K113">
        <v>1.1465000000000001</v>
      </c>
      <c r="L113">
        <v>1.1465000000000001</v>
      </c>
      <c r="M113">
        <v>1.1465000000000001</v>
      </c>
      <c r="N113">
        <v>1.1465000000000001</v>
      </c>
      <c r="O113">
        <v>1.1465000000000001</v>
      </c>
      <c r="P113">
        <v>1.1465000000000001</v>
      </c>
    </row>
    <row r="114" spans="1:16" x14ac:dyDescent="0.15">
      <c r="A114">
        <v>1966</v>
      </c>
      <c r="B114">
        <v>6.2021899999999998E-3</v>
      </c>
      <c r="C114">
        <v>0.16110099999999999</v>
      </c>
      <c r="D114">
        <v>0.59929699999999997</v>
      </c>
      <c r="E114">
        <v>1.2856399999999999</v>
      </c>
      <c r="F114">
        <v>1.2619800000000001</v>
      </c>
      <c r="G114">
        <v>1.22357</v>
      </c>
      <c r="H114">
        <v>1.2026600000000001</v>
      </c>
      <c r="I114">
        <v>1.1851</v>
      </c>
      <c r="J114">
        <v>1.1688099999999999</v>
      </c>
      <c r="K114">
        <v>1.1509400000000001</v>
      </c>
      <c r="L114">
        <v>1.1509400000000001</v>
      </c>
      <c r="M114">
        <v>1.1509400000000001</v>
      </c>
      <c r="N114">
        <v>1.1509400000000001</v>
      </c>
      <c r="O114">
        <v>1.1509400000000001</v>
      </c>
      <c r="P114">
        <v>1.1509400000000001</v>
      </c>
    </row>
    <row r="115" spans="1:16" x14ac:dyDescent="0.15">
      <c r="A115">
        <v>1967</v>
      </c>
      <c r="B115">
        <v>6.1747900000000003E-3</v>
      </c>
      <c r="C115">
        <v>0.165328</v>
      </c>
      <c r="D115">
        <v>0.63594700000000004</v>
      </c>
      <c r="E115">
        <v>1.2354499999999999</v>
      </c>
      <c r="F115">
        <v>1.22763</v>
      </c>
      <c r="G115">
        <v>1.1995100000000001</v>
      </c>
      <c r="H115">
        <v>1.18977</v>
      </c>
      <c r="I115">
        <v>1.18462</v>
      </c>
      <c r="J115">
        <v>1.1741299999999999</v>
      </c>
      <c r="K115">
        <v>1.16357</v>
      </c>
      <c r="L115">
        <v>1.16357</v>
      </c>
      <c r="M115">
        <v>1.16357</v>
      </c>
      <c r="N115">
        <v>1.16357</v>
      </c>
      <c r="O115">
        <v>1.16357</v>
      </c>
      <c r="P115">
        <v>1.16357</v>
      </c>
    </row>
    <row r="116" spans="1:16" x14ac:dyDescent="0.15">
      <c r="A116">
        <v>1968</v>
      </c>
      <c r="B116">
        <v>6.1521600000000003E-3</v>
      </c>
      <c r="C116">
        <v>0.16997999999999999</v>
      </c>
      <c r="D116">
        <v>0.65595400000000004</v>
      </c>
      <c r="E116">
        <v>1.20852</v>
      </c>
      <c r="F116">
        <v>1.1962200000000001</v>
      </c>
      <c r="G116">
        <v>1.1764600000000001</v>
      </c>
      <c r="H116">
        <v>1.17564</v>
      </c>
      <c r="I116">
        <v>1.18666</v>
      </c>
      <c r="J116">
        <v>1.18205</v>
      </c>
      <c r="K116">
        <v>1.1737299999999999</v>
      </c>
      <c r="L116">
        <v>1.1737299999999999</v>
      </c>
      <c r="M116">
        <v>1.1737299999999999</v>
      </c>
      <c r="N116">
        <v>1.1737299999999999</v>
      </c>
      <c r="O116">
        <v>1.1737299999999999</v>
      </c>
      <c r="P116">
        <v>1.1737299999999999</v>
      </c>
    </row>
    <row r="117" spans="1:16" x14ac:dyDescent="0.15">
      <c r="A117">
        <v>1969</v>
      </c>
      <c r="B117">
        <v>6.06911E-3</v>
      </c>
      <c r="C117">
        <v>0.17302600000000001</v>
      </c>
      <c r="D117">
        <v>0.68435999999999997</v>
      </c>
      <c r="E117">
        <v>1.14693</v>
      </c>
      <c r="F117">
        <v>1.1534</v>
      </c>
      <c r="G117">
        <v>1.1419299999999999</v>
      </c>
      <c r="H117">
        <v>1.15452</v>
      </c>
      <c r="I117">
        <v>1.18713</v>
      </c>
      <c r="J117">
        <v>1.18848</v>
      </c>
      <c r="K117">
        <v>1.1940200000000001</v>
      </c>
      <c r="L117">
        <v>1.1940200000000001</v>
      </c>
      <c r="M117">
        <v>1.1940200000000001</v>
      </c>
      <c r="N117">
        <v>1.1940200000000001</v>
      </c>
      <c r="O117">
        <v>1.1940200000000001</v>
      </c>
      <c r="P117">
        <v>1.1940200000000001</v>
      </c>
    </row>
    <row r="118" spans="1:16" x14ac:dyDescent="0.15">
      <c r="A118">
        <v>1970</v>
      </c>
      <c r="B118">
        <v>5.8940299999999998E-3</v>
      </c>
      <c r="C118">
        <v>0.174842</v>
      </c>
      <c r="D118">
        <v>0.68150599999999995</v>
      </c>
      <c r="E118">
        <v>1.0420199999999999</v>
      </c>
      <c r="F118">
        <v>1.09856</v>
      </c>
      <c r="G118">
        <v>1.0934999999999999</v>
      </c>
      <c r="H118">
        <v>1.1209499999999999</v>
      </c>
      <c r="I118">
        <v>1.1746000000000001</v>
      </c>
      <c r="J118">
        <v>1.18347</v>
      </c>
      <c r="K118">
        <v>1.2374400000000001</v>
      </c>
      <c r="L118">
        <v>1.2374400000000001</v>
      </c>
      <c r="M118">
        <v>1.2374400000000001</v>
      </c>
      <c r="N118">
        <v>1.2374400000000001</v>
      </c>
      <c r="O118">
        <v>1.2374400000000001</v>
      </c>
      <c r="P118">
        <v>1.2374400000000001</v>
      </c>
    </row>
    <row r="119" spans="1:16" x14ac:dyDescent="0.15">
      <c r="A119">
        <v>1971</v>
      </c>
      <c r="B119">
        <v>5.5863800000000002E-3</v>
      </c>
      <c r="C119">
        <v>0.17427300000000001</v>
      </c>
      <c r="D119">
        <v>0.67329399999999995</v>
      </c>
      <c r="E119">
        <v>0.98446100000000003</v>
      </c>
      <c r="F119">
        <v>1.0691200000000001</v>
      </c>
      <c r="G119">
        <v>1.0625800000000001</v>
      </c>
      <c r="H119">
        <v>1.0911299999999999</v>
      </c>
      <c r="I119">
        <v>1.1642999999999999</v>
      </c>
      <c r="J119">
        <v>1.1800999999999999</v>
      </c>
      <c r="K119">
        <v>1.26586</v>
      </c>
      <c r="L119">
        <v>1.26586</v>
      </c>
      <c r="M119">
        <v>1.26586</v>
      </c>
      <c r="N119">
        <v>1.26586</v>
      </c>
      <c r="O119">
        <v>1.26586</v>
      </c>
      <c r="P119">
        <v>1.26586</v>
      </c>
    </row>
    <row r="120" spans="1:16" x14ac:dyDescent="0.15">
      <c r="A120">
        <v>1972</v>
      </c>
      <c r="B120">
        <v>5.2671100000000002E-3</v>
      </c>
      <c r="C120">
        <v>0.181029</v>
      </c>
      <c r="D120">
        <v>0.699878</v>
      </c>
      <c r="E120">
        <v>0.97934500000000002</v>
      </c>
      <c r="F120">
        <v>1.0628200000000001</v>
      </c>
      <c r="G120">
        <v>1.0627200000000001</v>
      </c>
      <c r="H120">
        <v>1.0919399999999999</v>
      </c>
      <c r="I120">
        <v>1.173</v>
      </c>
      <c r="J120">
        <v>1.1956899999999999</v>
      </c>
      <c r="K120">
        <v>1.2580499999999999</v>
      </c>
      <c r="L120">
        <v>1.2580499999999999</v>
      </c>
      <c r="M120">
        <v>1.2580499999999999</v>
      </c>
      <c r="N120">
        <v>1.2580499999999999</v>
      </c>
      <c r="O120">
        <v>1.2580499999999999</v>
      </c>
      <c r="P120">
        <v>1.2580499999999999</v>
      </c>
    </row>
    <row r="121" spans="1:16" x14ac:dyDescent="0.15">
      <c r="A121">
        <v>1973</v>
      </c>
      <c r="B121">
        <v>4.9481200000000003E-3</v>
      </c>
      <c r="C121">
        <v>0.18527299999999999</v>
      </c>
      <c r="D121">
        <v>0.72307900000000003</v>
      </c>
      <c r="E121">
        <v>0.97800699999999996</v>
      </c>
      <c r="F121">
        <v>1.0681700000000001</v>
      </c>
      <c r="G121">
        <v>1.07291</v>
      </c>
      <c r="H121">
        <v>1.1004799999999999</v>
      </c>
      <c r="I121">
        <v>1.18669</v>
      </c>
      <c r="J121">
        <v>1.2122900000000001</v>
      </c>
      <c r="K121">
        <v>1.2446900000000001</v>
      </c>
      <c r="L121">
        <v>1.2446900000000001</v>
      </c>
      <c r="M121">
        <v>1.2446900000000001</v>
      </c>
      <c r="N121">
        <v>1.2446900000000001</v>
      </c>
      <c r="O121">
        <v>1.2446900000000001</v>
      </c>
      <c r="P121">
        <v>1.2446900000000001</v>
      </c>
    </row>
    <row r="122" spans="1:16" x14ac:dyDescent="0.15">
      <c r="A122">
        <v>1974</v>
      </c>
      <c r="B122">
        <v>4.6695499999999997E-3</v>
      </c>
      <c r="C122">
        <v>0.18992100000000001</v>
      </c>
      <c r="D122">
        <v>0.76188999999999996</v>
      </c>
      <c r="E122">
        <v>0.98837600000000003</v>
      </c>
      <c r="F122">
        <v>1.08</v>
      </c>
      <c r="G122">
        <v>1.0820700000000001</v>
      </c>
      <c r="H122">
        <v>1.1111800000000001</v>
      </c>
      <c r="I122">
        <v>1.2009799999999999</v>
      </c>
      <c r="J122">
        <v>1.23203</v>
      </c>
      <c r="K122">
        <v>1.22481</v>
      </c>
      <c r="L122">
        <v>1.22481</v>
      </c>
      <c r="M122">
        <v>1.22481</v>
      </c>
      <c r="N122">
        <v>1.22481</v>
      </c>
      <c r="O122">
        <v>1.22481</v>
      </c>
      <c r="P122">
        <v>1.22481</v>
      </c>
    </row>
    <row r="123" spans="1:16" x14ac:dyDescent="0.15">
      <c r="A123">
        <v>1975</v>
      </c>
      <c r="B123">
        <v>4.3167099999999996E-3</v>
      </c>
      <c r="C123">
        <v>0.17935100000000001</v>
      </c>
      <c r="D123">
        <v>0.78137999999999996</v>
      </c>
      <c r="E123">
        <v>0.98974200000000001</v>
      </c>
      <c r="F123">
        <v>1.0800700000000001</v>
      </c>
      <c r="G123">
        <v>1.0810200000000001</v>
      </c>
      <c r="H123">
        <v>1.10907</v>
      </c>
      <c r="I123">
        <v>1.1987300000000001</v>
      </c>
      <c r="J123">
        <v>1.2382</v>
      </c>
      <c r="K123">
        <v>1.22302</v>
      </c>
      <c r="L123">
        <v>1.22302</v>
      </c>
      <c r="M123">
        <v>1.22302</v>
      </c>
      <c r="N123">
        <v>1.22302</v>
      </c>
      <c r="O123">
        <v>1.22302</v>
      </c>
      <c r="P123">
        <v>1.22302</v>
      </c>
    </row>
    <row r="124" spans="1:16" x14ac:dyDescent="0.15">
      <c r="A124">
        <v>1976</v>
      </c>
      <c r="B124">
        <v>3.9559799999999996E-3</v>
      </c>
      <c r="C124">
        <v>0.16811999999999999</v>
      </c>
      <c r="D124">
        <v>0.73787800000000003</v>
      </c>
      <c r="E124">
        <v>0.99062499999999998</v>
      </c>
      <c r="F124">
        <v>1.0849</v>
      </c>
      <c r="G124">
        <v>1.08226</v>
      </c>
      <c r="H124">
        <v>1.1058300000000001</v>
      </c>
      <c r="I124">
        <v>1.1934499999999999</v>
      </c>
      <c r="J124">
        <v>1.2464999999999999</v>
      </c>
      <c r="K124">
        <v>1.23108</v>
      </c>
      <c r="L124">
        <v>1.23108</v>
      </c>
      <c r="M124">
        <v>1.23108</v>
      </c>
      <c r="N124">
        <v>1.23108</v>
      </c>
      <c r="O124">
        <v>1.23108</v>
      </c>
      <c r="P124">
        <v>1.23108</v>
      </c>
    </row>
    <row r="125" spans="1:16" x14ac:dyDescent="0.15">
      <c r="A125">
        <v>1977</v>
      </c>
      <c r="B125">
        <v>3.5984900000000002E-3</v>
      </c>
      <c r="C125">
        <v>0.15682399999999999</v>
      </c>
      <c r="D125">
        <v>0.67676800000000004</v>
      </c>
      <c r="E125">
        <v>0.94268200000000002</v>
      </c>
      <c r="F125">
        <v>1.0889899999999999</v>
      </c>
      <c r="G125">
        <v>1.0832299999999999</v>
      </c>
      <c r="H125">
        <v>1.10253</v>
      </c>
      <c r="I125">
        <v>1.1848000000000001</v>
      </c>
      <c r="J125">
        <v>1.2570600000000001</v>
      </c>
      <c r="K125">
        <v>1.2505900000000001</v>
      </c>
      <c r="L125">
        <v>1.2505900000000001</v>
      </c>
      <c r="M125">
        <v>1.2505900000000001</v>
      </c>
      <c r="N125">
        <v>1.2505900000000001</v>
      </c>
      <c r="O125">
        <v>1.2505900000000001</v>
      </c>
      <c r="P125">
        <v>1.2505900000000001</v>
      </c>
    </row>
    <row r="126" spans="1:16" x14ac:dyDescent="0.15">
      <c r="A126">
        <v>1978</v>
      </c>
      <c r="B126">
        <v>3.2357699999999998E-3</v>
      </c>
      <c r="C126">
        <v>0.14138800000000001</v>
      </c>
      <c r="D126">
        <v>0.62100699999999998</v>
      </c>
      <c r="E126">
        <v>0.89552900000000002</v>
      </c>
      <c r="F126">
        <v>1.0763400000000001</v>
      </c>
      <c r="G126">
        <v>1.0792900000000001</v>
      </c>
      <c r="H126">
        <v>1.10042</v>
      </c>
      <c r="I126">
        <v>1.17675</v>
      </c>
      <c r="J126">
        <v>1.26885</v>
      </c>
      <c r="K126">
        <v>1.2728699999999999</v>
      </c>
      <c r="L126">
        <v>1.2728699999999999</v>
      </c>
      <c r="M126">
        <v>1.2728699999999999</v>
      </c>
      <c r="N126">
        <v>1.2728699999999999</v>
      </c>
      <c r="O126">
        <v>1.2728699999999999</v>
      </c>
      <c r="P126">
        <v>1.2728699999999999</v>
      </c>
    </row>
    <row r="127" spans="1:16" x14ac:dyDescent="0.15">
      <c r="A127">
        <v>1979</v>
      </c>
      <c r="B127">
        <v>2.8753199999999998E-3</v>
      </c>
      <c r="C127">
        <v>0.118128</v>
      </c>
      <c r="D127">
        <v>0.54211600000000004</v>
      </c>
      <c r="E127">
        <v>0.85420799999999997</v>
      </c>
      <c r="F127">
        <v>1.0706</v>
      </c>
      <c r="G127">
        <v>1.10006</v>
      </c>
      <c r="H127">
        <v>1.0970899999999999</v>
      </c>
      <c r="I127">
        <v>1.1673500000000001</v>
      </c>
      <c r="J127">
        <v>1.2748200000000001</v>
      </c>
      <c r="K127">
        <v>1.2954600000000001</v>
      </c>
      <c r="L127">
        <v>1.2954600000000001</v>
      </c>
      <c r="M127">
        <v>1.2954600000000001</v>
      </c>
      <c r="N127">
        <v>1.2954600000000001</v>
      </c>
      <c r="O127">
        <v>1.2954600000000001</v>
      </c>
      <c r="P127">
        <v>1.2954600000000001</v>
      </c>
    </row>
    <row r="128" spans="1:16" x14ac:dyDescent="0.15">
      <c r="A128">
        <v>1980</v>
      </c>
      <c r="B128">
        <v>2.4910800000000001E-3</v>
      </c>
      <c r="C128">
        <v>9.4428200000000004E-2</v>
      </c>
      <c r="D128">
        <v>0.45886199999999999</v>
      </c>
      <c r="E128">
        <v>0.83672500000000005</v>
      </c>
      <c r="F128">
        <v>1.0732900000000001</v>
      </c>
      <c r="G128">
        <v>1.1133200000000001</v>
      </c>
      <c r="H128">
        <v>1.1036600000000001</v>
      </c>
      <c r="I128">
        <v>1.1532500000000001</v>
      </c>
      <c r="J128">
        <v>1.2687299999999999</v>
      </c>
      <c r="K128">
        <v>1.3158700000000001</v>
      </c>
      <c r="L128">
        <v>1.3158700000000001</v>
      </c>
      <c r="M128">
        <v>1.3158700000000001</v>
      </c>
      <c r="N128">
        <v>1.3158700000000001</v>
      </c>
      <c r="O128">
        <v>1.3158700000000001</v>
      </c>
      <c r="P128">
        <v>1.3158700000000001</v>
      </c>
    </row>
    <row r="129" spans="1:16" x14ac:dyDescent="0.15">
      <c r="A129">
        <v>1981</v>
      </c>
      <c r="B129">
        <v>2.1681000000000001E-3</v>
      </c>
      <c r="C129">
        <v>7.9924800000000004E-2</v>
      </c>
      <c r="D129">
        <v>0.38032300000000002</v>
      </c>
      <c r="E129">
        <v>0.81129700000000005</v>
      </c>
      <c r="F129">
        <v>1.0791599999999999</v>
      </c>
      <c r="G129">
        <v>1.11608</v>
      </c>
      <c r="H129">
        <v>1.1069</v>
      </c>
      <c r="I129">
        <v>1.14592</v>
      </c>
      <c r="J129">
        <v>1.26492</v>
      </c>
      <c r="K129">
        <v>1.33555</v>
      </c>
      <c r="L129">
        <v>1.33555</v>
      </c>
      <c r="M129">
        <v>1.33555</v>
      </c>
      <c r="N129">
        <v>1.33555</v>
      </c>
      <c r="O129">
        <v>1.33555</v>
      </c>
      <c r="P129">
        <v>1.33555</v>
      </c>
    </row>
    <row r="130" spans="1:16" x14ac:dyDescent="0.15">
      <c r="A130">
        <v>1982</v>
      </c>
      <c r="B130">
        <v>1.8982300000000001E-3</v>
      </c>
      <c r="C130">
        <v>6.9790599999999994E-2</v>
      </c>
      <c r="D130">
        <v>0.32035400000000003</v>
      </c>
      <c r="E130">
        <v>0.76354100000000003</v>
      </c>
      <c r="F130">
        <v>1.0727</v>
      </c>
      <c r="G130">
        <v>1.1232</v>
      </c>
      <c r="H130">
        <v>1.11324</v>
      </c>
      <c r="I130">
        <v>1.1417900000000001</v>
      </c>
      <c r="J130">
        <v>1.2652399999999999</v>
      </c>
      <c r="K130">
        <v>1.3547100000000001</v>
      </c>
      <c r="L130">
        <v>1.3547100000000001</v>
      </c>
      <c r="M130">
        <v>1.3547100000000001</v>
      </c>
      <c r="N130">
        <v>1.3547100000000001</v>
      </c>
      <c r="O130">
        <v>1.3547100000000001</v>
      </c>
      <c r="P130">
        <v>1.3547100000000001</v>
      </c>
    </row>
    <row r="131" spans="1:16" x14ac:dyDescent="0.15">
      <c r="A131">
        <v>1983</v>
      </c>
      <c r="B131">
        <v>1.6747699999999999E-3</v>
      </c>
      <c r="C131">
        <v>6.3727300000000001E-2</v>
      </c>
      <c r="D131">
        <v>0.28702699999999998</v>
      </c>
      <c r="E131">
        <v>0.69538299999999997</v>
      </c>
      <c r="F131">
        <v>1.03705</v>
      </c>
      <c r="G131">
        <v>1.1395599999999999</v>
      </c>
      <c r="H131">
        <v>1.12822</v>
      </c>
      <c r="I131">
        <v>1.1428799999999999</v>
      </c>
      <c r="J131">
        <v>1.27061</v>
      </c>
      <c r="K131">
        <v>1.3723099999999999</v>
      </c>
      <c r="L131">
        <v>1.3723099999999999</v>
      </c>
      <c r="M131">
        <v>1.3723099999999999</v>
      </c>
      <c r="N131">
        <v>1.3723099999999999</v>
      </c>
      <c r="O131">
        <v>1.3723099999999999</v>
      </c>
      <c r="P131">
        <v>1.3723099999999999</v>
      </c>
    </row>
    <row r="132" spans="1:16" x14ac:dyDescent="0.15">
      <c r="A132">
        <v>1984</v>
      </c>
      <c r="B132">
        <v>1.48861E-3</v>
      </c>
      <c r="C132">
        <v>5.6123300000000001E-2</v>
      </c>
      <c r="D132">
        <v>0.27015800000000001</v>
      </c>
      <c r="E132">
        <v>0.64526700000000003</v>
      </c>
      <c r="F132">
        <v>1.0163800000000001</v>
      </c>
      <c r="G132">
        <v>1.1494899999999999</v>
      </c>
      <c r="H132">
        <v>1.1539900000000001</v>
      </c>
      <c r="I132">
        <v>1.1518699999999999</v>
      </c>
      <c r="J132">
        <v>1.2821899999999999</v>
      </c>
      <c r="K132">
        <v>1.3788400000000001</v>
      </c>
      <c r="L132">
        <v>1.3788400000000001</v>
      </c>
      <c r="M132">
        <v>1.3788400000000001</v>
      </c>
      <c r="N132">
        <v>1.3788400000000001</v>
      </c>
      <c r="O132">
        <v>1.3788400000000001</v>
      </c>
      <c r="P132">
        <v>1.3788400000000001</v>
      </c>
    </row>
    <row r="133" spans="1:16" x14ac:dyDescent="0.15">
      <c r="A133">
        <v>1985</v>
      </c>
      <c r="B133">
        <v>1.3326099999999999E-3</v>
      </c>
      <c r="C133">
        <v>5.1855600000000002E-2</v>
      </c>
      <c r="D133">
        <v>0.26160299999999997</v>
      </c>
      <c r="E133">
        <v>0.60379400000000005</v>
      </c>
      <c r="F133">
        <v>0.93813400000000002</v>
      </c>
      <c r="G133">
        <v>1.1746300000000001</v>
      </c>
      <c r="H133">
        <v>1.1872400000000001</v>
      </c>
      <c r="I133">
        <v>1.17489</v>
      </c>
      <c r="J133">
        <v>1.30182</v>
      </c>
      <c r="K133">
        <v>1.38412</v>
      </c>
      <c r="L133">
        <v>1.38412</v>
      </c>
      <c r="M133">
        <v>1.38412</v>
      </c>
      <c r="N133">
        <v>1.38412</v>
      </c>
      <c r="O133">
        <v>1.38412</v>
      </c>
      <c r="P133">
        <v>1.38412</v>
      </c>
    </row>
    <row r="134" spans="1:16" x14ac:dyDescent="0.15">
      <c r="A134">
        <v>1986</v>
      </c>
      <c r="B134">
        <v>1.2062900000000001E-3</v>
      </c>
      <c r="C134">
        <v>4.7830200000000003E-2</v>
      </c>
      <c r="D134">
        <v>0.25761600000000001</v>
      </c>
      <c r="E134">
        <v>0.59818300000000002</v>
      </c>
      <c r="F134">
        <v>0.90173000000000003</v>
      </c>
      <c r="G134">
        <v>1.1610799999999999</v>
      </c>
      <c r="H134">
        <v>1.2396100000000001</v>
      </c>
      <c r="I134">
        <v>1.1876800000000001</v>
      </c>
      <c r="J134">
        <v>1.33873</v>
      </c>
      <c r="K134">
        <v>1.3777200000000001</v>
      </c>
      <c r="L134">
        <v>1.3777200000000001</v>
      </c>
      <c r="M134">
        <v>1.3777200000000001</v>
      </c>
      <c r="N134">
        <v>1.3777200000000001</v>
      </c>
      <c r="O134">
        <v>1.3777200000000001</v>
      </c>
      <c r="P134">
        <v>1.3777200000000001</v>
      </c>
    </row>
    <row r="135" spans="1:16" x14ac:dyDescent="0.15">
      <c r="A135">
        <v>1987</v>
      </c>
      <c r="B135">
        <v>1.08182E-3</v>
      </c>
      <c r="C135">
        <v>4.3457099999999999E-2</v>
      </c>
      <c r="D135">
        <v>0.253021</v>
      </c>
      <c r="E135">
        <v>0.56456300000000004</v>
      </c>
      <c r="F135">
        <v>0.86998600000000004</v>
      </c>
      <c r="G135">
        <v>1.1223399999999999</v>
      </c>
      <c r="H135">
        <v>1.2494700000000001</v>
      </c>
      <c r="I135">
        <v>1.2413400000000001</v>
      </c>
      <c r="J135">
        <v>1.36999</v>
      </c>
      <c r="K135">
        <v>1.38079</v>
      </c>
      <c r="L135">
        <v>1.38079</v>
      </c>
      <c r="M135">
        <v>1.38079</v>
      </c>
      <c r="N135">
        <v>1.38079</v>
      </c>
      <c r="O135">
        <v>1.38079</v>
      </c>
      <c r="P135">
        <v>1.38079</v>
      </c>
    </row>
    <row r="136" spans="1:16" x14ac:dyDescent="0.15">
      <c r="A136">
        <v>1988</v>
      </c>
      <c r="B136">
        <v>1.00292E-3</v>
      </c>
      <c r="C136">
        <v>4.07806E-2</v>
      </c>
      <c r="D136">
        <v>0.26974199999999998</v>
      </c>
      <c r="E136">
        <v>0.56503700000000001</v>
      </c>
      <c r="F136">
        <v>0.89469799999999999</v>
      </c>
      <c r="G136">
        <v>1.1170100000000001</v>
      </c>
      <c r="H136">
        <v>1.3537999999999999</v>
      </c>
      <c r="I136">
        <v>1.2965199999999999</v>
      </c>
      <c r="J136">
        <v>1.38022</v>
      </c>
      <c r="K136">
        <v>1.3468599999999999</v>
      </c>
      <c r="L136">
        <v>1.3468599999999999</v>
      </c>
      <c r="M136">
        <v>1.3468599999999999</v>
      </c>
      <c r="N136">
        <v>1.3468599999999999</v>
      </c>
      <c r="O136">
        <v>1.3468599999999999</v>
      </c>
      <c r="P136">
        <v>1.3468599999999999</v>
      </c>
    </row>
    <row r="137" spans="1:16" x14ac:dyDescent="0.15">
      <c r="A137">
        <v>1989</v>
      </c>
      <c r="B137">
        <v>8.9902700000000005E-4</v>
      </c>
      <c r="C137">
        <v>3.7112899999999997E-2</v>
      </c>
      <c r="D137">
        <v>0.23816799999999999</v>
      </c>
      <c r="E137">
        <v>0.56499699999999997</v>
      </c>
      <c r="F137">
        <v>0.87429800000000002</v>
      </c>
      <c r="G137">
        <v>1.12242</v>
      </c>
      <c r="H137">
        <v>1.41174</v>
      </c>
      <c r="I137">
        <v>1.35693</v>
      </c>
      <c r="J137">
        <v>1.3529899999999999</v>
      </c>
      <c r="K137">
        <v>1.3400700000000001</v>
      </c>
      <c r="L137">
        <v>1.3400700000000001</v>
      </c>
      <c r="M137">
        <v>1.3400700000000001</v>
      </c>
      <c r="N137">
        <v>1.3400700000000001</v>
      </c>
      <c r="O137">
        <v>1.3400700000000001</v>
      </c>
      <c r="P137">
        <v>1.3400700000000001</v>
      </c>
    </row>
    <row r="138" spans="1:16" x14ac:dyDescent="0.15">
      <c r="A138">
        <v>1990</v>
      </c>
      <c r="B138">
        <v>8.0503400000000004E-4</v>
      </c>
      <c r="C138">
        <v>3.3820700000000002E-2</v>
      </c>
      <c r="D138">
        <v>0.210676</v>
      </c>
      <c r="E138">
        <v>0.55421399999999998</v>
      </c>
      <c r="F138">
        <v>0.86997199999999997</v>
      </c>
      <c r="G138">
        <v>1.12853</v>
      </c>
      <c r="H138">
        <v>1.4140900000000001</v>
      </c>
      <c r="I138">
        <v>1.3895500000000001</v>
      </c>
      <c r="J138">
        <v>1.3832599999999999</v>
      </c>
      <c r="K138">
        <v>1.33585</v>
      </c>
      <c r="L138">
        <v>1.33585</v>
      </c>
      <c r="M138">
        <v>1.33585</v>
      </c>
      <c r="N138">
        <v>1.33585</v>
      </c>
      <c r="O138">
        <v>1.33585</v>
      </c>
      <c r="P138">
        <v>1.33585</v>
      </c>
    </row>
    <row r="139" spans="1:16" x14ac:dyDescent="0.15">
      <c r="A139">
        <v>1991</v>
      </c>
      <c r="B139">
        <v>6.8738100000000004E-4</v>
      </c>
      <c r="C139">
        <v>2.9203099999999999E-2</v>
      </c>
      <c r="D139">
        <v>0.17611199999999999</v>
      </c>
      <c r="E139">
        <v>0.48814999999999997</v>
      </c>
      <c r="F139">
        <v>0.77326099999999998</v>
      </c>
      <c r="G139">
        <v>1.06887</v>
      </c>
      <c r="H139">
        <v>1.41008</v>
      </c>
      <c r="I139">
        <v>1.3082</v>
      </c>
      <c r="J139">
        <v>1.38527</v>
      </c>
      <c r="K139">
        <v>1.3933599999999999</v>
      </c>
      <c r="L139">
        <v>1.3933599999999999</v>
      </c>
      <c r="M139">
        <v>1.3933599999999999</v>
      </c>
      <c r="N139">
        <v>1.3933599999999999</v>
      </c>
      <c r="O139">
        <v>1.3933599999999999</v>
      </c>
      <c r="P139">
        <v>1.3933599999999999</v>
      </c>
    </row>
    <row r="140" spans="1:16" x14ac:dyDescent="0.15">
      <c r="A140">
        <v>1992</v>
      </c>
      <c r="B140">
        <v>6.1943000000000002E-4</v>
      </c>
      <c r="C140">
        <v>2.65039E-2</v>
      </c>
      <c r="D140">
        <v>0.17661399999999999</v>
      </c>
      <c r="E140">
        <v>0.45327200000000001</v>
      </c>
      <c r="F140">
        <v>0.69084800000000002</v>
      </c>
      <c r="G140">
        <v>1.0671900000000001</v>
      </c>
      <c r="H140">
        <v>1.39615</v>
      </c>
      <c r="I140">
        <v>1.3910899999999999</v>
      </c>
      <c r="J140">
        <v>1.4046700000000001</v>
      </c>
      <c r="K140">
        <v>1.3988400000000001</v>
      </c>
      <c r="L140">
        <v>1.3988400000000001</v>
      </c>
      <c r="M140">
        <v>1.3988400000000001</v>
      </c>
      <c r="N140">
        <v>1.3988400000000001</v>
      </c>
      <c r="O140">
        <v>1.3988400000000001</v>
      </c>
      <c r="P140">
        <v>1.3988400000000001</v>
      </c>
    </row>
    <row r="141" spans="1:16" x14ac:dyDescent="0.15">
      <c r="A141">
        <v>1993</v>
      </c>
      <c r="B141">
        <v>5.8285599999999998E-4</v>
      </c>
      <c r="C141">
        <v>2.39551E-2</v>
      </c>
      <c r="D141">
        <v>0.16094800000000001</v>
      </c>
      <c r="E141">
        <v>0.55271300000000001</v>
      </c>
      <c r="F141">
        <v>0.685195</v>
      </c>
      <c r="G141">
        <v>1.1240399999999999</v>
      </c>
      <c r="H141">
        <v>1.4561900000000001</v>
      </c>
      <c r="I141">
        <v>1.4484999999999999</v>
      </c>
      <c r="J141">
        <v>1.4342600000000001</v>
      </c>
      <c r="K141">
        <v>1.3522700000000001</v>
      </c>
      <c r="L141">
        <v>1.3522700000000001</v>
      </c>
      <c r="M141">
        <v>1.3522700000000001</v>
      </c>
      <c r="N141">
        <v>1.3522700000000001</v>
      </c>
      <c r="O141">
        <v>1.3522700000000001</v>
      </c>
      <c r="P141">
        <v>1.3522700000000001</v>
      </c>
    </row>
    <row r="142" spans="1:16" x14ac:dyDescent="0.15">
      <c r="A142">
        <v>1994</v>
      </c>
      <c r="B142">
        <v>5.2886100000000004E-4</v>
      </c>
      <c r="C142">
        <v>2.2759999999999999E-2</v>
      </c>
      <c r="D142">
        <v>0.12596099999999999</v>
      </c>
      <c r="E142">
        <v>0.40256900000000001</v>
      </c>
      <c r="F142">
        <v>0.85044799999999998</v>
      </c>
      <c r="G142">
        <v>1.1934499999999999</v>
      </c>
      <c r="H142">
        <v>1.47495</v>
      </c>
      <c r="I142">
        <v>1.4670099999999999</v>
      </c>
      <c r="J142">
        <v>1.4225099999999999</v>
      </c>
      <c r="K142">
        <v>1.3399700000000001</v>
      </c>
      <c r="L142">
        <v>1.3399700000000001</v>
      </c>
      <c r="M142">
        <v>1.3399700000000001</v>
      </c>
      <c r="N142">
        <v>1.3399700000000001</v>
      </c>
      <c r="O142">
        <v>1.3399700000000001</v>
      </c>
      <c r="P142">
        <v>1.3399700000000001</v>
      </c>
    </row>
    <row r="143" spans="1:16" x14ac:dyDescent="0.15">
      <c r="A143">
        <v>1995</v>
      </c>
      <c r="B143">
        <v>4.7201600000000002E-4</v>
      </c>
      <c r="C143">
        <v>2.2281800000000001E-2</v>
      </c>
      <c r="D143">
        <v>0.106699</v>
      </c>
      <c r="E143">
        <v>0.28415499999999999</v>
      </c>
      <c r="F143">
        <v>0.72578299999999996</v>
      </c>
      <c r="G143">
        <v>1.4255</v>
      </c>
      <c r="H143">
        <v>1.5029699999999999</v>
      </c>
      <c r="I143">
        <v>1.4989699999999999</v>
      </c>
      <c r="J143">
        <v>1.4161900000000001</v>
      </c>
      <c r="K143">
        <v>1.33616</v>
      </c>
      <c r="L143">
        <v>1.33616</v>
      </c>
      <c r="M143">
        <v>1.33616</v>
      </c>
      <c r="N143">
        <v>1.33616</v>
      </c>
      <c r="O143">
        <v>1.33616</v>
      </c>
      <c r="P143">
        <v>1.33616</v>
      </c>
    </row>
    <row r="144" spans="1:16" x14ac:dyDescent="0.15">
      <c r="A144">
        <v>1996</v>
      </c>
      <c r="B144">
        <v>4.2743399999999997E-4</v>
      </c>
      <c r="C144">
        <v>2.28008E-2</v>
      </c>
      <c r="D144">
        <v>0.111372</v>
      </c>
      <c r="E144">
        <v>0.21473300000000001</v>
      </c>
      <c r="F144">
        <v>0.562998</v>
      </c>
      <c r="G144">
        <v>1.2839100000000001</v>
      </c>
      <c r="H144">
        <v>1.68668</v>
      </c>
      <c r="I144">
        <v>1.6063400000000001</v>
      </c>
      <c r="J144">
        <v>1.4452400000000001</v>
      </c>
      <c r="K144">
        <v>1.3442499999999999</v>
      </c>
      <c r="L144">
        <v>1.3442499999999999</v>
      </c>
      <c r="M144">
        <v>1.3442499999999999</v>
      </c>
      <c r="N144">
        <v>1.3442499999999999</v>
      </c>
      <c r="O144">
        <v>1.3442499999999999</v>
      </c>
      <c r="P144">
        <v>1.3442499999999999</v>
      </c>
    </row>
    <row r="145" spans="1:16" x14ac:dyDescent="0.15">
      <c r="A145">
        <v>1997</v>
      </c>
      <c r="B145">
        <v>4.0976800000000002E-4</v>
      </c>
      <c r="C145">
        <v>2.4214300000000001E-2</v>
      </c>
      <c r="D145">
        <v>0.12403699999999999</v>
      </c>
      <c r="E145">
        <v>0.256799</v>
      </c>
      <c r="F145">
        <v>0.53922700000000001</v>
      </c>
      <c r="G145">
        <v>1.12975</v>
      </c>
      <c r="H145">
        <v>1.5542100000000001</v>
      </c>
      <c r="I145">
        <v>1.5585800000000001</v>
      </c>
      <c r="J145">
        <v>1.49688</v>
      </c>
      <c r="K145">
        <v>1.38598</v>
      </c>
      <c r="L145">
        <v>1.38598</v>
      </c>
      <c r="M145">
        <v>1.38598</v>
      </c>
      <c r="N145">
        <v>1.38598</v>
      </c>
      <c r="O145">
        <v>1.38598</v>
      </c>
      <c r="P145">
        <v>1.38598</v>
      </c>
    </row>
    <row r="146" spans="1:16" x14ac:dyDescent="0.15">
      <c r="A146">
        <v>1998</v>
      </c>
      <c r="B146">
        <v>4.0122200000000002E-4</v>
      </c>
      <c r="C146">
        <v>2.2422399999999999E-2</v>
      </c>
      <c r="D146">
        <v>0.14658599999999999</v>
      </c>
      <c r="E146">
        <v>0.31042399999999998</v>
      </c>
      <c r="F146">
        <v>0.60003799999999996</v>
      </c>
      <c r="G146">
        <v>1.1570499999999999</v>
      </c>
      <c r="H146">
        <v>1.41988</v>
      </c>
      <c r="I146">
        <v>1.5447299999999999</v>
      </c>
      <c r="J146">
        <v>1.4928999999999999</v>
      </c>
      <c r="K146">
        <v>1.38426</v>
      </c>
      <c r="L146">
        <v>1.38426</v>
      </c>
      <c r="M146">
        <v>1.38426</v>
      </c>
      <c r="N146">
        <v>1.38426</v>
      </c>
      <c r="O146">
        <v>1.38426</v>
      </c>
      <c r="P146">
        <v>1.38426</v>
      </c>
    </row>
    <row r="147" spans="1:16" x14ac:dyDescent="0.15">
      <c r="A147">
        <v>1999</v>
      </c>
      <c r="B147">
        <v>4.1216799999999997E-4</v>
      </c>
      <c r="C147">
        <v>2.1016400000000001E-2</v>
      </c>
      <c r="D147">
        <v>0.202374</v>
      </c>
      <c r="E147">
        <v>0.40673199999999998</v>
      </c>
      <c r="F147">
        <v>0.712449</v>
      </c>
      <c r="G147">
        <v>1.11416</v>
      </c>
      <c r="H147">
        <v>1.54999</v>
      </c>
      <c r="I147">
        <v>1.5963099999999999</v>
      </c>
      <c r="J147">
        <v>1.4739100000000001</v>
      </c>
      <c r="K147">
        <v>1.3204400000000001</v>
      </c>
      <c r="L147">
        <v>1.3204400000000001</v>
      </c>
      <c r="M147">
        <v>1.3204400000000001</v>
      </c>
      <c r="N147">
        <v>1.3204400000000001</v>
      </c>
      <c r="O147">
        <v>1.3204400000000001</v>
      </c>
      <c r="P147">
        <v>1.3204400000000001</v>
      </c>
    </row>
    <row r="148" spans="1:16" x14ac:dyDescent="0.15">
      <c r="A148">
        <v>2000</v>
      </c>
      <c r="B148">
        <v>3.9399500000000001E-4</v>
      </c>
      <c r="C148">
        <v>1.88656E-2</v>
      </c>
      <c r="D148">
        <v>0.16355500000000001</v>
      </c>
      <c r="E148">
        <v>0.46907399999999999</v>
      </c>
      <c r="F148">
        <v>0.84936500000000004</v>
      </c>
      <c r="G148">
        <v>1.1564300000000001</v>
      </c>
      <c r="H148">
        <v>1.5451299999999999</v>
      </c>
      <c r="I148">
        <v>1.6946099999999999</v>
      </c>
      <c r="J148">
        <v>1.4502600000000001</v>
      </c>
      <c r="K148">
        <v>1.27539</v>
      </c>
      <c r="L148">
        <v>1.27539</v>
      </c>
      <c r="M148">
        <v>1.27539</v>
      </c>
      <c r="N148">
        <v>1.27539</v>
      </c>
      <c r="O148">
        <v>1.27539</v>
      </c>
      <c r="P148">
        <v>1.27539</v>
      </c>
    </row>
    <row r="149" spans="1:16" x14ac:dyDescent="0.15">
      <c r="A149">
        <v>2001</v>
      </c>
      <c r="B149">
        <v>3.6715400000000002E-4</v>
      </c>
      <c r="C149">
        <v>1.6520400000000001E-2</v>
      </c>
      <c r="D149">
        <v>0.13725200000000001</v>
      </c>
      <c r="E149">
        <v>0.41992200000000002</v>
      </c>
      <c r="F149">
        <v>0.94156600000000001</v>
      </c>
      <c r="G149">
        <v>1.4110499999999999</v>
      </c>
      <c r="H149">
        <v>1.54226</v>
      </c>
      <c r="I149">
        <v>1.5603100000000001</v>
      </c>
      <c r="J149">
        <v>1.3953199999999999</v>
      </c>
      <c r="K149">
        <v>1.26257</v>
      </c>
      <c r="L149">
        <v>1.26257</v>
      </c>
      <c r="M149">
        <v>1.26257</v>
      </c>
      <c r="N149">
        <v>1.26257</v>
      </c>
      <c r="O149">
        <v>1.26257</v>
      </c>
      <c r="P149">
        <v>1.26257</v>
      </c>
    </row>
    <row r="150" spans="1:16" x14ac:dyDescent="0.15">
      <c r="A150">
        <v>2002</v>
      </c>
      <c r="B150">
        <v>3.5613000000000002E-4</v>
      </c>
      <c r="C150">
        <v>1.6101399999999998E-2</v>
      </c>
      <c r="D150">
        <v>0.13497700000000001</v>
      </c>
      <c r="E150">
        <v>0.42000599999999999</v>
      </c>
      <c r="F150">
        <v>0.91910599999999998</v>
      </c>
      <c r="G150">
        <v>1.5496300000000001</v>
      </c>
      <c r="H150">
        <v>1.5952</v>
      </c>
      <c r="I150">
        <v>1.56972</v>
      </c>
      <c r="J150">
        <v>1.41859</v>
      </c>
      <c r="K150">
        <v>1.2293799999999999</v>
      </c>
      <c r="L150">
        <v>1.2293799999999999</v>
      </c>
      <c r="M150">
        <v>1.2293799999999999</v>
      </c>
      <c r="N150">
        <v>1.2293799999999999</v>
      </c>
      <c r="O150">
        <v>1.2293799999999999</v>
      </c>
      <c r="P150">
        <v>1.2293799999999999</v>
      </c>
    </row>
    <row r="151" spans="1:16" x14ac:dyDescent="0.15">
      <c r="A151">
        <v>2003</v>
      </c>
      <c r="B151">
        <v>3.5596299999999999E-4</v>
      </c>
      <c r="C151">
        <v>1.5047E-2</v>
      </c>
      <c r="D151">
        <v>0.168877</v>
      </c>
      <c r="E151">
        <v>0.45694000000000001</v>
      </c>
      <c r="F151">
        <v>0.98902800000000002</v>
      </c>
      <c r="G151">
        <v>1.50993</v>
      </c>
      <c r="H151">
        <v>1.6203799999999999</v>
      </c>
      <c r="I151">
        <v>1.58161</v>
      </c>
      <c r="J151">
        <v>1.4181999999999999</v>
      </c>
      <c r="K151">
        <v>1.2065999999999999</v>
      </c>
      <c r="L151">
        <v>1.2065999999999999</v>
      </c>
      <c r="M151">
        <v>1.2065999999999999</v>
      </c>
      <c r="N151">
        <v>1.2065999999999999</v>
      </c>
      <c r="O151">
        <v>1.2065999999999999</v>
      </c>
      <c r="P151">
        <v>1.2065999999999999</v>
      </c>
    </row>
    <row r="152" spans="1:16" x14ac:dyDescent="0.15">
      <c r="A152">
        <v>2004</v>
      </c>
      <c r="B152">
        <v>3.46392E-4</v>
      </c>
      <c r="C152">
        <v>1.41175E-2</v>
      </c>
      <c r="D152">
        <v>0.139181</v>
      </c>
      <c r="E152">
        <v>0.65684399999999998</v>
      </c>
      <c r="F152">
        <v>1.04203</v>
      </c>
      <c r="G152">
        <v>1.4460200000000001</v>
      </c>
      <c r="H152">
        <v>1.58405</v>
      </c>
      <c r="I152">
        <v>1.5281400000000001</v>
      </c>
      <c r="J152">
        <v>1.3764700000000001</v>
      </c>
      <c r="K152">
        <v>1.2021299999999999</v>
      </c>
      <c r="L152">
        <v>1.2021299999999999</v>
      </c>
      <c r="M152">
        <v>1.2021299999999999</v>
      </c>
      <c r="N152">
        <v>1.2021299999999999</v>
      </c>
      <c r="O152">
        <v>1.2021299999999999</v>
      </c>
      <c r="P152">
        <v>1.2021299999999999</v>
      </c>
    </row>
    <row r="153" spans="1:16" x14ac:dyDescent="0.15">
      <c r="A153">
        <v>2005</v>
      </c>
      <c r="B153">
        <v>3.36473E-4</v>
      </c>
      <c r="C153">
        <v>1.3707499999999999E-2</v>
      </c>
      <c r="D153">
        <v>0.134575</v>
      </c>
      <c r="E153">
        <v>0.59003300000000003</v>
      </c>
      <c r="F153">
        <v>1.30602</v>
      </c>
      <c r="G153">
        <v>1.5938000000000001</v>
      </c>
      <c r="H153">
        <v>1.5194300000000001</v>
      </c>
      <c r="I153">
        <v>1.4388799999999999</v>
      </c>
      <c r="J153">
        <v>1.3334299999999999</v>
      </c>
      <c r="K153">
        <v>1.1782999999999999</v>
      </c>
      <c r="L153">
        <v>1.1782999999999999</v>
      </c>
      <c r="M153">
        <v>1.1782999999999999</v>
      </c>
      <c r="N153">
        <v>1.1782999999999999</v>
      </c>
      <c r="O153">
        <v>1.1782999999999999</v>
      </c>
      <c r="P153">
        <v>1.1782999999999999</v>
      </c>
    </row>
    <row r="154" spans="1:16" x14ac:dyDescent="0.15">
      <c r="A154">
        <v>2006</v>
      </c>
      <c r="B154">
        <v>3.2602E-4</v>
      </c>
      <c r="C154">
        <v>1.34208E-2</v>
      </c>
      <c r="D154">
        <v>0.14454700000000001</v>
      </c>
      <c r="E154">
        <v>0.57330999999999999</v>
      </c>
      <c r="F154">
        <v>1.2079299999999999</v>
      </c>
      <c r="G154">
        <v>1.63649</v>
      </c>
      <c r="H154">
        <v>1.5240499999999999</v>
      </c>
      <c r="I154">
        <v>1.4309000000000001</v>
      </c>
      <c r="J154">
        <v>1.3222700000000001</v>
      </c>
      <c r="K154">
        <v>1.19113</v>
      </c>
      <c r="L154">
        <v>1.19113</v>
      </c>
      <c r="M154">
        <v>1.19113</v>
      </c>
      <c r="N154">
        <v>1.19113</v>
      </c>
      <c r="O154">
        <v>1.19113</v>
      </c>
      <c r="P154">
        <v>1.19113</v>
      </c>
    </row>
    <row r="155" spans="1:16" x14ac:dyDescent="0.15">
      <c r="A155">
        <v>2007</v>
      </c>
      <c r="B155">
        <v>3.1034200000000002E-4</v>
      </c>
      <c r="C155">
        <v>1.2729499999999999E-2</v>
      </c>
      <c r="D155">
        <v>0.13620099999999999</v>
      </c>
      <c r="E155">
        <v>0.55179400000000001</v>
      </c>
      <c r="F155">
        <v>1.1297999999999999</v>
      </c>
      <c r="G155">
        <v>1.6791100000000001</v>
      </c>
      <c r="H155">
        <v>1.5160499999999999</v>
      </c>
      <c r="I155">
        <v>1.39951</v>
      </c>
      <c r="J155">
        <v>1.31901</v>
      </c>
      <c r="K155">
        <v>1.2092499999999999</v>
      </c>
      <c r="L155">
        <v>1.2092499999999999</v>
      </c>
      <c r="M155">
        <v>1.2092499999999999</v>
      </c>
      <c r="N155">
        <v>1.2092499999999999</v>
      </c>
      <c r="O155">
        <v>1.2092499999999999</v>
      </c>
      <c r="P155">
        <v>1.2092499999999999</v>
      </c>
    </row>
    <row r="156" spans="1:16" x14ac:dyDescent="0.15">
      <c r="A156">
        <v>2008</v>
      </c>
      <c r="B156">
        <v>2.88361E-4</v>
      </c>
      <c r="C156">
        <v>1.14401E-2</v>
      </c>
      <c r="D156">
        <v>0.111304</v>
      </c>
      <c r="E156">
        <v>0.52168199999999998</v>
      </c>
      <c r="F156">
        <v>1.0370999999999999</v>
      </c>
      <c r="G156">
        <v>1.6192200000000001</v>
      </c>
      <c r="H156">
        <v>1.5247999999999999</v>
      </c>
      <c r="I156">
        <v>1.3807700000000001</v>
      </c>
      <c r="J156">
        <v>1.3396399999999999</v>
      </c>
      <c r="K156">
        <v>1.2422899999999999</v>
      </c>
      <c r="L156">
        <v>1.2422899999999999</v>
      </c>
      <c r="M156">
        <v>1.2422899999999999</v>
      </c>
      <c r="N156">
        <v>1.2422899999999999</v>
      </c>
      <c r="O156">
        <v>1.2422899999999999</v>
      </c>
      <c r="P156">
        <v>1.2422899999999999</v>
      </c>
    </row>
    <row r="157" spans="1:16" x14ac:dyDescent="0.15">
      <c r="A157">
        <v>2009</v>
      </c>
      <c r="B157">
        <v>2.6635199999999997E-4</v>
      </c>
      <c r="C157">
        <v>1.0212499999999999E-2</v>
      </c>
      <c r="D157">
        <v>9.6343100000000001E-2</v>
      </c>
      <c r="E157">
        <v>0.49848199999999998</v>
      </c>
      <c r="F157">
        <v>0.93371199999999999</v>
      </c>
      <c r="G157">
        <v>1.43018</v>
      </c>
      <c r="H157">
        <v>1.44197</v>
      </c>
      <c r="I157">
        <v>1.3769499999999999</v>
      </c>
      <c r="J157">
        <v>1.3350599999999999</v>
      </c>
      <c r="K157">
        <v>1.3128</v>
      </c>
      <c r="L157">
        <v>1.3128</v>
      </c>
      <c r="M157">
        <v>1.3128</v>
      </c>
      <c r="N157">
        <v>1.3128</v>
      </c>
      <c r="O157">
        <v>1.3128</v>
      </c>
      <c r="P157">
        <v>1.3128</v>
      </c>
    </row>
    <row r="158" spans="1:16" x14ac:dyDescent="0.15">
      <c r="A158">
        <v>2010</v>
      </c>
      <c r="B158">
        <v>2.64622E-4</v>
      </c>
      <c r="C158">
        <v>1.01616E-2</v>
      </c>
      <c r="D158">
        <v>8.1538200000000005E-2</v>
      </c>
      <c r="E158">
        <v>0.56595399999999996</v>
      </c>
      <c r="F158">
        <v>0.99965499999999996</v>
      </c>
      <c r="G158">
        <v>1.38012</v>
      </c>
      <c r="H158">
        <v>1.41784</v>
      </c>
      <c r="I158">
        <v>1.39764</v>
      </c>
      <c r="J158">
        <v>1.3527</v>
      </c>
      <c r="K158">
        <v>1.2990200000000001</v>
      </c>
      <c r="L158">
        <v>1.2990200000000001</v>
      </c>
      <c r="M158">
        <v>1.2990200000000001</v>
      </c>
      <c r="N158">
        <v>1.2990200000000001</v>
      </c>
      <c r="O158">
        <v>1.2990200000000001</v>
      </c>
      <c r="P158">
        <v>1.2990200000000001</v>
      </c>
    </row>
    <row r="159" spans="1:16" x14ac:dyDescent="0.15">
      <c r="A159">
        <v>2011</v>
      </c>
      <c r="B159">
        <v>2.5634200000000001E-4</v>
      </c>
      <c r="C159">
        <v>1.0314200000000001E-2</v>
      </c>
      <c r="D159">
        <v>7.37868E-2</v>
      </c>
      <c r="E159">
        <v>0.41162100000000001</v>
      </c>
      <c r="F159">
        <v>1.12582</v>
      </c>
      <c r="G159">
        <v>1.4585399999999999</v>
      </c>
      <c r="H159">
        <v>1.43411</v>
      </c>
      <c r="I159">
        <v>1.39873</v>
      </c>
      <c r="J159">
        <v>1.3467800000000001</v>
      </c>
      <c r="K159">
        <v>1.2900100000000001</v>
      </c>
      <c r="L159">
        <v>1.2900100000000001</v>
      </c>
      <c r="M159">
        <v>1.2900100000000001</v>
      </c>
      <c r="N159">
        <v>1.2900100000000001</v>
      </c>
      <c r="O159">
        <v>1.2900100000000001</v>
      </c>
      <c r="P159">
        <v>1.2900100000000001</v>
      </c>
    </row>
    <row r="160" spans="1:16" x14ac:dyDescent="0.15">
      <c r="A160">
        <v>2012</v>
      </c>
      <c r="B160">
        <v>2.5431800000000001E-4</v>
      </c>
      <c r="C160">
        <v>1.0995100000000001E-2</v>
      </c>
      <c r="D160">
        <v>8.08257E-2</v>
      </c>
      <c r="E160">
        <v>0.44983699999999999</v>
      </c>
      <c r="F160">
        <v>0.81926699999999997</v>
      </c>
      <c r="G160">
        <v>1.38327</v>
      </c>
      <c r="H160">
        <v>1.4625999999999999</v>
      </c>
      <c r="I160">
        <v>1.43272</v>
      </c>
      <c r="J160">
        <v>1.37679</v>
      </c>
      <c r="K160">
        <v>1.33057</v>
      </c>
      <c r="L160">
        <v>1.33057</v>
      </c>
      <c r="M160">
        <v>1.33057</v>
      </c>
      <c r="N160">
        <v>1.33057</v>
      </c>
      <c r="O160">
        <v>1.33057</v>
      </c>
      <c r="P160">
        <v>1.33057</v>
      </c>
    </row>
    <row r="161" spans="1:16" x14ac:dyDescent="0.15">
      <c r="A161">
        <v>2013</v>
      </c>
      <c r="B161">
        <v>2.4784699999999999E-4</v>
      </c>
      <c r="C161">
        <v>1.10267E-2</v>
      </c>
      <c r="D161">
        <v>8.0802600000000002E-2</v>
      </c>
      <c r="E161">
        <v>0.43609399999999998</v>
      </c>
      <c r="F161">
        <v>0.82968600000000003</v>
      </c>
      <c r="G161">
        <v>1.1601600000000001</v>
      </c>
      <c r="H161">
        <v>1.3895299999999999</v>
      </c>
      <c r="I161">
        <v>1.42028</v>
      </c>
      <c r="J161">
        <v>1.38967</v>
      </c>
      <c r="K161">
        <v>1.38042</v>
      </c>
      <c r="L161">
        <v>1.38042</v>
      </c>
      <c r="M161">
        <v>1.38042</v>
      </c>
      <c r="N161">
        <v>1.38042</v>
      </c>
      <c r="O161">
        <v>1.38042</v>
      </c>
      <c r="P161">
        <v>1.38042</v>
      </c>
    </row>
    <row r="162" spans="1:16" x14ac:dyDescent="0.15">
      <c r="A162">
        <v>2014</v>
      </c>
      <c r="B162">
        <v>2.4543900000000002E-4</v>
      </c>
      <c r="C162">
        <v>1.1509800000000001E-2</v>
      </c>
      <c r="D162">
        <v>7.8314599999999998E-2</v>
      </c>
      <c r="E162">
        <v>0.39835100000000001</v>
      </c>
      <c r="F162">
        <v>0.83434900000000001</v>
      </c>
      <c r="G162">
        <v>1.11297</v>
      </c>
      <c r="H162">
        <v>1.5342800000000001</v>
      </c>
      <c r="I162">
        <v>1.3704700000000001</v>
      </c>
      <c r="J162">
        <v>1.38497</v>
      </c>
      <c r="K162">
        <v>1.3790899999999999</v>
      </c>
      <c r="L162">
        <v>1.3790899999999999</v>
      </c>
      <c r="M162">
        <v>1.3790899999999999</v>
      </c>
      <c r="N162">
        <v>1.3790899999999999</v>
      </c>
      <c r="O162">
        <v>1.3790899999999999</v>
      </c>
      <c r="P162">
        <v>1.3790899999999999</v>
      </c>
    </row>
    <row r="163" spans="1:16" x14ac:dyDescent="0.15">
      <c r="A163">
        <v>2015</v>
      </c>
      <c r="B163">
        <v>2.4507899999999999E-4</v>
      </c>
      <c r="C163">
        <v>1.14932E-2</v>
      </c>
      <c r="D163">
        <v>7.8198199999999995E-2</v>
      </c>
      <c r="E163">
        <v>0.39875500000000003</v>
      </c>
      <c r="F163">
        <v>0.83924600000000005</v>
      </c>
      <c r="G163">
        <v>1.1150800000000001</v>
      </c>
      <c r="H163">
        <v>1.4748699999999999</v>
      </c>
      <c r="I163">
        <v>1.39028</v>
      </c>
      <c r="J163">
        <v>1.3886499999999999</v>
      </c>
      <c r="K163">
        <v>1.3838600000000001</v>
      </c>
      <c r="L163">
        <v>1.3838600000000001</v>
      </c>
      <c r="M163">
        <v>1.3838600000000001</v>
      </c>
      <c r="N163">
        <v>1.3838600000000001</v>
      </c>
      <c r="O163">
        <v>1.3838600000000001</v>
      </c>
      <c r="P163">
        <v>1.3838600000000001</v>
      </c>
    </row>
    <row r="164" spans="1:16" x14ac:dyDescent="0.15">
      <c r="A164" t="s">
        <v>269</v>
      </c>
      <c r="B164">
        <v>1.9889899999999999E-4</v>
      </c>
      <c r="C164">
        <v>8.6070000000000001E-3</v>
      </c>
      <c r="D164">
        <v>6.2215199999999998E-2</v>
      </c>
      <c r="E164">
        <v>0.34961399999999998</v>
      </c>
      <c r="F164">
        <v>0.71589000000000003</v>
      </c>
      <c r="G164">
        <v>1</v>
      </c>
      <c r="H164">
        <v>1.1449499999999999</v>
      </c>
      <c r="I164">
        <v>1.1051200000000001</v>
      </c>
      <c r="J164">
        <v>1.0827100000000001</v>
      </c>
      <c r="K164">
        <v>1.0595000000000001</v>
      </c>
      <c r="L164">
        <v>1.0595000000000001</v>
      </c>
      <c r="M164">
        <v>1.0595000000000001</v>
      </c>
      <c r="N164">
        <v>1.0595000000000001</v>
      </c>
      <c r="O164">
        <v>1.0595000000000001</v>
      </c>
      <c r="P164">
        <v>1.0595000000000001</v>
      </c>
    </row>
    <row r="165" spans="1:16" x14ac:dyDescent="0.15">
      <c r="A165">
        <v>1964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</row>
    <row r="166" spans="1:16" x14ac:dyDescent="0.15">
      <c r="A166">
        <v>1965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</row>
    <row r="167" spans="1:16" x14ac:dyDescent="0.15">
      <c r="A167">
        <v>1966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</row>
    <row r="168" spans="1:16" x14ac:dyDescent="0.15">
      <c r="A168">
        <v>1967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</row>
    <row r="169" spans="1:16" x14ac:dyDescent="0.15">
      <c r="A169">
        <v>1968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</row>
    <row r="170" spans="1:16" x14ac:dyDescent="0.15">
      <c r="A170">
        <v>1969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</row>
    <row r="171" spans="1:16" x14ac:dyDescent="0.15">
      <c r="A171">
        <v>1970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</row>
    <row r="172" spans="1:16" x14ac:dyDescent="0.15">
      <c r="A172">
        <v>1971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</row>
    <row r="173" spans="1:16" x14ac:dyDescent="0.15">
      <c r="A173">
        <v>1972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</row>
    <row r="174" spans="1:16" x14ac:dyDescent="0.15">
      <c r="A174">
        <v>1973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</row>
    <row r="175" spans="1:16" x14ac:dyDescent="0.15">
      <c r="A175">
        <v>1974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</row>
    <row r="176" spans="1:16" x14ac:dyDescent="0.15">
      <c r="A176">
        <v>1975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</row>
    <row r="177" spans="1:16" x14ac:dyDescent="0.15">
      <c r="A177">
        <v>1976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</row>
    <row r="178" spans="1:16" x14ac:dyDescent="0.15">
      <c r="A178">
        <v>1977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</row>
    <row r="179" spans="1:16" x14ac:dyDescent="0.15">
      <c r="A179">
        <v>1978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</row>
    <row r="180" spans="1:16" x14ac:dyDescent="0.15">
      <c r="A180">
        <v>1979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</row>
    <row r="181" spans="1:16" x14ac:dyDescent="0.15">
      <c r="A181">
        <v>1980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</row>
    <row r="182" spans="1:16" x14ac:dyDescent="0.15">
      <c r="A182">
        <v>1981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</row>
    <row r="183" spans="1:16" x14ac:dyDescent="0.15">
      <c r="A183">
        <v>1982</v>
      </c>
      <c r="B183">
        <v>0.15364800000000001</v>
      </c>
      <c r="C183">
        <v>0.33071299999999998</v>
      </c>
      <c r="D183">
        <v>0.582955</v>
      </c>
      <c r="E183">
        <v>0.798153</v>
      </c>
      <c r="F183">
        <v>0.91793899999999995</v>
      </c>
      <c r="G183">
        <v>0.96936599999999995</v>
      </c>
      <c r="H183">
        <v>0.98895200000000005</v>
      </c>
      <c r="I183">
        <v>0.99606700000000004</v>
      </c>
      <c r="J183">
        <v>0.99860599999999999</v>
      </c>
      <c r="K183">
        <v>0.99950700000000003</v>
      </c>
      <c r="L183">
        <v>0.99982599999999999</v>
      </c>
      <c r="M183">
        <v>0.99993799999999999</v>
      </c>
      <c r="N183">
        <v>0.99997800000000003</v>
      </c>
      <c r="O183">
        <v>0.99999199999999999</v>
      </c>
      <c r="P183">
        <v>0.99999700000000002</v>
      </c>
    </row>
    <row r="184" spans="1:16" x14ac:dyDescent="0.15">
      <c r="A184">
        <v>1983</v>
      </c>
      <c r="B184">
        <v>0.12781799999999999</v>
      </c>
      <c r="C184">
        <v>0.10319300000000001</v>
      </c>
      <c r="D184">
        <v>0.28417700000000001</v>
      </c>
      <c r="E184">
        <v>0.57799999999999996</v>
      </c>
      <c r="F184">
        <v>0.82534300000000005</v>
      </c>
      <c r="G184">
        <v>0.94220800000000005</v>
      </c>
      <c r="H184">
        <v>0.98253199999999996</v>
      </c>
      <c r="I184">
        <v>0.99487300000000001</v>
      </c>
      <c r="J184">
        <v>0.99850899999999998</v>
      </c>
      <c r="K184">
        <v>0.99956699999999998</v>
      </c>
      <c r="L184">
        <v>0.99987499999999996</v>
      </c>
      <c r="M184">
        <v>0.99996399999999996</v>
      </c>
      <c r="N184">
        <v>0.99998900000000002</v>
      </c>
      <c r="O184">
        <v>0.99999700000000002</v>
      </c>
      <c r="P184">
        <v>0.99999899999999997</v>
      </c>
    </row>
    <row r="185" spans="1:16" x14ac:dyDescent="0.15">
      <c r="A185">
        <v>1984</v>
      </c>
      <c r="B185">
        <v>9.9321199999999998E-2</v>
      </c>
      <c r="C185">
        <v>3.6960100000000003E-2</v>
      </c>
      <c r="D185">
        <v>0.128025</v>
      </c>
      <c r="E185">
        <v>0.35966500000000001</v>
      </c>
      <c r="F185">
        <v>0.68241700000000005</v>
      </c>
      <c r="G185">
        <v>0.89154500000000003</v>
      </c>
      <c r="H185">
        <v>0.96918199999999999</v>
      </c>
      <c r="I185">
        <v>0.991757</v>
      </c>
      <c r="J185">
        <v>0.99783200000000005</v>
      </c>
      <c r="K185">
        <v>0.99943199999999999</v>
      </c>
      <c r="L185">
        <v>0.99985199999999996</v>
      </c>
      <c r="M185">
        <v>0.99996099999999999</v>
      </c>
      <c r="N185">
        <v>0.99999000000000005</v>
      </c>
      <c r="O185">
        <v>0.99999700000000002</v>
      </c>
      <c r="P185">
        <v>0.99999899999999997</v>
      </c>
    </row>
    <row r="186" spans="1:16" x14ac:dyDescent="0.15">
      <c r="A186">
        <v>1985</v>
      </c>
      <c r="B186">
        <v>0.195296</v>
      </c>
      <c r="C186">
        <v>9.2105900000000004E-2</v>
      </c>
      <c r="D186">
        <v>0.22475500000000001</v>
      </c>
      <c r="E186">
        <v>0.453102</v>
      </c>
      <c r="F186">
        <v>0.70305300000000004</v>
      </c>
      <c r="G186">
        <v>0.87123200000000001</v>
      </c>
      <c r="H186">
        <v>0.950824</v>
      </c>
      <c r="I186">
        <v>0.98222399999999999</v>
      </c>
      <c r="J186">
        <v>0.99370700000000001</v>
      </c>
      <c r="K186">
        <v>0.99778900000000004</v>
      </c>
      <c r="L186">
        <v>0.99922500000000003</v>
      </c>
      <c r="M186">
        <v>0.99972899999999998</v>
      </c>
      <c r="N186">
        <v>0.99990500000000004</v>
      </c>
      <c r="O186">
        <v>0.99996700000000005</v>
      </c>
      <c r="P186">
        <v>0.99998799999999999</v>
      </c>
    </row>
    <row r="187" spans="1:16" x14ac:dyDescent="0.15">
      <c r="A187">
        <v>1986</v>
      </c>
      <c r="B187">
        <v>0.21903400000000001</v>
      </c>
      <c r="C187">
        <v>4.4874600000000001E-2</v>
      </c>
      <c r="D187">
        <v>0.11436</v>
      </c>
      <c r="E187">
        <v>0.261934</v>
      </c>
      <c r="F187">
        <v>0.49376900000000001</v>
      </c>
      <c r="G187">
        <v>0.72831500000000005</v>
      </c>
      <c r="H187">
        <v>0.88049299999999997</v>
      </c>
      <c r="I187">
        <v>0.95294000000000001</v>
      </c>
      <c r="J187">
        <v>0.98234900000000003</v>
      </c>
      <c r="K187">
        <v>0.99350499999999997</v>
      </c>
      <c r="L187">
        <v>0.99762700000000004</v>
      </c>
      <c r="M187">
        <v>0.999135</v>
      </c>
      <c r="N187">
        <v>0.99968500000000005</v>
      </c>
      <c r="O187">
        <v>0.99988500000000002</v>
      </c>
      <c r="P187">
        <v>0.99995800000000001</v>
      </c>
    </row>
    <row r="188" spans="1:16" x14ac:dyDescent="0.15">
      <c r="A188">
        <v>1987</v>
      </c>
      <c r="B188">
        <v>0.129885</v>
      </c>
      <c r="C188">
        <v>7.1488800000000005E-2</v>
      </c>
      <c r="D188">
        <v>0.168133</v>
      </c>
      <c r="E188">
        <v>0.34665099999999999</v>
      </c>
      <c r="F188">
        <v>0.58208400000000005</v>
      </c>
      <c r="G188">
        <v>0.78523799999999999</v>
      </c>
      <c r="H188">
        <v>0.90564500000000003</v>
      </c>
      <c r="I188">
        <v>0.96182699999999999</v>
      </c>
      <c r="J188">
        <v>0.98510699999999995</v>
      </c>
      <c r="K188">
        <v>0.99427399999999999</v>
      </c>
      <c r="L188">
        <v>0.997811</v>
      </c>
      <c r="M188">
        <v>0.99916499999999997</v>
      </c>
      <c r="N188">
        <v>0.99968199999999996</v>
      </c>
      <c r="O188">
        <v>0.99987899999999996</v>
      </c>
      <c r="P188">
        <v>0.99995400000000001</v>
      </c>
    </row>
    <row r="189" spans="1:16" x14ac:dyDescent="0.15">
      <c r="A189">
        <v>1988</v>
      </c>
      <c r="B189">
        <v>0.15037600000000001</v>
      </c>
      <c r="C189">
        <v>0.121949</v>
      </c>
      <c r="D189">
        <v>0.25738100000000003</v>
      </c>
      <c r="E189">
        <v>0.46377600000000002</v>
      </c>
      <c r="F189">
        <v>0.68337499999999995</v>
      </c>
      <c r="G189">
        <v>0.84340800000000005</v>
      </c>
      <c r="H189">
        <v>0.930751</v>
      </c>
      <c r="I189">
        <v>0.97104900000000005</v>
      </c>
      <c r="J189">
        <v>0.98819400000000002</v>
      </c>
      <c r="K189">
        <v>0.99523499999999998</v>
      </c>
      <c r="L189">
        <v>0.998085</v>
      </c>
      <c r="M189">
        <v>0.99923200000000001</v>
      </c>
      <c r="N189">
        <v>0.99969200000000003</v>
      </c>
      <c r="O189">
        <v>0.99987700000000002</v>
      </c>
      <c r="P189">
        <v>0.99995100000000003</v>
      </c>
    </row>
    <row r="190" spans="1:16" x14ac:dyDescent="0.15">
      <c r="A190">
        <v>1989</v>
      </c>
      <c r="B190">
        <v>8.0252500000000004E-2</v>
      </c>
      <c r="C190">
        <v>0.10602200000000001</v>
      </c>
      <c r="D190">
        <v>0.25030799999999997</v>
      </c>
      <c r="E190">
        <v>0.48453000000000002</v>
      </c>
      <c r="F190">
        <v>0.72575100000000003</v>
      </c>
      <c r="G190">
        <v>0.88166</v>
      </c>
      <c r="H190">
        <v>0.95449300000000004</v>
      </c>
      <c r="I190">
        <v>0.98334699999999997</v>
      </c>
      <c r="J190">
        <v>0.99402100000000004</v>
      </c>
      <c r="K190">
        <v>0.99786799999999998</v>
      </c>
      <c r="L190">
        <v>0.99924199999999996</v>
      </c>
      <c r="M190">
        <v>0.99973000000000001</v>
      </c>
      <c r="N190">
        <v>0.99990400000000002</v>
      </c>
      <c r="O190">
        <v>0.99996600000000002</v>
      </c>
      <c r="P190">
        <v>0.99998799999999999</v>
      </c>
    </row>
    <row r="191" spans="1:16" x14ac:dyDescent="0.15">
      <c r="A191">
        <v>1990</v>
      </c>
      <c r="B191">
        <v>3.3099000000000003E-2</v>
      </c>
      <c r="C191">
        <v>4.42187E-2</v>
      </c>
      <c r="D191">
        <v>0.126833</v>
      </c>
      <c r="E191">
        <v>0.31321599999999999</v>
      </c>
      <c r="F191">
        <v>0.58879800000000004</v>
      </c>
      <c r="G191">
        <v>0.81803999999999999</v>
      </c>
      <c r="H191">
        <v>0.93384100000000003</v>
      </c>
      <c r="I191">
        <v>0.97793300000000005</v>
      </c>
      <c r="J191">
        <v>0.99286399999999997</v>
      </c>
      <c r="K191">
        <v>0.99771600000000005</v>
      </c>
      <c r="L191">
        <v>0.99927100000000002</v>
      </c>
      <c r="M191">
        <v>0.99976799999999999</v>
      </c>
      <c r="N191">
        <v>0.99992599999999998</v>
      </c>
      <c r="O191">
        <v>0.99997599999999998</v>
      </c>
      <c r="P191">
        <v>0.99999199999999999</v>
      </c>
    </row>
    <row r="192" spans="1:16" x14ac:dyDescent="0.15">
      <c r="A192">
        <v>1991</v>
      </c>
      <c r="B192">
        <v>6.9404999999999994E-2</v>
      </c>
      <c r="C192">
        <v>1.9354199999999998E-2</v>
      </c>
      <c r="D192">
        <v>5.2102200000000001E-2</v>
      </c>
      <c r="E192">
        <v>0.13275999999999999</v>
      </c>
      <c r="F192">
        <v>0.29890699999999998</v>
      </c>
      <c r="G192">
        <v>0.54283400000000004</v>
      </c>
      <c r="H192">
        <v>0.76781600000000005</v>
      </c>
      <c r="I192">
        <v>0.90205599999999997</v>
      </c>
      <c r="J192">
        <v>0.96247700000000003</v>
      </c>
      <c r="K192">
        <v>0.98619500000000004</v>
      </c>
      <c r="L192">
        <v>0.99499899999999997</v>
      </c>
      <c r="M192">
        <v>0.99819899999999995</v>
      </c>
      <c r="N192">
        <v>0.99935200000000002</v>
      </c>
      <c r="O192">
        <v>0.99976699999999996</v>
      </c>
      <c r="P192">
        <v>0.99991600000000003</v>
      </c>
    </row>
    <row r="193" spans="1:16" x14ac:dyDescent="0.15">
      <c r="A193">
        <v>1992</v>
      </c>
      <c r="B193">
        <v>4.90226E-2</v>
      </c>
      <c r="C193">
        <v>2.92632E-2</v>
      </c>
      <c r="D193">
        <v>7.7008099999999996E-2</v>
      </c>
      <c r="E193">
        <v>0.18759799999999999</v>
      </c>
      <c r="F193">
        <v>0.38991300000000001</v>
      </c>
      <c r="G193">
        <v>0.63884099999999999</v>
      </c>
      <c r="H193">
        <v>0.83038400000000001</v>
      </c>
      <c r="I193">
        <v>0.93127000000000004</v>
      </c>
      <c r="J193">
        <v>0.97402699999999998</v>
      </c>
      <c r="K193">
        <v>0.99045700000000003</v>
      </c>
      <c r="L193">
        <v>0.99653099999999994</v>
      </c>
      <c r="M193">
        <v>0.99874399999999997</v>
      </c>
      <c r="N193">
        <v>0.99954600000000005</v>
      </c>
      <c r="O193">
        <v>0.99983599999999995</v>
      </c>
      <c r="P193">
        <v>0.99994099999999997</v>
      </c>
    </row>
    <row r="194" spans="1:16" x14ac:dyDescent="0.15">
      <c r="A194">
        <v>1993</v>
      </c>
      <c r="B194">
        <v>3.8251500000000001E-2</v>
      </c>
      <c r="C194">
        <v>2.6261E-2</v>
      </c>
      <c r="D194">
        <v>7.3642399999999997E-2</v>
      </c>
      <c r="E194">
        <v>0.18984400000000001</v>
      </c>
      <c r="F194">
        <v>0.40854000000000001</v>
      </c>
      <c r="G194">
        <v>0.67062500000000003</v>
      </c>
      <c r="H194">
        <v>0.85717600000000005</v>
      </c>
      <c r="I194">
        <v>0.94649799999999995</v>
      </c>
      <c r="J194">
        <v>0.98118399999999995</v>
      </c>
      <c r="K194">
        <v>0.99353599999999997</v>
      </c>
      <c r="L194">
        <v>0.99779799999999996</v>
      </c>
      <c r="M194">
        <v>0.99925200000000003</v>
      </c>
      <c r="N194">
        <v>0.99974600000000002</v>
      </c>
      <c r="O194">
        <v>0.99991399999999997</v>
      </c>
      <c r="P194">
        <v>0.99997100000000005</v>
      </c>
    </row>
    <row r="195" spans="1:16" x14ac:dyDescent="0.15">
      <c r="A195">
        <v>1994</v>
      </c>
      <c r="B195">
        <v>6.2075400000000003E-2</v>
      </c>
      <c r="C195">
        <v>1.8187499999999999E-2</v>
      </c>
      <c r="D195">
        <v>5.1810299999999997E-2</v>
      </c>
      <c r="E195">
        <v>0.13880300000000001</v>
      </c>
      <c r="F195">
        <v>0.32222499999999998</v>
      </c>
      <c r="G195">
        <v>0.58373699999999995</v>
      </c>
      <c r="H195">
        <v>0.80531200000000003</v>
      </c>
      <c r="I195">
        <v>0.92424899999999999</v>
      </c>
      <c r="J195">
        <v>0.97296499999999997</v>
      </c>
      <c r="K195">
        <v>0.99066799999999999</v>
      </c>
      <c r="L195">
        <v>0.99681699999999995</v>
      </c>
      <c r="M195">
        <v>0.998919</v>
      </c>
      <c r="N195">
        <v>0.99963299999999999</v>
      </c>
      <c r="O195">
        <v>0.99987599999999999</v>
      </c>
      <c r="P195">
        <v>0.99995800000000001</v>
      </c>
    </row>
    <row r="196" spans="1:16" x14ac:dyDescent="0.15">
      <c r="A196">
        <v>1995</v>
      </c>
      <c r="B196">
        <v>6.7950999999999998E-2</v>
      </c>
      <c r="C196">
        <v>8.1049699999999995E-3</v>
      </c>
      <c r="D196">
        <v>2.38693E-2</v>
      </c>
      <c r="E196">
        <v>6.8187600000000001E-2</v>
      </c>
      <c r="F196">
        <v>0.179648</v>
      </c>
      <c r="G196">
        <v>0.39589600000000003</v>
      </c>
      <c r="H196">
        <v>0.66229499999999997</v>
      </c>
      <c r="I196">
        <v>0.85441699999999998</v>
      </c>
      <c r="J196">
        <v>0.94613000000000003</v>
      </c>
      <c r="K196">
        <v>0.98132900000000001</v>
      </c>
      <c r="L196">
        <v>0.99368199999999995</v>
      </c>
      <c r="M196">
        <v>0.99787999999999999</v>
      </c>
      <c r="N196">
        <v>0.99929100000000004</v>
      </c>
      <c r="O196">
        <v>0.99976299999999996</v>
      </c>
      <c r="P196">
        <v>0.99992099999999995</v>
      </c>
    </row>
    <row r="197" spans="1:16" x14ac:dyDescent="0.15">
      <c r="A197">
        <v>1996</v>
      </c>
      <c r="B197">
        <v>5.9425600000000002E-2</v>
      </c>
      <c r="C197">
        <v>1.21117E-2</v>
      </c>
      <c r="D197">
        <v>3.0422100000000001E-2</v>
      </c>
      <c r="E197">
        <v>7.4330800000000002E-2</v>
      </c>
      <c r="F197">
        <v>0.17047100000000001</v>
      </c>
      <c r="G197">
        <v>0.34466200000000002</v>
      </c>
      <c r="H197">
        <v>0.57373600000000002</v>
      </c>
      <c r="I197">
        <v>0.77500899999999995</v>
      </c>
      <c r="J197">
        <v>0.89812099999999995</v>
      </c>
      <c r="K197">
        <v>0.95755699999999999</v>
      </c>
      <c r="L197">
        <v>0.98297500000000004</v>
      </c>
      <c r="M197">
        <v>0.99327799999999999</v>
      </c>
      <c r="N197">
        <v>0.997363</v>
      </c>
      <c r="O197">
        <v>0.99896799999999997</v>
      </c>
      <c r="P197">
        <v>0.99959600000000004</v>
      </c>
    </row>
    <row r="198" spans="1:16" x14ac:dyDescent="0.15">
      <c r="A198">
        <v>1997</v>
      </c>
      <c r="B198">
        <v>6.5747799999999995E-2</v>
      </c>
      <c r="C198">
        <v>2.77582E-2</v>
      </c>
      <c r="D198">
        <v>6.3224600000000006E-2</v>
      </c>
      <c r="E198">
        <v>0.13759299999999999</v>
      </c>
      <c r="F198">
        <v>0.27386500000000003</v>
      </c>
      <c r="G198">
        <v>0.47133700000000001</v>
      </c>
      <c r="H198">
        <v>0.678207</v>
      </c>
      <c r="I198">
        <v>0.83283700000000005</v>
      </c>
      <c r="J198">
        <v>0.92173700000000003</v>
      </c>
      <c r="K198">
        <v>0.96532700000000005</v>
      </c>
      <c r="L198">
        <v>0.98503300000000005</v>
      </c>
      <c r="M198">
        <v>0.993614</v>
      </c>
      <c r="N198">
        <v>0.99728799999999995</v>
      </c>
      <c r="O198">
        <v>0.99885100000000004</v>
      </c>
      <c r="P198">
        <v>0.99951400000000001</v>
      </c>
    </row>
    <row r="199" spans="1:16" x14ac:dyDescent="0.15">
      <c r="A199">
        <v>1998</v>
      </c>
      <c r="B199">
        <v>5.5492699999999999E-2</v>
      </c>
      <c r="C199">
        <v>3.3283800000000002E-2</v>
      </c>
      <c r="D199">
        <v>7.0850300000000005E-2</v>
      </c>
      <c r="E199">
        <v>0.14448</v>
      </c>
      <c r="F199">
        <v>0.27221000000000001</v>
      </c>
      <c r="G199">
        <v>0.45306200000000002</v>
      </c>
      <c r="H199">
        <v>0.64721700000000004</v>
      </c>
      <c r="I199">
        <v>0.80249499999999996</v>
      </c>
      <c r="J199">
        <v>0.89998800000000001</v>
      </c>
      <c r="K199">
        <v>0.95222200000000001</v>
      </c>
      <c r="L199">
        <v>0.97784599999999999</v>
      </c>
      <c r="M199">
        <v>0.98987400000000003</v>
      </c>
      <c r="N199">
        <v>0.99540200000000001</v>
      </c>
      <c r="O199">
        <v>0.997919</v>
      </c>
      <c r="P199">
        <v>0.99905900000000003</v>
      </c>
    </row>
    <row r="200" spans="1:16" x14ac:dyDescent="0.15">
      <c r="A200">
        <v>1999</v>
      </c>
      <c r="B200">
        <v>5.20317E-2</v>
      </c>
      <c r="C200">
        <v>5.1381299999999998E-2</v>
      </c>
      <c r="D200">
        <v>0.100148</v>
      </c>
      <c r="E200">
        <v>0.18611900000000001</v>
      </c>
      <c r="F200">
        <v>0.31967299999999998</v>
      </c>
      <c r="G200">
        <v>0.49121999999999999</v>
      </c>
      <c r="H200">
        <v>0.66486100000000004</v>
      </c>
      <c r="I200">
        <v>0.80300499999999997</v>
      </c>
      <c r="J200">
        <v>0.89334100000000005</v>
      </c>
      <c r="K200">
        <v>0.94508499999999995</v>
      </c>
      <c r="L200">
        <v>0.972499</v>
      </c>
      <c r="M200">
        <v>0.98642399999999997</v>
      </c>
      <c r="N200">
        <v>0.99334699999999998</v>
      </c>
      <c r="O200">
        <v>0.99675100000000005</v>
      </c>
      <c r="P200">
        <v>0.99841599999999997</v>
      </c>
    </row>
    <row r="201" spans="1:16" x14ac:dyDescent="0.15">
      <c r="A201">
        <v>2000</v>
      </c>
      <c r="B201">
        <v>2.9672799999999999E-2</v>
      </c>
      <c r="C201">
        <v>3.41143E-2</v>
      </c>
      <c r="D201">
        <v>7.17034E-2</v>
      </c>
      <c r="E201">
        <v>0.144514</v>
      </c>
      <c r="F201">
        <v>0.26977200000000001</v>
      </c>
      <c r="G201">
        <v>0.44688499999999998</v>
      </c>
      <c r="H201">
        <v>0.63858999999999999</v>
      </c>
      <c r="I201">
        <v>0.79441799999999996</v>
      </c>
      <c r="J201">
        <v>0.89419099999999996</v>
      </c>
      <c r="K201">
        <v>0.94867100000000004</v>
      </c>
      <c r="L201">
        <v>0.97585699999999997</v>
      </c>
      <c r="M201">
        <v>0.98881399999999997</v>
      </c>
      <c r="N201">
        <v>0.99485400000000002</v>
      </c>
      <c r="O201">
        <v>0.99763999999999997</v>
      </c>
      <c r="P201">
        <v>0.99892000000000003</v>
      </c>
    </row>
    <row r="202" spans="1:16" x14ac:dyDescent="0.15">
      <c r="A202">
        <v>2001</v>
      </c>
      <c r="B202">
        <v>3.6943700000000003E-2</v>
      </c>
      <c r="C202">
        <v>4.1767499999999999E-2</v>
      </c>
      <c r="D202">
        <v>8.2501000000000005E-2</v>
      </c>
      <c r="E202">
        <v>0.156473</v>
      </c>
      <c r="F202">
        <v>0.27676200000000001</v>
      </c>
      <c r="G202">
        <v>0.441162</v>
      </c>
      <c r="H202">
        <v>0.61956100000000003</v>
      </c>
      <c r="I202">
        <v>0.77061999999999997</v>
      </c>
      <c r="J202">
        <v>0.87390599999999996</v>
      </c>
      <c r="K202">
        <v>0.93462900000000004</v>
      </c>
      <c r="L202">
        <v>0.96720700000000004</v>
      </c>
      <c r="M202">
        <v>0.98383100000000001</v>
      </c>
      <c r="N202">
        <v>0.99209599999999998</v>
      </c>
      <c r="O202">
        <v>0.99615299999999996</v>
      </c>
      <c r="P202">
        <v>0.99813099999999999</v>
      </c>
    </row>
    <row r="203" spans="1:16" x14ac:dyDescent="0.15">
      <c r="A203">
        <v>2002</v>
      </c>
      <c r="B203">
        <v>2.1815399999999999E-2</v>
      </c>
      <c r="C203">
        <v>2.4584700000000001E-2</v>
      </c>
      <c r="D203">
        <v>5.5222899999999998E-2</v>
      </c>
      <c r="E203">
        <v>0.119371</v>
      </c>
      <c r="F203">
        <v>0.23916999999999999</v>
      </c>
      <c r="G203">
        <v>0.42163400000000001</v>
      </c>
      <c r="H203">
        <v>0.62833899999999998</v>
      </c>
      <c r="I203">
        <v>0.79677600000000004</v>
      </c>
      <c r="J203">
        <v>0.90091500000000002</v>
      </c>
      <c r="K203">
        <v>0.95472199999999996</v>
      </c>
      <c r="L203">
        <v>0.97996000000000005</v>
      </c>
      <c r="M203">
        <v>0.991259</v>
      </c>
      <c r="N203">
        <v>0.99621199999999999</v>
      </c>
      <c r="O203">
        <v>0.998363</v>
      </c>
      <c r="P203">
        <v>0.99929299999999999</v>
      </c>
    </row>
    <row r="204" spans="1:16" x14ac:dyDescent="0.15">
      <c r="A204">
        <v>2003</v>
      </c>
      <c r="B204">
        <v>1.50586E-2</v>
      </c>
      <c r="C204">
        <v>1.0146000000000001E-2</v>
      </c>
      <c r="D204">
        <v>2.65162E-2</v>
      </c>
      <c r="E204">
        <v>6.74984E-2</v>
      </c>
      <c r="F204">
        <v>0.161324</v>
      </c>
      <c r="G204">
        <v>0.33826099999999998</v>
      </c>
      <c r="H204">
        <v>0.57598300000000002</v>
      </c>
      <c r="I204">
        <v>0.78307300000000002</v>
      </c>
      <c r="J204">
        <v>0.90559699999999999</v>
      </c>
      <c r="K204">
        <v>0.96225300000000002</v>
      </c>
      <c r="L204">
        <v>0.98545300000000002</v>
      </c>
      <c r="M204">
        <v>0.99447600000000003</v>
      </c>
      <c r="N204">
        <v>0.99791399999999997</v>
      </c>
      <c r="O204">
        <v>0.99921400000000005</v>
      </c>
      <c r="P204">
        <v>0.99970400000000004</v>
      </c>
    </row>
    <row r="205" spans="1:16" x14ac:dyDescent="0.15">
      <c r="A205">
        <v>2004</v>
      </c>
      <c r="B205">
        <v>4.3827699999999997E-2</v>
      </c>
      <c r="C205">
        <v>1.7416399999999999E-2</v>
      </c>
      <c r="D205">
        <v>4.7208699999999999E-2</v>
      </c>
      <c r="E205">
        <v>0.121654</v>
      </c>
      <c r="F205">
        <v>0.27910499999999999</v>
      </c>
      <c r="G205">
        <v>0.51975300000000002</v>
      </c>
      <c r="H205">
        <v>0.75157099999999999</v>
      </c>
      <c r="I205">
        <v>0.89425600000000005</v>
      </c>
      <c r="J205">
        <v>0.95941500000000002</v>
      </c>
      <c r="K205">
        <v>0.985093</v>
      </c>
      <c r="L205">
        <v>0.99461599999999994</v>
      </c>
      <c r="M205">
        <v>0.99806700000000004</v>
      </c>
      <c r="N205">
        <v>0.99930799999999997</v>
      </c>
      <c r="O205">
        <v>0.99975199999999997</v>
      </c>
      <c r="P205">
        <v>0.99991099999999999</v>
      </c>
    </row>
    <row r="206" spans="1:16" x14ac:dyDescent="0.15">
      <c r="A206">
        <v>2005</v>
      </c>
      <c r="B206">
        <v>6.2007199999999998E-2</v>
      </c>
      <c r="C206">
        <v>2.00831E-2</v>
      </c>
      <c r="D206">
        <v>5.9324200000000001E-2</v>
      </c>
      <c r="E206">
        <v>0.162523</v>
      </c>
      <c r="F206">
        <v>0.37389</v>
      </c>
      <c r="G206">
        <v>0.64758599999999999</v>
      </c>
      <c r="H206">
        <v>0.84972599999999998</v>
      </c>
      <c r="I206">
        <v>0.94565200000000005</v>
      </c>
      <c r="J206">
        <v>0.98166600000000004</v>
      </c>
      <c r="K206">
        <v>0.99396700000000004</v>
      </c>
      <c r="L206">
        <v>0.998031</v>
      </c>
      <c r="M206">
        <v>0.999359</v>
      </c>
      <c r="N206">
        <v>0.99979200000000001</v>
      </c>
      <c r="O206">
        <v>0.99993200000000004</v>
      </c>
      <c r="P206">
        <v>0.99997800000000003</v>
      </c>
    </row>
    <row r="207" spans="1:16" x14ac:dyDescent="0.15">
      <c r="A207">
        <v>2006</v>
      </c>
      <c r="B207">
        <v>7.5398699999999999E-2</v>
      </c>
      <c r="C207">
        <v>1.53364E-2</v>
      </c>
      <c r="D207">
        <v>4.4432600000000003E-2</v>
      </c>
      <c r="E207">
        <v>0.121896</v>
      </c>
      <c r="F207">
        <v>0.29299999999999998</v>
      </c>
      <c r="G207">
        <v>0.55301999999999996</v>
      </c>
      <c r="H207">
        <v>0.78694699999999995</v>
      </c>
      <c r="I207">
        <v>0.91685399999999995</v>
      </c>
      <c r="J207">
        <v>0.97051900000000002</v>
      </c>
      <c r="K207">
        <v>0.98992800000000003</v>
      </c>
      <c r="L207">
        <v>0.99660300000000002</v>
      </c>
      <c r="M207">
        <v>0.99885999999999997</v>
      </c>
      <c r="N207">
        <v>0.99961800000000001</v>
      </c>
      <c r="O207">
        <v>0.99987199999999998</v>
      </c>
      <c r="P207">
        <v>0.99995699999999998</v>
      </c>
    </row>
    <row r="208" spans="1:16" x14ac:dyDescent="0.15">
      <c r="A208">
        <v>2007</v>
      </c>
      <c r="B208">
        <v>6.2504799999999999E-2</v>
      </c>
      <c r="C208">
        <v>1.85436E-2</v>
      </c>
      <c r="D208">
        <v>6.5639299999999998E-2</v>
      </c>
      <c r="E208">
        <v>0.20710500000000001</v>
      </c>
      <c r="F208">
        <v>0.49269099999999999</v>
      </c>
      <c r="G208">
        <v>0.78312800000000005</v>
      </c>
      <c r="H208">
        <v>0.93068200000000001</v>
      </c>
      <c r="I208">
        <v>0.98036199999999996</v>
      </c>
      <c r="J208">
        <v>0.994641</v>
      </c>
      <c r="K208">
        <v>0.99855300000000002</v>
      </c>
      <c r="L208">
        <v>0.99961</v>
      </c>
      <c r="M208">
        <v>0.99989499999999998</v>
      </c>
      <c r="N208">
        <v>0.99997199999999997</v>
      </c>
      <c r="O208">
        <v>0.99999199999999999</v>
      </c>
      <c r="P208">
        <v>0.99999800000000005</v>
      </c>
    </row>
    <row r="209" spans="1:16" x14ac:dyDescent="0.15">
      <c r="A209">
        <v>2008</v>
      </c>
      <c r="B209">
        <v>3.6745199999999999E-2</v>
      </c>
      <c r="C209">
        <v>8.4662899999999996E-3</v>
      </c>
      <c r="D209">
        <v>3.8629799999999999E-2</v>
      </c>
      <c r="E209">
        <v>0.159024</v>
      </c>
      <c r="F209">
        <v>0.47086099999999997</v>
      </c>
      <c r="G209">
        <v>0.80723400000000001</v>
      </c>
      <c r="H209">
        <v>0.95170699999999997</v>
      </c>
      <c r="I209">
        <v>0.98933199999999999</v>
      </c>
      <c r="J209">
        <v>0.99771399999999999</v>
      </c>
      <c r="K209">
        <v>0.99951299999999998</v>
      </c>
      <c r="L209">
        <v>0.99989700000000004</v>
      </c>
      <c r="M209">
        <v>0.99997800000000003</v>
      </c>
      <c r="N209">
        <v>0.99999499999999997</v>
      </c>
      <c r="O209">
        <v>0.99999899999999997</v>
      </c>
      <c r="P209">
        <v>1</v>
      </c>
    </row>
    <row r="210" spans="1:16" x14ac:dyDescent="0.15">
      <c r="A210">
        <v>2009</v>
      </c>
      <c r="B210">
        <v>1.60492E-2</v>
      </c>
      <c r="C210">
        <v>1.2995E-2</v>
      </c>
      <c r="D210">
        <v>5.5050300000000003E-2</v>
      </c>
      <c r="E210">
        <v>0.20494699999999999</v>
      </c>
      <c r="F210">
        <v>0.53284399999999998</v>
      </c>
      <c r="G210">
        <v>0.83462800000000004</v>
      </c>
      <c r="H210">
        <v>0.95713999999999999</v>
      </c>
      <c r="I210">
        <v>0.989981</v>
      </c>
      <c r="J210">
        <v>0.99771799999999999</v>
      </c>
      <c r="K210">
        <v>0.99948300000000001</v>
      </c>
      <c r="L210">
        <v>0.99988299999999997</v>
      </c>
      <c r="M210">
        <v>0.99997400000000003</v>
      </c>
      <c r="N210">
        <v>0.99999400000000005</v>
      </c>
      <c r="O210">
        <v>0.99999899999999997</v>
      </c>
      <c r="P210">
        <v>1</v>
      </c>
    </row>
    <row r="211" spans="1:16" x14ac:dyDescent="0.15">
      <c r="A211">
        <v>2010</v>
      </c>
      <c r="B211">
        <v>1.9023200000000001E-2</v>
      </c>
      <c r="C211">
        <v>9.5254299999999997E-3</v>
      </c>
      <c r="D211">
        <v>5.77528E-2</v>
      </c>
      <c r="E211">
        <v>0.28090599999999999</v>
      </c>
      <c r="F211">
        <v>0.71343999999999996</v>
      </c>
      <c r="G211">
        <v>0.94071499999999997</v>
      </c>
      <c r="H211">
        <v>0.99020799999999998</v>
      </c>
      <c r="I211">
        <v>0.99845099999999998</v>
      </c>
      <c r="J211">
        <v>0.99975700000000001</v>
      </c>
      <c r="K211">
        <v>0.99996200000000002</v>
      </c>
      <c r="L211">
        <v>0.99999400000000005</v>
      </c>
      <c r="M211">
        <v>0.99999899999999997</v>
      </c>
      <c r="N211">
        <v>1</v>
      </c>
      <c r="O211">
        <v>1</v>
      </c>
      <c r="P211">
        <v>1</v>
      </c>
    </row>
    <row r="212" spans="1:16" x14ac:dyDescent="0.15">
      <c r="A212">
        <v>2011</v>
      </c>
      <c r="B212">
        <v>5.0660200000000002E-2</v>
      </c>
      <c r="C212">
        <v>3.3147099999999998E-3</v>
      </c>
      <c r="D212">
        <v>1.69616E-2</v>
      </c>
      <c r="E212">
        <v>8.2162399999999997E-2</v>
      </c>
      <c r="F212">
        <v>0.317139</v>
      </c>
      <c r="G212">
        <v>0.70670200000000005</v>
      </c>
      <c r="H212">
        <v>0.92593000000000003</v>
      </c>
      <c r="I212">
        <v>0.984815</v>
      </c>
      <c r="J212">
        <v>0.99703699999999995</v>
      </c>
      <c r="K212">
        <v>0.99942699999999995</v>
      </c>
      <c r="L212">
        <v>0.99988999999999995</v>
      </c>
      <c r="M212">
        <v>0.99997899999999995</v>
      </c>
      <c r="N212">
        <v>0.999996</v>
      </c>
      <c r="O212">
        <v>0.99999899999999997</v>
      </c>
      <c r="P212">
        <v>1</v>
      </c>
    </row>
    <row r="213" spans="1:16" x14ac:dyDescent="0.15">
      <c r="A213">
        <v>2012</v>
      </c>
      <c r="B213">
        <v>7.6635099999999998E-2</v>
      </c>
      <c r="C213">
        <v>1.7137300000000001E-2</v>
      </c>
      <c r="D213">
        <v>5.66469E-2</v>
      </c>
      <c r="E213">
        <v>0.17136299999999999</v>
      </c>
      <c r="F213">
        <v>0.41595799999999999</v>
      </c>
      <c r="G213">
        <v>0.71037799999999995</v>
      </c>
      <c r="H213">
        <v>0.89414800000000005</v>
      </c>
      <c r="I213">
        <v>0.96676799999999996</v>
      </c>
      <c r="J213">
        <v>0.99011700000000002</v>
      </c>
      <c r="K213">
        <v>0.99711000000000005</v>
      </c>
      <c r="L213">
        <v>0.99915900000000002</v>
      </c>
      <c r="M213">
        <v>0.99975599999999998</v>
      </c>
      <c r="N213">
        <v>0.99992899999999996</v>
      </c>
      <c r="O213">
        <v>0.99997899999999995</v>
      </c>
      <c r="P213">
        <v>0.99999400000000005</v>
      </c>
    </row>
    <row r="214" spans="1:16" x14ac:dyDescent="0.15">
      <c r="A214">
        <v>2013</v>
      </c>
      <c r="B214">
        <v>3.4810800000000003E-2</v>
      </c>
      <c r="C214">
        <v>1.6008000000000001E-2</v>
      </c>
      <c r="D214">
        <v>5.70395E-2</v>
      </c>
      <c r="E214">
        <v>0.183617</v>
      </c>
      <c r="F214">
        <v>0.45542300000000002</v>
      </c>
      <c r="G214">
        <v>0.75666199999999995</v>
      </c>
      <c r="H214">
        <v>0.92039400000000005</v>
      </c>
      <c r="I214">
        <v>0.97726800000000003</v>
      </c>
      <c r="J214">
        <v>0.99378299999999997</v>
      </c>
      <c r="K214">
        <v>0.99831999999999999</v>
      </c>
      <c r="L214">
        <v>0.99954799999999999</v>
      </c>
      <c r="M214">
        <v>0.99987800000000004</v>
      </c>
      <c r="N214">
        <v>0.99996700000000005</v>
      </c>
      <c r="O214">
        <v>0.99999099999999996</v>
      </c>
      <c r="P214">
        <v>0.99999800000000005</v>
      </c>
    </row>
    <row r="215" spans="1:16" x14ac:dyDescent="0.15">
      <c r="A215">
        <v>2014</v>
      </c>
      <c r="B215">
        <v>4.1724799999999999E-2</v>
      </c>
      <c r="C215">
        <v>1.0193499999999999E-2</v>
      </c>
      <c r="D215">
        <v>3.4691399999999997E-2</v>
      </c>
      <c r="E215">
        <v>0.11143599999999999</v>
      </c>
      <c r="F215">
        <v>0.30441600000000002</v>
      </c>
      <c r="G215">
        <v>0.60430700000000004</v>
      </c>
      <c r="H215">
        <v>0.84200799999999998</v>
      </c>
      <c r="I215">
        <v>0.94897399999999998</v>
      </c>
      <c r="J215">
        <v>0.98482499999999995</v>
      </c>
      <c r="K215">
        <v>0.99560400000000004</v>
      </c>
      <c r="L215">
        <v>0.99873599999999996</v>
      </c>
      <c r="M215">
        <v>0.99963800000000003</v>
      </c>
      <c r="N215">
        <v>0.99989600000000001</v>
      </c>
      <c r="O215">
        <v>0.99997000000000003</v>
      </c>
      <c r="P215">
        <v>0.99999099999999996</v>
      </c>
    </row>
    <row r="216" spans="1:16" x14ac:dyDescent="0.15">
      <c r="A216">
        <v>2015</v>
      </c>
      <c r="B216">
        <v>3.8138699999999998E-2</v>
      </c>
      <c r="C216">
        <v>4.1573600000000002E-2</v>
      </c>
      <c r="D216">
        <v>0.110472</v>
      </c>
      <c r="E216">
        <v>0.26230199999999998</v>
      </c>
      <c r="F216">
        <v>0.50446400000000002</v>
      </c>
      <c r="G216">
        <v>0.74455000000000005</v>
      </c>
      <c r="H216">
        <v>0.89298999999999995</v>
      </c>
      <c r="I216">
        <v>0.95982599999999996</v>
      </c>
      <c r="J216">
        <v>0.98559200000000002</v>
      </c>
      <c r="K216">
        <v>0.99492000000000003</v>
      </c>
      <c r="L216">
        <v>0.99822</v>
      </c>
      <c r="M216">
        <v>0.99937699999999996</v>
      </c>
      <c r="N216">
        <v>0.99978199999999995</v>
      </c>
      <c r="O216">
        <v>0.99992400000000004</v>
      </c>
      <c r="P216">
        <v>0.999973</v>
      </c>
    </row>
    <row r="217" spans="1:16" x14ac:dyDescent="0.15">
      <c r="A217">
        <v>1964</v>
      </c>
      <c r="B217">
        <v>0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</row>
    <row r="218" spans="1:16" x14ac:dyDescent="0.15">
      <c r="A218">
        <v>1965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</row>
    <row r="219" spans="1:16" x14ac:dyDescent="0.15">
      <c r="A219">
        <v>1966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</row>
    <row r="220" spans="1:16" x14ac:dyDescent="0.15">
      <c r="A220">
        <v>1967</v>
      </c>
      <c r="B220">
        <v>0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</row>
    <row r="221" spans="1:16" x14ac:dyDescent="0.15">
      <c r="A221">
        <v>1968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</row>
    <row r="222" spans="1:16" x14ac:dyDescent="0.15">
      <c r="A222">
        <v>1969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</row>
    <row r="223" spans="1:16" x14ac:dyDescent="0.15">
      <c r="A223">
        <v>1970</v>
      </c>
      <c r="B223">
        <v>0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</row>
    <row r="224" spans="1:16" x14ac:dyDescent="0.15">
      <c r="A224">
        <v>1971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</row>
    <row r="225" spans="1:16" x14ac:dyDescent="0.15">
      <c r="A225">
        <v>1972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</row>
    <row r="226" spans="1:16" x14ac:dyDescent="0.15">
      <c r="A226">
        <v>1973</v>
      </c>
      <c r="B226">
        <v>0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</row>
    <row r="227" spans="1:16" x14ac:dyDescent="0.15">
      <c r="A227">
        <v>1974</v>
      </c>
      <c r="B227">
        <v>0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</row>
    <row r="228" spans="1:16" x14ac:dyDescent="0.15">
      <c r="A228">
        <v>1975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</row>
    <row r="229" spans="1:16" x14ac:dyDescent="0.15">
      <c r="A229">
        <v>1976</v>
      </c>
      <c r="B229">
        <v>0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</row>
    <row r="230" spans="1:16" x14ac:dyDescent="0.15">
      <c r="A230">
        <v>1977</v>
      </c>
      <c r="B230">
        <v>0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</row>
    <row r="231" spans="1:16" x14ac:dyDescent="0.15">
      <c r="A231">
        <v>1978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</row>
    <row r="232" spans="1:16" x14ac:dyDescent="0.15">
      <c r="A232">
        <v>1979</v>
      </c>
      <c r="B232">
        <v>0</v>
      </c>
      <c r="C232">
        <v>4.71767</v>
      </c>
      <c r="D232">
        <v>1.1802600000000001</v>
      </c>
      <c r="E232">
        <v>0.63707899999999995</v>
      </c>
      <c r="F232">
        <v>0.64577799999999996</v>
      </c>
      <c r="G232">
        <v>0.64648799999999995</v>
      </c>
      <c r="H232">
        <v>0.64898400000000001</v>
      </c>
      <c r="I232">
        <v>0.65372799999999998</v>
      </c>
      <c r="J232">
        <v>0.65372799999999998</v>
      </c>
      <c r="K232">
        <v>0.65372799999999998</v>
      </c>
      <c r="L232">
        <v>0.65372799999999998</v>
      </c>
      <c r="M232">
        <v>0.65372799999999998</v>
      </c>
      <c r="N232">
        <v>0.65372799999999998</v>
      </c>
      <c r="O232">
        <v>0.65372799999999998</v>
      </c>
      <c r="P232">
        <v>0.65372799999999998</v>
      </c>
    </row>
    <row r="233" spans="1:16" x14ac:dyDescent="0.15">
      <c r="A233">
        <v>1980</v>
      </c>
      <c r="B233">
        <v>0</v>
      </c>
      <c r="C233">
        <v>0.97894000000000003</v>
      </c>
      <c r="D233">
        <v>1.16967</v>
      </c>
      <c r="E233">
        <v>1.2666599999999999</v>
      </c>
      <c r="F233">
        <v>1.2740899999999999</v>
      </c>
      <c r="G233">
        <v>1.1189199999999999</v>
      </c>
      <c r="H233">
        <v>1.0768</v>
      </c>
      <c r="I233">
        <v>0.94051200000000001</v>
      </c>
      <c r="J233">
        <v>0.94051200000000001</v>
      </c>
      <c r="K233">
        <v>0.94051200000000001</v>
      </c>
      <c r="L233">
        <v>0.94051200000000001</v>
      </c>
      <c r="M233">
        <v>0.94051200000000001</v>
      </c>
      <c r="N233">
        <v>0.94051200000000001</v>
      </c>
      <c r="O233">
        <v>0.94051200000000001</v>
      </c>
      <c r="P233">
        <v>0.94051200000000001</v>
      </c>
    </row>
    <row r="234" spans="1:16" x14ac:dyDescent="0.15">
      <c r="A234">
        <v>1981</v>
      </c>
      <c r="B234">
        <v>0</v>
      </c>
      <c r="C234">
        <v>0.97894000000000003</v>
      </c>
      <c r="D234">
        <v>1.16967</v>
      </c>
      <c r="E234">
        <v>1.2666599999999999</v>
      </c>
      <c r="F234">
        <v>1.2740899999999999</v>
      </c>
      <c r="G234">
        <v>1.1189199999999999</v>
      </c>
      <c r="H234">
        <v>1.0768</v>
      </c>
      <c r="I234">
        <v>0.94051200000000001</v>
      </c>
      <c r="J234">
        <v>0.94051200000000001</v>
      </c>
      <c r="K234">
        <v>0.94051200000000001</v>
      </c>
      <c r="L234">
        <v>0.94051200000000001</v>
      </c>
      <c r="M234">
        <v>0.94051200000000001</v>
      </c>
      <c r="N234">
        <v>0.94051200000000001</v>
      </c>
      <c r="O234">
        <v>0.94051200000000001</v>
      </c>
      <c r="P234">
        <v>0.94051200000000001</v>
      </c>
    </row>
    <row r="235" spans="1:16" x14ac:dyDescent="0.15">
      <c r="A235">
        <v>1982</v>
      </c>
      <c r="B235">
        <v>0</v>
      </c>
      <c r="C235">
        <v>0.97894000000000003</v>
      </c>
      <c r="D235">
        <v>1.16967</v>
      </c>
      <c r="E235">
        <v>1.2666599999999999</v>
      </c>
      <c r="F235">
        <v>1.2740899999999999</v>
      </c>
      <c r="G235">
        <v>1.1189199999999999</v>
      </c>
      <c r="H235">
        <v>1.0768</v>
      </c>
      <c r="I235">
        <v>0.94051200000000001</v>
      </c>
      <c r="J235">
        <v>0.94051200000000001</v>
      </c>
      <c r="K235">
        <v>0.94051200000000001</v>
      </c>
      <c r="L235">
        <v>0.94051200000000001</v>
      </c>
      <c r="M235">
        <v>0.94051200000000001</v>
      </c>
      <c r="N235">
        <v>0.94051200000000001</v>
      </c>
      <c r="O235">
        <v>0.94051200000000001</v>
      </c>
      <c r="P235">
        <v>0.94051200000000001</v>
      </c>
    </row>
    <row r="236" spans="1:16" x14ac:dyDescent="0.15">
      <c r="A236">
        <v>1983</v>
      </c>
      <c r="B236">
        <v>0</v>
      </c>
      <c r="C236">
        <v>0.97894000000000003</v>
      </c>
      <c r="D236">
        <v>1.16967</v>
      </c>
      <c r="E236">
        <v>1.2666599999999999</v>
      </c>
      <c r="F236">
        <v>1.2740899999999999</v>
      </c>
      <c r="G236">
        <v>1.1189199999999999</v>
      </c>
      <c r="H236">
        <v>1.0768</v>
      </c>
      <c r="I236">
        <v>0.94051200000000001</v>
      </c>
      <c r="J236">
        <v>0.94051200000000001</v>
      </c>
      <c r="K236">
        <v>0.94051200000000001</v>
      </c>
      <c r="L236">
        <v>0.94051200000000001</v>
      </c>
      <c r="M236">
        <v>0.94051200000000001</v>
      </c>
      <c r="N236">
        <v>0.94051200000000001</v>
      </c>
      <c r="O236">
        <v>0.94051200000000001</v>
      </c>
      <c r="P236">
        <v>0.94051200000000001</v>
      </c>
    </row>
    <row r="237" spans="1:16" x14ac:dyDescent="0.15">
      <c r="A237">
        <v>1984</v>
      </c>
      <c r="B237">
        <v>0</v>
      </c>
      <c r="C237">
        <v>0.97894000000000003</v>
      </c>
      <c r="D237">
        <v>1.16967</v>
      </c>
      <c r="E237">
        <v>1.2666599999999999</v>
      </c>
      <c r="F237">
        <v>1.2740899999999999</v>
      </c>
      <c r="G237">
        <v>1.1189199999999999</v>
      </c>
      <c r="H237">
        <v>1.0768</v>
      </c>
      <c r="I237">
        <v>0.94051200000000001</v>
      </c>
      <c r="J237">
        <v>0.94051200000000001</v>
      </c>
      <c r="K237">
        <v>0.94051200000000001</v>
      </c>
      <c r="L237">
        <v>0.94051200000000001</v>
      </c>
      <c r="M237">
        <v>0.94051200000000001</v>
      </c>
      <c r="N237">
        <v>0.94051200000000001</v>
      </c>
      <c r="O237">
        <v>0.94051200000000001</v>
      </c>
      <c r="P237">
        <v>0.94051200000000001</v>
      </c>
    </row>
    <row r="238" spans="1:16" x14ac:dyDescent="0.15">
      <c r="A238">
        <v>1985</v>
      </c>
      <c r="B238">
        <v>0</v>
      </c>
      <c r="C238">
        <v>0.97894000000000003</v>
      </c>
      <c r="D238">
        <v>1.16967</v>
      </c>
      <c r="E238">
        <v>1.2666599999999999</v>
      </c>
      <c r="F238">
        <v>1.2740899999999999</v>
      </c>
      <c r="G238">
        <v>1.1189199999999999</v>
      </c>
      <c r="H238">
        <v>1.0768</v>
      </c>
      <c r="I238">
        <v>0.94051200000000001</v>
      </c>
      <c r="J238">
        <v>0.94051200000000001</v>
      </c>
      <c r="K238">
        <v>0.94051200000000001</v>
      </c>
      <c r="L238">
        <v>0.94051200000000001</v>
      </c>
      <c r="M238">
        <v>0.94051200000000001</v>
      </c>
      <c r="N238">
        <v>0.94051200000000001</v>
      </c>
      <c r="O238">
        <v>0.94051200000000001</v>
      </c>
      <c r="P238">
        <v>0.94051200000000001</v>
      </c>
    </row>
    <row r="239" spans="1:16" x14ac:dyDescent="0.15">
      <c r="A239">
        <v>1986</v>
      </c>
      <c r="B239">
        <v>0</v>
      </c>
      <c r="C239">
        <v>0.97894000000000003</v>
      </c>
      <c r="D239">
        <v>1.16967</v>
      </c>
      <c r="E239">
        <v>1.2666599999999999</v>
      </c>
      <c r="F239">
        <v>1.2740899999999999</v>
      </c>
      <c r="G239">
        <v>1.1189199999999999</v>
      </c>
      <c r="H239">
        <v>1.0768</v>
      </c>
      <c r="I239">
        <v>0.94051200000000001</v>
      </c>
      <c r="J239">
        <v>0.94051200000000001</v>
      </c>
      <c r="K239">
        <v>0.94051200000000001</v>
      </c>
      <c r="L239">
        <v>0.94051200000000001</v>
      </c>
      <c r="M239">
        <v>0.94051200000000001</v>
      </c>
      <c r="N239">
        <v>0.94051200000000001</v>
      </c>
      <c r="O239">
        <v>0.94051200000000001</v>
      </c>
      <c r="P239">
        <v>0.94051200000000001</v>
      </c>
    </row>
    <row r="240" spans="1:16" x14ac:dyDescent="0.15">
      <c r="A240">
        <v>1987</v>
      </c>
      <c r="B240">
        <v>0</v>
      </c>
      <c r="C240">
        <v>0.97894000000000003</v>
      </c>
      <c r="D240">
        <v>1.16967</v>
      </c>
      <c r="E240">
        <v>1.2666599999999999</v>
      </c>
      <c r="F240">
        <v>1.2740899999999999</v>
      </c>
      <c r="G240">
        <v>1.1189199999999999</v>
      </c>
      <c r="H240">
        <v>1.0768</v>
      </c>
      <c r="I240">
        <v>0.94051200000000001</v>
      </c>
      <c r="J240">
        <v>0.94051200000000001</v>
      </c>
      <c r="K240">
        <v>0.94051200000000001</v>
      </c>
      <c r="L240">
        <v>0.94051200000000001</v>
      </c>
      <c r="M240">
        <v>0.94051200000000001</v>
      </c>
      <c r="N240">
        <v>0.94051200000000001</v>
      </c>
      <c r="O240">
        <v>0.94051200000000001</v>
      </c>
      <c r="P240">
        <v>0.94051200000000001</v>
      </c>
    </row>
    <row r="241" spans="1:16" x14ac:dyDescent="0.15">
      <c r="A241">
        <v>1988</v>
      </c>
      <c r="B241">
        <v>0</v>
      </c>
      <c r="C241">
        <v>0.97894000000000003</v>
      </c>
      <c r="D241">
        <v>1.16967</v>
      </c>
      <c r="E241">
        <v>1.2666599999999999</v>
      </c>
      <c r="F241">
        <v>1.2740899999999999</v>
      </c>
      <c r="G241">
        <v>1.1189199999999999</v>
      </c>
      <c r="H241">
        <v>1.0768</v>
      </c>
      <c r="I241">
        <v>0.94051200000000001</v>
      </c>
      <c r="J241">
        <v>0.94051200000000001</v>
      </c>
      <c r="K241">
        <v>0.94051200000000001</v>
      </c>
      <c r="L241">
        <v>0.94051200000000001</v>
      </c>
      <c r="M241">
        <v>0.94051200000000001</v>
      </c>
      <c r="N241">
        <v>0.94051200000000001</v>
      </c>
      <c r="O241">
        <v>0.94051200000000001</v>
      </c>
      <c r="P241">
        <v>0.94051200000000001</v>
      </c>
    </row>
    <row r="242" spans="1:16" x14ac:dyDescent="0.15">
      <c r="A242">
        <v>1989</v>
      </c>
      <c r="B242">
        <v>0</v>
      </c>
      <c r="C242">
        <v>0.97894000000000003</v>
      </c>
      <c r="D242">
        <v>1.16967</v>
      </c>
      <c r="E242">
        <v>1.2666599999999999</v>
      </c>
      <c r="F242">
        <v>1.2740899999999999</v>
      </c>
      <c r="G242">
        <v>1.1189199999999999</v>
      </c>
      <c r="H242">
        <v>1.0768</v>
      </c>
      <c r="I242">
        <v>0.94051200000000001</v>
      </c>
      <c r="J242">
        <v>0.94051200000000001</v>
      </c>
      <c r="K242">
        <v>0.94051200000000001</v>
      </c>
      <c r="L242">
        <v>0.94051200000000001</v>
      </c>
      <c r="M242">
        <v>0.94051200000000001</v>
      </c>
      <c r="N242">
        <v>0.94051200000000001</v>
      </c>
      <c r="O242">
        <v>0.94051200000000001</v>
      </c>
      <c r="P242">
        <v>0.94051200000000001</v>
      </c>
    </row>
    <row r="243" spans="1:16" x14ac:dyDescent="0.15">
      <c r="A243">
        <v>1990</v>
      </c>
      <c r="B243">
        <v>0</v>
      </c>
      <c r="C243">
        <v>0.97894000000000003</v>
      </c>
      <c r="D243">
        <v>1.16967</v>
      </c>
      <c r="E243">
        <v>1.2666599999999999</v>
      </c>
      <c r="F243">
        <v>1.2740899999999999</v>
      </c>
      <c r="G243">
        <v>1.1189199999999999</v>
      </c>
      <c r="H243">
        <v>1.0768</v>
      </c>
      <c r="I243">
        <v>0.94051200000000001</v>
      </c>
      <c r="J243">
        <v>0.94051200000000001</v>
      </c>
      <c r="K243">
        <v>0.94051200000000001</v>
      </c>
      <c r="L243">
        <v>0.94051200000000001</v>
      </c>
      <c r="M243">
        <v>0.94051200000000001</v>
      </c>
      <c r="N243">
        <v>0.94051200000000001</v>
      </c>
      <c r="O243">
        <v>0.94051200000000001</v>
      </c>
      <c r="P243">
        <v>0.94051200000000001</v>
      </c>
    </row>
    <row r="244" spans="1:16" x14ac:dyDescent="0.15">
      <c r="A244">
        <v>1991</v>
      </c>
      <c r="B244">
        <v>0</v>
      </c>
      <c r="C244">
        <v>0.97894000000000003</v>
      </c>
      <c r="D244">
        <v>1.16967</v>
      </c>
      <c r="E244">
        <v>1.2666599999999999</v>
      </c>
      <c r="F244">
        <v>1.2740899999999999</v>
      </c>
      <c r="G244">
        <v>1.1189199999999999</v>
      </c>
      <c r="H244">
        <v>1.0768</v>
      </c>
      <c r="I244">
        <v>0.94051200000000001</v>
      </c>
      <c r="J244">
        <v>0.94051200000000001</v>
      </c>
      <c r="K244">
        <v>0.94051200000000001</v>
      </c>
      <c r="L244">
        <v>0.94051200000000001</v>
      </c>
      <c r="M244">
        <v>0.94051200000000001</v>
      </c>
      <c r="N244">
        <v>0.94051200000000001</v>
      </c>
      <c r="O244">
        <v>0.94051200000000001</v>
      </c>
      <c r="P244">
        <v>0.94051200000000001</v>
      </c>
    </row>
    <row r="245" spans="1:16" x14ac:dyDescent="0.15">
      <c r="A245">
        <v>1992</v>
      </c>
      <c r="B245">
        <v>0</v>
      </c>
      <c r="C245">
        <v>0.97894000000000003</v>
      </c>
      <c r="D245">
        <v>1.16967</v>
      </c>
      <c r="E245">
        <v>1.2666599999999999</v>
      </c>
      <c r="F245">
        <v>1.2740899999999999</v>
      </c>
      <c r="G245">
        <v>1.1189199999999999</v>
      </c>
      <c r="H245">
        <v>1.0768</v>
      </c>
      <c r="I245">
        <v>0.94051200000000001</v>
      </c>
      <c r="J245">
        <v>0.94051200000000001</v>
      </c>
      <c r="K245">
        <v>0.94051200000000001</v>
      </c>
      <c r="L245">
        <v>0.94051200000000001</v>
      </c>
      <c r="M245">
        <v>0.94051200000000001</v>
      </c>
      <c r="N245">
        <v>0.94051200000000001</v>
      </c>
      <c r="O245">
        <v>0.94051200000000001</v>
      </c>
      <c r="P245">
        <v>0.94051200000000001</v>
      </c>
    </row>
    <row r="246" spans="1:16" x14ac:dyDescent="0.15">
      <c r="A246">
        <v>1993</v>
      </c>
      <c r="B246">
        <v>0</v>
      </c>
      <c r="C246">
        <v>0.97894000000000003</v>
      </c>
      <c r="D246">
        <v>1.16967</v>
      </c>
      <c r="E246">
        <v>1.2666599999999999</v>
      </c>
      <c r="F246">
        <v>1.2740899999999999</v>
      </c>
      <c r="G246">
        <v>1.1189199999999999</v>
      </c>
      <c r="H246">
        <v>1.0768</v>
      </c>
      <c r="I246">
        <v>0.94051200000000001</v>
      </c>
      <c r="J246">
        <v>0.94051200000000001</v>
      </c>
      <c r="K246">
        <v>0.94051200000000001</v>
      </c>
      <c r="L246">
        <v>0.94051200000000001</v>
      </c>
      <c r="M246">
        <v>0.94051200000000001</v>
      </c>
      <c r="N246">
        <v>0.94051200000000001</v>
      </c>
      <c r="O246">
        <v>0.94051200000000001</v>
      </c>
      <c r="P246">
        <v>0.94051200000000001</v>
      </c>
    </row>
    <row r="247" spans="1:16" x14ac:dyDescent="0.15">
      <c r="A247">
        <v>1994</v>
      </c>
      <c r="B247">
        <v>0</v>
      </c>
      <c r="C247">
        <v>0.97894000000000003</v>
      </c>
      <c r="D247">
        <v>1.16967</v>
      </c>
      <c r="E247">
        <v>1.2666599999999999</v>
      </c>
      <c r="F247">
        <v>1.2740899999999999</v>
      </c>
      <c r="G247">
        <v>1.1189199999999999</v>
      </c>
      <c r="H247">
        <v>1.0768</v>
      </c>
      <c r="I247">
        <v>0.94051200000000001</v>
      </c>
      <c r="J247">
        <v>0.94051200000000001</v>
      </c>
      <c r="K247">
        <v>0.94051200000000001</v>
      </c>
      <c r="L247">
        <v>0.94051200000000001</v>
      </c>
      <c r="M247">
        <v>0.94051200000000001</v>
      </c>
      <c r="N247">
        <v>0.94051200000000001</v>
      </c>
      <c r="O247">
        <v>0.94051200000000001</v>
      </c>
      <c r="P247">
        <v>0.94051200000000001</v>
      </c>
    </row>
    <row r="248" spans="1:16" x14ac:dyDescent="0.15">
      <c r="A248">
        <v>1995</v>
      </c>
      <c r="B248">
        <v>0</v>
      </c>
      <c r="C248">
        <v>0.97894000000000003</v>
      </c>
      <c r="D248">
        <v>1.16967</v>
      </c>
      <c r="E248">
        <v>1.2666599999999999</v>
      </c>
      <c r="F248">
        <v>1.2740899999999999</v>
      </c>
      <c r="G248">
        <v>1.1189199999999999</v>
      </c>
      <c r="H248">
        <v>1.0768</v>
      </c>
      <c r="I248">
        <v>0.94051200000000001</v>
      </c>
      <c r="J248">
        <v>0.94051200000000001</v>
      </c>
      <c r="K248">
        <v>0.94051200000000001</v>
      </c>
      <c r="L248">
        <v>0.94051200000000001</v>
      </c>
      <c r="M248">
        <v>0.94051200000000001</v>
      </c>
      <c r="N248">
        <v>0.94051200000000001</v>
      </c>
      <c r="O248">
        <v>0.94051200000000001</v>
      </c>
      <c r="P248">
        <v>0.94051200000000001</v>
      </c>
    </row>
    <row r="249" spans="1:16" x14ac:dyDescent="0.15">
      <c r="A249">
        <v>1996</v>
      </c>
      <c r="B249">
        <v>0</v>
      </c>
      <c r="C249">
        <v>0.97894000000000003</v>
      </c>
      <c r="D249">
        <v>1.16967</v>
      </c>
      <c r="E249">
        <v>1.2666599999999999</v>
      </c>
      <c r="F249">
        <v>1.2740899999999999</v>
      </c>
      <c r="G249">
        <v>1.1189199999999999</v>
      </c>
      <c r="H249">
        <v>1.0768</v>
      </c>
      <c r="I249">
        <v>0.94051200000000001</v>
      </c>
      <c r="J249">
        <v>0.94051200000000001</v>
      </c>
      <c r="K249">
        <v>0.94051200000000001</v>
      </c>
      <c r="L249">
        <v>0.94051200000000001</v>
      </c>
      <c r="M249">
        <v>0.94051200000000001</v>
      </c>
      <c r="N249">
        <v>0.94051200000000001</v>
      </c>
      <c r="O249">
        <v>0.94051200000000001</v>
      </c>
      <c r="P249">
        <v>0.94051200000000001</v>
      </c>
    </row>
    <row r="250" spans="1:16" x14ac:dyDescent="0.15">
      <c r="A250">
        <v>1997</v>
      </c>
      <c r="B250">
        <v>0</v>
      </c>
      <c r="C250">
        <v>0.97894000000000003</v>
      </c>
      <c r="D250">
        <v>1.16967</v>
      </c>
      <c r="E250">
        <v>1.2666599999999999</v>
      </c>
      <c r="F250">
        <v>1.2740899999999999</v>
      </c>
      <c r="G250">
        <v>1.1189199999999999</v>
      </c>
      <c r="H250">
        <v>1.0768</v>
      </c>
      <c r="I250">
        <v>0.94051200000000001</v>
      </c>
      <c r="J250">
        <v>0.94051200000000001</v>
      </c>
      <c r="K250">
        <v>0.94051200000000001</v>
      </c>
      <c r="L250">
        <v>0.94051200000000001</v>
      </c>
      <c r="M250">
        <v>0.94051200000000001</v>
      </c>
      <c r="N250">
        <v>0.94051200000000001</v>
      </c>
      <c r="O250">
        <v>0.94051200000000001</v>
      </c>
      <c r="P250">
        <v>0.94051200000000001</v>
      </c>
    </row>
    <row r="251" spans="1:16" x14ac:dyDescent="0.15">
      <c r="A251">
        <v>1998</v>
      </c>
      <c r="B251">
        <v>0</v>
      </c>
      <c r="C251">
        <v>0.97894000000000003</v>
      </c>
      <c r="D251">
        <v>1.16967</v>
      </c>
      <c r="E251">
        <v>1.2666599999999999</v>
      </c>
      <c r="F251">
        <v>1.2740899999999999</v>
      </c>
      <c r="G251">
        <v>1.1189199999999999</v>
      </c>
      <c r="H251">
        <v>1.0768</v>
      </c>
      <c r="I251">
        <v>0.94051200000000001</v>
      </c>
      <c r="J251">
        <v>0.94051200000000001</v>
      </c>
      <c r="K251">
        <v>0.94051200000000001</v>
      </c>
      <c r="L251">
        <v>0.94051200000000001</v>
      </c>
      <c r="M251">
        <v>0.94051200000000001</v>
      </c>
      <c r="N251">
        <v>0.94051200000000001</v>
      </c>
      <c r="O251">
        <v>0.94051200000000001</v>
      </c>
      <c r="P251">
        <v>0.94051200000000001</v>
      </c>
    </row>
    <row r="252" spans="1:16" x14ac:dyDescent="0.15">
      <c r="A252">
        <v>1999</v>
      </c>
      <c r="B252">
        <v>0</v>
      </c>
      <c r="C252">
        <v>0.97894000000000003</v>
      </c>
      <c r="D252">
        <v>1.16967</v>
      </c>
      <c r="E252">
        <v>1.2666599999999999</v>
      </c>
      <c r="F252">
        <v>1.2740899999999999</v>
      </c>
      <c r="G252">
        <v>1.1189199999999999</v>
      </c>
      <c r="H252">
        <v>1.0768</v>
      </c>
      <c r="I252">
        <v>0.94051200000000001</v>
      </c>
      <c r="J252">
        <v>0.94051200000000001</v>
      </c>
      <c r="K252">
        <v>0.94051200000000001</v>
      </c>
      <c r="L252">
        <v>0.94051200000000001</v>
      </c>
      <c r="M252">
        <v>0.94051200000000001</v>
      </c>
      <c r="N252">
        <v>0.94051200000000001</v>
      </c>
      <c r="O252">
        <v>0.94051200000000001</v>
      </c>
      <c r="P252">
        <v>0.94051200000000001</v>
      </c>
    </row>
    <row r="253" spans="1:16" x14ac:dyDescent="0.15">
      <c r="A253">
        <v>2000</v>
      </c>
      <c r="B253">
        <v>0</v>
      </c>
      <c r="C253">
        <v>0.97894000000000003</v>
      </c>
      <c r="D253">
        <v>1.16967</v>
      </c>
      <c r="E253">
        <v>1.2666599999999999</v>
      </c>
      <c r="F253">
        <v>1.2740899999999999</v>
      </c>
      <c r="G253">
        <v>1.1189199999999999</v>
      </c>
      <c r="H253">
        <v>1.0768</v>
      </c>
      <c r="I253">
        <v>0.94051200000000001</v>
      </c>
      <c r="J253">
        <v>0.94051200000000001</v>
      </c>
      <c r="K253">
        <v>0.94051200000000001</v>
      </c>
      <c r="L253">
        <v>0.94051200000000001</v>
      </c>
      <c r="M253">
        <v>0.94051200000000001</v>
      </c>
      <c r="N253">
        <v>0.94051200000000001</v>
      </c>
      <c r="O253">
        <v>0.94051200000000001</v>
      </c>
      <c r="P253">
        <v>0.94051200000000001</v>
      </c>
    </row>
    <row r="254" spans="1:16" x14ac:dyDescent="0.15">
      <c r="A254">
        <v>2001</v>
      </c>
      <c r="B254">
        <v>0</v>
      </c>
      <c r="C254">
        <v>0.97894000000000003</v>
      </c>
      <c r="D254">
        <v>1.16967</v>
      </c>
      <c r="E254">
        <v>1.2666599999999999</v>
      </c>
      <c r="F254">
        <v>1.2740899999999999</v>
      </c>
      <c r="G254">
        <v>1.1189199999999999</v>
      </c>
      <c r="H254">
        <v>1.0768</v>
      </c>
      <c r="I254">
        <v>0.94051200000000001</v>
      </c>
      <c r="J254">
        <v>0.94051200000000001</v>
      </c>
      <c r="K254">
        <v>0.94051200000000001</v>
      </c>
      <c r="L254">
        <v>0.94051200000000001</v>
      </c>
      <c r="M254">
        <v>0.94051200000000001</v>
      </c>
      <c r="N254">
        <v>0.94051200000000001</v>
      </c>
      <c r="O254">
        <v>0.94051200000000001</v>
      </c>
      <c r="P254">
        <v>0.94051200000000001</v>
      </c>
    </row>
    <row r="255" spans="1:16" x14ac:dyDescent="0.15">
      <c r="A255">
        <v>2002</v>
      </c>
      <c r="B255">
        <v>0</v>
      </c>
      <c r="C255">
        <v>0.97894000000000003</v>
      </c>
      <c r="D255">
        <v>1.16967</v>
      </c>
      <c r="E255">
        <v>1.2666599999999999</v>
      </c>
      <c r="F255">
        <v>1.2740899999999999</v>
      </c>
      <c r="G255">
        <v>1.1189199999999999</v>
      </c>
      <c r="H255">
        <v>1.0768</v>
      </c>
      <c r="I255">
        <v>0.94051200000000001</v>
      </c>
      <c r="J255">
        <v>0.94051200000000001</v>
      </c>
      <c r="K255">
        <v>0.94051200000000001</v>
      </c>
      <c r="L255">
        <v>0.94051200000000001</v>
      </c>
      <c r="M255">
        <v>0.94051200000000001</v>
      </c>
      <c r="N255">
        <v>0.94051200000000001</v>
      </c>
      <c r="O255">
        <v>0.94051200000000001</v>
      </c>
      <c r="P255">
        <v>0.94051200000000001</v>
      </c>
    </row>
    <row r="256" spans="1:16" x14ac:dyDescent="0.15">
      <c r="A256">
        <v>2003</v>
      </c>
      <c r="B256">
        <v>0</v>
      </c>
      <c r="C256">
        <v>0.97894000000000003</v>
      </c>
      <c r="D256">
        <v>1.16967</v>
      </c>
      <c r="E256">
        <v>1.2666599999999999</v>
      </c>
      <c r="F256">
        <v>1.2740899999999999</v>
      </c>
      <c r="G256">
        <v>1.1189199999999999</v>
      </c>
      <c r="H256">
        <v>1.0768</v>
      </c>
      <c r="I256">
        <v>0.94051200000000001</v>
      </c>
      <c r="J256">
        <v>0.94051200000000001</v>
      </c>
      <c r="K256">
        <v>0.94051200000000001</v>
      </c>
      <c r="L256">
        <v>0.94051200000000001</v>
      </c>
      <c r="M256">
        <v>0.94051200000000001</v>
      </c>
      <c r="N256">
        <v>0.94051200000000001</v>
      </c>
      <c r="O256">
        <v>0.94051200000000001</v>
      </c>
      <c r="P256">
        <v>0.94051200000000001</v>
      </c>
    </row>
    <row r="257" spans="1:16" x14ac:dyDescent="0.15">
      <c r="A257">
        <v>2004</v>
      </c>
      <c r="B257">
        <v>0</v>
      </c>
      <c r="C257">
        <v>0.97894000000000003</v>
      </c>
      <c r="D257">
        <v>1.16967</v>
      </c>
      <c r="E257">
        <v>1.2666599999999999</v>
      </c>
      <c r="F257">
        <v>1.2740899999999999</v>
      </c>
      <c r="G257">
        <v>1.1189199999999999</v>
      </c>
      <c r="H257">
        <v>1.0768</v>
      </c>
      <c r="I257">
        <v>0.94051200000000001</v>
      </c>
      <c r="J257">
        <v>0.94051200000000001</v>
      </c>
      <c r="K257">
        <v>0.94051200000000001</v>
      </c>
      <c r="L257">
        <v>0.94051200000000001</v>
      </c>
      <c r="M257">
        <v>0.94051200000000001</v>
      </c>
      <c r="N257">
        <v>0.94051200000000001</v>
      </c>
      <c r="O257">
        <v>0.94051200000000001</v>
      </c>
      <c r="P257">
        <v>0.94051200000000001</v>
      </c>
    </row>
    <row r="258" spans="1:16" x14ac:dyDescent="0.15">
      <c r="A258">
        <v>2005</v>
      </c>
      <c r="B258">
        <v>0</v>
      </c>
      <c r="C258">
        <v>0.97894000000000003</v>
      </c>
      <c r="D258">
        <v>1.16967</v>
      </c>
      <c r="E258">
        <v>1.2666599999999999</v>
      </c>
      <c r="F258">
        <v>1.2740899999999999</v>
      </c>
      <c r="G258">
        <v>1.1189199999999999</v>
      </c>
      <c r="H258">
        <v>1.0768</v>
      </c>
      <c r="I258">
        <v>0.94051200000000001</v>
      </c>
      <c r="J258">
        <v>0.94051200000000001</v>
      </c>
      <c r="K258">
        <v>0.94051200000000001</v>
      </c>
      <c r="L258">
        <v>0.94051200000000001</v>
      </c>
      <c r="M258">
        <v>0.94051200000000001</v>
      </c>
      <c r="N258">
        <v>0.94051200000000001</v>
      </c>
      <c r="O258">
        <v>0.94051200000000001</v>
      </c>
      <c r="P258">
        <v>0.94051200000000001</v>
      </c>
    </row>
    <row r="259" spans="1:16" x14ac:dyDescent="0.15">
      <c r="A259">
        <v>2006</v>
      </c>
      <c r="B259">
        <v>0</v>
      </c>
      <c r="C259">
        <v>0.97894000000000003</v>
      </c>
      <c r="D259">
        <v>1.16967</v>
      </c>
      <c r="E259">
        <v>1.2666599999999999</v>
      </c>
      <c r="F259">
        <v>1.2740899999999999</v>
      </c>
      <c r="G259">
        <v>1.1189199999999999</v>
      </c>
      <c r="H259">
        <v>1.0768</v>
      </c>
      <c r="I259">
        <v>0.94051200000000001</v>
      </c>
      <c r="J259">
        <v>0.94051200000000001</v>
      </c>
      <c r="K259">
        <v>0.94051200000000001</v>
      </c>
      <c r="L259">
        <v>0.94051200000000001</v>
      </c>
      <c r="M259">
        <v>0.94051200000000001</v>
      </c>
      <c r="N259">
        <v>0.94051200000000001</v>
      </c>
      <c r="O259">
        <v>0.94051200000000001</v>
      </c>
      <c r="P259">
        <v>0.94051200000000001</v>
      </c>
    </row>
    <row r="260" spans="1:16" x14ac:dyDescent="0.15">
      <c r="A260">
        <v>2007</v>
      </c>
      <c r="B260">
        <v>0</v>
      </c>
      <c r="C260">
        <v>0.97894000000000003</v>
      </c>
      <c r="D260">
        <v>1.16967</v>
      </c>
      <c r="E260">
        <v>1.2666599999999999</v>
      </c>
      <c r="F260">
        <v>1.2740899999999999</v>
      </c>
      <c r="G260">
        <v>1.1189199999999999</v>
      </c>
      <c r="H260">
        <v>1.0768</v>
      </c>
      <c r="I260">
        <v>0.94051200000000001</v>
      </c>
      <c r="J260">
        <v>0.94051200000000001</v>
      </c>
      <c r="K260">
        <v>0.94051200000000001</v>
      </c>
      <c r="L260">
        <v>0.94051200000000001</v>
      </c>
      <c r="M260">
        <v>0.94051200000000001</v>
      </c>
      <c r="N260">
        <v>0.94051200000000001</v>
      </c>
      <c r="O260">
        <v>0.94051200000000001</v>
      </c>
      <c r="P260">
        <v>0.94051200000000001</v>
      </c>
    </row>
    <row r="261" spans="1:16" x14ac:dyDescent="0.15">
      <c r="A261">
        <v>2008</v>
      </c>
      <c r="B261">
        <v>0</v>
      </c>
      <c r="C261">
        <v>0.97894000000000003</v>
      </c>
      <c r="D261">
        <v>1.16967</v>
      </c>
      <c r="E261">
        <v>1.2666599999999999</v>
      </c>
      <c r="F261">
        <v>1.2740899999999999</v>
      </c>
      <c r="G261">
        <v>1.1189199999999999</v>
      </c>
      <c r="H261">
        <v>1.0768</v>
      </c>
      <c r="I261">
        <v>0.94051200000000001</v>
      </c>
      <c r="J261">
        <v>0.94051200000000001</v>
      </c>
      <c r="K261">
        <v>0.94051200000000001</v>
      </c>
      <c r="L261">
        <v>0.94051200000000001</v>
      </c>
      <c r="M261">
        <v>0.94051200000000001</v>
      </c>
      <c r="N261">
        <v>0.94051200000000001</v>
      </c>
      <c r="O261">
        <v>0.94051200000000001</v>
      </c>
      <c r="P261">
        <v>0.94051200000000001</v>
      </c>
    </row>
    <row r="262" spans="1:16" x14ac:dyDescent="0.15">
      <c r="A262">
        <v>2009</v>
      </c>
      <c r="B262">
        <v>0</v>
      </c>
      <c r="C262">
        <v>0.97894000000000003</v>
      </c>
      <c r="D262">
        <v>1.16967</v>
      </c>
      <c r="E262">
        <v>1.2666599999999999</v>
      </c>
      <c r="F262">
        <v>1.2740899999999999</v>
      </c>
      <c r="G262">
        <v>1.1189199999999999</v>
      </c>
      <c r="H262">
        <v>1.0768</v>
      </c>
      <c r="I262">
        <v>0.94051200000000001</v>
      </c>
      <c r="J262">
        <v>0.94051200000000001</v>
      </c>
      <c r="K262">
        <v>0.94051200000000001</v>
      </c>
      <c r="L262">
        <v>0.94051200000000001</v>
      </c>
      <c r="M262">
        <v>0.94051200000000001</v>
      </c>
      <c r="N262">
        <v>0.94051200000000001</v>
      </c>
      <c r="O262">
        <v>0.94051200000000001</v>
      </c>
      <c r="P262">
        <v>0.94051200000000001</v>
      </c>
    </row>
    <row r="263" spans="1:16" x14ac:dyDescent="0.15">
      <c r="A263">
        <v>2010</v>
      </c>
      <c r="B263">
        <v>0</v>
      </c>
      <c r="C263">
        <v>0.97894000000000003</v>
      </c>
      <c r="D263">
        <v>1.16967</v>
      </c>
      <c r="E263">
        <v>1.2666599999999999</v>
      </c>
      <c r="F263">
        <v>1.2740899999999999</v>
      </c>
      <c r="G263">
        <v>1.1189199999999999</v>
      </c>
      <c r="H263">
        <v>1.0768</v>
      </c>
      <c r="I263">
        <v>0.94051200000000001</v>
      </c>
      <c r="J263">
        <v>0.94051200000000001</v>
      </c>
      <c r="K263">
        <v>0.94051200000000001</v>
      </c>
      <c r="L263">
        <v>0.94051200000000001</v>
      </c>
      <c r="M263">
        <v>0.94051200000000001</v>
      </c>
      <c r="N263">
        <v>0.94051200000000001</v>
      </c>
      <c r="O263">
        <v>0.94051200000000001</v>
      </c>
      <c r="P263">
        <v>0.94051200000000001</v>
      </c>
    </row>
    <row r="264" spans="1:16" x14ac:dyDescent="0.15">
      <c r="A264">
        <v>2011</v>
      </c>
      <c r="B264">
        <v>0</v>
      </c>
      <c r="C264">
        <v>0.97894000000000003</v>
      </c>
      <c r="D264">
        <v>1.16967</v>
      </c>
      <c r="E264">
        <v>1.2666599999999999</v>
      </c>
      <c r="F264">
        <v>1.2740899999999999</v>
      </c>
      <c r="G264">
        <v>1.1189199999999999</v>
      </c>
      <c r="H264">
        <v>1.0768</v>
      </c>
      <c r="I264">
        <v>0.94051200000000001</v>
      </c>
      <c r="J264">
        <v>0.94051200000000001</v>
      </c>
      <c r="K264">
        <v>0.94051200000000001</v>
      </c>
      <c r="L264">
        <v>0.94051200000000001</v>
      </c>
      <c r="M264">
        <v>0.94051200000000001</v>
      </c>
      <c r="N264">
        <v>0.94051200000000001</v>
      </c>
      <c r="O264">
        <v>0.94051200000000001</v>
      </c>
      <c r="P264">
        <v>0.94051200000000001</v>
      </c>
    </row>
    <row r="265" spans="1:16" x14ac:dyDescent="0.15">
      <c r="A265">
        <v>2012</v>
      </c>
      <c r="B265">
        <v>0</v>
      </c>
      <c r="C265">
        <v>0.97894000000000003</v>
      </c>
      <c r="D265">
        <v>1.16967</v>
      </c>
      <c r="E265">
        <v>1.2666599999999999</v>
      </c>
      <c r="F265">
        <v>1.2740899999999999</v>
      </c>
      <c r="G265">
        <v>1.1189199999999999</v>
      </c>
      <c r="H265">
        <v>1.0768</v>
      </c>
      <c r="I265">
        <v>0.94051200000000001</v>
      </c>
      <c r="J265">
        <v>0.94051200000000001</v>
      </c>
      <c r="K265">
        <v>0.94051200000000001</v>
      </c>
      <c r="L265">
        <v>0.94051200000000001</v>
      </c>
      <c r="M265">
        <v>0.94051200000000001</v>
      </c>
      <c r="N265">
        <v>0.94051200000000001</v>
      </c>
      <c r="O265">
        <v>0.94051200000000001</v>
      </c>
      <c r="P265">
        <v>0.94051200000000001</v>
      </c>
    </row>
    <row r="266" spans="1:16" x14ac:dyDescent="0.15">
      <c r="A266">
        <v>2013</v>
      </c>
      <c r="B266">
        <v>0</v>
      </c>
      <c r="C266">
        <v>0.97894000000000003</v>
      </c>
      <c r="D266">
        <v>1.16967</v>
      </c>
      <c r="E266">
        <v>1.2666599999999999</v>
      </c>
      <c r="F266">
        <v>1.2740899999999999</v>
      </c>
      <c r="G266">
        <v>1.1189199999999999</v>
      </c>
      <c r="H266">
        <v>1.0768</v>
      </c>
      <c r="I266">
        <v>0.94051200000000001</v>
      </c>
      <c r="J266">
        <v>0.94051200000000001</v>
      </c>
      <c r="K266">
        <v>0.94051200000000001</v>
      </c>
      <c r="L266">
        <v>0.94051200000000001</v>
      </c>
      <c r="M266">
        <v>0.94051200000000001</v>
      </c>
      <c r="N266">
        <v>0.94051200000000001</v>
      </c>
      <c r="O266">
        <v>0.94051200000000001</v>
      </c>
      <c r="P266">
        <v>0.94051200000000001</v>
      </c>
    </row>
    <row r="267" spans="1:16" x14ac:dyDescent="0.15">
      <c r="A267">
        <v>2014</v>
      </c>
      <c r="B267">
        <v>0</v>
      </c>
      <c r="C267">
        <v>0.97894000000000003</v>
      </c>
      <c r="D267">
        <v>1.16967</v>
      </c>
      <c r="E267">
        <v>1.2666599999999999</v>
      </c>
      <c r="F267">
        <v>1.2740899999999999</v>
      </c>
      <c r="G267">
        <v>1.1189199999999999</v>
      </c>
      <c r="H267">
        <v>1.0768</v>
      </c>
      <c r="I267">
        <v>0.94051200000000001</v>
      </c>
      <c r="J267">
        <v>0.94051200000000001</v>
      </c>
      <c r="K267">
        <v>0.94051200000000001</v>
      </c>
      <c r="L267">
        <v>0.94051200000000001</v>
      </c>
      <c r="M267">
        <v>0.94051200000000001</v>
      </c>
      <c r="N267">
        <v>0.94051200000000001</v>
      </c>
      <c r="O267">
        <v>0.94051200000000001</v>
      </c>
      <c r="P267">
        <v>0.94051200000000001</v>
      </c>
    </row>
    <row r="268" spans="1:16" x14ac:dyDescent="0.15">
      <c r="A268">
        <v>2015</v>
      </c>
      <c r="B268">
        <v>0</v>
      </c>
      <c r="C268">
        <v>3.2843499999999999</v>
      </c>
      <c r="D268">
        <v>3.3321100000000001</v>
      </c>
      <c r="E268">
        <v>2.2233299999999998</v>
      </c>
      <c r="F268">
        <v>1.1921299999999999</v>
      </c>
      <c r="G268">
        <v>0.57752499999999996</v>
      </c>
      <c r="H268">
        <v>0.294346</v>
      </c>
      <c r="I268">
        <v>0.18743199999999999</v>
      </c>
      <c r="J268">
        <v>0.18743199999999999</v>
      </c>
      <c r="K268">
        <v>0.18743199999999999</v>
      </c>
      <c r="L268">
        <v>0.18743199999999999</v>
      </c>
      <c r="M268">
        <v>0.18743199999999999</v>
      </c>
      <c r="N268">
        <v>0.18743199999999999</v>
      </c>
      <c r="O268">
        <v>0.18743199999999999</v>
      </c>
      <c r="P268">
        <v>0.18743199999999999</v>
      </c>
    </row>
    <row r="269" spans="1:16" x14ac:dyDescent="0.15">
      <c r="A269" t="s">
        <v>165</v>
      </c>
      <c r="B269" t="s">
        <v>166</v>
      </c>
      <c r="C269" t="s">
        <v>167</v>
      </c>
      <c r="D269" t="s">
        <v>158</v>
      </c>
      <c r="E269" t="s">
        <v>159</v>
      </c>
    </row>
    <row r="270" spans="1:16" x14ac:dyDescent="0.15">
      <c r="A270">
        <v>1964</v>
      </c>
      <c r="B270">
        <v>2.5321E-2</v>
      </c>
      <c r="C270">
        <v>0.105571</v>
      </c>
      <c r="D270">
        <v>0.16556299999999999</v>
      </c>
      <c r="E270">
        <v>0.19361100000000001</v>
      </c>
      <c r="F270">
        <v>9.5441999999999999E-2</v>
      </c>
      <c r="G270">
        <v>0.26840700000000001</v>
      </c>
      <c r="H270">
        <v>0.120764</v>
      </c>
      <c r="I270">
        <v>2.5321E-2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15">
      <c r="A271">
        <v>1965</v>
      </c>
      <c r="B271">
        <v>1.417E-2</v>
      </c>
      <c r="C271">
        <v>1.5327E-2</v>
      </c>
      <c r="D271">
        <v>0.20416400000000001</v>
      </c>
      <c r="E271">
        <v>0.55031799999999997</v>
      </c>
      <c r="F271">
        <v>0.13475999999999999</v>
      </c>
      <c r="G271">
        <v>3.3544999999999998E-2</v>
      </c>
      <c r="H271">
        <v>3.2389000000000001E-2</v>
      </c>
      <c r="I271">
        <v>1.5327E-2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15">
      <c r="A272">
        <v>1966</v>
      </c>
      <c r="B272">
        <v>2.8427999999999998E-2</v>
      </c>
      <c r="C272">
        <v>0.16830200000000001</v>
      </c>
      <c r="D272">
        <v>5.7357999999999999E-2</v>
      </c>
      <c r="E272">
        <v>0.420126</v>
      </c>
      <c r="F272">
        <v>0.26490599999999997</v>
      </c>
      <c r="G272">
        <v>2.4150999999999999E-2</v>
      </c>
      <c r="H272">
        <v>2.6415000000000001E-2</v>
      </c>
      <c r="I272">
        <v>1.0314E-2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15">
      <c r="A273">
        <v>1967</v>
      </c>
      <c r="B273">
        <v>9.4670099999999997E-3</v>
      </c>
      <c r="C273">
        <v>0.110178</v>
      </c>
      <c r="D273">
        <v>0.57751600000000003</v>
      </c>
      <c r="E273">
        <v>8.7692099999999995E-2</v>
      </c>
      <c r="F273">
        <v>0.16</v>
      </c>
      <c r="G273">
        <v>3.7988000000000001E-2</v>
      </c>
      <c r="H273">
        <v>1.1479E-2</v>
      </c>
      <c r="I273">
        <v>5.6800100000000001E-3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15">
      <c r="A274">
        <v>1968</v>
      </c>
      <c r="B274">
        <v>3.2939000000000003E-2</v>
      </c>
      <c r="C274">
        <v>0.178617</v>
      </c>
      <c r="D274">
        <v>0.14021800000000001</v>
      </c>
      <c r="E274">
        <v>0.46851700000000002</v>
      </c>
      <c r="F274">
        <v>0.10736999999999999</v>
      </c>
      <c r="G274">
        <v>3.0572999999999999E-2</v>
      </c>
      <c r="H274">
        <v>3.6579E-2</v>
      </c>
      <c r="I274">
        <v>5.1869999999999998E-3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15">
      <c r="A275">
        <v>1969</v>
      </c>
      <c r="B275">
        <v>1.4678E-2</v>
      </c>
      <c r="C275">
        <v>7.9766100000000006E-2</v>
      </c>
      <c r="D275">
        <v>0.459233</v>
      </c>
      <c r="E275">
        <v>0.31568400000000002</v>
      </c>
      <c r="F275">
        <v>0.10843</v>
      </c>
      <c r="G275">
        <v>2.3050000000000002E-3</v>
      </c>
      <c r="H275">
        <v>1.2142E-2</v>
      </c>
      <c r="I275">
        <v>7.7610099999999996E-3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15">
      <c r="A276">
        <v>1970</v>
      </c>
      <c r="B276">
        <v>0.15676200000000001</v>
      </c>
      <c r="C276">
        <v>0.238147</v>
      </c>
      <c r="D276">
        <v>0.37426300000000001</v>
      </c>
      <c r="E276">
        <v>0.17669899999999999</v>
      </c>
      <c r="F276">
        <v>3.4247E-2</v>
      </c>
      <c r="G276">
        <v>1.1143E-2</v>
      </c>
      <c r="H276">
        <v>5.5710000000000004E-3</v>
      </c>
      <c r="I276">
        <v>3.1679999999999998E-3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15">
      <c r="A277">
        <v>1971</v>
      </c>
      <c r="B277">
        <v>0.165462</v>
      </c>
      <c r="C277">
        <v>4.9415000000000001E-2</v>
      </c>
      <c r="D277">
        <v>0.27603</v>
      </c>
      <c r="E277">
        <v>0.18528700000000001</v>
      </c>
      <c r="F277">
        <v>0.27468900000000002</v>
      </c>
      <c r="G277">
        <v>2.6682999999999998E-2</v>
      </c>
      <c r="H277">
        <v>1.7514999999999999E-2</v>
      </c>
      <c r="I277">
        <v>4.9189999999999998E-3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15">
      <c r="A278">
        <v>1972</v>
      </c>
      <c r="B278">
        <v>3.1427999999999998E-2</v>
      </c>
      <c r="C278">
        <v>0.15159600000000001</v>
      </c>
      <c r="D278">
        <v>0.349715</v>
      </c>
      <c r="E278">
        <v>0.28007900000000002</v>
      </c>
      <c r="F278">
        <v>0.11734700000000001</v>
      </c>
      <c r="G278">
        <v>4.6027999999999999E-2</v>
      </c>
      <c r="H278">
        <v>1.7471E-2</v>
      </c>
      <c r="I278">
        <v>6.3350100000000003E-3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15">
      <c r="A279">
        <v>1973</v>
      </c>
      <c r="B279">
        <v>1.1129E-2</v>
      </c>
      <c r="C279">
        <v>0.100338</v>
      </c>
      <c r="D279">
        <v>0.121466</v>
      </c>
      <c r="E279">
        <v>0.26405400000000001</v>
      </c>
      <c r="F279">
        <v>0.202123</v>
      </c>
      <c r="G279">
        <v>0.13807</v>
      </c>
      <c r="H279">
        <v>7.6821899999999999E-2</v>
      </c>
      <c r="I279">
        <v>5.5642900000000002E-2</v>
      </c>
      <c r="J279">
        <v>2.4972000000000001E-2</v>
      </c>
      <c r="K279">
        <v>4.4979900000000003E-3</v>
      </c>
      <c r="L279">
        <v>5.6599899999999997E-4</v>
      </c>
      <c r="M279">
        <v>1.4999999999999999E-4</v>
      </c>
      <c r="N279" s="1">
        <v>3.2499999999999997E-5</v>
      </c>
      <c r="O279">
        <v>1.3799999999999999E-4</v>
      </c>
      <c r="P279">
        <v>0</v>
      </c>
    </row>
    <row r="280" spans="1:16" x14ac:dyDescent="0.15">
      <c r="A280">
        <v>1974</v>
      </c>
      <c r="B280">
        <v>2.4247000000000001E-2</v>
      </c>
      <c r="C280">
        <v>0.52727999999999997</v>
      </c>
      <c r="D280">
        <v>0.19487099999999999</v>
      </c>
      <c r="E280">
        <v>5.54271E-2</v>
      </c>
      <c r="F280">
        <v>7.4453099999999994E-2</v>
      </c>
      <c r="G280">
        <v>4.0191999999999999E-2</v>
      </c>
      <c r="H280">
        <v>2.5745000000000001E-2</v>
      </c>
      <c r="I280">
        <v>2.1690000000000001E-2</v>
      </c>
      <c r="J280">
        <v>2.1288999999999999E-2</v>
      </c>
      <c r="K280">
        <v>8.9540100000000001E-3</v>
      </c>
      <c r="L280">
        <v>3.6380000000000002E-3</v>
      </c>
      <c r="M280">
        <v>9.5000100000000001E-4</v>
      </c>
      <c r="N280">
        <v>9.4800099999999997E-4</v>
      </c>
      <c r="O280">
        <v>1.6899999999999999E-4</v>
      </c>
      <c r="P280">
        <v>1.47E-4</v>
      </c>
    </row>
    <row r="281" spans="1:16" x14ac:dyDescent="0.15">
      <c r="A281">
        <v>1975</v>
      </c>
      <c r="B281">
        <v>8.5430000000000002E-3</v>
      </c>
      <c r="C281">
        <v>0.150288</v>
      </c>
      <c r="D281">
        <v>0.69184299999999999</v>
      </c>
      <c r="E281">
        <v>5.3185000000000003E-2</v>
      </c>
      <c r="F281">
        <v>1.4149E-2</v>
      </c>
      <c r="G281">
        <v>2.6572999999999999E-2</v>
      </c>
      <c r="H281">
        <v>2.5451999999999999E-2</v>
      </c>
      <c r="I281">
        <v>1.3868999999999999E-2</v>
      </c>
      <c r="J281">
        <v>8.1620000000000009E-3</v>
      </c>
      <c r="K281">
        <v>5.7470000000000004E-3</v>
      </c>
      <c r="L281">
        <v>1.421E-3</v>
      </c>
      <c r="M281">
        <v>5.62E-4</v>
      </c>
      <c r="N281" s="1">
        <v>9.0400000000000002E-5</v>
      </c>
      <c r="O281">
        <v>1.16E-4</v>
      </c>
      <c r="P281">
        <v>0</v>
      </c>
    </row>
    <row r="282" spans="1:16" x14ac:dyDescent="0.15">
      <c r="A282">
        <v>1976</v>
      </c>
      <c r="B282">
        <v>2.0000000000000001E-4</v>
      </c>
      <c r="C282">
        <v>0.120162</v>
      </c>
      <c r="D282">
        <v>0.45461600000000002</v>
      </c>
      <c r="E282">
        <v>0.30598599999999998</v>
      </c>
      <c r="F282">
        <v>3.0152000000000002E-2</v>
      </c>
      <c r="G282">
        <v>1.3916E-2</v>
      </c>
      <c r="H282">
        <v>1.9279000000000001E-2</v>
      </c>
      <c r="I282">
        <v>2.2363000000000001E-2</v>
      </c>
      <c r="J282">
        <v>1.7395999999999998E-2</v>
      </c>
      <c r="K282">
        <v>8.5719899999999998E-3</v>
      </c>
      <c r="L282">
        <v>3.9560000000000003E-3</v>
      </c>
      <c r="M282">
        <v>2.7060000000000001E-3</v>
      </c>
      <c r="N282">
        <v>6.9699900000000001E-4</v>
      </c>
      <c r="O282">
        <v>0</v>
      </c>
      <c r="P282">
        <v>0</v>
      </c>
    </row>
    <row r="283" spans="1:16" x14ac:dyDescent="0.15">
      <c r="A283">
        <v>1977</v>
      </c>
      <c r="B283">
        <v>3.7671999999999997E-2</v>
      </c>
      <c r="C283">
        <v>0.247673</v>
      </c>
      <c r="D283">
        <v>0.331098</v>
      </c>
      <c r="E283">
        <v>0.23990500000000001</v>
      </c>
      <c r="F283">
        <v>8.6128999999999997E-2</v>
      </c>
      <c r="G283">
        <v>1.9158000000000001E-2</v>
      </c>
      <c r="H283">
        <v>7.0299999999999998E-3</v>
      </c>
      <c r="I283">
        <v>1.0141000000000001E-2</v>
      </c>
      <c r="J283">
        <v>8.1110000000000002E-3</v>
      </c>
      <c r="K283">
        <v>6.5139999999999998E-3</v>
      </c>
      <c r="L283">
        <v>3.3600000000000001E-3</v>
      </c>
      <c r="M283">
        <v>1.6670000000000001E-3</v>
      </c>
      <c r="N283">
        <v>1.2290000000000001E-3</v>
      </c>
      <c r="O283">
        <v>2.4499999999999999E-4</v>
      </c>
      <c r="P283" s="1">
        <v>6.7799999999999995E-5</v>
      </c>
    </row>
    <row r="284" spans="1:16" x14ac:dyDescent="0.15">
      <c r="A284">
        <v>1978</v>
      </c>
      <c r="B284">
        <v>1.2042000000000001E-2</v>
      </c>
      <c r="C284">
        <v>0.186306</v>
      </c>
      <c r="D284">
        <v>0.308118</v>
      </c>
      <c r="E284">
        <v>0.26135900000000001</v>
      </c>
      <c r="F284">
        <v>0.15068000000000001</v>
      </c>
      <c r="G284">
        <v>4.0794999999999998E-2</v>
      </c>
      <c r="H284">
        <v>1.1771999999999999E-2</v>
      </c>
      <c r="I284">
        <v>7.0980000000000001E-3</v>
      </c>
      <c r="J284">
        <v>8.0470000000000003E-3</v>
      </c>
      <c r="K284">
        <v>6.4710000000000002E-3</v>
      </c>
      <c r="L284">
        <v>4.5589999999999997E-3</v>
      </c>
      <c r="M284">
        <v>1.7409999999999999E-3</v>
      </c>
      <c r="N284">
        <v>7.2199999999999999E-4</v>
      </c>
      <c r="O284">
        <v>2.2100000000000001E-4</v>
      </c>
      <c r="P284" s="1">
        <v>6.9200000000000002E-5</v>
      </c>
    </row>
    <row r="285" spans="1:16" x14ac:dyDescent="0.15">
      <c r="A285">
        <v>1979</v>
      </c>
      <c r="B285">
        <v>3.95E-2</v>
      </c>
      <c r="C285">
        <v>0.21152499999999999</v>
      </c>
      <c r="D285">
        <v>0.28037299999999998</v>
      </c>
      <c r="E285">
        <v>0.16364799999999999</v>
      </c>
      <c r="F285">
        <v>0.152892</v>
      </c>
      <c r="G285">
        <v>8.3938899999999997E-2</v>
      </c>
      <c r="H285">
        <v>2.1921E-2</v>
      </c>
      <c r="I285">
        <v>1.0012E-2</v>
      </c>
      <c r="J285">
        <v>1.3972999999999999E-2</v>
      </c>
      <c r="K285">
        <v>1.0706E-2</v>
      </c>
      <c r="L285">
        <v>6.8619900000000001E-3</v>
      </c>
      <c r="M285">
        <v>3.0690000000000001E-3</v>
      </c>
      <c r="N285">
        <v>1.1529999999999999E-3</v>
      </c>
      <c r="O285">
        <v>2.0599999999999999E-4</v>
      </c>
      <c r="P285">
        <v>2.22E-4</v>
      </c>
    </row>
    <row r="286" spans="1:16" x14ac:dyDescent="0.15">
      <c r="A286">
        <v>1980</v>
      </c>
      <c r="B286">
        <v>4.0340000000000003E-3</v>
      </c>
      <c r="C286">
        <v>0.19093199999999999</v>
      </c>
      <c r="D286">
        <v>0.33992600000000001</v>
      </c>
      <c r="E286">
        <v>0.183116</v>
      </c>
      <c r="F286">
        <v>0.10412399999999999</v>
      </c>
      <c r="G286">
        <v>8.7116899999999997E-2</v>
      </c>
      <c r="H286">
        <v>3.4571999999999999E-2</v>
      </c>
      <c r="I286">
        <v>1.5525000000000001E-2</v>
      </c>
      <c r="J286">
        <v>8.9809899999999995E-3</v>
      </c>
      <c r="K286">
        <v>9.8769900000000004E-3</v>
      </c>
      <c r="L286">
        <v>1.0508E-2</v>
      </c>
      <c r="M286">
        <v>6.5609900000000001E-3</v>
      </c>
      <c r="N286">
        <v>3.192E-3</v>
      </c>
      <c r="O286">
        <v>1.036E-3</v>
      </c>
      <c r="P286">
        <v>5.0000000000000001E-4</v>
      </c>
    </row>
    <row r="287" spans="1:16" x14ac:dyDescent="0.15">
      <c r="A287">
        <v>1981</v>
      </c>
      <c r="B287">
        <v>2.6200000000000003E-4</v>
      </c>
      <c r="C287">
        <v>3.3202000000000002E-2</v>
      </c>
      <c r="D287">
        <v>0.46571299999999999</v>
      </c>
      <c r="E287">
        <v>0.29335</v>
      </c>
      <c r="F287">
        <v>0.10438699999999999</v>
      </c>
      <c r="G287">
        <v>4.7308000000000003E-2</v>
      </c>
      <c r="H287">
        <v>2.3758000000000001E-2</v>
      </c>
      <c r="I287">
        <v>1.3610000000000001E-2</v>
      </c>
      <c r="J287">
        <v>7.4029899999999999E-3</v>
      </c>
      <c r="K287">
        <v>4.2989999999999999E-3</v>
      </c>
      <c r="L287">
        <v>3.4529999999999999E-3</v>
      </c>
      <c r="M287">
        <v>2.1150000000000001E-3</v>
      </c>
      <c r="N287">
        <v>6.9899899999999995E-4</v>
      </c>
      <c r="O287">
        <v>2.9E-4</v>
      </c>
      <c r="P287">
        <v>1.5200000000000001E-4</v>
      </c>
    </row>
    <row r="288" spans="1:16" x14ac:dyDescent="0.15">
      <c r="A288">
        <v>1982</v>
      </c>
      <c r="B288">
        <v>2.3700000000000001E-3</v>
      </c>
      <c r="C288">
        <v>1.2649000000000001E-2</v>
      </c>
      <c r="D288">
        <v>8.0549999999999997E-2</v>
      </c>
      <c r="E288">
        <v>0.58499100000000004</v>
      </c>
      <c r="F288">
        <v>0.21074300000000001</v>
      </c>
      <c r="G288">
        <v>5.1754000000000001E-2</v>
      </c>
      <c r="H288">
        <v>1.7953E-2</v>
      </c>
      <c r="I288">
        <v>1.7972999999999999E-2</v>
      </c>
      <c r="J288">
        <v>1.0743000000000001E-2</v>
      </c>
      <c r="K288">
        <v>4.5310000000000003E-3</v>
      </c>
      <c r="L288">
        <v>2.7039999999999998E-3</v>
      </c>
      <c r="M288">
        <v>1.5870000000000001E-3</v>
      </c>
      <c r="N288">
        <v>9.2800000000000001E-4</v>
      </c>
      <c r="O288">
        <v>3.4400000000000001E-4</v>
      </c>
      <c r="P288">
        <v>1.8000000000000001E-4</v>
      </c>
    </row>
    <row r="289" spans="1:16" x14ac:dyDescent="0.15">
      <c r="A289">
        <v>1983</v>
      </c>
      <c r="B289">
        <v>2.9060100000000001E-3</v>
      </c>
      <c r="C289">
        <v>6.7965100000000001E-2</v>
      </c>
      <c r="D289">
        <v>9.0431200000000003E-2</v>
      </c>
      <c r="E289">
        <v>0.17937800000000001</v>
      </c>
      <c r="F289">
        <v>0.46821000000000002</v>
      </c>
      <c r="G289">
        <v>0.12509300000000001</v>
      </c>
      <c r="H289">
        <v>2.3737999999999999E-2</v>
      </c>
      <c r="I289">
        <v>1.4167000000000001E-2</v>
      </c>
      <c r="J289">
        <v>1.1353E-2</v>
      </c>
      <c r="K289">
        <v>6.3620100000000004E-3</v>
      </c>
      <c r="L289">
        <v>4.3560099999999996E-3</v>
      </c>
      <c r="M289">
        <v>2.8080100000000001E-3</v>
      </c>
      <c r="N289">
        <v>2.0170000000000001E-3</v>
      </c>
      <c r="O289">
        <v>9.9700200000000009E-4</v>
      </c>
      <c r="P289">
        <v>2.1800000000000001E-4</v>
      </c>
    </row>
    <row r="290" spans="1:16" x14ac:dyDescent="0.15">
      <c r="A290">
        <v>1984</v>
      </c>
      <c r="B290">
        <v>1.0820000000000001E-3</v>
      </c>
      <c r="C290">
        <v>2.3623000000000002E-2</v>
      </c>
      <c r="D290">
        <v>4.5693999999999999E-2</v>
      </c>
      <c r="E290">
        <v>0.22206999999999999</v>
      </c>
      <c r="F290">
        <v>0.25354900000000002</v>
      </c>
      <c r="G290">
        <v>0.33724700000000002</v>
      </c>
      <c r="H290">
        <v>6.9013099999999994E-2</v>
      </c>
      <c r="I290">
        <v>1.8339999999999999E-2</v>
      </c>
      <c r="J290">
        <v>1.2938E-2</v>
      </c>
      <c r="K290">
        <v>8.0670099999999995E-3</v>
      </c>
      <c r="L290">
        <v>3.6600000000000001E-3</v>
      </c>
      <c r="M290">
        <v>1.299E-3</v>
      </c>
      <c r="N290">
        <v>1.5100000000000001E-3</v>
      </c>
      <c r="O290">
        <v>8.6100100000000002E-4</v>
      </c>
      <c r="P290">
        <v>1.0460000000000001E-3</v>
      </c>
    </row>
    <row r="291" spans="1:16" x14ac:dyDescent="0.15">
      <c r="A291">
        <v>1985</v>
      </c>
      <c r="B291">
        <v>1.377E-3</v>
      </c>
      <c r="C291">
        <v>2.8742E-2</v>
      </c>
      <c r="D291">
        <v>0.198541</v>
      </c>
      <c r="E291">
        <v>6.3409999999999994E-2</v>
      </c>
      <c r="F291">
        <v>0.190469</v>
      </c>
      <c r="G291">
        <v>0.16742599999999999</v>
      </c>
      <c r="H291">
        <v>0.23080999999999999</v>
      </c>
      <c r="I291">
        <v>5.8574000000000001E-2</v>
      </c>
      <c r="J291">
        <v>1.9047999999999999E-2</v>
      </c>
      <c r="K291">
        <v>1.3448999999999999E-2</v>
      </c>
      <c r="L291">
        <v>1.2929E-2</v>
      </c>
      <c r="M291">
        <v>5.5529999999999998E-3</v>
      </c>
      <c r="N291">
        <v>4.9090000000000002E-3</v>
      </c>
      <c r="O291">
        <v>2.088E-3</v>
      </c>
      <c r="P291">
        <v>2.6749999999999999E-3</v>
      </c>
    </row>
    <row r="292" spans="1:16" x14ac:dyDescent="0.15">
      <c r="A292">
        <v>1986</v>
      </c>
      <c r="B292">
        <v>1.5139999999999999E-3</v>
      </c>
      <c r="C292">
        <v>4.2153999999999997E-2</v>
      </c>
      <c r="D292">
        <v>4.5221999999999998E-2</v>
      </c>
      <c r="E292">
        <v>0.36684699999999998</v>
      </c>
      <c r="F292">
        <v>0.10492600000000001</v>
      </c>
      <c r="G292">
        <v>0.18529300000000001</v>
      </c>
      <c r="H292">
        <v>0.108734</v>
      </c>
      <c r="I292">
        <v>0.105004</v>
      </c>
      <c r="J292">
        <v>2.9249000000000001E-2</v>
      </c>
      <c r="K292">
        <v>7.4400100000000004E-3</v>
      </c>
      <c r="L292">
        <v>1.637E-3</v>
      </c>
      <c r="M292">
        <v>1.2639999999999999E-3</v>
      </c>
      <c r="N292">
        <v>1.3200000000000001E-4</v>
      </c>
      <c r="O292">
        <v>5.8300099999999998E-4</v>
      </c>
      <c r="P292">
        <v>0</v>
      </c>
    </row>
    <row r="293" spans="1:16" x14ac:dyDescent="0.15">
      <c r="A293">
        <v>1987</v>
      </c>
      <c r="B293">
        <v>0</v>
      </c>
      <c r="C293">
        <v>1.4352999999999999E-2</v>
      </c>
      <c r="D293">
        <v>8.0901899999999999E-2</v>
      </c>
      <c r="E293">
        <v>5.62789E-2</v>
      </c>
      <c r="F293">
        <v>0.29985800000000001</v>
      </c>
      <c r="G293">
        <v>0.100715</v>
      </c>
      <c r="H293">
        <v>8.8820899999999994E-2</v>
      </c>
      <c r="I293">
        <v>6.5741900000000006E-2</v>
      </c>
      <c r="J293">
        <v>0.179309</v>
      </c>
      <c r="K293">
        <v>3.9206999999999999E-2</v>
      </c>
      <c r="L293">
        <v>2.8063999999999999E-2</v>
      </c>
      <c r="M293">
        <v>1.5557E-2</v>
      </c>
      <c r="N293">
        <v>2.0974E-2</v>
      </c>
      <c r="O293">
        <v>4.4209999999999996E-3</v>
      </c>
      <c r="P293">
        <v>5.7989900000000004E-3</v>
      </c>
    </row>
    <row r="294" spans="1:16" x14ac:dyDescent="0.15">
      <c r="A294">
        <v>1988</v>
      </c>
      <c r="B294">
        <v>0</v>
      </c>
      <c r="C294">
        <v>4.8669999999999998E-3</v>
      </c>
      <c r="D294">
        <v>0.20707800000000001</v>
      </c>
      <c r="E294">
        <v>0.19230800000000001</v>
      </c>
      <c r="F294">
        <v>0.115004</v>
      </c>
      <c r="G294">
        <v>0.24830199999999999</v>
      </c>
      <c r="H294">
        <v>0.10252699999999999</v>
      </c>
      <c r="I294">
        <v>4.7865999999999999E-2</v>
      </c>
      <c r="J294">
        <v>1.7871999999999999E-2</v>
      </c>
      <c r="K294">
        <v>4.4149000000000001E-2</v>
      </c>
      <c r="L294">
        <v>8.3239899999999999E-3</v>
      </c>
      <c r="M294">
        <v>4.6579999999999998E-3</v>
      </c>
      <c r="N294">
        <v>1.7149999999999999E-3</v>
      </c>
      <c r="O294">
        <v>2.506E-3</v>
      </c>
      <c r="P294">
        <v>2.8249999999999998E-3</v>
      </c>
    </row>
    <row r="295" spans="1:16" x14ac:dyDescent="0.15">
      <c r="A295">
        <v>1989</v>
      </c>
      <c r="B295">
        <v>0</v>
      </c>
      <c r="C295">
        <v>2.6710000000000002E-3</v>
      </c>
      <c r="D295">
        <v>3.0904000000000001E-2</v>
      </c>
      <c r="E295">
        <v>8.3526900000000001E-2</v>
      </c>
      <c r="F295">
        <v>0.25288300000000002</v>
      </c>
      <c r="G295">
        <v>9.3472899999999998E-2</v>
      </c>
      <c r="H295">
        <v>0.32077600000000001</v>
      </c>
      <c r="I295">
        <v>5.39969E-2</v>
      </c>
      <c r="J295">
        <v>5.81659E-2</v>
      </c>
      <c r="K295">
        <v>1.8176000000000001E-2</v>
      </c>
      <c r="L295">
        <v>7.2329900000000003E-2</v>
      </c>
      <c r="M295">
        <v>6.1019899999999998E-3</v>
      </c>
      <c r="N295">
        <v>2.235E-3</v>
      </c>
      <c r="O295">
        <v>1.436E-3</v>
      </c>
      <c r="P295">
        <v>3.3249999999999998E-3</v>
      </c>
    </row>
    <row r="296" spans="1:16" x14ac:dyDescent="0.15">
      <c r="A296">
        <v>1990</v>
      </c>
      <c r="B296">
        <v>7.5199999999999996E-4</v>
      </c>
      <c r="C296">
        <v>1.8901000000000001E-2</v>
      </c>
      <c r="D296">
        <v>3.2625000000000001E-2</v>
      </c>
      <c r="E296">
        <v>0.12570799999999999</v>
      </c>
      <c r="F296">
        <v>0.114964</v>
      </c>
      <c r="G296">
        <v>0.27363300000000002</v>
      </c>
      <c r="H296">
        <v>7.4005000000000001E-2</v>
      </c>
      <c r="I296">
        <v>0.21101500000000001</v>
      </c>
      <c r="J296">
        <v>3.7631999999999999E-2</v>
      </c>
      <c r="K296">
        <v>5.8368000000000003E-2</v>
      </c>
      <c r="L296">
        <v>5.1780000000000003E-3</v>
      </c>
      <c r="M296">
        <v>3.4402000000000002E-2</v>
      </c>
      <c r="N296">
        <v>4.8650000000000004E-3</v>
      </c>
      <c r="O296">
        <v>2.6770000000000001E-3</v>
      </c>
      <c r="P296">
        <v>5.2750000000000002E-3</v>
      </c>
    </row>
    <row r="297" spans="1:16" x14ac:dyDescent="0.15">
      <c r="A297">
        <v>1991</v>
      </c>
      <c r="B297">
        <v>4.6045E-4</v>
      </c>
      <c r="C297">
        <v>7.6072600000000004E-2</v>
      </c>
      <c r="D297">
        <v>2.7155200000000001E-2</v>
      </c>
      <c r="E297">
        <v>5.8872599999999997E-2</v>
      </c>
      <c r="F297">
        <v>9.4697600000000007E-2</v>
      </c>
      <c r="G297">
        <v>0.103979</v>
      </c>
      <c r="H297">
        <v>0.26279200000000003</v>
      </c>
      <c r="I297">
        <v>3.5341400000000002E-2</v>
      </c>
      <c r="J297">
        <v>0.14860999999999999</v>
      </c>
      <c r="K297">
        <v>1.4827999999999999E-2</v>
      </c>
      <c r="L297">
        <v>7.8252299999999997E-2</v>
      </c>
      <c r="M297">
        <v>9.3670699999999999E-3</v>
      </c>
      <c r="N297">
        <v>4.9434199999999998E-2</v>
      </c>
      <c r="O297">
        <v>1.16125E-2</v>
      </c>
      <c r="P297">
        <v>2.8524899999999999E-2</v>
      </c>
    </row>
    <row r="298" spans="1:16" x14ac:dyDescent="0.15">
      <c r="A298">
        <v>1992</v>
      </c>
      <c r="B298">
        <v>0</v>
      </c>
      <c r="C298">
        <v>4.8702799999999997E-2</v>
      </c>
      <c r="D298">
        <v>0.35137499999999999</v>
      </c>
      <c r="E298">
        <v>6.9120699999999993E-2</v>
      </c>
      <c r="F298">
        <v>4.14104E-2</v>
      </c>
      <c r="G298">
        <v>5.9468699999999999E-2</v>
      </c>
      <c r="H298">
        <v>6.99293E-2</v>
      </c>
      <c r="I298">
        <v>0.13129099999999999</v>
      </c>
      <c r="J298">
        <v>5.21205E-2</v>
      </c>
      <c r="K298">
        <v>8.0742999999999995E-2</v>
      </c>
      <c r="L298">
        <v>2.82823E-2</v>
      </c>
      <c r="M298">
        <v>2.24298E-2</v>
      </c>
      <c r="N298">
        <v>6.4984600000000002E-3</v>
      </c>
      <c r="O298">
        <v>2.17889E-2</v>
      </c>
      <c r="P298">
        <v>1.6839199999999999E-2</v>
      </c>
    </row>
    <row r="299" spans="1:16" x14ac:dyDescent="0.15">
      <c r="A299">
        <v>1993</v>
      </c>
      <c r="B299" s="1">
        <v>8.7097999999999999E-5</v>
      </c>
      <c r="C299">
        <v>4.2855999999999997E-3</v>
      </c>
      <c r="D299">
        <v>0.13875000000000001</v>
      </c>
      <c r="E299">
        <v>0.60531100000000004</v>
      </c>
      <c r="F299">
        <v>5.3946500000000001E-2</v>
      </c>
      <c r="G299">
        <v>3.4765400000000002E-2</v>
      </c>
      <c r="H299">
        <v>3.3647000000000003E-2</v>
      </c>
      <c r="I299">
        <v>2.8126100000000001E-2</v>
      </c>
      <c r="J299">
        <v>4.81754E-2</v>
      </c>
      <c r="K299">
        <v>1.08196E-2</v>
      </c>
      <c r="L299">
        <v>1.70609E-2</v>
      </c>
      <c r="M299">
        <v>6.1771700000000001E-3</v>
      </c>
      <c r="N299">
        <v>6.6121900000000004E-3</v>
      </c>
      <c r="O299">
        <v>3.5210100000000002E-3</v>
      </c>
      <c r="P299">
        <v>8.7145999999999994E-3</v>
      </c>
    </row>
    <row r="300" spans="1:16" x14ac:dyDescent="0.15">
      <c r="A300">
        <v>1994</v>
      </c>
      <c r="B300">
        <v>8.9005599999999996E-4</v>
      </c>
      <c r="C300">
        <v>1.9537700000000002E-2</v>
      </c>
      <c r="D300">
        <v>3.0823300000000001E-2</v>
      </c>
      <c r="E300">
        <v>0.195297</v>
      </c>
      <c r="F300">
        <v>0.57924699999999996</v>
      </c>
      <c r="G300">
        <v>9.5446400000000001E-2</v>
      </c>
      <c r="H300">
        <v>2.9574300000000001E-2</v>
      </c>
      <c r="I300">
        <v>1.0966999999999999E-2</v>
      </c>
      <c r="J300">
        <v>7.2579200000000002E-3</v>
      </c>
      <c r="K300">
        <v>1.12467E-2</v>
      </c>
      <c r="L300">
        <v>4.6451299999999999E-3</v>
      </c>
      <c r="M300">
        <v>5.1085699999999998E-3</v>
      </c>
      <c r="N300">
        <v>3.8176799999999999E-3</v>
      </c>
      <c r="O300">
        <v>2.0198199999999999E-3</v>
      </c>
      <c r="P300">
        <v>4.1211199999999998E-3</v>
      </c>
    </row>
    <row r="301" spans="1:16" x14ac:dyDescent="0.15">
      <c r="A301">
        <v>1995</v>
      </c>
      <c r="B301">
        <v>0</v>
      </c>
      <c r="C301">
        <v>2.9289600000000001E-4</v>
      </c>
      <c r="D301">
        <v>5.0363100000000001E-2</v>
      </c>
      <c r="E301">
        <v>9.39223E-2</v>
      </c>
      <c r="F301">
        <v>0.246087</v>
      </c>
      <c r="G301">
        <v>0.47128500000000001</v>
      </c>
      <c r="H301">
        <v>8.0852999999999994E-2</v>
      </c>
      <c r="I301">
        <v>1.9942000000000001E-2</v>
      </c>
      <c r="J301">
        <v>6.8588499999999997E-3</v>
      </c>
      <c r="K301">
        <v>5.2520600000000002E-3</v>
      </c>
      <c r="L301">
        <v>1.1285099999999999E-2</v>
      </c>
      <c r="M301">
        <v>3.3881900000000001E-3</v>
      </c>
      <c r="N301">
        <v>3.9102099999999999E-3</v>
      </c>
      <c r="O301">
        <v>9.5909100000000002E-4</v>
      </c>
      <c r="P301">
        <v>5.6012299999999996E-3</v>
      </c>
    </row>
    <row r="302" spans="1:16" x14ac:dyDescent="0.15">
      <c r="A302">
        <v>1996</v>
      </c>
      <c r="B302">
        <v>0</v>
      </c>
      <c r="C302">
        <v>1.6193599999999999E-2</v>
      </c>
      <c r="D302">
        <v>3.9191700000000003E-2</v>
      </c>
      <c r="E302">
        <v>5.7006899999999999E-2</v>
      </c>
      <c r="F302">
        <v>0.11598799999999999</v>
      </c>
      <c r="G302">
        <v>0.256795</v>
      </c>
      <c r="H302">
        <v>0.331094</v>
      </c>
      <c r="I302">
        <v>0.12934699999999999</v>
      </c>
      <c r="J302">
        <v>2.1890099999999999E-2</v>
      </c>
      <c r="K302">
        <v>9.3588500000000002E-3</v>
      </c>
      <c r="L302">
        <v>6.1417800000000003E-3</v>
      </c>
      <c r="M302">
        <v>5.96614E-3</v>
      </c>
      <c r="N302">
        <v>3.3301799999999999E-3</v>
      </c>
      <c r="O302">
        <v>3.6975699999999998E-3</v>
      </c>
      <c r="P302">
        <v>3.9995300000000003E-3</v>
      </c>
    </row>
    <row r="303" spans="1:16" x14ac:dyDescent="0.15">
      <c r="A303">
        <v>1997</v>
      </c>
      <c r="B303">
        <v>1.5192599999999999E-3</v>
      </c>
      <c r="C303">
        <v>5.3697599999999998E-2</v>
      </c>
      <c r="D303">
        <v>2.4262300000000001E-2</v>
      </c>
      <c r="E303">
        <v>7.1756399999999998E-2</v>
      </c>
      <c r="F303">
        <v>0.307506</v>
      </c>
      <c r="G303">
        <v>0.18525</v>
      </c>
      <c r="H303">
        <v>0.161498</v>
      </c>
      <c r="I303">
        <v>0.12640599999999999</v>
      </c>
      <c r="J303">
        <v>3.9569699999999999E-2</v>
      </c>
      <c r="K303">
        <v>8.7151499999999996E-3</v>
      </c>
      <c r="L303">
        <v>4.1252700000000003E-3</v>
      </c>
      <c r="M303">
        <v>3.1979199999999999E-3</v>
      </c>
      <c r="N303">
        <v>2.2527799999999998E-3</v>
      </c>
      <c r="O303">
        <v>3.06435E-3</v>
      </c>
      <c r="P303">
        <v>7.1796899999999999E-3</v>
      </c>
    </row>
    <row r="304" spans="1:16" x14ac:dyDescent="0.15">
      <c r="A304">
        <v>1998</v>
      </c>
      <c r="B304">
        <v>3.9895099999999998E-4</v>
      </c>
      <c r="C304">
        <v>3.3067800000000001E-2</v>
      </c>
      <c r="D304">
        <v>5.8066899999999998E-2</v>
      </c>
      <c r="E304">
        <v>4.6541699999999998E-2</v>
      </c>
      <c r="F304">
        <v>0.101453</v>
      </c>
      <c r="G304">
        <v>0.444133</v>
      </c>
      <c r="H304">
        <v>0.128693</v>
      </c>
      <c r="I304">
        <v>8.2978200000000002E-2</v>
      </c>
      <c r="J304">
        <v>7.0285399999999998E-2</v>
      </c>
      <c r="K304">
        <v>1.9068499999999999E-2</v>
      </c>
      <c r="L304">
        <v>4.0903199999999997E-3</v>
      </c>
      <c r="M304">
        <v>3.7444700000000002E-3</v>
      </c>
      <c r="N304">
        <v>1.8544E-3</v>
      </c>
      <c r="O304">
        <v>2.0789699999999999E-3</v>
      </c>
      <c r="P304">
        <v>3.5451699999999998E-3</v>
      </c>
    </row>
    <row r="305" spans="1:16" x14ac:dyDescent="0.15">
      <c r="A305">
        <v>1999</v>
      </c>
      <c r="B305">
        <v>2.7375799999999998E-4</v>
      </c>
      <c r="C305">
        <v>7.7235000000000003E-3</v>
      </c>
      <c r="D305">
        <v>0.19648399999999999</v>
      </c>
      <c r="E305">
        <v>0.15170800000000001</v>
      </c>
      <c r="F305">
        <v>7.0108900000000002E-2</v>
      </c>
      <c r="G305">
        <v>0.103698</v>
      </c>
      <c r="H305">
        <v>0.31556899999999999</v>
      </c>
      <c r="I305">
        <v>8.8403099999999998E-2</v>
      </c>
      <c r="J305">
        <v>3.83205E-2</v>
      </c>
      <c r="K305">
        <v>2.1909700000000001E-2</v>
      </c>
      <c r="L305">
        <v>2.3183399999999999E-3</v>
      </c>
      <c r="M305">
        <v>1.48507E-3</v>
      </c>
      <c r="N305">
        <v>4.9211999999999997E-4</v>
      </c>
      <c r="O305">
        <v>2.5911E-4</v>
      </c>
      <c r="P305">
        <v>1.2477499999999999E-3</v>
      </c>
    </row>
    <row r="306" spans="1:16" x14ac:dyDescent="0.15">
      <c r="A306">
        <v>2000</v>
      </c>
      <c r="B306">
        <v>0</v>
      </c>
      <c r="C306">
        <v>1.0544400000000001E-2</v>
      </c>
      <c r="D306">
        <v>4.8673599999999997E-2</v>
      </c>
      <c r="E306">
        <v>0.25691900000000001</v>
      </c>
      <c r="F306">
        <v>0.208256</v>
      </c>
      <c r="G306">
        <v>6.3979499999999995E-2</v>
      </c>
      <c r="H306">
        <v>0.102642</v>
      </c>
      <c r="I306">
        <v>0.21825</v>
      </c>
      <c r="J306">
        <v>5.2189399999999997E-2</v>
      </c>
      <c r="K306">
        <v>1.79699E-2</v>
      </c>
      <c r="L306">
        <v>1.4796800000000001E-2</v>
      </c>
      <c r="M306">
        <v>3.44159E-3</v>
      </c>
      <c r="N306">
        <v>9.4149700000000002E-4</v>
      </c>
      <c r="O306">
        <v>4.9062699999999999E-4</v>
      </c>
      <c r="P306">
        <v>9.0559899999999999E-4</v>
      </c>
    </row>
    <row r="307" spans="1:16" x14ac:dyDescent="0.15">
      <c r="A307">
        <v>2001</v>
      </c>
      <c r="B307">
        <v>0</v>
      </c>
      <c r="C307">
        <v>2.1389999999999998E-3</v>
      </c>
      <c r="D307">
        <v>3.2501099999999998E-2</v>
      </c>
      <c r="E307">
        <v>9.2801300000000003E-2</v>
      </c>
      <c r="F307">
        <v>0.32914900000000002</v>
      </c>
      <c r="G307">
        <v>0.232373</v>
      </c>
      <c r="H307">
        <v>7.7923699999999999E-2</v>
      </c>
      <c r="I307">
        <v>7.3977399999999999E-2</v>
      </c>
      <c r="J307">
        <v>9.0637700000000002E-2</v>
      </c>
      <c r="K307">
        <v>3.2953799999999998E-2</v>
      </c>
      <c r="L307">
        <v>2.01034E-2</v>
      </c>
      <c r="M307">
        <v>9.1878700000000008E-3</v>
      </c>
      <c r="N307">
        <v>3.3596099999999999E-3</v>
      </c>
      <c r="O307">
        <v>1.67446E-3</v>
      </c>
      <c r="P307">
        <v>1.21861E-3</v>
      </c>
    </row>
    <row r="308" spans="1:16" x14ac:dyDescent="0.15">
      <c r="A308">
        <v>2002</v>
      </c>
      <c r="B308">
        <v>4.8801200000000002E-4</v>
      </c>
      <c r="C308">
        <v>3.0075500000000002E-2</v>
      </c>
      <c r="D308">
        <v>5.8902200000000002E-2</v>
      </c>
      <c r="E308">
        <v>0.113915</v>
      </c>
      <c r="F308">
        <v>0.15065400000000001</v>
      </c>
      <c r="G308">
        <v>0.31936599999999998</v>
      </c>
      <c r="H308">
        <v>0.141706</v>
      </c>
      <c r="I308">
        <v>5.2672099999999999E-2</v>
      </c>
      <c r="J308">
        <v>4.6340399999999997E-2</v>
      </c>
      <c r="K308">
        <v>5.06823E-2</v>
      </c>
      <c r="L308">
        <v>1.84929E-2</v>
      </c>
      <c r="M308">
        <v>7.6696000000000004E-3</v>
      </c>
      <c r="N308">
        <v>6.6906800000000001E-3</v>
      </c>
      <c r="O308">
        <v>1.4715399999999999E-3</v>
      </c>
      <c r="P308">
        <v>8.7359700000000005E-4</v>
      </c>
    </row>
    <row r="309" spans="1:16" x14ac:dyDescent="0.15">
      <c r="A309">
        <v>2003</v>
      </c>
      <c r="B309">
        <v>0</v>
      </c>
      <c r="C309">
        <v>8.3603700000000006E-3</v>
      </c>
      <c r="D309">
        <v>0.194383</v>
      </c>
      <c r="E309">
        <v>0.155026</v>
      </c>
      <c r="F309">
        <v>0.17727100000000001</v>
      </c>
      <c r="G309">
        <v>0.14752399999999999</v>
      </c>
      <c r="H309">
        <v>0.16048200000000001</v>
      </c>
      <c r="I309">
        <v>7.6044899999999999E-2</v>
      </c>
      <c r="J309">
        <v>2.5630900000000002E-2</v>
      </c>
      <c r="K309">
        <v>1.94124E-2</v>
      </c>
      <c r="L309">
        <v>1.76452E-2</v>
      </c>
      <c r="M309">
        <v>1.14728E-2</v>
      </c>
      <c r="N309">
        <v>3.3589599999999998E-3</v>
      </c>
      <c r="O309">
        <v>1.45535E-3</v>
      </c>
      <c r="P309">
        <v>1.93341E-3</v>
      </c>
    </row>
    <row r="310" spans="1:16" x14ac:dyDescent="0.15">
      <c r="A310">
        <v>2004</v>
      </c>
      <c r="B310">
        <v>0</v>
      </c>
      <c r="C310">
        <v>5.35269E-4</v>
      </c>
      <c r="D310">
        <v>4.2571999999999999E-2</v>
      </c>
      <c r="E310">
        <v>0.39236300000000002</v>
      </c>
      <c r="F310">
        <v>0.226882</v>
      </c>
      <c r="G310">
        <v>0.11264299999999999</v>
      </c>
      <c r="H310">
        <v>7.9776299999999994E-2</v>
      </c>
      <c r="I310">
        <v>7.4194999999999997E-2</v>
      </c>
      <c r="J310">
        <v>3.02896E-2</v>
      </c>
      <c r="K310">
        <v>8.0024099999999997E-3</v>
      </c>
      <c r="L310">
        <v>8.9217900000000006E-3</v>
      </c>
      <c r="M310">
        <v>1.2350699999999999E-2</v>
      </c>
      <c r="N310">
        <v>5.0169000000000004E-3</v>
      </c>
      <c r="O310">
        <v>3.13934E-3</v>
      </c>
      <c r="P310">
        <v>3.3128400000000001E-3</v>
      </c>
    </row>
    <row r="311" spans="1:16" x14ac:dyDescent="0.15">
      <c r="A311">
        <v>2005</v>
      </c>
      <c r="B311">
        <v>0</v>
      </c>
      <c r="C311">
        <v>1.4522199999999999E-3</v>
      </c>
      <c r="D311">
        <v>2.49523E-2</v>
      </c>
      <c r="E311">
        <v>0.181587</v>
      </c>
      <c r="F311">
        <v>0.400084</v>
      </c>
      <c r="G311">
        <v>0.22706100000000001</v>
      </c>
      <c r="H311">
        <v>7.2624400000000006E-2</v>
      </c>
      <c r="I311">
        <v>3.13231E-2</v>
      </c>
      <c r="J311">
        <v>3.11431E-2</v>
      </c>
      <c r="K311">
        <v>1.5660199999999999E-2</v>
      </c>
      <c r="L311">
        <v>5.2210599999999996E-3</v>
      </c>
      <c r="M311">
        <v>4.7501399999999999E-3</v>
      </c>
      <c r="N311">
        <v>1.58314E-3</v>
      </c>
      <c r="O311">
        <v>9.0914800000000003E-4</v>
      </c>
      <c r="P311">
        <v>1.64963E-3</v>
      </c>
    </row>
    <row r="312" spans="1:16" x14ac:dyDescent="0.15">
      <c r="A312">
        <v>2006</v>
      </c>
      <c r="B312">
        <v>0</v>
      </c>
      <c r="C312">
        <v>5.7305300000000002E-3</v>
      </c>
      <c r="D312">
        <v>3.9573499999999998E-2</v>
      </c>
      <c r="E312">
        <v>0.136406</v>
      </c>
      <c r="F312">
        <v>0.29281099999999999</v>
      </c>
      <c r="G312">
        <v>0.27843899999999999</v>
      </c>
      <c r="H312">
        <v>0.131602</v>
      </c>
      <c r="I312">
        <v>5.1201499999999997E-2</v>
      </c>
      <c r="J312">
        <v>2.33288E-2</v>
      </c>
      <c r="K312">
        <v>1.8032800000000002E-2</v>
      </c>
      <c r="L312">
        <v>7.72019E-3</v>
      </c>
      <c r="M312">
        <v>4.5197800000000002E-3</v>
      </c>
      <c r="N312">
        <v>4.4866300000000001E-3</v>
      </c>
      <c r="O312">
        <v>2.4092200000000001E-3</v>
      </c>
      <c r="P312">
        <v>3.7394500000000001E-3</v>
      </c>
    </row>
    <row r="313" spans="1:16" x14ac:dyDescent="0.15">
      <c r="A313">
        <v>2007</v>
      </c>
      <c r="B313">
        <v>1.09808E-3</v>
      </c>
      <c r="C313">
        <v>1.1658E-2</v>
      </c>
      <c r="D313">
        <v>3.424E-2</v>
      </c>
      <c r="E313">
        <v>7.4370000000000006E-2</v>
      </c>
      <c r="F313">
        <v>0.22390199999999999</v>
      </c>
      <c r="G313">
        <v>0.30812200000000001</v>
      </c>
      <c r="H313">
        <v>0.18335899999999999</v>
      </c>
      <c r="I313">
        <v>8.3187899999999995E-2</v>
      </c>
      <c r="J313">
        <v>3.00471E-2</v>
      </c>
      <c r="K313">
        <v>1.6783599999999999E-2</v>
      </c>
      <c r="L313">
        <v>1.3959900000000001E-2</v>
      </c>
      <c r="M313">
        <v>5.6478600000000002E-3</v>
      </c>
      <c r="N313">
        <v>3.8807799999999999E-3</v>
      </c>
      <c r="O313">
        <v>2.0499099999999998E-3</v>
      </c>
      <c r="P313">
        <v>7.6937999999999998E-3</v>
      </c>
    </row>
    <row r="314" spans="1:16" x14ac:dyDescent="0.15">
      <c r="A314">
        <v>2008</v>
      </c>
      <c r="B314">
        <v>0</v>
      </c>
      <c r="C314">
        <v>2.2931099999999999E-2</v>
      </c>
      <c r="D314">
        <v>4.9933100000000001E-2</v>
      </c>
      <c r="E314">
        <v>6.6941500000000001E-2</v>
      </c>
      <c r="F314">
        <v>0.12584400000000001</v>
      </c>
      <c r="G314">
        <v>0.26188699999999998</v>
      </c>
      <c r="H314">
        <v>0.20641000000000001</v>
      </c>
      <c r="I314">
        <v>0.12704699999999999</v>
      </c>
      <c r="J314">
        <v>7.0958599999999997E-2</v>
      </c>
      <c r="K314">
        <v>1.89981E-2</v>
      </c>
      <c r="L314">
        <v>1.6275999999999999E-2</v>
      </c>
      <c r="M314">
        <v>1.23257E-2</v>
      </c>
      <c r="N314">
        <v>7.2951600000000002E-3</v>
      </c>
      <c r="O314">
        <v>2.3503399999999998E-3</v>
      </c>
      <c r="P314">
        <v>1.0802900000000001E-2</v>
      </c>
    </row>
    <row r="315" spans="1:16" x14ac:dyDescent="0.15">
      <c r="A315">
        <v>2009</v>
      </c>
      <c r="B315">
        <v>7.9943500000000003E-4</v>
      </c>
      <c r="C315">
        <v>3.58202E-3</v>
      </c>
      <c r="D315">
        <v>0.16050200000000001</v>
      </c>
      <c r="E315">
        <v>0.199602</v>
      </c>
      <c r="F315">
        <v>7.7635599999999999E-2</v>
      </c>
      <c r="G315">
        <v>0.107806</v>
      </c>
      <c r="H315">
        <v>0.13417599999999999</v>
      </c>
      <c r="I315">
        <v>0.112955</v>
      </c>
      <c r="J315">
        <v>9.0556999999999999E-2</v>
      </c>
      <c r="K315">
        <v>4.29895E-2</v>
      </c>
      <c r="L315">
        <v>2.7888400000000001E-2</v>
      </c>
      <c r="M315">
        <v>1.11498E-2</v>
      </c>
      <c r="N315">
        <v>9.5044199999999995E-3</v>
      </c>
      <c r="O315">
        <v>4.3776900000000001E-3</v>
      </c>
      <c r="P315">
        <v>1.6475099999999999E-2</v>
      </c>
    </row>
    <row r="316" spans="1:16" x14ac:dyDescent="0.15">
      <c r="A316">
        <v>2010</v>
      </c>
      <c r="B316">
        <v>2.0827699999999998E-3</v>
      </c>
      <c r="C316">
        <v>2.7822E-2</v>
      </c>
      <c r="D316">
        <v>2.8166E-2</v>
      </c>
      <c r="E316">
        <v>0.49668499999999999</v>
      </c>
      <c r="F316">
        <v>0.197127</v>
      </c>
      <c r="G316">
        <v>4.7621499999999997E-2</v>
      </c>
      <c r="H316">
        <v>3.9251800000000003E-2</v>
      </c>
      <c r="I316">
        <v>4.9494299999999998E-2</v>
      </c>
      <c r="J316">
        <v>4.3741000000000002E-2</v>
      </c>
      <c r="K316">
        <v>3.0731399999999999E-2</v>
      </c>
      <c r="L316">
        <v>1.23559E-2</v>
      </c>
      <c r="M316">
        <v>8.0283799999999999E-3</v>
      </c>
      <c r="N316">
        <v>5.0923799999999996E-3</v>
      </c>
      <c r="O316">
        <v>5.5481599999999999E-3</v>
      </c>
      <c r="P316">
        <v>6.2523400000000003E-3</v>
      </c>
    </row>
    <row r="317" spans="1:16" x14ac:dyDescent="0.15">
      <c r="A317">
        <v>2011</v>
      </c>
      <c r="B317">
        <v>5.6030999999999995E-4</v>
      </c>
      <c r="C317">
        <v>8.9343700000000005E-3</v>
      </c>
      <c r="D317">
        <v>0.116218</v>
      </c>
      <c r="E317">
        <v>7.1376099999999998E-2</v>
      </c>
      <c r="F317">
        <v>0.48979800000000001</v>
      </c>
      <c r="G317">
        <v>0.17211499999999999</v>
      </c>
      <c r="H317">
        <v>3.8850700000000002E-2</v>
      </c>
      <c r="I317">
        <v>2.3865500000000001E-2</v>
      </c>
      <c r="J317">
        <v>2.32068E-2</v>
      </c>
      <c r="K317">
        <v>2.43155E-2</v>
      </c>
      <c r="L317">
        <v>1.53531E-2</v>
      </c>
      <c r="M317">
        <v>8.0515799999999992E-3</v>
      </c>
      <c r="N317">
        <v>1.0459E-3</v>
      </c>
      <c r="O317">
        <v>2.8398799999999999E-3</v>
      </c>
      <c r="P317">
        <v>3.4688200000000001E-3</v>
      </c>
    </row>
    <row r="318" spans="1:16" x14ac:dyDescent="0.15">
      <c r="A318">
        <v>2012</v>
      </c>
      <c r="B318">
        <v>0</v>
      </c>
      <c r="C318">
        <v>1.44548E-2</v>
      </c>
      <c r="D318">
        <v>6.1606599999999997E-2</v>
      </c>
      <c r="E318">
        <v>0.481846</v>
      </c>
      <c r="F318">
        <v>8.8430800000000004E-2</v>
      </c>
      <c r="G318">
        <v>0.22120500000000001</v>
      </c>
      <c r="H318">
        <v>7.0718500000000004E-2</v>
      </c>
      <c r="I318">
        <v>1.9350099999999999E-2</v>
      </c>
      <c r="J318">
        <v>9.1026400000000004E-3</v>
      </c>
      <c r="K318">
        <v>6.8496499999999997E-3</v>
      </c>
      <c r="L318">
        <v>8.11483E-3</v>
      </c>
      <c r="M318">
        <v>8.1827099999999993E-3</v>
      </c>
      <c r="N318">
        <v>4.2339099999999996E-3</v>
      </c>
      <c r="O318">
        <v>4.0735399999999996E-3</v>
      </c>
      <c r="P318">
        <v>1.8302800000000001E-3</v>
      </c>
    </row>
    <row r="319" spans="1:16" x14ac:dyDescent="0.15">
      <c r="A319">
        <v>2013</v>
      </c>
      <c r="B319">
        <v>1.8345099999999999E-3</v>
      </c>
      <c r="C319">
        <v>9.1916600000000002E-4</v>
      </c>
      <c r="D319">
        <v>3.7766800000000003E-2</v>
      </c>
      <c r="E319">
        <v>0.18399399999999999</v>
      </c>
      <c r="F319">
        <v>0.50783599999999995</v>
      </c>
      <c r="G319">
        <v>0.101058</v>
      </c>
      <c r="H319">
        <v>8.3210000000000006E-2</v>
      </c>
      <c r="I319">
        <v>3.6828600000000003E-2</v>
      </c>
      <c r="J319">
        <v>1.1068E-2</v>
      </c>
      <c r="K319">
        <v>9.5195499999999999E-3</v>
      </c>
      <c r="L319">
        <v>7.3208600000000002E-3</v>
      </c>
      <c r="M319">
        <v>6.67507E-3</v>
      </c>
      <c r="N319">
        <v>4.8552600000000001E-3</v>
      </c>
      <c r="O319">
        <v>3.15169E-3</v>
      </c>
      <c r="P319">
        <v>3.9633400000000001E-3</v>
      </c>
    </row>
    <row r="320" spans="1:16" x14ac:dyDescent="0.15">
      <c r="A320">
        <v>2014</v>
      </c>
      <c r="B320">
        <v>0</v>
      </c>
      <c r="C320">
        <v>2.4027799999999998E-2</v>
      </c>
      <c r="D320">
        <v>1.7835199999999999E-2</v>
      </c>
      <c r="E320">
        <v>9.7244700000000003E-2</v>
      </c>
      <c r="F320">
        <v>0.22703300000000001</v>
      </c>
      <c r="G320">
        <v>0.42752499999999999</v>
      </c>
      <c r="H320">
        <v>0.119696</v>
      </c>
      <c r="I320">
        <v>5.0185500000000001E-2</v>
      </c>
      <c r="J320">
        <v>1.6556999999999999E-2</v>
      </c>
      <c r="K320">
        <v>5.1963599999999997E-3</v>
      </c>
      <c r="L320">
        <v>2.7258199999999999E-3</v>
      </c>
      <c r="M320">
        <v>2.8439699999999999E-3</v>
      </c>
      <c r="N320">
        <v>2.4238100000000002E-3</v>
      </c>
      <c r="O320">
        <v>1.64931E-3</v>
      </c>
      <c r="P320">
        <v>5.0570399999999996E-3</v>
      </c>
    </row>
    <row r="321" spans="1:26" x14ac:dyDescent="0.15">
      <c r="A321" t="s">
        <v>165</v>
      </c>
      <c r="B321" t="s">
        <v>166</v>
      </c>
      <c r="C321" t="s">
        <v>167</v>
      </c>
      <c r="D321" t="s">
        <v>158</v>
      </c>
      <c r="E321" t="s">
        <v>168</v>
      </c>
    </row>
    <row r="322" spans="1:26" x14ac:dyDescent="0.15">
      <c r="A322">
        <v>2015</v>
      </c>
      <c r="B322">
        <v>2.0570599999999999E-3</v>
      </c>
      <c r="C322">
        <v>1.73226E-3</v>
      </c>
      <c r="D322">
        <v>2.2394099999999998E-3</v>
      </c>
      <c r="E322">
        <v>3.61838E-3</v>
      </c>
      <c r="F322">
        <v>5.11701E-3</v>
      </c>
      <c r="G322">
        <v>2.72376E-3</v>
      </c>
      <c r="H322">
        <v>3.09984E-3</v>
      </c>
      <c r="I322">
        <v>4.0400499999999999E-3</v>
      </c>
      <c r="J322">
        <v>5.6184599999999996E-3</v>
      </c>
      <c r="K322">
        <v>7.9148499999999993E-3</v>
      </c>
      <c r="L322">
        <v>1.15275E-2</v>
      </c>
      <c r="M322">
        <v>1.62969E-2</v>
      </c>
      <c r="N322">
        <v>2.30437E-2</v>
      </c>
      <c r="O322">
        <v>3.3021300000000003E-2</v>
      </c>
      <c r="P322">
        <v>4.4400599999999998E-2</v>
      </c>
      <c r="Q322">
        <v>6.0167600000000002E-2</v>
      </c>
      <c r="R322">
        <v>0.15392600000000001</v>
      </c>
      <c r="S322">
        <v>0.16247400000000001</v>
      </c>
      <c r="T322">
        <v>0.13808000000000001</v>
      </c>
      <c r="U322">
        <v>0.10397000000000001</v>
      </c>
      <c r="V322">
        <v>7.4401800000000004E-2</v>
      </c>
      <c r="W322">
        <v>5.0423700000000002E-2</v>
      </c>
      <c r="X322">
        <v>3.3289100000000002E-2</v>
      </c>
      <c r="Y322">
        <v>2.1459499999999999E-2</v>
      </c>
      <c r="Z322">
        <v>3.53575E-2</v>
      </c>
    </row>
    <row r="323" spans="1:26" x14ac:dyDescent="0.15">
      <c r="A323" t="s">
        <v>165</v>
      </c>
      <c r="B323" t="s">
        <v>127</v>
      </c>
      <c r="C323" t="s">
        <v>167</v>
      </c>
      <c r="D323" t="s">
        <v>158</v>
      </c>
      <c r="E323" t="s">
        <v>159</v>
      </c>
    </row>
    <row r="324" spans="1:26" x14ac:dyDescent="0.15">
      <c r="A324">
        <v>1964</v>
      </c>
      <c r="B324">
        <v>8.4995000000000001E-3</v>
      </c>
      <c r="C324">
        <v>0.12994600000000001</v>
      </c>
      <c r="D324">
        <v>0.311025</v>
      </c>
      <c r="E324">
        <v>0.17258100000000001</v>
      </c>
      <c r="F324">
        <v>7.3977399999999999E-2</v>
      </c>
      <c r="G324">
        <v>0.142149</v>
      </c>
      <c r="H324">
        <v>6.1835500000000002E-2</v>
      </c>
      <c r="I324">
        <v>1.9042900000000001E-2</v>
      </c>
      <c r="J324">
        <v>1.17456E-2</v>
      </c>
      <c r="K324">
        <v>1.1593900000000001E-2</v>
      </c>
      <c r="L324">
        <v>1.15639E-2</v>
      </c>
      <c r="M324">
        <v>1.15397E-2</v>
      </c>
      <c r="N324">
        <v>1.15204E-2</v>
      </c>
      <c r="O324">
        <v>1.15005E-2</v>
      </c>
      <c r="P324">
        <v>1.14798E-2</v>
      </c>
    </row>
    <row r="325" spans="1:26" x14ac:dyDescent="0.15">
      <c r="A325">
        <v>1965</v>
      </c>
      <c r="B325">
        <v>2.14431E-2</v>
      </c>
      <c r="C325">
        <v>8.3177500000000001E-2</v>
      </c>
      <c r="D325">
        <v>0.24385000000000001</v>
      </c>
      <c r="E325">
        <v>0.382054</v>
      </c>
      <c r="F325">
        <v>8.4592299999999995E-2</v>
      </c>
      <c r="G325">
        <v>3.5917999999999999E-2</v>
      </c>
      <c r="H325">
        <v>6.8570599999999995E-2</v>
      </c>
      <c r="I325">
        <v>3.0175400000000002E-2</v>
      </c>
      <c r="J325">
        <v>9.4051599999999992E-3</v>
      </c>
      <c r="K325">
        <v>5.8400199999999996E-3</v>
      </c>
      <c r="L325">
        <v>5.8596899999999999E-3</v>
      </c>
      <c r="M325">
        <v>5.8445700000000003E-3</v>
      </c>
      <c r="N325">
        <v>5.8323400000000001E-3</v>
      </c>
      <c r="O325">
        <v>5.8225899999999999E-3</v>
      </c>
      <c r="P325">
        <v>1.16145E-2</v>
      </c>
    </row>
    <row r="326" spans="1:26" x14ac:dyDescent="0.15">
      <c r="A326">
        <v>1966</v>
      </c>
      <c r="B326">
        <v>1.20416E-2</v>
      </c>
      <c r="C326">
        <v>0.21720200000000001</v>
      </c>
      <c r="D326">
        <v>0.163774</v>
      </c>
      <c r="E326">
        <v>0.28793000000000002</v>
      </c>
      <c r="F326">
        <v>0.185583</v>
      </c>
      <c r="G326">
        <v>4.0973099999999998E-2</v>
      </c>
      <c r="H326">
        <v>1.7629599999999999E-2</v>
      </c>
      <c r="I326">
        <v>3.4075000000000001E-2</v>
      </c>
      <c r="J326">
        <v>1.51258E-2</v>
      </c>
      <c r="K326">
        <v>4.7366200000000004E-3</v>
      </c>
      <c r="L326">
        <v>2.99476E-3</v>
      </c>
      <c r="M326">
        <v>3.0048499999999999E-3</v>
      </c>
      <c r="N326">
        <v>2.9970999999999999E-3</v>
      </c>
      <c r="O326">
        <v>2.9908199999999999E-3</v>
      </c>
      <c r="P326">
        <v>8.94175E-3</v>
      </c>
    </row>
    <row r="327" spans="1:26" x14ac:dyDescent="0.15">
      <c r="A327">
        <v>1967</v>
      </c>
      <c r="B327">
        <v>1.5207399999999999E-2</v>
      </c>
      <c r="C327">
        <v>0.121235</v>
      </c>
      <c r="D327">
        <v>0.42231999999999997</v>
      </c>
      <c r="E327">
        <v>0.16576099999999999</v>
      </c>
      <c r="F327">
        <v>0.12936900000000001</v>
      </c>
      <c r="G327">
        <v>8.3341999999999999E-2</v>
      </c>
      <c r="H327">
        <v>1.88866E-2</v>
      </c>
      <c r="I327">
        <v>8.2466199999999996E-3</v>
      </c>
      <c r="J327">
        <v>1.6065800000000002E-2</v>
      </c>
      <c r="K327">
        <v>7.1802599999999999E-3</v>
      </c>
      <c r="L327">
        <v>2.2859899999999999E-3</v>
      </c>
      <c r="M327">
        <v>1.4453300000000001E-3</v>
      </c>
      <c r="N327">
        <v>1.4502E-3</v>
      </c>
      <c r="O327">
        <v>1.4464600000000001E-3</v>
      </c>
      <c r="P327">
        <v>5.7589E-3</v>
      </c>
    </row>
    <row r="328" spans="1:26" x14ac:dyDescent="0.15">
      <c r="A328">
        <v>1968</v>
      </c>
      <c r="B328">
        <v>1.05722E-2</v>
      </c>
      <c r="C328">
        <v>0.161606</v>
      </c>
      <c r="D328">
        <v>0.239871</v>
      </c>
      <c r="E328">
        <v>0.39126300000000003</v>
      </c>
      <c r="F328">
        <v>7.3353199999999993E-2</v>
      </c>
      <c r="G328">
        <v>5.68158E-2</v>
      </c>
      <c r="H328">
        <v>3.7553000000000003E-2</v>
      </c>
      <c r="I328">
        <v>8.6606500000000006E-3</v>
      </c>
      <c r="J328">
        <v>3.7870500000000001E-3</v>
      </c>
      <c r="K328">
        <v>7.4055500000000003E-3</v>
      </c>
      <c r="L328">
        <v>3.3436999999999998E-3</v>
      </c>
      <c r="M328">
        <v>1.0645400000000001E-3</v>
      </c>
      <c r="N328">
        <v>6.7306199999999999E-4</v>
      </c>
      <c r="O328">
        <v>6.7532900000000001E-4</v>
      </c>
      <c r="P328">
        <v>3.3553900000000002E-3</v>
      </c>
    </row>
    <row r="329" spans="1:26" x14ac:dyDescent="0.15">
      <c r="A329">
        <v>1969</v>
      </c>
      <c r="B329">
        <v>1.12485E-2</v>
      </c>
      <c r="C329">
        <v>0.12610399999999999</v>
      </c>
      <c r="D329">
        <v>0.35419099999999998</v>
      </c>
      <c r="E329">
        <v>0.22395899999999999</v>
      </c>
      <c r="F329">
        <v>0.18743599999999999</v>
      </c>
      <c r="G329">
        <v>3.5237200000000003E-2</v>
      </c>
      <c r="H329">
        <v>2.8084000000000001E-2</v>
      </c>
      <c r="I329">
        <v>1.9040100000000001E-2</v>
      </c>
      <c r="J329">
        <v>4.3493300000000002E-3</v>
      </c>
      <c r="K329">
        <v>1.9180899999999999E-3</v>
      </c>
      <c r="L329">
        <v>3.7809300000000001E-3</v>
      </c>
      <c r="M329">
        <v>1.7071300000000001E-3</v>
      </c>
      <c r="N329">
        <v>5.4350399999999999E-4</v>
      </c>
      <c r="O329">
        <v>3.43634E-4</v>
      </c>
      <c r="P329">
        <v>2.0579000000000001E-3</v>
      </c>
    </row>
    <row r="330" spans="1:26" x14ac:dyDescent="0.15">
      <c r="A330">
        <v>1970</v>
      </c>
      <c r="B330">
        <v>9.6857599999999999E-3</v>
      </c>
      <c r="C330">
        <v>0.14771699999999999</v>
      </c>
      <c r="D330">
        <v>0.28515099999999999</v>
      </c>
      <c r="E330">
        <v>0.30113099999999998</v>
      </c>
      <c r="F330">
        <v>0.11254500000000001</v>
      </c>
      <c r="G330">
        <v>9.3221799999999994E-2</v>
      </c>
      <c r="H330">
        <v>1.8104499999999999E-2</v>
      </c>
      <c r="I330">
        <v>1.48273E-2</v>
      </c>
      <c r="J330">
        <v>9.8003599999999993E-3</v>
      </c>
      <c r="K330">
        <v>2.3212100000000002E-3</v>
      </c>
      <c r="L330">
        <v>1.0182500000000001E-3</v>
      </c>
      <c r="M330">
        <v>2.00717E-3</v>
      </c>
      <c r="N330">
        <v>9.0625999999999999E-4</v>
      </c>
      <c r="O330">
        <v>2.8852800000000003E-4</v>
      </c>
      <c r="P330">
        <v>1.2748900000000001E-3</v>
      </c>
    </row>
    <row r="331" spans="1:26" x14ac:dyDescent="0.15">
      <c r="A331">
        <v>1971</v>
      </c>
      <c r="B331">
        <v>5.8068699999999996E-3</v>
      </c>
      <c r="C331">
        <v>0.138652</v>
      </c>
      <c r="D331">
        <v>0.33593499999999998</v>
      </c>
      <c r="E331">
        <v>0.22986100000000001</v>
      </c>
      <c r="F331">
        <v>0.160218</v>
      </c>
      <c r="G331">
        <v>5.5999399999999998E-2</v>
      </c>
      <c r="H331">
        <v>4.7646000000000001E-2</v>
      </c>
      <c r="I331">
        <v>9.4645200000000006E-3</v>
      </c>
      <c r="J331">
        <v>7.4113099999999999E-3</v>
      </c>
      <c r="K331">
        <v>5.1290499999999996E-3</v>
      </c>
      <c r="L331">
        <v>1.15161E-3</v>
      </c>
      <c r="M331">
        <v>5.0517699999999999E-4</v>
      </c>
      <c r="N331">
        <v>9.9580400000000009E-4</v>
      </c>
      <c r="O331">
        <v>4.4961799999999999E-4</v>
      </c>
      <c r="P331">
        <v>7.7565000000000002E-4</v>
      </c>
    </row>
    <row r="332" spans="1:26" x14ac:dyDescent="0.15">
      <c r="A332">
        <v>1972</v>
      </c>
      <c r="B332">
        <v>4.8963499999999998E-3</v>
      </c>
      <c r="C332">
        <v>9.7903799999999999E-2</v>
      </c>
      <c r="D332">
        <v>0.343829</v>
      </c>
      <c r="E332">
        <v>0.27652100000000002</v>
      </c>
      <c r="F332">
        <v>0.12869</v>
      </c>
      <c r="G332">
        <v>8.1006499999999995E-2</v>
      </c>
      <c r="H332">
        <v>2.91422E-2</v>
      </c>
      <c r="I332">
        <v>2.5352E-2</v>
      </c>
      <c r="J332">
        <v>4.7089699999999998E-3</v>
      </c>
      <c r="K332">
        <v>3.7666000000000002E-3</v>
      </c>
      <c r="L332">
        <v>2.38236E-3</v>
      </c>
      <c r="M332">
        <v>5.3490299999999998E-4</v>
      </c>
      <c r="N332">
        <v>2.34646E-4</v>
      </c>
      <c r="O332">
        <v>4.6253400000000001E-4</v>
      </c>
      <c r="P332">
        <v>5.6911600000000004E-4</v>
      </c>
    </row>
    <row r="333" spans="1:26" x14ac:dyDescent="0.15">
      <c r="A333">
        <v>1973</v>
      </c>
      <c r="B333">
        <v>1.20946E-2</v>
      </c>
      <c r="C333">
        <v>0.102146</v>
      </c>
      <c r="D333">
        <v>0.268202</v>
      </c>
      <c r="E333">
        <v>0.29531000000000002</v>
      </c>
      <c r="F333">
        <v>0.168873</v>
      </c>
      <c r="G333">
        <v>7.1083199999999999E-2</v>
      </c>
      <c r="H333">
        <v>4.5614099999999998E-2</v>
      </c>
      <c r="I333">
        <v>1.6760500000000001E-2</v>
      </c>
      <c r="J333">
        <v>1.3493399999999999E-2</v>
      </c>
      <c r="K333">
        <v>2.49117E-3</v>
      </c>
      <c r="L333">
        <v>1.8626199999999999E-3</v>
      </c>
      <c r="M333">
        <v>1.1780899999999999E-3</v>
      </c>
      <c r="N333">
        <v>2.6451399999999998E-4</v>
      </c>
      <c r="O333">
        <v>1.1603399999999999E-4</v>
      </c>
      <c r="P333">
        <v>5.1015900000000005E-4</v>
      </c>
    </row>
    <row r="334" spans="1:26" x14ac:dyDescent="0.15">
      <c r="A334">
        <v>1974</v>
      </c>
      <c r="B334">
        <v>9.6092499999999997E-3</v>
      </c>
      <c r="C334">
        <v>0.246202</v>
      </c>
      <c r="D334">
        <v>0.249691</v>
      </c>
      <c r="E334">
        <v>0.19090499999999999</v>
      </c>
      <c r="F334">
        <v>0.15381800000000001</v>
      </c>
      <c r="G334">
        <v>7.8487000000000001E-2</v>
      </c>
      <c r="H334">
        <v>3.3482499999999998E-2</v>
      </c>
      <c r="I334">
        <v>2.1956099999999999E-2</v>
      </c>
      <c r="J334">
        <v>7.41919E-3</v>
      </c>
      <c r="K334">
        <v>5.77759E-3</v>
      </c>
      <c r="L334">
        <v>1.0286500000000001E-3</v>
      </c>
      <c r="M334">
        <v>7.6910900000000003E-4</v>
      </c>
      <c r="N334">
        <v>4.8645699999999998E-4</v>
      </c>
      <c r="O334">
        <v>1.0922299999999999E-4</v>
      </c>
      <c r="P334">
        <v>2.5856700000000002E-4</v>
      </c>
    </row>
    <row r="335" spans="1:26" x14ac:dyDescent="0.15">
      <c r="A335">
        <v>1975</v>
      </c>
      <c r="B335">
        <v>7.3807300000000003E-3</v>
      </c>
      <c r="C335">
        <v>0.161553</v>
      </c>
      <c r="D335">
        <v>0.499753</v>
      </c>
      <c r="E335">
        <v>0.13750100000000001</v>
      </c>
      <c r="F335">
        <v>8.0319600000000005E-2</v>
      </c>
      <c r="G335">
        <v>5.7440199999999997E-2</v>
      </c>
      <c r="H335">
        <v>2.9806699999999998E-2</v>
      </c>
      <c r="I335">
        <v>1.29935E-2</v>
      </c>
      <c r="J335">
        <v>7.8273800000000001E-3</v>
      </c>
      <c r="K335">
        <v>2.52775E-3</v>
      </c>
      <c r="L335">
        <v>1.9849999999999998E-3</v>
      </c>
      <c r="M335">
        <v>3.53412E-4</v>
      </c>
      <c r="N335">
        <v>2.6424199999999998E-4</v>
      </c>
      <c r="O335">
        <v>1.6713200000000001E-4</v>
      </c>
      <c r="P335">
        <v>1.2636099999999999E-4</v>
      </c>
    </row>
    <row r="336" spans="1:26" x14ac:dyDescent="0.15">
      <c r="A336">
        <v>1976</v>
      </c>
      <c r="B336">
        <v>5.5745200000000003E-3</v>
      </c>
      <c r="C336">
        <v>0.14057500000000001</v>
      </c>
      <c r="D336">
        <v>0.380214</v>
      </c>
      <c r="E336">
        <v>0.31627100000000002</v>
      </c>
      <c r="F336">
        <v>6.9591700000000006E-2</v>
      </c>
      <c r="G336">
        <v>3.6215299999999999E-2</v>
      </c>
      <c r="H336">
        <v>2.6314299999999999E-2</v>
      </c>
      <c r="I336">
        <v>1.40121E-2</v>
      </c>
      <c r="J336">
        <v>5.6920199999999999E-3</v>
      </c>
      <c r="K336">
        <v>3.2500599999999999E-3</v>
      </c>
      <c r="L336">
        <v>1.0673600000000001E-3</v>
      </c>
      <c r="M336">
        <v>8.3818200000000003E-4</v>
      </c>
      <c r="N336">
        <v>1.4923099999999999E-4</v>
      </c>
      <c r="O336">
        <v>1.1157799999999999E-4</v>
      </c>
      <c r="P336">
        <v>1.2392999999999999E-4</v>
      </c>
    </row>
    <row r="337" spans="1:16" x14ac:dyDescent="0.15">
      <c r="A337">
        <v>1977</v>
      </c>
      <c r="B337">
        <v>6.0965400000000001E-3</v>
      </c>
      <c r="C337">
        <v>0.112522</v>
      </c>
      <c r="D337">
        <v>0.34993400000000002</v>
      </c>
      <c r="E337">
        <v>0.27245599999999998</v>
      </c>
      <c r="F337">
        <v>0.17913100000000001</v>
      </c>
      <c r="G337">
        <v>3.5011599999999997E-2</v>
      </c>
      <c r="H337">
        <v>1.85448E-2</v>
      </c>
      <c r="I337">
        <v>1.3906200000000001E-2</v>
      </c>
      <c r="J337">
        <v>7.0425000000000001E-3</v>
      </c>
      <c r="K337">
        <v>2.6919999999999999E-3</v>
      </c>
      <c r="L337">
        <v>1.56233E-3</v>
      </c>
      <c r="M337">
        <v>5.1308899999999999E-4</v>
      </c>
      <c r="N337">
        <v>4.0292000000000003E-4</v>
      </c>
      <c r="O337" s="1">
        <v>7.1736599999999993E-5</v>
      </c>
      <c r="P337">
        <v>1.1321E-4</v>
      </c>
    </row>
    <row r="338" spans="1:16" x14ac:dyDescent="0.15">
      <c r="A338">
        <v>1978</v>
      </c>
      <c r="B338">
        <v>1.0397999999999999E-2</v>
      </c>
      <c r="C338">
        <v>0.123501</v>
      </c>
      <c r="D338">
        <v>0.28297899999999998</v>
      </c>
      <c r="E338">
        <v>0.27533800000000003</v>
      </c>
      <c r="F338">
        <v>0.17039099999999999</v>
      </c>
      <c r="G338">
        <v>9.4391500000000003E-2</v>
      </c>
      <c r="H338">
        <v>1.8867499999999999E-2</v>
      </c>
      <c r="I338">
        <v>1.03309E-2</v>
      </c>
      <c r="J338">
        <v>7.5330500000000003E-3</v>
      </c>
      <c r="K338">
        <v>3.55244E-3</v>
      </c>
      <c r="L338">
        <v>1.36673E-3</v>
      </c>
      <c r="M338">
        <v>7.9319799999999995E-4</v>
      </c>
      <c r="N338">
        <v>2.6049599999999998E-4</v>
      </c>
      <c r="O338">
        <v>2.04563E-4</v>
      </c>
      <c r="P338" s="1">
        <v>9.3897899999999994E-5</v>
      </c>
    </row>
    <row r="339" spans="1:16" x14ac:dyDescent="0.15">
      <c r="A339">
        <v>1979</v>
      </c>
      <c r="B339">
        <v>2.06064E-2</v>
      </c>
      <c r="C339">
        <v>0.176402</v>
      </c>
      <c r="D339">
        <v>0.27545900000000001</v>
      </c>
      <c r="E339">
        <v>0.212588</v>
      </c>
      <c r="F339">
        <v>0.16453499999999999</v>
      </c>
      <c r="G339">
        <v>8.35254E-2</v>
      </c>
      <c r="H339">
        <v>4.60128E-2</v>
      </c>
      <c r="I339">
        <v>9.4549400000000002E-3</v>
      </c>
      <c r="J339">
        <v>5.12051E-3</v>
      </c>
      <c r="K339">
        <v>3.44189E-3</v>
      </c>
      <c r="L339">
        <v>1.61666E-3</v>
      </c>
      <c r="M339">
        <v>6.2197800000000003E-4</v>
      </c>
      <c r="N339">
        <v>3.6097199999999999E-4</v>
      </c>
      <c r="O339">
        <v>1.18548E-4</v>
      </c>
      <c r="P339">
        <v>1.3582500000000001E-4</v>
      </c>
    </row>
    <row r="340" spans="1:16" x14ac:dyDescent="0.15">
      <c r="A340">
        <v>1980</v>
      </c>
      <c r="B340">
        <v>5.3189200000000004E-3</v>
      </c>
      <c r="C340">
        <v>0.24740200000000001</v>
      </c>
      <c r="D340">
        <v>0.32155299999999998</v>
      </c>
      <c r="E340">
        <v>0.19019900000000001</v>
      </c>
      <c r="F340">
        <v>0.10928300000000001</v>
      </c>
      <c r="G340">
        <v>6.6830899999999999E-2</v>
      </c>
      <c r="H340">
        <v>3.2587400000000002E-2</v>
      </c>
      <c r="I340">
        <v>1.87003E-2</v>
      </c>
      <c r="J340">
        <v>3.86215E-3</v>
      </c>
      <c r="K340">
        <v>1.9340200000000001E-3</v>
      </c>
      <c r="L340">
        <v>1.2742000000000001E-3</v>
      </c>
      <c r="M340">
        <v>5.9849399999999998E-4</v>
      </c>
      <c r="N340">
        <v>2.3025899999999999E-4</v>
      </c>
      <c r="O340">
        <v>1.33633E-4</v>
      </c>
      <c r="P340" s="1">
        <v>9.4169899999999994E-5</v>
      </c>
    </row>
    <row r="341" spans="1:16" x14ac:dyDescent="0.15">
      <c r="A341">
        <v>1981</v>
      </c>
      <c r="B341">
        <v>3.7716799999999999E-3</v>
      </c>
      <c r="C341">
        <v>6.0823500000000003E-2</v>
      </c>
      <c r="D341">
        <v>0.468831</v>
      </c>
      <c r="E341">
        <v>0.26331900000000003</v>
      </c>
      <c r="F341">
        <v>0.10453999999999999</v>
      </c>
      <c r="G341">
        <v>4.6502599999999998E-2</v>
      </c>
      <c r="H341">
        <v>2.70415E-2</v>
      </c>
      <c r="I341">
        <v>1.3742000000000001E-2</v>
      </c>
      <c r="J341">
        <v>8.17617E-3</v>
      </c>
      <c r="K341">
        <v>1.5809800000000001E-3</v>
      </c>
      <c r="L341">
        <v>7.5761600000000002E-4</v>
      </c>
      <c r="M341">
        <v>4.9914200000000005E-4</v>
      </c>
      <c r="N341">
        <v>2.34448E-4</v>
      </c>
      <c r="O341" s="1">
        <v>9.0199300000000002E-5</v>
      </c>
      <c r="P341" s="1">
        <v>8.9237299999999993E-5</v>
      </c>
    </row>
    <row r="342" spans="1:16" x14ac:dyDescent="0.15">
      <c r="A342">
        <v>1982</v>
      </c>
      <c r="B342">
        <v>1.46491E-3</v>
      </c>
      <c r="C342">
        <v>4.96056E-2</v>
      </c>
      <c r="D342">
        <v>0.13383600000000001</v>
      </c>
      <c r="E342">
        <v>0.52662600000000004</v>
      </c>
      <c r="F342">
        <v>0.18231700000000001</v>
      </c>
      <c r="G342">
        <v>5.5169799999999998E-2</v>
      </c>
      <c r="H342">
        <v>2.3439999999999999E-2</v>
      </c>
      <c r="I342">
        <v>1.40839E-2</v>
      </c>
      <c r="J342">
        <v>7.5679700000000003E-3</v>
      </c>
      <c r="K342">
        <v>4.2865400000000001E-3</v>
      </c>
      <c r="L342">
        <v>7.7899000000000002E-4</v>
      </c>
      <c r="M342">
        <v>3.7329699999999997E-4</v>
      </c>
      <c r="N342">
        <v>2.4593999999999999E-4</v>
      </c>
      <c r="O342">
        <v>1.15519E-4</v>
      </c>
      <c r="P342" s="1">
        <v>8.8413100000000002E-5</v>
      </c>
    </row>
    <row r="343" spans="1:16" x14ac:dyDescent="0.15">
      <c r="A343">
        <v>1983</v>
      </c>
      <c r="B343">
        <v>3.7708199999999998E-3</v>
      </c>
      <c r="C343">
        <v>2.3564700000000001E-2</v>
      </c>
      <c r="D343">
        <v>0.13227</v>
      </c>
      <c r="E343">
        <v>0.19564799999999999</v>
      </c>
      <c r="F343">
        <v>0.457154</v>
      </c>
      <c r="G343">
        <v>0.120254</v>
      </c>
      <c r="H343">
        <v>3.4298799999999997E-2</v>
      </c>
      <c r="I343">
        <v>1.4892799999999999E-2</v>
      </c>
      <c r="J343">
        <v>9.6096700000000007E-3</v>
      </c>
      <c r="K343">
        <v>4.9578799999999996E-3</v>
      </c>
      <c r="L343">
        <v>2.60502E-3</v>
      </c>
      <c r="M343">
        <v>4.7340799999999998E-4</v>
      </c>
      <c r="N343">
        <v>2.2686000000000001E-4</v>
      </c>
      <c r="O343">
        <v>1.4946299999999999E-4</v>
      </c>
      <c r="P343">
        <v>1.23934E-4</v>
      </c>
    </row>
    <row r="344" spans="1:16" x14ac:dyDescent="0.15">
      <c r="A344">
        <v>1984</v>
      </c>
      <c r="B344">
        <v>8.6684800000000003E-4</v>
      </c>
      <c r="C344">
        <v>6.3785300000000003E-2</v>
      </c>
      <c r="D344">
        <v>6.8300200000000005E-2</v>
      </c>
      <c r="E344">
        <v>0.212251</v>
      </c>
      <c r="F344">
        <v>0.19450000000000001</v>
      </c>
      <c r="G344">
        <v>0.33447399999999999</v>
      </c>
      <c r="H344">
        <v>7.9826599999999998E-2</v>
      </c>
      <c r="I344">
        <v>2.2974499999999998E-2</v>
      </c>
      <c r="J344">
        <v>1.08678E-2</v>
      </c>
      <c r="K344">
        <v>6.6887800000000001E-3</v>
      </c>
      <c r="L344">
        <v>3.1740200000000001E-3</v>
      </c>
      <c r="M344">
        <v>1.6677300000000001E-3</v>
      </c>
      <c r="N344">
        <v>3.0307499999999998E-4</v>
      </c>
      <c r="O344">
        <v>1.4523499999999999E-4</v>
      </c>
      <c r="P344">
        <v>1.7502800000000001E-4</v>
      </c>
    </row>
    <row r="345" spans="1:16" x14ac:dyDescent="0.15">
      <c r="A345">
        <v>1985</v>
      </c>
      <c r="B345">
        <v>2.0029800000000001E-3</v>
      </c>
      <c r="C345">
        <v>1.52823E-2</v>
      </c>
      <c r="D345">
        <v>0.20385300000000001</v>
      </c>
      <c r="E345">
        <v>0.109412</v>
      </c>
      <c r="F345">
        <v>0.211308</v>
      </c>
      <c r="G345">
        <v>0.14795800000000001</v>
      </c>
      <c r="H345">
        <v>0.225161</v>
      </c>
      <c r="I345">
        <v>5.2994800000000002E-2</v>
      </c>
      <c r="J345">
        <v>1.6804300000000001E-2</v>
      </c>
      <c r="K345">
        <v>7.4879999999999999E-3</v>
      </c>
      <c r="L345">
        <v>4.2572900000000004E-3</v>
      </c>
      <c r="M345">
        <v>2.0202100000000001E-3</v>
      </c>
      <c r="N345">
        <v>1.0614800000000001E-3</v>
      </c>
      <c r="O345">
        <v>1.9290099999999999E-4</v>
      </c>
      <c r="P345">
        <v>2.0384099999999999E-4</v>
      </c>
    </row>
    <row r="346" spans="1:16" x14ac:dyDescent="0.15">
      <c r="A346">
        <v>1986</v>
      </c>
      <c r="B346">
        <v>7.50419E-4</v>
      </c>
      <c r="C346">
        <v>3.5785499999999998E-2</v>
      </c>
      <c r="D346">
        <v>5.1226599999999997E-2</v>
      </c>
      <c r="E346">
        <v>0.32896799999999998</v>
      </c>
      <c r="F346">
        <v>0.11060499999999999</v>
      </c>
      <c r="G346">
        <v>0.170318</v>
      </c>
      <c r="H346">
        <v>9.9554199999999995E-2</v>
      </c>
      <c r="I346">
        <v>0.143925</v>
      </c>
      <c r="J346">
        <v>3.8276600000000001E-2</v>
      </c>
      <c r="K346">
        <v>1.11471E-2</v>
      </c>
      <c r="L346">
        <v>4.6448000000000001E-3</v>
      </c>
      <c r="M346">
        <v>2.6407900000000001E-3</v>
      </c>
      <c r="N346">
        <v>1.2531300000000001E-3</v>
      </c>
      <c r="O346">
        <v>6.5843300000000004E-4</v>
      </c>
      <c r="P346">
        <v>2.46099E-4</v>
      </c>
    </row>
    <row r="347" spans="1:16" x14ac:dyDescent="0.15">
      <c r="A347">
        <v>1987</v>
      </c>
      <c r="B347">
        <v>3.9852000000000003E-4</v>
      </c>
      <c r="C347">
        <v>1.3838700000000001E-2</v>
      </c>
      <c r="D347">
        <v>0.13183500000000001</v>
      </c>
      <c r="E347">
        <v>8.23406E-2</v>
      </c>
      <c r="F347">
        <v>0.33835500000000002</v>
      </c>
      <c r="G347">
        <v>9.4318600000000002E-2</v>
      </c>
      <c r="H347">
        <v>0.122685</v>
      </c>
      <c r="I347">
        <v>6.6398399999999996E-2</v>
      </c>
      <c r="J347">
        <v>0.11034099999999999</v>
      </c>
      <c r="K347">
        <v>2.5957000000000001E-2</v>
      </c>
      <c r="L347">
        <v>7.3257900000000004E-3</v>
      </c>
      <c r="M347">
        <v>3.05252E-3</v>
      </c>
      <c r="N347">
        <v>1.7355000000000001E-3</v>
      </c>
      <c r="O347">
        <v>8.2354599999999998E-4</v>
      </c>
      <c r="P347">
        <v>5.9444999999999995E-4</v>
      </c>
    </row>
    <row r="348" spans="1:16" x14ac:dyDescent="0.15">
      <c r="A348">
        <v>1988</v>
      </c>
      <c r="B348">
        <v>2.7969099999999999E-4</v>
      </c>
      <c r="C348">
        <v>7.8824399999999992E-3</v>
      </c>
      <c r="D348">
        <v>6.1049800000000001E-2</v>
      </c>
      <c r="E348">
        <v>0.22006200000000001</v>
      </c>
      <c r="F348">
        <v>9.4043500000000002E-2</v>
      </c>
      <c r="G348">
        <v>0.30404199999999998</v>
      </c>
      <c r="H348">
        <v>7.7459600000000003E-2</v>
      </c>
      <c r="I348">
        <v>8.6430999999999994E-2</v>
      </c>
      <c r="J348">
        <v>4.9881700000000001E-2</v>
      </c>
      <c r="K348">
        <v>7.2971599999999998E-2</v>
      </c>
      <c r="L348">
        <v>1.7022599999999999E-2</v>
      </c>
      <c r="M348">
        <v>4.8042400000000004E-3</v>
      </c>
      <c r="N348">
        <v>2.00184E-3</v>
      </c>
      <c r="O348">
        <v>1.1381399999999999E-3</v>
      </c>
      <c r="P348">
        <v>9.2991999999999999E-4</v>
      </c>
    </row>
    <row r="349" spans="1:16" x14ac:dyDescent="0.15">
      <c r="A349">
        <v>1989</v>
      </c>
      <c r="B349">
        <v>5.9166199999999996E-4</v>
      </c>
      <c r="C349">
        <v>5.9577700000000003E-3</v>
      </c>
      <c r="D349">
        <v>3.5890100000000001E-2</v>
      </c>
      <c r="E349">
        <v>0.10381700000000001</v>
      </c>
      <c r="F349">
        <v>0.26489600000000002</v>
      </c>
      <c r="G349">
        <v>8.8097200000000001E-2</v>
      </c>
      <c r="H349">
        <v>0.27680199999999999</v>
      </c>
      <c r="I349">
        <v>5.5168399999999999E-2</v>
      </c>
      <c r="J349">
        <v>6.4378699999999997E-2</v>
      </c>
      <c r="K349">
        <v>3.4386199999999999E-2</v>
      </c>
      <c r="L349">
        <v>5.1675899999999997E-2</v>
      </c>
      <c r="M349">
        <v>1.2054799999999999E-2</v>
      </c>
      <c r="N349">
        <v>3.4022000000000002E-3</v>
      </c>
      <c r="O349">
        <v>1.41763E-3</v>
      </c>
      <c r="P349">
        <v>1.4645299999999999E-3</v>
      </c>
    </row>
    <row r="350" spans="1:16" x14ac:dyDescent="0.15">
      <c r="A350">
        <v>1990</v>
      </c>
      <c r="B350">
        <v>3.2580899999999999E-3</v>
      </c>
      <c r="C350">
        <v>1.45021E-2</v>
      </c>
      <c r="D350">
        <v>2.9715800000000001E-2</v>
      </c>
      <c r="E350">
        <v>7.5509800000000002E-2</v>
      </c>
      <c r="F350">
        <v>0.136409</v>
      </c>
      <c r="G350">
        <v>0.277397</v>
      </c>
      <c r="H350">
        <v>8.5806499999999994E-2</v>
      </c>
      <c r="I350">
        <v>0.20630299999999999</v>
      </c>
      <c r="J350">
        <v>4.2799200000000003E-2</v>
      </c>
      <c r="K350">
        <v>4.8616600000000003E-2</v>
      </c>
      <c r="L350">
        <v>2.6244900000000002E-2</v>
      </c>
      <c r="M350">
        <v>3.9440999999999997E-2</v>
      </c>
      <c r="N350">
        <v>9.2006699999999993E-3</v>
      </c>
      <c r="O350">
        <v>2.59669E-3</v>
      </c>
      <c r="P350">
        <v>2.1997700000000002E-3</v>
      </c>
    </row>
    <row r="351" spans="1:16" x14ac:dyDescent="0.15">
      <c r="A351">
        <v>1991</v>
      </c>
      <c r="B351">
        <v>1.89032E-3</v>
      </c>
      <c r="C351">
        <v>7.6544200000000007E-2</v>
      </c>
      <c r="D351">
        <v>6.5976999999999994E-2</v>
      </c>
      <c r="E351">
        <v>6.1578300000000002E-2</v>
      </c>
      <c r="F351">
        <v>8.7623800000000002E-2</v>
      </c>
      <c r="G351">
        <v>0.12989700000000001</v>
      </c>
      <c r="H351">
        <v>0.25082399999999999</v>
      </c>
      <c r="I351">
        <v>5.6122199999999997E-2</v>
      </c>
      <c r="J351">
        <v>0.14460999999999999</v>
      </c>
      <c r="K351">
        <v>3.0309099999999999E-2</v>
      </c>
      <c r="L351">
        <v>3.5856199999999998E-2</v>
      </c>
      <c r="M351">
        <v>1.93563E-2</v>
      </c>
      <c r="N351">
        <v>2.9088900000000001E-2</v>
      </c>
      <c r="O351">
        <v>6.7857600000000001E-3</v>
      </c>
      <c r="P351">
        <v>3.5375300000000001E-3</v>
      </c>
    </row>
    <row r="352" spans="1:16" x14ac:dyDescent="0.15">
      <c r="A352">
        <v>1992</v>
      </c>
      <c r="B352">
        <v>1.4802699999999999E-3</v>
      </c>
      <c r="C352">
        <v>3.7543399999999998E-2</v>
      </c>
      <c r="D352">
        <v>0.319664</v>
      </c>
      <c r="E352">
        <v>0.11940099999999999</v>
      </c>
      <c r="F352">
        <v>5.6747400000000003E-2</v>
      </c>
      <c r="G352">
        <v>7.1698100000000001E-2</v>
      </c>
      <c r="H352">
        <v>9.2170299999999997E-2</v>
      </c>
      <c r="I352">
        <v>0.128465</v>
      </c>
      <c r="J352">
        <v>3.1657900000000003E-2</v>
      </c>
      <c r="K352">
        <v>7.5981800000000002E-2</v>
      </c>
      <c r="L352">
        <v>1.58154E-2</v>
      </c>
      <c r="M352">
        <v>1.8709900000000002E-2</v>
      </c>
      <c r="N352">
        <v>1.01002E-2</v>
      </c>
      <c r="O352">
        <v>1.51787E-2</v>
      </c>
      <c r="P352">
        <v>5.3867300000000002E-3</v>
      </c>
    </row>
    <row r="353" spans="1:16" x14ac:dyDescent="0.15">
      <c r="A353">
        <v>1993</v>
      </c>
      <c r="B353">
        <v>2.2812100000000001E-3</v>
      </c>
      <c r="C353">
        <v>2.2258E-2</v>
      </c>
      <c r="D353">
        <v>0.1197</v>
      </c>
      <c r="E353">
        <v>0.53052900000000003</v>
      </c>
      <c r="F353">
        <v>8.9841299999999999E-2</v>
      </c>
      <c r="G353">
        <v>4.1996400000000003E-2</v>
      </c>
      <c r="H353">
        <v>4.0111599999999997E-2</v>
      </c>
      <c r="I353">
        <v>3.6926300000000002E-2</v>
      </c>
      <c r="J353">
        <v>5.1271600000000001E-2</v>
      </c>
      <c r="K353">
        <v>1.1870800000000001E-2</v>
      </c>
      <c r="L353">
        <v>2.86409E-2</v>
      </c>
      <c r="M353">
        <v>5.9615199999999997E-3</v>
      </c>
      <c r="N353">
        <v>7.0525900000000001E-3</v>
      </c>
      <c r="O353">
        <v>3.80722E-3</v>
      </c>
      <c r="P353">
        <v>7.7520200000000001E-3</v>
      </c>
    </row>
    <row r="354" spans="1:16" x14ac:dyDescent="0.15">
      <c r="A354">
        <v>1994</v>
      </c>
      <c r="B354">
        <v>6.1000799999999999E-4</v>
      </c>
      <c r="C354">
        <v>4.1021200000000001E-2</v>
      </c>
      <c r="D354">
        <v>7.3242000000000002E-2</v>
      </c>
      <c r="E354">
        <v>0.193886</v>
      </c>
      <c r="F354">
        <v>0.48080800000000001</v>
      </c>
      <c r="G354">
        <v>8.7578400000000001E-2</v>
      </c>
      <c r="H354">
        <v>2.8348700000000001E-2</v>
      </c>
      <c r="I354">
        <v>1.9920400000000001E-2</v>
      </c>
      <c r="J354">
        <v>1.7972800000000001E-2</v>
      </c>
      <c r="K354">
        <v>2.3978599999999999E-2</v>
      </c>
      <c r="L354">
        <v>5.9519799999999999E-3</v>
      </c>
      <c r="M354">
        <v>1.4360400000000001E-2</v>
      </c>
      <c r="N354">
        <v>2.9890799999999999E-3</v>
      </c>
      <c r="O354">
        <v>3.5361400000000001E-3</v>
      </c>
      <c r="P354">
        <v>5.7957499999999997E-3</v>
      </c>
    </row>
    <row r="355" spans="1:16" x14ac:dyDescent="0.15">
      <c r="A355">
        <v>1995</v>
      </c>
      <c r="B355">
        <v>3.40711E-4</v>
      </c>
      <c r="C355">
        <v>1.1557700000000001E-2</v>
      </c>
      <c r="D355">
        <v>0.11795799999999999</v>
      </c>
      <c r="E355">
        <v>0.106805</v>
      </c>
      <c r="F355">
        <v>0.21068000000000001</v>
      </c>
      <c r="G355">
        <v>0.43447200000000002</v>
      </c>
      <c r="H355">
        <v>5.6720899999999998E-2</v>
      </c>
      <c r="I355">
        <v>1.43301E-2</v>
      </c>
      <c r="J355">
        <v>9.6405299999999996E-3</v>
      </c>
      <c r="K355">
        <v>8.5657200000000006E-3</v>
      </c>
      <c r="L355">
        <v>1.2252799999999999E-2</v>
      </c>
      <c r="M355">
        <v>3.0413900000000002E-3</v>
      </c>
      <c r="N355">
        <v>7.3379999999999999E-3</v>
      </c>
      <c r="O355">
        <v>1.5273800000000001E-3</v>
      </c>
      <c r="P355">
        <v>4.7684800000000003E-3</v>
      </c>
    </row>
    <row r="356" spans="1:16" x14ac:dyDescent="0.15">
      <c r="A356">
        <v>1996</v>
      </c>
      <c r="B356">
        <v>7.4343599999999999E-4</v>
      </c>
      <c r="C356">
        <v>8.5793499999999995E-3</v>
      </c>
      <c r="D356">
        <v>4.1082399999999998E-2</v>
      </c>
      <c r="E356">
        <v>0.17973700000000001</v>
      </c>
      <c r="F356">
        <v>0.152866</v>
      </c>
      <c r="G356">
        <v>0.24268000000000001</v>
      </c>
      <c r="H356">
        <v>0.30199399999999998</v>
      </c>
      <c r="I356">
        <v>3.5568599999999999E-2</v>
      </c>
      <c r="J356">
        <v>8.2179499999999999E-3</v>
      </c>
      <c r="K356">
        <v>5.5344000000000001E-3</v>
      </c>
      <c r="L356">
        <v>5.2540299999999998E-3</v>
      </c>
      <c r="M356">
        <v>7.51558E-3</v>
      </c>
      <c r="N356">
        <v>1.8655200000000001E-3</v>
      </c>
      <c r="O356">
        <v>4.50097E-3</v>
      </c>
      <c r="P356">
        <v>3.8617500000000002E-3</v>
      </c>
    </row>
    <row r="357" spans="1:16" x14ac:dyDescent="0.15">
      <c r="A357">
        <v>1997</v>
      </c>
      <c r="B357">
        <v>1.0265300000000001E-3</v>
      </c>
      <c r="C357">
        <v>2.0974400000000001E-2</v>
      </c>
      <c r="D357">
        <v>3.1687899999999998E-2</v>
      </c>
      <c r="E357">
        <v>6.8311499999999997E-2</v>
      </c>
      <c r="F357">
        <v>0.31489099999999998</v>
      </c>
      <c r="G357">
        <v>0.197274</v>
      </c>
      <c r="H357">
        <v>0.170182</v>
      </c>
      <c r="I357">
        <v>0.155252</v>
      </c>
      <c r="J357">
        <v>1.86797E-2</v>
      </c>
      <c r="K357">
        <v>4.5533500000000003E-3</v>
      </c>
      <c r="L357">
        <v>3.33008E-3</v>
      </c>
      <c r="M357">
        <v>3.1613800000000001E-3</v>
      </c>
      <c r="N357">
        <v>4.5221699999999998E-3</v>
      </c>
      <c r="O357">
        <v>1.1225E-3</v>
      </c>
      <c r="P357">
        <v>5.0318899999999998E-3</v>
      </c>
    </row>
    <row r="358" spans="1:16" x14ac:dyDescent="0.15">
      <c r="A358">
        <v>1998</v>
      </c>
      <c r="B358">
        <v>4.4169899999999999E-4</v>
      </c>
      <c r="C358">
        <v>2.60301E-2</v>
      </c>
      <c r="D358">
        <v>8.0108299999999993E-2</v>
      </c>
      <c r="E358">
        <v>5.3019700000000003E-2</v>
      </c>
      <c r="F358">
        <v>0.10310900000000001</v>
      </c>
      <c r="G358">
        <v>0.40769</v>
      </c>
      <c r="H358">
        <v>0.13878299999999999</v>
      </c>
      <c r="I358">
        <v>9.0093599999999996E-2</v>
      </c>
      <c r="J358">
        <v>7.94797E-2</v>
      </c>
      <c r="K358">
        <v>9.3622900000000005E-3</v>
      </c>
      <c r="L358">
        <v>2.4909899999999998E-3</v>
      </c>
      <c r="M358">
        <v>1.8217800000000001E-3</v>
      </c>
      <c r="N358">
        <v>1.72948E-3</v>
      </c>
      <c r="O358">
        <v>2.4739300000000001E-3</v>
      </c>
      <c r="P358">
        <v>3.3668600000000002E-3</v>
      </c>
    </row>
    <row r="359" spans="1:16" x14ac:dyDescent="0.15">
      <c r="A359">
        <v>1999</v>
      </c>
      <c r="B359">
        <v>4.6412899999999997E-4</v>
      </c>
      <c r="C359">
        <v>1.07773E-2</v>
      </c>
      <c r="D359">
        <v>0.14866299999999999</v>
      </c>
      <c r="E359">
        <v>0.14867900000000001</v>
      </c>
      <c r="F359">
        <v>7.8650600000000001E-2</v>
      </c>
      <c r="G359">
        <v>0.117552</v>
      </c>
      <c r="H359">
        <v>0.31050100000000003</v>
      </c>
      <c r="I359">
        <v>8.6414299999999999E-2</v>
      </c>
      <c r="J359">
        <v>4.7458E-2</v>
      </c>
      <c r="K359">
        <v>3.9378000000000003E-2</v>
      </c>
      <c r="L359">
        <v>5.0509600000000002E-3</v>
      </c>
      <c r="M359">
        <v>1.3438899999999999E-3</v>
      </c>
      <c r="N359">
        <v>9.8284900000000005E-4</v>
      </c>
      <c r="O359">
        <v>9.3305799999999996E-4</v>
      </c>
      <c r="P359">
        <v>3.1511099999999999E-3</v>
      </c>
    </row>
    <row r="360" spans="1:16" x14ac:dyDescent="0.15">
      <c r="A360">
        <v>2000</v>
      </c>
      <c r="B360">
        <v>6.8346900000000003E-4</v>
      </c>
      <c r="C360">
        <v>1.05433E-2</v>
      </c>
      <c r="D360">
        <v>5.6627700000000003E-2</v>
      </c>
      <c r="E360">
        <v>0.242897</v>
      </c>
      <c r="F360">
        <v>0.20948800000000001</v>
      </c>
      <c r="G360">
        <v>8.2286300000000007E-2</v>
      </c>
      <c r="H360">
        <v>9.9062399999999995E-2</v>
      </c>
      <c r="I360">
        <v>0.197379</v>
      </c>
      <c r="J360">
        <v>4.6304999999999999E-2</v>
      </c>
      <c r="K360">
        <v>2.4765499999999999E-2</v>
      </c>
      <c r="L360">
        <v>2.3207599999999998E-2</v>
      </c>
      <c r="M360">
        <v>2.9768099999999999E-3</v>
      </c>
      <c r="N360">
        <v>7.9202899999999998E-4</v>
      </c>
      <c r="O360">
        <v>5.7924799999999998E-4</v>
      </c>
      <c r="P360">
        <v>2.4070300000000001E-3</v>
      </c>
    </row>
    <row r="361" spans="1:16" x14ac:dyDescent="0.15">
      <c r="A361">
        <v>2001</v>
      </c>
      <c r="B361">
        <v>9.3572000000000002E-4</v>
      </c>
      <c r="C361">
        <v>1.4635799999999999E-2</v>
      </c>
      <c r="D361">
        <v>5.3313100000000002E-2</v>
      </c>
      <c r="E361">
        <v>0.10546899999999999</v>
      </c>
      <c r="F361">
        <v>0.329461</v>
      </c>
      <c r="G361">
        <v>0.21873200000000001</v>
      </c>
      <c r="H361">
        <v>6.6425799999999993E-2</v>
      </c>
      <c r="I361">
        <v>5.8440699999999998E-2</v>
      </c>
      <c r="J361">
        <v>9.5008800000000004E-2</v>
      </c>
      <c r="K361">
        <v>2.4349099999999999E-2</v>
      </c>
      <c r="L361">
        <v>1.50365E-2</v>
      </c>
      <c r="M361">
        <v>1.40906E-2</v>
      </c>
      <c r="N361">
        <v>1.8073900000000001E-3</v>
      </c>
      <c r="O361">
        <v>4.8088500000000001E-4</v>
      </c>
      <c r="P361">
        <v>1.81313E-3</v>
      </c>
    </row>
    <row r="362" spans="1:16" x14ac:dyDescent="0.15">
      <c r="A362">
        <v>2002</v>
      </c>
      <c r="B362">
        <v>5.9066000000000001E-4</v>
      </c>
      <c r="C362">
        <v>2.1077100000000001E-2</v>
      </c>
      <c r="D362">
        <v>8.3497199999999994E-2</v>
      </c>
      <c r="E362">
        <v>0.11858</v>
      </c>
      <c r="F362">
        <v>0.15554899999999999</v>
      </c>
      <c r="G362">
        <v>0.32692500000000002</v>
      </c>
      <c r="H362">
        <v>0.14160700000000001</v>
      </c>
      <c r="I362">
        <v>3.8295000000000003E-2</v>
      </c>
      <c r="J362">
        <v>3.0466799999999999E-2</v>
      </c>
      <c r="K362">
        <v>4.9685699999999999E-2</v>
      </c>
      <c r="L362">
        <v>1.4262499999999999E-2</v>
      </c>
      <c r="M362">
        <v>8.8076700000000001E-3</v>
      </c>
      <c r="N362">
        <v>8.2536099999999998E-3</v>
      </c>
      <c r="O362">
        <v>1.05868E-3</v>
      </c>
      <c r="P362">
        <v>1.3437200000000001E-3</v>
      </c>
    </row>
    <row r="363" spans="1:16" x14ac:dyDescent="0.15">
      <c r="A363">
        <v>2003</v>
      </c>
      <c r="B363">
        <v>3.52779E-4</v>
      </c>
      <c r="C363">
        <v>1.21355E-2</v>
      </c>
      <c r="D363">
        <v>0.14552399999999999</v>
      </c>
      <c r="E363">
        <v>0.19317999999999999</v>
      </c>
      <c r="F363">
        <v>0.17536499999999999</v>
      </c>
      <c r="G363">
        <v>0.14426</v>
      </c>
      <c r="H363">
        <v>0.17776700000000001</v>
      </c>
      <c r="I363">
        <v>7.2902300000000003E-2</v>
      </c>
      <c r="J363">
        <v>1.8305499999999999E-2</v>
      </c>
      <c r="K363">
        <v>1.4240900000000001E-2</v>
      </c>
      <c r="L363">
        <v>2.7381099999999998E-2</v>
      </c>
      <c r="M363">
        <v>7.8598999999999995E-3</v>
      </c>
      <c r="N363">
        <v>4.8537900000000002E-3</v>
      </c>
      <c r="O363">
        <v>4.5484599999999998E-3</v>
      </c>
      <c r="P363">
        <v>1.3239300000000001E-3</v>
      </c>
    </row>
    <row r="364" spans="1:16" x14ac:dyDescent="0.15">
      <c r="A364">
        <v>2004</v>
      </c>
      <c r="B364">
        <v>1.3494399999999999E-4</v>
      </c>
      <c r="C364">
        <v>6.0375100000000003E-3</v>
      </c>
      <c r="D364">
        <v>6.5851300000000001E-2</v>
      </c>
      <c r="E364">
        <v>0.33698400000000001</v>
      </c>
      <c r="F364">
        <v>0.245083</v>
      </c>
      <c r="G364">
        <v>0.12933900000000001</v>
      </c>
      <c r="H364">
        <v>7.0909700000000006E-2</v>
      </c>
      <c r="I364">
        <v>7.79006E-2</v>
      </c>
      <c r="J364">
        <v>3.00185E-2</v>
      </c>
      <c r="K364">
        <v>7.6028299999999997E-3</v>
      </c>
      <c r="L364">
        <v>7.1286800000000001E-3</v>
      </c>
      <c r="M364">
        <v>1.3706400000000001E-2</v>
      </c>
      <c r="N364">
        <v>3.9344799999999997E-3</v>
      </c>
      <c r="O364">
        <v>2.42969E-3</v>
      </c>
      <c r="P364">
        <v>2.9395799999999998E-3</v>
      </c>
    </row>
    <row r="365" spans="1:16" x14ac:dyDescent="0.15">
      <c r="A365">
        <v>2005</v>
      </c>
      <c r="B365" s="1">
        <v>8.58006E-5</v>
      </c>
      <c r="C365">
        <v>2.5193500000000001E-3</v>
      </c>
      <c r="D365">
        <v>3.69506E-2</v>
      </c>
      <c r="E365">
        <v>0.18402399999999999</v>
      </c>
      <c r="F365">
        <v>0.39325199999999999</v>
      </c>
      <c r="G365">
        <v>0.20612</v>
      </c>
      <c r="H365">
        <v>7.2035799999999997E-2</v>
      </c>
      <c r="I365">
        <v>3.3870499999999998E-2</v>
      </c>
      <c r="J365">
        <v>3.6287100000000003E-2</v>
      </c>
      <c r="K365">
        <v>1.4130200000000001E-2</v>
      </c>
      <c r="L365">
        <v>4.1747599999999996E-3</v>
      </c>
      <c r="M365">
        <v>3.9144000000000002E-3</v>
      </c>
      <c r="N365">
        <v>7.52624E-3</v>
      </c>
      <c r="O365">
        <v>2.16044E-3</v>
      </c>
      <c r="P365">
        <v>2.9483000000000001E-3</v>
      </c>
    </row>
    <row r="366" spans="1:16" x14ac:dyDescent="0.15">
      <c r="A366">
        <v>2006</v>
      </c>
      <c r="B366">
        <v>2.6251900000000001E-4</v>
      </c>
      <c r="C366">
        <v>2.0378800000000002E-3</v>
      </c>
      <c r="D366">
        <v>2.14716E-2</v>
      </c>
      <c r="E366">
        <v>0.13028999999999999</v>
      </c>
      <c r="F366">
        <v>0.279526</v>
      </c>
      <c r="G366">
        <v>0.32582800000000001</v>
      </c>
      <c r="H366">
        <v>0.12789400000000001</v>
      </c>
      <c r="I366">
        <v>4.4767099999999997E-2</v>
      </c>
      <c r="J366">
        <v>2.0934700000000001E-2</v>
      </c>
      <c r="K366">
        <v>2.23281E-2</v>
      </c>
      <c r="L366">
        <v>9.9978399999999992E-3</v>
      </c>
      <c r="M366">
        <v>2.9538500000000001E-3</v>
      </c>
      <c r="N366">
        <v>2.7696299999999999E-3</v>
      </c>
      <c r="O366">
        <v>5.3251799999999997E-3</v>
      </c>
      <c r="P366">
        <v>3.6146899999999998E-3</v>
      </c>
    </row>
    <row r="367" spans="1:16" x14ac:dyDescent="0.15">
      <c r="A367">
        <v>2007</v>
      </c>
      <c r="B367">
        <v>8.6093400000000005E-4</v>
      </c>
      <c r="C367">
        <v>7.04121E-3</v>
      </c>
      <c r="D367">
        <v>1.92786E-2</v>
      </c>
      <c r="E367">
        <v>7.7902799999999994E-2</v>
      </c>
      <c r="F367">
        <v>0.218306</v>
      </c>
      <c r="G367">
        <v>0.289464</v>
      </c>
      <c r="H367">
        <v>0.21720100000000001</v>
      </c>
      <c r="I367">
        <v>8.67087E-2</v>
      </c>
      <c r="J367">
        <v>3.1070899999999999E-2</v>
      </c>
      <c r="K367">
        <v>1.47732E-2</v>
      </c>
      <c r="L367">
        <v>1.7767700000000001E-2</v>
      </c>
      <c r="M367">
        <v>7.9558600000000004E-3</v>
      </c>
      <c r="N367">
        <v>2.3505499999999999E-3</v>
      </c>
      <c r="O367">
        <v>2.2039500000000001E-3</v>
      </c>
      <c r="P367">
        <v>7.1139699999999998E-3</v>
      </c>
    </row>
    <row r="368" spans="1:16" x14ac:dyDescent="0.15">
      <c r="A368">
        <v>2008</v>
      </c>
      <c r="B368">
        <v>5.0686600000000002E-4</v>
      </c>
      <c r="C368">
        <v>2.2754099999999999E-2</v>
      </c>
      <c r="D368">
        <v>6.00107E-2</v>
      </c>
      <c r="E368">
        <v>7.3207800000000003E-2</v>
      </c>
      <c r="F368">
        <v>0.130047</v>
      </c>
      <c r="G368">
        <v>0.24224499999999999</v>
      </c>
      <c r="H368">
        <v>0.19165599999999999</v>
      </c>
      <c r="I368">
        <v>0.14966099999999999</v>
      </c>
      <c r="J368">
        <v>6.4031199999999996E-2</v>
      </c>
      <c r="K368">
        <v>2.3057999999999999E-2</v>
      </c>
      <c r="L368">
        <v>1.2127199999999999E-2</v>
      </c>
      <c r="M368">
        <v>1.45854E-2</v>
      </c>
      <c r="N368">
        <v>6.5309000000000001E-3</v>
      </c>
      <c r="O368">
        <v>1.92954E-3</v>
      </c>
      <c r="P368">
        <v>7.6490100000000004E-3</v>
      </c>
    </row>
    <row r="369" spans="1:26" x14ac:dyDescent="0.15">
      <c r="A369">
        <v>2009</v>
      </c>
      <c r="B369">
        <v>2.43546E-3</v>
      </c>
      <c r="C369">
        <v>1.03611E-2</v>
      </c>
      <c r="D369">
        <v>0.150754</v>
      </c>
      <c r="E369">
        <v>0.216589</v>
      </c>
      <c r="F369">
        <v>9.5602199999999998E-2</v>
      </c>
      <c r="G369">
        <v>0.11607199999999999</v>
      </c>
      <c r="H369">
        <v>0.12878700000000001</v>
      </c>
      <c r="I369">
        <v>0.105369</v>
      </c>
      <c r="J369">
        <v>9.02424E-2</v>
      </c>
      <c r="K369">
        <v>3.9441900000000002E-2</v>
      </c>
      <c r="L369">
        <v>1.5521200000000001E-2</v>
      </c>
      <c r="M369">
        <v>8.1632600000000003E-3</v>
      </c>
      <c r="N369">
        <v>9.8179600000000006E-3</v>
      </c>
      <c r="O369">
        <v>4.3961900000000003E-3</v>
      </c>
      <c r="P369">
        <v>6.44767E-3</v>
      </c>
    </row>
    <row r="370" spans="1:26" x14ac:dyDescent="0.15">
      <c r="A370">
        <v>2010</v>
      </c>
      <c r="B370">
        <v>7.5089099999999995E-4</v>
      </c>
      <c r="C370">
        <v>3.38537E-2</v>
      </c>
      <c r="D370">
        <v>4.1197999999999999E-2</v>
      </c>
      <c r="E370">
        <v>0.45196199999999997</v>
      </c>
      <c r="F370">
        <v>0.203037</v>
      </c>
      <c r="G370">
        <v>6.0540900000000002E-2</v>
      </c>
      <c r="H370">
        <v>4.6211099999999998E-2</v>
      </c>
      <c r="I370">
        <v>5.0146299999999998E-2</v>
      </c>
      <c r="J370">
        <v>4.2090599999999999E-2</v>
      </c>
      <c r="K370">
        <v>3.6063400000000002E-2</v>
      </c>
      <c r="L370">
        <v>1.60736E-2</v>
      </c>
      <c r="M370">
        <v>6.32528E-3</v>
      </c>
      <c r="N370">
        <v>3.3267399999999999E-3</v>
      </c>
      <c r="O370">
        <v>4.0010699999999998E-3</v>
      </c>
      <c r="P370">
        <v>4.4191500000000002E-3</v>
      </c>
    </row>
    <row r="371" spans="1:26" x14ac:dyDescent="0.15">
      <c r="A371">
        <v>2011</v>
      </c>
      <c r="B371">
        <v>4.0641499999999998E-4</v>
      </c>
      <c r="C371">
        <v>1.22381E-2</v>
      </c>
      <c r="D371">
        <v>0.14035800000000001</v>
      </c>
      <c r="E371">
        <v>0.122478</v>
      </c>
      <c r="F371">
        <v>0.46208900000000003</v>
      </c>
      <c r="G371">
        <v>0.13986699999999999</v>
      </c>
      <c r="H371">
        <v>2.8590999999999998E-2</v>
      </c>
      <c r="I371">
        <v>2.0719100000000001E-2</v>
      </c>
      <c r="J371">
        <v>2.2142700000000001E-2</v>
      </c>
      <c r="K371">
        <v>1.8605699999999999E-2</v>
      </c>
      <c r="L371">
        <v>1.6696800000000001E-2</v>
      </c>
      <c r="M371">
        <v>7.44182E-3</v>
      </c>
      <c r="N371">
        <v>2.9285000000000001E-3</v>
      </c>
      <c r="O371">
        <v>1.5402300000000001E-3</v>
      </c>
      <c r="P371">
        <v>3.89843E-3</v>
      </c>
    </row>
    <row r="372" spans="1:26" x14ac:dyDescent="0.15">
      <c r="A372">
        <v>2012</v>
      </c>
      <c r="B372">
        <v>2.1254299999999999E-4</v>
      </c>
      <c r="C372">
        <v>6.7750400000000004E-3</v>
      </c>
      <c r="D372">
        <v>5.0888900000000001E-2</v>
      </c>
      <c r="E372">
        <v>0.46842400000000001</v>
      </c>
      <c r="F372">
        <v>0.12245399999999999</v>
      </c>
      <c r="G372">
        <v>0.24312400000000001</v>
      </c>
      <c r="H372">
        <v>5.6784099999999997E-2</v>
      </c>
      <c r="I372">
        <v>1.1640899999999999E-2</v>
      </c>
      <c r="J372">
        <v>8.4025000000000002E-3</v>
      </c>
      <c r="K372">
        <v>9.1244800000000008E-3</v>
      </c>
      <c r="L372">
        <v>8.0701999999999996E-3</v>
      </c>
      <c r="M372">
        <v>7.2422099999999998E-3</v>
      </c>
      <c r="N372">
        <v>3.2278900000000002E-3</v>
      </c>
      <c r="O372">
        <v>1.27024E-3</v>
      </c>
      <c r="P372">
        <v>2.3590099999999999E-3</v>
      </c>
    </row>
    <row r="373" spans="1:26" x14ac:dyDescent="0.15">
      <c r="A373">
        <v>2013</v>
      </c>
      <c r="B373">
        <v>6.5499000000000004E-4</v>
      </c>
      <c r="C373">
        <v>4.1950599999999996E-3</v>
      </c>
      <c r="D373">
        <v>3.0977399999999999E-2</v>
      </c>
      <c r="E373">
        <v>0.17738399999999999</v>
      </c>
      <c r="F373">
        <v>0.51438099999999998</v>
      </c>
      <c r="G373">
        <v>9.5681699999999995E-2</v>
      </c>
      <c r="H373">
        <v>0.12295399999999999</v>
      </c>
      <c r="I373">
        <v>2.7406199999999999E-2</v>
      </c>
      <c r="J373">
        <v>5.6488900000000002E-3</v>
      </c>
      <c r="K373">
        <v>4.2483699999999996E-3</v>
      </c>
      <c r="L373">
        <v>4.8016500000000002E-3</v>
      </c>
      <c r="M373">
        <v>4.24684E-3</v>
      </c>
      <c r="N373">
        <v>3.8111199999999999E-3</v>
      </c>
      <c r="O373">
        <v>1.69863E-3</v>
      </c>
      <c r="P373">
        <v>1.90985E-3</v>
      </c>
    </row>
    <row r="374" spans="1:26" x14ac:dyDescent="0.15">
      <c r="A374">
        <v>2014</v>
      </c>
      <c r="B374">
        <v>4.6480300000000002E-4</v>
      </c>
      <c r="C374">
        <v>1.5747400000000002E-2</v>
      </c>
      <c r="D374">
        <v>2.1093299999999999E-2</v>
      </c>
      <c r="E374">
        <v>0.112812</v>
      </c>
      <c r="F374">
        <v>0.23191200000000001</v>
      </c>
      <c r="G374">
        <v>0.440666</v>
      </c>
      <c r="H374">
        <v>7.5065499999999993E-2</v>
      </c>
      <c r="I374">
        <v>7.1184999999999998E-2</v>
      </c>
      <c r="J374">
        <v>1.5614400000000001E-2</v>
      </c>
      <c r="K374">
        <v>3.2881099999999999E-3</v>
      </c>
      <c r="L374">
        <v>2.4920099999999998E-3</v>
      </c>
      <c r="M374">
        <v>2.8165400000000002E-3</v>
      </c>
      <c r="N374">
        <v>2.4911099999999999E-3</v>
      </c>
      <c r="O374">
        <v>2.2355299999999999E-3</v>
      </c>
      <c r="P374">
        <v>2.1166599999999998E-3</v>
      </c>
    </row>
    <row r="375" spans="1:26" x14ac:dyDescent="0.15">
      <c r="A375" t="s">
        <v>165</v>
      </c>
      <c r="B375" t="s">
        <v>127</v>
      </c>
      <c r="C375" t="s">
        <v>167</v>
      </c>
      <c r="D375" t="s">
        <v>158</v>
      </c>
      <c r="E375" t="s">
        <v>168</v>
      </c>
    </row>
    <row r="376" spans="1:26" x14ac:dyDescent="0.15">
      <c r="A376">
        <v>2015</v>
      </c>
      <c r="B376">
        <v>1.4219600000000001E-2</v>
      </c>
      <c r="C376">
        <v>1.9062300000000001E-2</v>
      </c>
      <c r="D376">
        <v>2.4312199999999999E-2</v>
      </c>
      <c r="E376">
        <v>2.4409199999999999E-2</v>
      </c>
      <c r="F376">
        <v>1.8905499999999999E-2</v>
      </c>
      <c r="G376">
        <v>1.40964E-2</v>
      </c>
      <c r="H376">
        <v>1.6042000000000001E-2</v>
      </c>
      <c r="I376">
        <v>1.85367E-2</v>
      </c>
      <c r="J376">
        <v>2.1578E-2</v>
      </c>
      <c r="K376">
        <v>2.51837E-2</v>
      </c>
      <c r="L376">
        <v>2.9276199999999999E-2</v>
      </c>
      <c r="M376">
        <v>3.3647000000000003E-2</v>
      </c>
      <c r="N376">
        <v>3.8047900000000003E-2</v>
      </c>
      <c r="O376">
        <v>4.23189E-2</v>
      </c>
      <c r="P376">
        <v>4.6422699999999997E-2</v>
      </c>
      <c r="Q376">
        <v>7.6893600000000006E-2</v>
      </c>
      <c r="R376">
        <v>0.113329</v>
      </c>
      <c r="S376">
        <v>0.116355</v>
      </c>
      <c r="T376">
        <v>0.104269</v>
      </c>
      <c r="U376">
        <v>7.9997700000000005E-2</v>
      </c>
      <c r="V376">
        <v>5.2959399999999997E-2</v>
      </c>
      <c r="W376">
        <v>3.1288499999999997E-2</v>
      </c>
      <c r="X376">
        <v>1.73565E-2</v>
      </c>
      <c r="Y376">
        <v>9.4342799999999997E-3</v>
      </c>
      <c r="Z376">
        <v>1.20579E-2</v>
      </c>
    </row>
    <row r="377" spans="1:26" x14ac:dyDescent="0.15">
      <c r="A377" t="s">
        <v>132</v>
      </c>
      <c r="B377" t="s">
        <v>128</v>
      </c>
      <c r="C377" t="s">
        <v>167</v>
      </c>
      <c r="D377" t="s">
        <v>158</v>
      </c>
      <c r="E377" t="s">
        <v>159</v>
      </c>
    </row>
    <row r="378" spans="1:26" x14ac:dyDescent="0.15">
      <c r="A378">
        <v>1982</v>
      </c>
      <c r="B378">
        <v>9.1249899999999995E-2</v>
      </c>
      <c r="C378">
        <v>0.216888</v>
      </c>
      <c r="D378">
        <v>0.23791799999999999</v>
      </c>
      <c r="E378">
        <v>0.31031999999999998</v>
      </c>
      <c r="F378">
        <v>0.106714</v>
      </c>
      <c r="G378">
        <v>1.46117E-2</v>
      </c>
      <c r="H378">
        <v>1.01333E-2</v>
      </c>
      <c r="I378">
        <v>4.8340199999999996E-3</v>
      </c>
      <c r="J378">
        <v>3.0524200000000001E-3</v>
      </c>
      <c r="K378">
        <v>1.9135300000000001E-3</v>
      </c>
      <c r="L378">
        <v>1.1793299999999999E-3</v>
      </c>
      <c r="M378">
        <v>7.3119500000000002E-4</v>
      </c>
      <c r="N378">
        <v>2.5602399999999999E-4</v>
      </c>
      <c r="O378">
        <v>1.0056399999999999E-4</v>
      </c>
      <c r="P378" s="1">
        <v>9.8169099999999995E-5</v>
      </c>
    </row>
    <row r="379" spans="1:26" x14ac:dyDescent="0.15">
      <c r="A379">
        <v>1983</v>
      </c>
      <c r="B379">
        <v>0.24738199999999999</v>
      </c>
      <c r="C379">
        <v>3.6963999999999997E-2</v>
      </c>
      <c r="D379">
        <v>8.2966700000000004E-2</v>
      </c>
      <c r="E379">
        <v>0.149843</v>
      </c>
      <c r="F379">
        <v>0.337121</v>
      </c>
      <c r="G379">
        <v>0.103253</v>
      </c>
      <c r="H379">
        <v>1.8867100000000001E-2</v>
      </c>
      <c r="I379">
        <v>1.01482E-2</v>
      </c>
      <c r="J379">
        <v>4.5794E-3</v>
      </c>
      <c r="K379">
        <v>3.9583600000000002E-3</v>
      </c>
      <c r="L379">
        <v>2.95334E-3</v>
      </c>
      <c r="M379">
        <v>1.04524E-3</v>
      </c>
      <c r="N379">
        <v>4.1390099999999999E-4</v>
      </c>
      <c r="O379">
        <v>3.51763E-4</v>
      </c>
      <c r="P379">
        <v>1.53263E-4</v>
      </c>
    </row>
    <row r="380" spans="1:26" x14ac:dyDescent="0.15">
      <c r="A380">
        <v>1984</v>
      </c>
      <c r="B380">
        <v>4.3637000000000002E-2</v>
      </c>
      <c r="C380">
        <v>3.4766199999999997E-2</v>
      </c>
      <c r="D380">
        <v>4.9587600000000003E-2</v>
      </c>
      <c r="E380">
        <v>0.143593</v>
      </c>
      <c r="F380">
        <v>0.18230499999999999</v>
      </c>
      <c r="G380">
        <v>0.42992000000000002</v>
      </c>
      <c r="H380">
        <v>8.2249100000000006E-2</v>
      </c>
      <c r="I380">
        <v>1.8291000000000002E-2</v>
      </c>
      <c r="J380">
        <v>8.5265800000000006E-3</v>
      </c>
      <c r="K380">
        <v>3.0313499999999999E-3</v>
      </c>
      <c r="L380">
        <v>2.0089600000000002E-3</v>
      </c>
      <c r="M380">
        <v>7.8629000000000004E-4</v>
      </c>
      <c r="N380">
        <v>4.6063400000000002E-4</v>
      </c>
      <c r="O380">
        <v>5.6475700000000004E-4</v>
      </c>
      <c r="P380">
        <v>2.7201800000000001E-4</v>
      </c>
    </row>
    <row r="381" spans="1:26" x14ac:dyDescent="0.15">
      <c r="A381">
        <v>1985</v>
      </c>
      <c r="B381">
        <v>0.28838200000000003</v>
      </c>
      <c r="C381">
        <v>4.8477399999999997E-2</v>
      </c>
      <c r="D381">
        <v>0.186559</v>
      </c>
      <c r="E381">
        <v>5.9115500000000001E-2</v>
      </c>
      <c r="F381">
        <v>0.19450100000000001</v>
      </c>
      <c r="G381">
        <v>0.117697</v>
      </c>
      <c r="H381">
        <v>8.0176399999999995E-2</v>
      </c>
      <c r="I381">
        <v>1.5785199999999999E-2</v>
      </c>
      <c r="J381">
        <v>4.01111E-3</v>
      </c>
      <c r="K381">
        <v>3.31417E-3</v>
      </c>
      <c r="L381">
        <v>1.1375000000000001E-3</v>
      </c>
      <c r="M381">
        <v>3.6866900000000002E-4</v>
      </c>
      <c r="N381">
        <v>4.08124E-4</v>
      </c>
      <c r="O381" s="1">
        <v>4.8714600000000003E-5</v>
      </c>
      <c r="P381" s="1">
        <v>1.8890899999999999E-5</v>
      </c>
    </row>
    <row r="382" spans="1:26" x14ac:dyDescent="0.15">
      <c r="A382">
        <v>1986</v>
      </c>
      <c r="B382">
        <v>0.21998500000000001</v>
      </c>
      <c r="C382">
        <v>5.4141000000000002E-2</v>
      </c>
      <c r="D382">
        <v>4.0195399999999999E-2</v>
      </c>
      <c r="E382">
        <v>0.14879200000000001</v>
      </c>
      <c r="F382">
        <v>8.9994900000000003E-2</v>
      </c>
      <c r="G382">
        <v>0.14982200000000001</v>
      </c>
      <c r="H382">
        <v>0.131051</v>
      </c>
      <c r="I382">
        <v>0.118835</v>
      </c>
      <c r="J382">
        <v>3.7217100000000003E-2</v>
      </c>
      <c r="K382">
        <v>5.6720599999999996E-3</v>
      </c>
      <c r="L382">
        <v>2.6210600000000001E-3</v>
      </c>
      <c r="M382">
        <v>1.1684200000000001E-3</v>
      </c>
      <c r="N382">
        <v>1.0435800000000001E-4</v>
      </c>
      <c r="O382">
        <v>2.9394700000000002E-4</v>
      </c>
      <c r="P382">
        <v>1.06815E-4</v>
      </c>
    </row>
    <row r="383" spans="1:26" x14ac:dyDescent="0.15">
      <c r="A383">
        <v>1987</v>
      </c>
      <c r="B383">
        <v>3.3051200000000003E-2</v>
      </c>
      <c r="C383">
        <v>5.9688100000000001E-2</v>
      </c>
      <c r="D383">
        <v>8.1384799999999993E-2</v>
      </c>
      <c r="E383">
        <v>6.14028E-2</v>
      </c>
      <c r="F383">
        <v>0.37266100000000002</v>
      </c>
      <c r="G383">
        <v>0.10312200000000001</v>
      </c>
      <c r="H383">
        <v>9.8733299999999996E-2</v>
      </c>
      <c r="I383">
        <v>3.8998999999999999E-2</v>
      </c>
      <c r="J383">
        <v>0.123353</v>
      </c>
      <c r="K383">
        <v>1.9061499999999999E-2</v>
      </c>
      <c r="L383">
        <v>5.5989400000000002E-3</v>
      </c>
      <c r="M383">
        <v>2.1984800000000001E-3</v>
      </c>
      <c r="N383">
        <v>4.00901E-4</v>
      </c>
      <c r="O383">
        <v>1.8822700000000001E-4</v>
      </c>
      <c r="P383">
        <v>1.56711E-4</v>
      </c>
    </row>
    <row r="384" spans="1:26" x14ac:dyDescent="0.15">
      <c r="A384">
        <v>1988</v>
      </c>
      <c r="B384">
        <v>8.0560499999999993E-2</v>
      </c>
      <c r="C384">
        <v>4.1618299999999997E-2</v>
      </c>
      <c r="D384">
        <v>9.6235100000000004E-2</v>
      </c>
      <c r="E384">
        <v>0.18257499999999999</v>
      </c>
      <c r="F384">
        <v>7.9456299999999994E-2</v>
      </c>
      <c r="G384">
        <v>0.257855</v>
      </c>
      <c r="H384">
        <v>7.6463799999999998E-2</v>
      </c>
      <c r="I384">
        <v>5.7960299999999999E-2</v>
      </c>
      <c r="J384">
        <v>3.3421300000000001E-2</v>
      </c>
      <c r="K384">
        <v>7.9180299999999995E-2</v>
      </c>
      <c r="L384">
        <v>7.4786399999999999E-3</v>
      </c>
      <c r="M384">
        <v>4.4498699999999999E-3</v>
      </c>
      <c r="N384">
        <v>9.1289799999999999E-4</v>
      </c>
      <c r="O384">
        <v>1.2036200000000001E-3</v>
      </c>
      <c r="P384">
        <v>6.2911200000000003E-4</v>
      </c>
    </row>
    <row r="385" spans="1:16" x14ac:dyDescent="0.15">
      <c r="A385">
        <v>1989</v>
      </c>
      <c r="B385">
        <v>6.2500399999999998E-2</v>
      </c>
      <c r="C385">
        <v>2.06403E-2</v>
      </c>
      <c r="D385">
        <v>3.9994500000000002E-2</v>
      </c>
      <c r="E385">
        <v>0.13198099999999999</v>
      </c>
      <c r="F385">
        <v>0.29633599999999999</v>
      </c>
      <c r="G385">
        <v>5.8837399999999998E-2</v>
      </c>
      <c r="H385">
        <v>0.223769</v>
      </c>
      <c r="I385">
        <v>3.3990899999999998E-2</v>
      </c>
      <c r="J385">
        <v>4.0892400000000002E-2</v>
      </c>
      <c r="K385">
        <v>1.5856599999999998E-2</v>
      </c>
      <c r="L385">
        <v>4.9814200000000003E-2</v>
      </c>
      <c r="M385">
        <v>8.6449200000000004E-3</v>
      </c>
      <c r="N385">
        <v>7.5970100000000004E-3</v>
      </c>
      <c r="O385">
        <v>3.8170000000000001E-3</v>
      </c>
      <c r="P385">
        <v>5.32834E-3</v>
      </c>
    </row>
    <row r="386" spans="1:16" x14ac:dyDescent="0.15">
      <c r="A386">
        <v>1990</v>
      </c>
      <c r="B386">
        <v>0.13082099999999999</v>
      </c>
      <c r="C386">
        <v>2.2177100000000002E-2</v>
      </c>
      <c r="D386">
        <v>7.9688999999999992E-3</v>
      </c>
      <c r="E386">
        <v>5.1098999999999999E-2</v>
      </c>
      <c r="F386">
        <v>0.102044</v>
      </c>
      <c r="G386">
        <v>0.34212300000000001</v>
      </c>
      <c r="H386">
        <v>6.8666599999999994E-2</v>
      </c>
      <c r="I386">
        <v>0.168905</v>
      </c>
      <c r="J386">
        <v>1.7118600000000001E-2</v>
      </c>
      <c r="K386">
        <v>3.0346999999999999E-2</v>
      </c>
      <c r="L386">
        <v>4.6716300000000004E-3</v>
      </c>
      <c r="M386">
        <v>4.3605499999999998E-2</v>
      </c>
      <c r="N386">
        <v>3.8093900000000002E-3</v>
      </c>
      <c r="O386">
        <v>2.8248700000000002E-3</v>
      </c>
      <c r="P386">
        <v>3.8193699999999999E-3</v>
      </c>
    </row>
    <row r="387" spans="1:16" x14ac:dyDescent="0.15">
      <c r="A387">
        <v>1991</v>
      </c>
      <c r="B387">
        <v>0.27298</v>
      </c>
      <c r="C387">
        <v>7.8259499999999996E-2</v>
      </c>
      <c r="D387">
        <v>2.7986199999999999E-2</v>
      </c>
      <c r="E387">
        <v>9.0563399999999995E-3</v>
      </c>
      <c r="F387">
        <v>5.5119000000000001E-2</v>
      </c>
      <c r="G387">
        <v>5.1479200000000003E-2</v>
      </c>
      <c r="H387">
        <v>0.170266</v>
      </c>
      <c r="I387">
        <v>6.4015299999999997E-2</v>
      </c>
      <c r="J387">
        <v>0.13773099999999999</v>
      </c>
      <c r="K387">
        <v>3.6031300000000002E-2</v>
      </c>
      <c r="L387">
        <v>4.8694099999999997E-2</v>
      </c>
      <c r="M387">
        <v>1.0057699999999999E-2</v>
      </c>
      <c r="N387">
        <v>3.02394E-2</v>
      </c>
      <c r="O387">
        <v>4.26261E-3</v>
      </c>
      <c r="P387">
        <v>3.8226499999999999E-3</v>
      </c>
    </row>
    <row r="388" spans="1:16" x14ac:dyDescent="0.15">
      <c r="A388">
        <v>1992</v>
      </c>
      <c r="B388">
        <v>0.16431499999999999</v>
      </c>
      <c r="C388">
        <v>4.6244E-2</v>
      </c>
      <c r="D388">
        <v>0.24077899999999999</v>
      </c>
      <c r="E388">
        <v>4.05253E-2</v>
      </c>
      <c r="F388">
        <v>4.5298499999999998E-2</v>
      </c>
      <c r="G388">
        <v>7.5875999999999999E-2</v>
      </c>
      <c r="H388">
        <v>6.6657999999999995E-2</v>
      </c>
      <c r="I388">
        <v>9.5532000000000006E-2</v>
      </c>
      <c r="J388">
        <v>4.2576299999999997E-2</v>
      </c>
      <c r="K388">
        <v>8.11915E-2</v>
      </c>
      <c r="L388">
        <v>2.85335E-2</v>
      </c>
      <c r="M388">
        <v>3.5582799999999998E-2</v>
      </c>
      <c r="N388">
        <v>1.52376E-2</v>
      </c>
      <c r="O388">
        <v>1.2069399999999999E-2</v>
      </c>
      <c r="P388">
        <v>9.5817200000000002E-3</v>
      </c>
    </row>
    <row r="389" spans="1:16" x14ac:dyDescent="0.15">
      <c r="A389">
        <v>1993</v>
      </c>
      <c r="B389">
        <v>0.221888</v>
      </c>
      <c r="C389">
        <v>3.2978399999999998E-2</v>
      </c>
      <c r="D389">
        <v>7.3808499999999999E-2</v>
      </c>
      <c r="E389">
        <v>0.31200299999999997</v>
      </c>
      <c r="F389">
        <v>6.75312E-2</v>
      </c>
      <c r="G389">
        <v>5.4057899999999999E-2</v>
      </c>
      <c r="H389">
        <v>2.8105600000000001E-2</v>
      </c>
      <c r="I389">
        <v>3.8765099999999997E-2</v>
      </c>
      <c r="J389">
        <v>5.2790700000000003E-2</v>
      </c>
      <c r="K389">
        <v>3.2570200000000001E-2</v>
      </c>
      <c r="L389">
        <v>2.8573000000000001E-2</v>
      </c>
      <c r="M389">
        <v>2.0820399999999999E-2</v>
      </c>
      <c r="N389">
        <v>1.6319699999999999E-2</v>
      </c>
      <c r="O389">
        <v>8.9887300000000003E-3</v>
      </c>
      <c r="P389">
        <v>1.0800199999999999E-2</v>
      </c>
    </row>
    <row r="390" spans="1:16" x14ac:dyDescent="0.15">
      <c r="A390">
        <v>1994</v>
      </c>
      <c r="B390">
        <v>0.144006</v>
      </c>
      <c r="C390">
        <v>6.3904799999999998E-2</v>
      </c>
      <c r="D390">
        <v>4.8798000000000001E-2</v>
      </c>
      <c r="E390">
        <v>0.138988</v>
      </c>
      <c r="F390">
        <v>0.376135</v>
      </c>
      <c r="G390">
        <v>6.5939300000000006E-2</v>
      </c>
      <c r="H390">
        <v>1.7181700000000001E-2</v>
      </c>
      <c r="I390">
        <v>1.4891700000000001E-2</v>
      </c>
      <c r="J390">
        <v>1.6713200000000001E-2</v>
      </c>
      <c r="K390">
        <v>3.1433900000000001E-2</v>
      </c>
      <c r="L390">
        <v>1.91542E-2</v>
      </c>
      <c r="M390">
        <v>2.6799E-2</v>
      </c>
      <c r="N390">
        <v>1.01399E-2</v>
      </c>
      <c r="O390">
        <v>9.7456899999999996E-3</v>
      </c>
      <c r="P390">
        <v>1.61695E-2</v>
      </c>
    </row>
    <row r="391" spans="1:16" x14ac:dyDescent="0.15">
      <c r="A391">
        <v>1995</v>
      </c>
      <c r="B391">
        <v>0.14286799999999999</v>
      </c>
      <c r="C391">
        <v>1.41274E-2</v>
      </c>
      <c r="D391">
        <v>2.7284300000000001E-2</v>
      </c>
      <c r="E391">
        <v>0.127469</v>
      </c>
      <c r="F391">
        <v>0.1696</v>
      </c>
      <c r="G391">
        <v>0.27618100000000001</v>
      </c>
      <c r="H391">
        <v>0.117225</v>
      </c>
      <c r="I391">
        <v>3.0877100000000001E-2</v>
      </c>
      <c r="J391">
        <v>1.89082E-2</v>
      </c>
      <c r="K391">
        <v>1.18409E-2</v>
      </c>
      <c r="L391">
        <v>2.2322100000000001E-2</v>
      </c>
      <c r="M391">
        <v>8.9162900000000003E-3</v>
      </c>
      <c r="N391">
        <v>1.6492799999999998E-2</v>
      </c>
      <c r="O391">
        <v>6.5191900000000002E-3</v>
      </c>
      <c r="P391">
        <v>9.3687100000000006E-3</v>
      </c>
    </row>
    <row r="392" spans="1:16" x14ac:dyDescent="0.15">
      <c r="A392">
        <v>1996</v>
      </c>
      <c r="B392">
        <v>0.222584</v>
      </c>
      <c r="C392">
        <v>5.3051800000000003E-2</v>
      </c>
      <c r="D392">
        <v>2.4316600000000001E-2</v>
      </c>
      <c r="E392">
        <v>4.8618399999999999E-2</v>
      </c>
      <c r="F392">
        <v>0.133988</v>
      </c>
      <c r="G392">
        <v>0.18931500000000001</v>
      </c>
      <c r="H392">
        <v>0.17338799999999999</v>
      </c>
      <c r="I392">
        <v>5.9051800000000002E-2</v>
      </c>
      <c r="J392">
        <v>1.47458E-2</v>
      </c>
      <c r="K392">
        <v>1.5829900000000001E-2</v>
      </c>
      <c r="L392">
        <v>1.0711E-2</v>
      </c>
      <c r="M392">
        <v>2.0150499999999998E-2</v>
      </c>
      <c r="N392">
        <v>6.5718E-3</v>
      </c>
      <c r="O392">
        <v>1.1902899999999999E-2</v>
      </c>
      <c r="P392">
        <v>1.5774400000000001E-2</v>
      </c>
    </row>
    <row r="393" spans="1:16" x14ac:dyDescent="0.15">
      <c r="A393">
        <v>1997</v>
      </c>
      <c r="B393">
        <v>0.244612</v>
      </c>
      <c r="C393">
        <v>3.7678400000000001E-2</v>
      </c>
      <c r="D393">
        <v>1.9625900000000002E-2</v>
      </c>
      <c r="E393">
        <v>2.53648E-2</v>
      </c>
      <c r="F393">
        <v>0.30297800000000003</v>
      </c>
      <c r="G393">
        <v>0.13248499999999999</v>
      </c>
      <c r="H393">
        <v>7.8495099999999998E-2</v>
      </c>
      <c r="I393">
        <v>9.4790899999999997E-2</v>
      </c>
      <c r="J393">
        <v>1.6114199999999999E-2</v>
      </c>
      <c r="K393">
        <v>8.1574999999999998E-3</v>
      </c>
      <c r="L393">
        <v>6.1509700000000004E-3</v>
      </c>
      <c r="M393">
        <v>6.7197300000000001E-3</v>
      </c>
      <c r="N393">
        <v>1.09742E-2</v>
      </c>
      <c r="O393">
        <v>3.54661E-3</v>
      </c>
      <c r="P393">
        <v>1.23056E-2</v>
      </c>
    </row>
    <row r="394" spans="1:16" x14ac:dyDescent="0.15">
      <c r="A394">
        <v>1998</v>
      </c>
      <c r="B394">
        <v>0.10742</v>
      </c>
      <c r="C394">
        <v>9.4089400000000004E-2</v>
      </c>
      <c r="D394">
        <v>4.9330800000000001E-2</v>
      </c>
      <c r="E394">
        <v>3.5298900000000001E-2</v>
      </c>
      <c r="F394">
        <v>6.8948700000000002E-2</v>
      </c>
      <c r="G394">
        <v>0.39334200000000002</v>
      </c>
      <c r="H394">
        <v>0.100006</v>
      </c>
      <c r="I394">
        <v>6.3192300000000007E-2</v>
      </c>
      <c r="J394">
        <v>4.8960999999999998E-2</v>
      </c>
      <c r="K394">
        <v>1.22393E-2</v>
      </c>
      <c r="L394">
        <v>5.4811900000000004E-3</v>
      </c>
      <c r="M394">
        <v>1.8785399999999999E-3</v>
      </c>
      <c r="N394">
        <v>4.2456500000000001E-3</v>
      </c>
      <c r="O394">
        <v>4.6416699999999997E-3</v>
      </c>
      <c r="P394">
        <v>1.0924100000000001E-2</v>
      </c>
    </row>
    <row r="395" spans="1:16" x14ac:dyDescent="0.15">
      <c r="A395">
        <v>1999</v>
      </c>
      <c r="B395">
        <v>0.110613</v>
      </c>
      <c r="C395">
        <v>0.101602</v>
      </c>
      <c r="D395">
        <v>9.4213699999999997E-2</v>
      </c>
      <c r="E395">
        <v>0.10218000000000001</v>
      </c>
      <c r="F395">
        <v>5.8271700000000003E-2</v>
      </c>
      <c r="G395">
        <v>0.104061</v>
      </c>
      <c r="H395">
        <v>0.26187100000000002</v>
      </c>
      <c r="I395">
        <v>7.05929E-2</v>
      </c>
      <c r="J395">
        <v>3.4074800000000002E-2</v>
      </c>
      <c r="K395">
        <v>3.1753799999999999E-2</v>
      </c>
      <c r="L395">
        <v>1.16086E-2</v>
      </c>
      <c r="M395">
        <v>4.90173E-3</v>
      </c>
      <c r="N395">
        <v>1.9402200000000001E-3</v>
      </c>
      <c r="O395">
        <v>2.7915800000000001E-3</v>
      </c>
      <c r="P395">
        <v>9.5238500000000004E-3</v>
      </c>
    </row>
    <row r="396" spans="1:16" x14ac:dyDescent="0.15">
      <c r="A396">
        <v>2000</v>
      </c>
      <c r="B396">
        <v>9.5045199999999996E-2</v>
      </c>
      <c r="C396">
        <v>3.5261500000000001E-2</v>
      </c>
      <c r="D396">
        <v>4.3982399999999998E-2</v>
      </c>
      <c r="E396">
        <v>0.14898500000000001</v>
      </c>
      <c r="F396">
        <v>0.149031</v>
      </c>
      <c r="G396">
        <v>7.7004699999999995E-2</v>
      </c>
      <c r="H396">
        <v>6.5377400000000002E-2</v>
      </c>
      <c r="I396">
        <v>0.21404799999999999</v>
      </c>
      <c r="J396">
        <v>8.3490200000000001E-2</v>
      </c>
      <c r="K396">
        <v>4.3776099999999998E-2</v>
      </c>
      <c r="L396">
        <v>1.8535900000000001E-2</v>
      </c>
      <c r="M396">
        <v>1.25454E-2</v>
      </c>
      <c r="N396">
        <v>3.8502599999999999E-3</v>
      </c>
      <c r="O396">
        <v>1.69308E-3</v>
      </c>
      <c r="P396">
        <v>7.3735700000000003E-3</v>
      </c>
    </row>
    <row r="397" spans="1:16" x14ac:dyDescent="0.15">
      <c r="A397">
        <v>2001</v>
      </c>
      <c r="B397">
        <v>0.18360199999999999</v>
      </c>
      <c r="C397">
        <v>0.10591299999999999</v>
      </c>
      <c r="D397">
        <v>5.72685E-2</v>
      </c>
      <c r="E397">
        <v>5.4757199999999999E-2</v>
      </c>
      <c r="F397">
        <v>0.13844500000000001</v>
      </c>
      <c r="G397">
        <v>0.14477999999999999</v>
      </c>
      <c r="H397">
        <v>6.2247200000000003E-2</v>
      </c>
      <c r="I397">
        <v>3.08854E-2</v>
      </c>
      <c r="J397">
        <v>9.2017100000000004E-2</v>
      </c>
      <c r="K397">
        <v>6.6054399999999999E-2</v>
      </c>
      <c r="L397">
        <v>2.5241900000000001E-2</v>
      </c>
      <c r="M397">
        <v>2.0187900000000002E-2</v>
      </c>
      <c r="N397">
        <v>7.9983899999999993E-3</v>
      </c>
      <c r="O397">
        <v>2.8586499999999999E-3</v>
      </c>
      <c r="P397">
        <v>7.7431699999999997E-3</v>
      </c>
    </row>
    <row r="398" spans="1:16" x14ac:dyDescent="0.15">
      <c r="A398">
        <v>2002</v>
      </c>
      <c r="B398">
        <v>8.0569799999999997E-2</v>
      </c>
      <c r="C398">
        <v>4.1032600000000002E-2</v>
      </c>
      <c r="D398">
        <v>8.4541699999999997E-2</v>
      </c>
      <c r="E398">
        <v>0.121541</v>
      </c>
      <c r="F398">
        <v>0.12614300000000001</v>
      </c>
      <c r="G398">
        <v>0.163443</v>
      </c>
      <c r="H398">
        <v>8.4876800000000002E-2</v>
      </c>
      <c r="I398">
        <v>4.1049000000000002E-2</v>
      </c>
      <c r="J398">
        <v>5.5526100000000002E-2</v>
      </c>
      <c r="K398">
        <v>0.10426000000000001</v>
      </c>
      <c r="L398">
        <v>5.19716E-2</v>
      </c>
      <c r="M398">
        <v>2.2998399999999999E-2</v>
      </c>
      <c r="N398">
        <v>1.3530500000000001E-2</v>
      </c>
      <c r="O398">
        <v>4.0884299999999997E-3</v>
      </c>
      <c r="P398">
        <v>4.4287700000000003E-3</v>
      </c>
    </row>
    <row r="399" spans="1:16" x14ac:dyDescent="0.15">
      <c r="A399">
        <v>2003</v>
      </c>
      <c r="B399">
        <v>3.4714000000000002E-2</v>
      </c>
      <c r="C399">
        <v>1.06325E-2</v>
      </c>
      <c r="D399">
        <v>6.4951099999999998E-2</v>
      </c>
      <c r="E399">
        <v>0.10893600000000001</v>
      </c>
      <c r="F399">
        <v>0.12921099999999999</v>
      </c>
      <c r="G399">
        <v>0.118598</v>
      </c>
      <c r="H399">
        <v>0.15884000000000001</v>
      </c>
      <c r="I399">
        <v>8.9808100000000002E-2</v>
      </c>
      <c r="J399">
        <v>4.1043000000000003E-2</v>
      </c>
      <c r="K399">
        <v>5.3499900000000003E-2</v>
      </c>
      <c r="L399">
        <v>0.108922</v>
      </c>
      <c r="M399">
        <v>4.71385E-2</v>
      </c>
      <c r="N399">
        <v>1.7758199999999998E-2</v>
      </c>
      <c r="O399">
        <v>9.2140299999999998E-3</v>
      </c>
      <c r="P399">
        <v>6.7347300000000004E-3</v>
      </c>
    </row>
    <row r="400" spans="1:16" x14ac:dyDescent="0.15">
      <c r="A400">
        <v>2004</v>
      </c>
      <c r="B400">
        <v>5.6781900000000003E-2</v>
      </c>
      <c r="C400">
        <v>4.0108900000000003E-2</v>
      </c>
      <c r="D400">
        <v>2.5434700000000001E-2</v>
      </c>
      <c r="E400">
        <v>0.191833</v>
      </c>
      <c r="F400">
        <v>0.18709600000000001</v>
      </c>
      <c r="G400">
        <v>0.142343</v>
      </c>
      <c r="H400">
        <v>8.3699999999999997E-2</v>
      </c>
      <c r="I400">
        <v>9.0659900000000002E-2</v>
      </c>
      <c r="J400">
        <v>4.4834600000000002E-2</v>
      </c>
      <c r="K400">
        <v>2.8036700000000001E-2</v>
      </c>
      <c r="L400">
        <v>2.79476E-2</v>
      </c>
      <c r="M400">
        <v>5.0453499999999998E-2</v>
      </c>
      <c r="N400">
        <v>2.14751E-2</v>
      </c>
      <c r="O400">
        <v>5.2153099999999999E-3</v>
      </c>
      <c r="P400">
        <v>4.0807300000000003E-3</v>
      </c>
    </row>
    <row r="401" spans="1:16" x14ac:dyDescent="0.15">
      <c r="A401">
        <v>2005</v>
      </c>
      <c r="B401">
        <v>4.1549799999999998E-2</v>
      </c>
      <c r="C401">
        <v>1.55443E-2</v>
      </c>
      <c r="D401">
        <v>2.4657700000000001E-2</v>
      </c>
      <c r="E401">
        <v>0.10874300000000001</v>
      </c>
      <c r="F401">
        <v>0.30831799999999998</v>
      </c>
      <c r="G401">
        <v>0.20802999999999999</v>
      </c>
      <c r="H401">
        <v>0.108934</v>
      </c>
      <c r="I401">
        <v>4.9595100000000003E-2</v>
      </c>
      <c r="J401">
        <v>3.7714200000000003E-2</v>
      </c>
      <c r="K401">
        <v>2.7754600000000001E-2</v>
      </c>
      <c r="L401">
        <v>7.4750099999999998E-3</v>
      </c>
      <c r="M401">
        <v>1.5784300000000001E-2</v>
      </c>
      <c r="N401">
        <v>2.5690899999999999E-2</v>
      </c>
      <c r="O401">
        <v>9.9928099999999995E-3</v>
      </c>
      <c r="P401">
        <v>1.0216599999999999E-2</v>
      </c>
    </row>
    <row r="402" spans="1:16" x14ac:dyDescent="0.15">
      <c r="A402">
        <v>2006</v>
      </c>
      <c r="B402">
        <v>0.14789099999999999</v>
      </c>
      <c r="C402">
        <v>1.35651E-2</v>
      </c>
      <c r="D402">
        <v>2.0999299999999999E-2</v>
      </c>
      <c r="E402">
        <v>6.8769700000000003E-2</v>
      </c>
      <c r="F402">
        <v>0.17236699999999999</v>
      </c>
      <c r="G402">
        <v>0.21882499999999999</v>
      </c>
      <c r="H402">
        <v>0.14005100000000001</v>
      </c>
      <c r="I402">
        <v>6.7364099999999996E-2</v>
      </c>
      <c r="J402">
        <v>3.8474099999999997E-2</v>
      </c>
      <c r="K402">
        <v>3.3126999999999997E-2</v>
      </c>
      <c r="L402">
        <v>1.5943200000000001E-2</v>
      </c>
      <c r="M402">
        <v>9.9107199999999996E-3</v>
      </c>
      <c r="N402">
        <v>1.4341100000000001E-2</v>
      </c>
      <c r="O402">
        <v>1.9275799999999999E-2</v>
      </c>
      <c r="P402">
        <v>1.9095299999999999E-2</v>
      </c>
    </row>
    <row r="403" spans="1:16" x14ac:dyDescent="0.15">
      <c r="A403">
        <v>2007</v>
      </c>
      <c r="B403">
        <v>0.242753</v>
      </c>
      <c r="C403">
        <v>6.9056999999999999E-3</v>
      </c>
      <c r="D403">
        <v>1.7364899999999999E-2</v>
      </c>
      <c r="E403">
        <v>4.9730499999999997E-2</v>
      </c>
      <c r="F403">
        <v>0.15553400000000001</v>
      </c>
      <c r="G403">
        <v>0.181975</v>
      </c>
      <c r="H403">
        <v>0.13123099999999999</v>
      </c>
      <c r="I403">
        <v>9.4691899999999996E-2</v>
      </c>
      <c r="J403">
        <v>3.9973099999999998E-2</v>
      </c>
      <c r="K403">
        <v>1.79052E-2</v>
      </c>
      <c r="L403">
        <v>1.6596199999999998E-2</v>
      </c>
      <c r="M403">
        <v>1.4437999999999999E-2</v>
      </c>
      <c r="N403">
        <v>6.6328799999999999E-3</v>
      </c>
      <c r="O403">
        <v>8.2683199999999991E-3</v>
      </c>
      <c r="P403">
        <v>1.6000400000000001E-2</v>
      </c>
    </row>
    <row r="404" spans="1:16" x14ac:dyDescent="0.15">
      <c r="A404">
        <v>2008</v>
      </c>
      <c r="B404">
        <v>0.102299</v>
      </c>
      <c r="C404">
        <v>2.5153700000000001E-2</v>
      </c>
      <c r="D404">
        <v>2.09599E-2</v>
      </c>
      <c r="E404">
        <v>3.83837E-2</v>
      </c>
      <c r="F404">
        <v>0.10938100000000001</v>
      </c>
      <c r="G404">
        <v>0.219664</v>
      </c>
      <c r="H404">
        <v>0.17214499999999999</v>
      </c>
      <c r="I404">
        <v>0.11969</v>
      </c>
      <c r="J404">
        <v>7.59494E-2</v>
      </c>
      <c r="K404">
        <v>2.9760100000000001E-2</v>
      </c>
      <c r="L404">
        <v>2.4816399999999999E-2</v>
      </c>
      <c r="M404">
        <v>1.8946399999999999E-2</v>
      </c>
      <c r="N404">
        <v>8.6034600000000003E-3</v>
      </c>
      <c r="O404">
        <v>4.7130100000000001E-3</v>
      </c>
      <c r="P404">
        <v>2.9534899999999999E-2</v>
      </c>
    </row>
    <row r="405" spans="1:16" x14ac:dyDescent="0.15">
      <c r="A405">
        <v>2009</v>
      </c>
      <c r="B405">
        <v>0.17974699999999999</v>
      </c>
      <c r="C405">
        <v>4.9731400000000002E-2</v>
      </c>
      <c r="D405">
        <v>0.103968</v>
      </c>
      <c r="E405">
        <v>0.111998</v>
      </c>
      <c r="F405">
        <v>6.5233600000000003E-2</v>
      </c>
      <c r="G405">
        <v>9.4641699999999995E-2</v>
      </c>
      <c r="H405">
        <v>0.12800900000000001</v>
      </c>
      <c r="I405">
        <v>0.10001500000000001</v>
      </c>
      <c r="J405">
        <v>7.2696499999999997E-2</v>
      </c>
      <c r="K405">
        <v>3.5283700000000001E-2</v>
      </c>
      <c r="L405">
        <v>2.32804E-2</v>
      </c>
      <c r="M405">
        <v>7.6386300000000004E-3</v>
      </c>
      <c r="N405">
        <v>7.6804000000000004E-3</v>
      </c>
      <c r="O405">
        <v>4.00249E-3</v>
      </c>
      <c r="P405">
        <v>1.6075699999999998E-2</v>
      </c>
    </row>
    <row r="406" spans="1:16" x14ac:dyDescent="0.15">
      <c r="A406">
        <v>2010</v>
      </c>
      <c r="B406">
        <v>6.7704200000000006E-2</v>
      </c>
      <c r="C406">
        <v>1.9119299999999999E-2</v>
      </c>
      <c r="D406">
        <v>3.6787199999999999E-2</v>
      </c>
      <c r="E406">
        <v>0.39569900000000002</v>
      </c>
      <c r="F406">
        <v>0.17724000000000001</v>
      </c>
      <c r="G406">
        <v>5.5248100000000001E-2</v>
      </c>
      <c r="H406">
        <v>4.7562899999999998E-2</v>
      </c>
      <c r="I406">
        <v>5.0303800000000003E-2</v>
      </c>
      <c r="J406">
        <v>5.2901799999999999E-2</v>
      </c>
      <c r="K406">
        <v>3.6017500000000001E-2</v>
      </c>
      <c r="L406">
        <v>3.1056799999999999E-2</v>
      </c>
      <c r="M406">
        <v>1.12841E-2</v>
      </c>
      <c r="N406">
        <v>6.7627900000000003E-3</v>
      </c>
      <c r="O406">
        <v>3.90581E-3</v>
      </c>
      <c r="P406">
        <v>8.4068300000000006E-3</v>
      </c>
    </row>
    <row r="407" spans="1:16" x14ac:dyDescent="0.15">
      <c r="A407">
        <v>2011</v>
      </c>
      <c r="B407">
        <v>0.189805</v>
      </c>
      <c r="C407">
        <v>2.0439100000000002E-2</v>
      </c>
      <c r="D407">
        <v>4.4503399999999999E-2</v>
      </c>
      <c r="E407">
        <v>6.0828300000000002E-2</v>
      </c>
      <c r="F407">
        <v>0.30427599999999999</v>
      </c>
      <c r="G407">
        <v>0.14888799999999999</v>
      </c>
      <c r="H407">
        <v>4.3643599999999998E-2</v>
      </c>
      <c r="I407">
        <v>2.4779700000000002E-2</v>
      </c>
      <c r="J407">
        <v>3.8763699999999998E-2</v>
      </c>
      <c r="K407">
        <v>3.8562300000000001E-2</v>
      </c>
      <c r="L407">
        <v>3.2318899999999998E-2</v>
      </c>
      <c r="M407">
        <v>2.46999E-2</v>
      </c>
      <c r="N407">
        <v>1.0431899999999999E-2</v>
      </c>
      <c r="O407">
        <v>4.9224899999999999E-3</v>
      </c>
      <c r="P407">
        <v>1.31383E-2</v>
      </c>
    </row>
    <row r="408" spans="1:16" x14ac:dyDescent="0.15">
      <c r="A408">
        <v>2012</v>
      </c>
      <c r="B408">
        <v>0.13955200000000001</v>
      </c>
      <c r="C408">
        <v>2.8490600000000001E-2</v>
      </c>
      <c r="D408">
        <v>5.3492600000000001E-2</v>
      </c>
      <c r="E408">
        <v>0.38286199999999998</v>
      </c>
      <c r="F408">
        <v>8.9483099999999996E-2</v>
      </c>
      <c r="G408">
        <v>0.144451</v>
      </c>
      <c r="H408">
        <v>4.9455300000000001E-2</v>
      </c>
      <c r="I408">
        <v>1.9781300000000002E-2</v>
      </c>
      <c r="J408">
        <v>1.49885E-2</v>
      </c>
      <c r="K408">
        <v>2.0701399999999998E-2</v>
      </c>
      <c r="L408">
        <v>1.6978900000000002E-2</v>
      </c>
      <c r="M408">
        <v>1.4964699999999999E-2</v>
      </c>
      <c r="N408">
        <v>1.2460799999999999E-2</v>
      </c>
      <c r="O408">
        <v>4.4274900000000001E-3</v>
      </c>
      <c r="P408">
        <v>7.9097200000000003E-3</v>
      </c>
    </row>
    <row r="409" spans="1:16" x14ac:dyDescent="0.15">
      <c r="A409">
        <v>2013</v>
      </c>
      <c r="B409">
        <v>0.119953</v>
      </c>
      <c r="C409">
        <v>1.2940500000000001E-2</v>
      </c>
      <c r="D409">
        <v>2.4894699999999999E-2</v>
      </c>
      <c r="E409">
        <v>9.7944400000000001E-2</v>
      </c>
      <c r="F409">
        <v>0.48710100000000001</v>
      </c>
      <c r="G409">
        <v>0.11297500000000001</v>
      </c>
      <c r="H409">
        <v>7.0415199999999997E-2</v>
      </c>
      <c r="I409">
        <v>2.47005E-2</v>
      </c>
      <c r="J409">
        <v>8.3618500000000005E-3</v>
      </c>
      <c r="K409">
        <v>7.55546E-3</v>
      </c>
      <c r="L409">
        <v>9.9280600000000007E-3</v>
      </c>
      <c r="M409">
        <v>7.46899E-3</v>
      </c>
      <c r="N409">
        <v>6.9214799999999998E-3</v>
      </c>
      <c r="O409">
        <v>3.78466E-3</v>
      </c>
      <c r="P409">
        <v>5.0545499999999997E-3</v>
      </c>
    </row>
    <row r="410" spans="1:16" x14ac:dyDescent="0.15">
      <c r="A410">
        <v>2014</v>
      </c>
      <c r="B410">
        <v>0.138797</v>
      </c>
      <c r="C410">
        <v>3.75898E-2</v>
      </c>
      <c r="D410">
        <v>1.7266500000000001E-2</v>
      </c>
      <c r="E410">
        <v>2.26354E-2</v>
      </c>
      <c r="F410">
        <v>0.104709</v>
      </c>
      <c r="G410">
        <v>0.38415899999999997</v>
      </c>
      <c r="H410">
        <v>0.199827</v>
      </c>
      <c r="I410">
        <v>4.2568599999999998E-2</v>
      </c>
      <c r="J410">
        <v>2.34142E-2</v>
      </c>
      <c r="K410">
        <v>8.5265199999999992E-3</v>
      </c>
      <c r="L410">
        <v>3.2620100000000001E-3</v>
      </c>
      <c r="M410">
        <v>4.6009299999999996E-3</v>
      </c>
      <c r="N410">
        <v>4.6777600000000004E-3</v>
      </c>
      <c r="O410">
        <v>2.1857700000000001E-3</v>
      </c>
      <c r="P410">
        <v>5.7800400000000002E-3</v>
      </c>
    </row>
    <row r="411" spans="1:16" x14ac:dyDescent="0.15">
      <c r="A411">
        <v>2015</v>
      </c>
      <c r="B411">
        <v>8.16577E-2</v>
      </c>
      <c r="C411">
        <v>5.6112000000000002E-2</v>
      </c>
      <c r="D411">
        <v>0.158055</v>
      </c>
      <c r="E411">
        <v>3.9749E-2</v>
      </c>
      <c r="F411">
        <v>8.2799700000000004E-2</v>
      </c>
      <c r="G411">
        <v>0.15426000000000001</v>
      </c>
      <c r="H411">
        <v>0.300537</v>
      </c>
      <c r="I411">
        <v>8.7637499999999993E-2</v>
      </c>
      <c r="J411">
        <v>2.0758700000000001E-2</v>
      </c>
      <c r="K411">
        <v>9.9453000000000007E-3</v>
      </c>
      <c r="L411">
        <v>1.2902600000000001E-3</v>
      </c>
      <c r="M411">
        <v>1.21312E-3</v>
      </c>
      <c r="N411">
        <v>2.0871700000000002E-3</v>
      </c>
      <c r="O411">
        <v>1.2406299999999999E-3</v>
      </c>
      <c r="P411">
        <v>2.6570000000000001E-3</v>
      </c>
    </row>
    <row r="412" spans="1:16" x14ac:dyDescent="0.15">
      <c r="A412" t="s">
        <v>132</v>
      </c>
      <c r="B412" t="s">
        <v>127</v>
      </c>
      <c r="C412" t="s">
        <v>167</v>
      </c>
      <c r="D412" t="s">
        <v>158</v>
      </c>
      <c r="E412" t="s">
        <v>159</v>
      </c>
    </row>
    <row r="413" spans="1:16" x14ac:dyDescent="0.15">
      <c r="A413">
        <v>1982</v>
      </c>
      <c r="B413">
        <v>8.29878E-2</v>
      </c>
      <c r="C413">
        <v>0.16864000000000001</v>
      </c>
      <c r="D413">
        <v>0.175397</v>
      </c>
      <c r="E413">
        <v>0.39569300000000002</v>
      </c>
      <c r="F413">
        <v>0.111968</v>
      </c>
      <c r="G413">
        <v>3.4162600000000001E-2</v>
      </c>
      <c r="H413">
        <v>1.4941100000000001E-2</v>
      </c>
      <c r="I413">
        <v>8.8145500000000009E-3</v>
      </c>
      <c r="J413">
        <v>4.2823499999999999E-3</v>
      </c>
      <c r="K413">
        <v>2.26626E-3</v>
      </c>
      <c r="L413">
        <v>4.11977E-4</v>
      </c>
      <c r="M413">
        <v>1.9744399999999999E-4</v>
      </c>
      <c r="N413">
        <v>1.3008799999999999E-4</v>
      </c>
      <c r="O413" s="1">
        <v>6.1103499999999995E-5</v>
      </c>
      <c r="P413" s="1">
        <v>4.67662E-5</v>
      </c>
    </row>
    <row r="414" spans="1:16" x14ac:dyDescent="0.15">
      <c r="A414">
        <v>1983</v>
      </c>
      <c r="B414">
        <v>0.24760099999999999</v>
      </c>
      <c r="C414">
        <v>3.3654700000000003E-2</v>
      </c>
      <c r="D414">
        <v>0.11597</v>
      </c>
      <c r="E414">
        <v>0.14379800000000001</v>
      </c>
      <c r="F414">
        <v>0.321266</v>
      </c>
      <c r="G414">
        <v>8.7757699999999994E-2</v>
      </c>
      <c r="H414">
        <v>2.6365099999999999E-2</v>
      </c>
      <c r="I414">
        <v>1.14422E-2</v>
      </c>
      <c r="J414">
        <v>6.6613999999999996E-3</v>
      </c>
      <c r="K414">
        <v>3.1839699999999999E-3</v>
      </c>
      <c r="L414">
        <v>1.6734600000000001E-3</v>
      </c>
      <c r="M414">
        <v>3.0414500000000002E-4</v>
      </c>
      <c r="N414">
        <v>1.45752E-4</v>
      </c>
      <c r="O414" s="1">
        <v>9.6026799999999993E-5</v>
      </c>
      <c r="P414" s="1">
        <v>7.9624799999999997E-5</v>
      </c>
    </row>
    <row r="415" spans="1:16" x14ac:dyDescent="0.15">
      <c r="A415">
        <v>1984</v>
      </c>
      <c r="B415">
        <v>7.5839699999999996E-2</v>
      </c>
      <c r="C415">
        <v>5.64669E-2</v>
      </c>
      <c r="D415">
        <v>4.3685300000000003E-2</v>
      </c>
      <c r="E415">
        <v>0.15945200000000001</v>
      </c>
      <c r="F415">
        <v>0.175728</v>
      </c>
      <c r="G415">
        <v>0.34886600000000001</v>
      </c>
      <c r="H415">
        <v>9.0157699999999993E-2</v>
      </c>
      <c r="I415">
        <v>2.6601400000000001E-2</v>
      </c>
      <c r="J415">
        <v>1.1366599999999999E-2</v>
      </c>
      <c r="K415">
        <v>6.5127400000000004E-3</v>
      </c>
      <c r="L415">
        <v>3.0917800000000001E-3</v>
      </c>
      <c r="M415">
        <v>1.62469E-3</v>
      </c>
      <c r="N415">
        <v>2.9526200000000002E-4</v>
      </c>
      <c r="O415">
        <v>1.41493E-4</v>
      </c>
      <c r="P415">
        <v>1.7051800000000001E-4</v>
      </c>
    </row>
    <row r="416" spans="1:16" x14ac:dyDescent="0.15">
      <c r="A416">
        <v>1985</v>
      </c>
      <c r="B416">
        <v>0.26307700000000001</v>
      </c>
      <c r="C416">
        <v>2.4939699999999999E-2</v>
      </c>
      <c r="D416">
        <v>0.16156400000000001</v>
      </c>
      <c r="E416">
        <v>7.5641299999999995E-2</v>
      </c>
      <c r="F416">
        <v>0.145677</v>
      </c>
      <c r="G416">
        <v>0.10084</v>
      </c>
      <c r="H416">
        <v>0.165688</v>
      </c>
      <c r="I416">
        <v>4.0710799999999998E-2</v>
      </c>
      <c r="J416">
        <v>1.17792E-2</v>
      </c>
      <c r="K416">
        <v>4.9548999999999999E-3</v>
      </c>
      <c r="L416">
        <v>2.8211500000000001E-3</v>
      </c>
      <c r="M416">
        <v>1.33939E-3</v>
      </c>
      <c r="N416">
        <v>7.0388199999999997E-4</v>
      </c>
      <c r="O416">
        <v>1.2792399999999999E-4</v>
      </c>
      <c r="P416">
        <v>1.3518199999999999E-4</v>
      </c>
    </row>
    <row r="417" spans="1:16" x14ac:dyDescent="0.15">
      <c r="A417">
        <v>1986</v>
      </c>
      <c r="B417">
        <v>0.18195700000000001</v>
      </c>
      <c r="C417">
        <v>4.5964199999999997E-2</v>
      </c>
      <c r="D417">
        <v>3.1258500000000002E-2</v>
      </c>
      <c r="E417">
        <v>0.19775499999999999</v>
      </c>
      <c r="F417">
        <v>8.3040000000000003E-2</v>
      </c>
      <c r="G417">
        <v>0.14630799999999999</v>
      </c>
      <c r="H417">
        <v>9.6802899999999997E-2</v>
      </c>
      <c r="I417">
        <v>0.15812300000000001</v>
      </c>
      <c r="J417">
        <v>3.8431100000000003E-2</v>
      </c>
      <c r="K417">
        <v>1.09967E-2</v>
      </c>
      <c r="L417">
        <v>4.6011400000000001E-3</v>
      </c>
      <c r="M417">
        <v>2.61992E-3</v>
      </c>
      <c r="N417">
        <v>1.24391E-3</v>
      </c>
      <c r="O417">
        <v>6.5372100000000001E-4</v>
      </c>
      <c r="P417">
        <v>2.4435599999999999E-4</v>
      </c>
    </row>
    <row r="418" spans="1:16" x14ac:dyDescent="0.15">
      <c r="A418">
        <v>1987</v>
      </c>
      <c r="B418">
        <v>6.2251399999999998E-2</v>
      </c>
      <c r="C418">
        <v>3.03672E-2</v>
      </c>
      <c r="D418">
        <v>0.117351</v>
      </c>
      <c r="E418">
        <v>6.7669900000000005E-2</v>
      </c>
      <c r="F418">
        <v>0.30273699999999998</v>
      </c>
      <c r="G418">
        <v>8.8176699999999997E-2</v>
      </c>
      <c r="H418">
        <v>0.11877500000000001</v>
      </c>
      <c r="I418">
        <v>6.8719000000000002E-2</v>
      </c>
      <c r="J418">
        <v>0.105933</v>
      </c>
      <c r="K418">
        <v>2.4954299999999999E-2</v>
      </c>
      <c r="L418">
        <v>7.0678499999999997E-3</v>
      </c>
      <c r="M418">
        <v>2.9490300000000001E-3</v>
      </c>
      <c r="N418">
        <v>1.67753E-3</v>
      </c>
      <c r="O418">
        <v>7.9619499999999998E-4</v>
      </c>
      <c r="P418">
        <v>5.7475099999999997E-4</v>
      </c>
    </row>
    <row r="419" spans="1:16" x14ac:dyDescent="0.15">
      <c r="A419">
        <v>1988</v>
      </c>
      <c r="B419">
        <v>4.91539E-2</v>
      </c>
      <c r="C419">
        <v>2.83249E-2</v>
      </c>
      <c r="D419">
        <v>7.0274000000000003E-2</v>
      </c>
      <c r="E419">
        <v>0.217642</v>
      </c>
      <c r="F419">
        <v>8.6423200000000006E-2</v>
      </c>
      <c r="G419">
        <v>0.27590199999999998</v>
      </c>
      <c r="H419">
        <v>6.3922099999999996E-2</v>
      </c>
      <c r="I419">
        <v>7.7725600000000006E-2</v>
      </c>
      <c r="J419">
        <v>4.2861499999999997E-2</v>
      </c>
      <c r="K419">
        <v>6.4724500000000004E-2</v>
      </c>
      <c r="L419">
        <v>1.5141999999999999E-2</v>
      </c>
      <c r="M419">
        <v>4.27839E-3</v>
      </c>
      <c r="N419">
        <v>1.7835399999999999E-3</v>
      </c>
      <c r="O419">
        <v>1.0142199999999999E-3</v>
      </c>
      <c r="P419">
        <v>8.2872999999999996E-4</v>
      </c>
    </row>
    <row r="420" spans="1:16" x14ac:dyDescent="0.15">
      <c r="A420">
        <v>1989</v>
      </c>
      <c r="B420">
        <v>6.1586799999999997E-2</v>
      </c>
      <c r="C420">
        <v>2.0346900000000001E-2</v>
      </c>
      <c r="D420">
        <v>4.5271600000000002E-2</v>
      </c>
      <c r="E420">
        <v>0.10670200000000001</v>
      </c>
      <c r="F420">
        <v>0.26312400000000002</v>
      </c>
      <c r="G420">
        <v>8.2693199999999994E-2</v>
      </c>
      <c r="H420">
        <v>0.223251</v>
      </c>
      <c r="I420">
        <v>4.7708199999999999E-2</v>
      </c>
      <c r="J420">
        <v>5.6442699999999998E-2</v>
      </c>
      <c r="K420">
        <v>3.05583E-2</v>
      </c>
      <c r="L420">
        <v>4.5986399999999997E-2</v>
      </c>
      <c r="M420">
        <v>1.0732800000000001E-2</v>
      </c>
      <c r="N420">
        <v>3.0296300000000002E-3</v>
      </c>
      <c r="O420">
        <v>1.26246E-3</v>
      </c>
      <c r="P420">
        <v>1.30426E-3</v>
      </c>
    </row>
    <row r="421" spans="1:16" x14ac:dyDescent="0.15">
      <c r="A421">
        <v>1990</v>
      </c>
      <c r="B421">
        <v>0.15758</v>
      </c>
      <c r="C421">
        <v>2.2865300000000002E-2</v>
      </c>
      <c r="D421">
        <v>2.16539E-2</v>
      </c>
      <c r="E421">
        <v>5.1528999999999998E-2</v>
      </c>
      <c r="F421">
        <v>0.111183</v>
      </c>
      <c r="G421">
        <v>0.241563</v>
      </c>
      <c r="H421">
        <v>6.7868499999999998E-2</v>
      </c>
      <c r="I421">
        <v>0.17394499999999999</v>
      </c>
      <c r="J421">
        <v>3.6806400000000003E-2</v>
      </c>
      <c r="K421">
        <v>4.3527400000000001E-2</v>
      </c>
      <c r="L421">
        <v>2.3534200000000002E-2</v>
      </c>
      <c r="M421">
        <v>3.5384899999999997E-2</v>
      </c>
      <c r="N421">
        <v>8.2557800000000008E-3</v>
      </c>
      <c r="O421">
        <v>2.3301300000000001E-3</v>
      </c>
      <c r="P421">
        <v>1.9739900000000001E-3</v>
      </c>
    </row>
    <row r="422" spans="1:16" x14ac:dyDescent="0.15">
      <c r="A422">
        <v>1991</v>
      </c>
      <c r="B422">
        <v>0.253417</v>
      </c>
      <c r="C422">
        <v>6.9048399999999996E-2</v>
      </c>
      <c r="D422">
        <v>2.66687E-2</v>
      </c>
      <c r="E422">
        <v>2.28259E-2</v>
      </c>
      <c r="F422">
        <v>4.6043899999999999E-2</v>
      </c>
      <c r="G422">
        <v>8.9393700000000006E-2</v>
      </c>
      <c r="H422">
        <v>0.18430199999999999</v>
      </c>
      <c r="I422">
        <v>5.22887E-2</v>
      </c>
      <c r="J422">
        <v>0.135625</v>
      </c>
      <c r="K422">
        <v>2.8954299999999999E-2</v>
      </c>
      <c r="L422">
        <v>3.4559300000000001E-2</v>
      </c>
      <c r="M422">
        <v>1.8716199999999999E-2</v>
      </c>
      <c r="N422">
        <v>2.8159400000000001E-2</v>
      </c>
      <c r="O422">
        <v>6.5716699999999999E-3</v>
      </c>
      <c r="P422">
        <v>3.4264299999999998E-3</v>
      </c>
    </row>
    <row r="423" spans="1:16" x14ac:dyDescent="0.15">
      <c r="A423">
        <v>1992</v>
      </c>
      <c r="B423">
        <v>0.168405</v>
      </c>
      <c r="C423">
        <v>6.1082999999999998E-2</v>
      </c>
      <c r="D423">
        <v>0.206091</v>
      </c>
      <c r="E423">
        <v>7.2844300000000001E-2</v>
      </c>
      <c r="F423">
        <v>4.7061400000000003E-2</v>
      </c>
      <c r="G423">
        <v>6.26829E-2</v>
      </c>
      <c r="H423">
        <v>7.9554899999999998E-2</v>
      </c>
      <c r="I423">
        <v>0.124818</v>
      </c>
      <c r="J423">
        <v>3.1851400000000002E-2</v>
      </c>
      <c r="K423">
        <v>7.8069299999999994E-2</v>
      </c>
      <c r="L423">
        <v>1.6349599999999999E-2</v>
      </c>
      <c r="M423">
        <v>1.9384800000000001E-2</v>
      </c>
      <c r="N423">
        <v>1.04729E-2</v>
      </c>
      <c r="O423">
        <v>1.5743400000000001E-2</v>
      </c>
      <c r="P423">
        <v>5.58772E-3</v>
      </c>
    </row>
    <row r="424" spans="1:16" x14ac:dyDescent="0.15">
      <c r="A424">
        <v>1993</v>
      </c>
      <c r="B424">
        <v>0.23703299999999999</v>
      </c>
      <c r="C424">
        <v>3.9606799999999998E-2</v>
      </c>
      <c r="D424">
        <v>8.9246000000000006E-2</v>
      </c>
      <c r="E424">
        <v>0.29605199999999998</v>
      </c>
      <c r="F424">
        <v>8.6926000000000003E-2</v>
      </c>
      <c r="G424">
        <v>4.0478899999999998E-2</v>
      </c>
      <c r="H424">
        <v>3.7994600000000003E-2</v>
      </c>
      <c r="I424">
        <v>3.8830799999999999E-2</v>
      </c>
      <c r="J424">
        <v>5.6457199999999999E-2</v>
      </c>
      <c r="K424">
        <v>1.4052800000000001E-2</v>
      </c>
      <c r="L424">
        <v>3.4050700000000003E-2</v>
      </c>
      <c r="M424">
        <v>7.0978899999999999E-3</v>
      </c>
      <c r="N424">
        <v>8.40108E-3</v>
      </c>
      <c r="O424">
        <v>4.5359399999999996E-3</v>
      </c>
      <c r="P424">
        <v>9.2363299999999992E-3</v>
      </c>
    </row>
    <row r="425" spans="1:16" x14ac:dyDescent="0.15">
      <c r="A425">
        <v>1994</v>
      </c>
      <c r="B425">
        <v>0.137934</v>
      </c>
      <c r="C425">
        <v>6.4742599999999997E-2</v>
      </c>
      <c r="D425">
        <v>5.9748000000000002E-2</v>
      </c>
      <c r="E425">
        <v>0.13234499999999999</v>
      </c>
      <c r="F425">
        <v>0.359373</v>
      </c>
      <c r="G425">
        <v>8.4228899999999995E-2</v>
      </c>
      <c r="H425">
        <v>3.0343599999999998E-2</v>
      </c>
      <c r="I425">
        <v>2.4605800000000001E-2</v>
      </c>
      <c r="J425">
        <v>2.4113300000000001E-2</v>
      </c>
      <c r="K425">
        <v>3.4805299999999997E-2</v>
      </c>
      <c r="L425">
        <v>8.6930199999999992E-3</v>
      </c>
      <c r="M425">
        <v>2.1017999999999998E-2</v>
      </c>
      <c r="N425">
        <v>4.3779600000000002E-3</v>
      </c>
      <c r="O425">
        <v>5.1804599999999996E-3</v>
      </c>
      <c r="P425">
        <v>8.4915200000000007E-3</v>
      </c>
    </row>
    <row r="426" spans="1:16" x14ac:dyDescent="0.15">
      <c r="A426">
        <v>1995</v>
      </c>
      <c r="B426">
        <v>0.139177</v>
      </c>
      <c r="C426">
        <v>1.2230700000000001E-2</v>
      </c>
      <c r="D426">
        <v>7.7101699999999995E-2</v>
      </c>
      <c r="E426">
        <v>7.4817499999999995E-2</v>
      </c>
      <c r="F426">
        <v>0.15182599999999999</v>
      </c>
      <c r="G426">
        <v>0.349437</v>
      </c>
      <c r="H426">
        <v>7.2334200000000001E-2</v>
      </c>
      <c r="I426">
        <v>2.36397E-2</v>
      </c>
      <c r="J426">
        <v>1.8653300000000001E-2</v>
      </c>
      <c r="K426">
        <v>1.82322E-2</v>
      </c>
      <c r="L426">
        <v>2.6408500000000001E-2</v>
      </c>
      <c r="M426">
        <v>6.5828199999999996E-3</v>
      </c>
      <c r="N426">
        <v>1.59049E-2</v>
      </c>
      <c r="O426">
        <v>3.3121299999999999E-3</v>
      </c>
      <c r="P426">
        <v>1.03421E-2</v>
      </c>
    </row>
    <row r="427" spans="1:16" x14ac:dyDescent="0.15">
      <c r="A427">
        <v>1996</v>
      </c>
      <c r="B427">
        <v>0.231518</v>
      </c>
      <c r="C427">
        <v>1.0466100000000001E-2</v>
      </c>
      <c r="D427">
        <v>2.58829E-2</v>
      </c>
      <c r="E427">
        <v>0.143426</v>
      </c>
      <c r="F427">
        <v>0.10649500000000001</v>
      </c>
      <c r="G427">
        <v>0.14912500000000001</v>
      </c>
      <c r="H427">
        <v>0.23433300000000001</v>
      </c>
      <c r="I427">
        <v>3.91747E-2</v>
      </c>
      <c r="J427">
        <v>1.1674500000000001E-2</v>
      </c>
      <c r="K427">
        <v>9.0199000000000008E-3</v>
      </c>
      <c r="L427">
        <v>8.7902599999999994E-3</v>
      </c>
      <c r="M427">
        <v>1.27057E-2</v>
      </c>
      <c r="N427">
        <v>3.1668E-3</v>
      </c>
      <c r="O427">
        <v>7.65287E-3</v>
      </c>
      <c r="P427">
        <v>6.5701500000000003E-3</v>
      </c>
    </row>
    <row r="428" spans="1:16" x14ac:dyDescent="0.15">
      <c r="A428">
        <v>1997</v>
      </c>
      <c r="B428">
        <v>0.24215999999999999</v>
      </c>
      <c r="C428">
        <v>3.6243600000000001E-2</v>
      </c>
      <c r="D428">
        <v>2.44516E-2</v>
      </c>
      <c r="E428">
        <v>5.53728E-2</v>
      </c>
      <c r="F428">
        <v>0.24158199999999999</v>
      </c>
      <c r="G428">
        <v>0.123851</v>
      </c>
      <c r="H428">
        <v>0.111383</v>
      </c>
      <c r="I428">
        <v>0.12442300000000001</v>
      </c>
      <c r="J428">
        <v>1.72601E-2</v>
      </c>
      <c r="K428">
        <v>4.7630900000000002E-3</v>
      </c>
      <c r="L428">
        <v>3.5545799999999999E-3</v>
      </c>
      <c r="M428">
        <v>3.4039000000000001E-3</v>
      </c>
      <c r="N428">
        <v>4.8870900000000002E-3</v>
      </c>
      <c r="O428">
        <v>1.2149800000000001E-3</v>
      </c>
      <c r="P428">
        <v>5.4500800000000004E-3</v>
      </c>
    </row>
    <row r="429" spans="1:16" x14ac:dyDescent="0.15">
      <c r="A429">
        <v>1998</v>
      </c>
      <c r="B429">
        <v>0.11024299999999999</v>
      </c>
      <c r="C429">
        <v>7.1489800000000006E-2</v>
      </c>
      <c r="D429">
        <v>7.1939199999999995E-2</v>
      </c>
      <c r="E429">
        <v>4.5814399999999998E-2</v>
      </c>
      <c r="F429">
        <v>8.6715600000000004E-2</v>
      </c>
      <c r="G429">
        <v>0.29495900000000003</v>
      </c>
      <c r="H429">
        <v>0.116675</v>
      </c>
      <c r="I429">
        <v>8.6243600000000004E-2</v>
      </c>
      <c r="J429">
        <v>8.8322800000000007E-2</v>
      </c>
      <c r="K429">
        <v>1.1880999999999999E-2</v>
      </c>
      <c r="L429">
        <v>3.2461999999999999E-3</v>
      </c>
      <c r="M429">
        <v>2.4033000000000001E-3</v>
      </c>
      <c r="N429">
        <v>2.29429E-3</v>
      </c>
      <c r="O429">
        <v>3.2901499999999999E-3</v>
      </c>
      <c r="P429">
        <v>4.4828100000000003E-3</v>
      </c>
    </row>
    <row r="430" spans="1:16" x14ac:dyDescent="0.15">
      <c r="A430">
        <v>1999</v>
      </c>
      <c r="B430">
        <v>0.10308299999999999</v>
      </c>
      <c r="C430">
        <v>4.75299E-2</v>
      </c>
      <c r="D430">
        <v>0.133247</v>
      </c>
      <c r="E430">
        <v>0.123124</v>
      </c>
      <c r="F430">
        <v>6.3778500000000002E-2</v>
      </c>
      <c r="G430">
        <v>9.3476100000000006E-2</v>
      </c>
      <c r="H430">
        <v>0.239622</v>
      </c>
      <c r="I430">
        <v>7.8185599999999994E-2</v>
      </c>
      <c r="J430">
        <v>5.1774599999999997E-2</v>
      </c>
      <c r="K430">
        <v>5.0775500000000001E-2</v>
      </c>
      <c r="L430">
        <v>6.7018199999999998E-3</v>
      </c>
      <c r="M430">
        <v>1.8086599999999999E-3</v>
      </c>
      <c r="N430">
        <v>1.33204E-3</v>
      </c>
      <c r="O430">
        <v>1.2688899999999999E-3</v>
      </c>
      <c r="P430">
        <v>4.2924399999999998E-3</v>
      </c>
    </row>
    <row r="431" spans="1:16" x14ac:dyDescent="0.15">
      <c r="A431">
        <v>2000</v>
      </c>
      <c r="B431">
        <v>0.106767</v>
      </c>
      <c r="C431">
        <v>4.05458E-2</v>
      </c>
      <c r="D431">
        <v>5.3014100000000002E-2</v>
      </c>
      <c r="E431">
        <v>0.15956999999999999</v>
      </c>
      <c r="F431">
        <v>0.14158799999999999</v>
      </c>
      <c r="G431">
        <v>6.7537899999999998E-2</v>
      </c>
      <c r="H431">
        <v>8.6724700000000002E-2</v>
      </c>
      <c r="I431">
        <v>0.19578100000000001</v>
      </c>
      <c r="J431">
        <v>6.0518200000000001E-2</v>
      </c>
      <c r="K431">
        <v>3.9095199999999997E-2</v>
      </c>
      <c r="L431">
        <v>3.7685700000000003E-2</v>
      </c>
      <c r="M431">
        <v>4.89808E-3</v>
      </c>
      <c r="N431">
        <v>1.31117E-3</v>
      </c>
      <c r="O431">
        <v>9.6160899999999999E-4</v>
      </c>
      <c r="P431">
        <v>4.00103E-3</v>
      </c>
    </row>
    <row r="432" spans="1:16" x14ac:dyDescent="0.15">
      <c r="A432">
        <v>2001</v>
      </c>
      <c r="B432">
        <v>0.17547299999999999</v>
      </c>
      <c r="C432">
        <v>7.0706500000000005E-2</v>
      </c>
      <c r="D432">
        <v>6.1488399999999999E-2</v>
      </c>
      <c r="E432">
        <v>7.5291899999999995E-2</v>
      </c>
      <c r="F432">
        <v>0.184895</v>
      </c>
      <c r="G432">
        <v>0.13008</v>
      </c>
      <c r="H432">
        <v>5.0699099999999997E-2</v>
      </c>
      <c r="I432">
        <v>5.4829200000000002E-2</v>
      </c>
      <c r="J432">
        <v>0.113202</v>
      </c>
      <c r="K432">
        <v>3.4328200000000003E-2</v>
      </c>
      <c r="L432">
        <v>2.19379E-2</v>
      </c>
      <c r="M432">
        <v>2.0911200000000001E-2</v>
      </c>
      <c r="N432">
        <v>2.7047899999999999E-3</v>
      </c>
      <c r="O432">
        <v>7.2259500000000003E-4</v>
      </c>
      <c r="P432">
        <v>2.72989E-3</v>
      </c>
    </row>
    <row r="433" spans="1:16" x14ac:dyDescent="0.15">
      <c r="A433">
        <v>2002</v>
      </c>
      <c r="B433">
        <v>8.3322199999999999E-2</v>
      </c>
      <c r="C433">
        <v>7.5985499999999997E-2</v>
      </c>
      <c r="D433">
        <v>8.0987400000000001E-2</v>
      </c>
      <c r="E433">
        <v>7.9758499999999996E-2</v>
      </c>
      <c r="F433">
        <v>9.5431500000000002E-2</v>
      </c>
      <c r="G433">
        <v>0.208458</v>
      </c>
      <c r="H433">
        <v>0.13065099999999999</v>
      </c>
      <c r="I433">
        <v>4.5543300000000002E-2</v>
      </c>
      <c r="J433">
        <v>4.54057E-2</v>
      </c>
      <c r="K433">
        <v>9.0717500000000006E-2</v>
      </c>
      <c r="L433">
        <v>2.6729300000000001E-2</v>
      </c>
      <c r="M433">
        <v>1.6696699999999998E-2</v>
      </c>
      <c r="N433">
        <v>1.5724599999999998E-2</v>
      </c>
      <c r="O433">
        <v>2.0213200000000001E-3</v>
      </c>
      <c r="P433">
        <v>2.5679399999999999E-3</v>
      </c>
    </row>
    <row r="434" spans="1:16" x14ac:dyDescent="0.15">
      <c r="A434">
        <v>2003</v>
      </c>
      <c r="B434">
        <v>4.9552899999999997E-2</v>
      </c>
      <c r="C434">
        <v>2.7857300000000002E-2</v>
      </c>
      <c r="D434">
        <v>7.8086500000000003E-2</v>
      </c>
      <c r="E434">
        <v>9.7335099999999994E-2</v>
      </c>
      <c r="F434">
        <v>9.7142699999999998E-2</v>
      </c>
      <c r="G434">
        <v>0.10917</v>
      </c>
      <c r="H434">
        <v>0.21318500000000001</v>
      </c>
      <c r="I434">
        <v>0.12182999999999999</v>
      </c>
      <c r="J434">
        <v>3.9526100000000002E-2</v>
      </c>
      <c r="K434">
        <v>3.8488300000000003E-2</v>
      </c>
      <c r="L434">
        <v>7.5785900000000003E-2</v>
      </c>
      <c r="M434">
        <v>2.1953899999999998E-2</v>
      </c>
      <c r="N434">
        <v>1.36043E-2</v>
      </c>
      <c r="O434">
        <v>1.27651E-2</v>
      </c>
      <c r="P434">
        <v>3.7173900000000001E-3</v>
      </c>
    </row>
    <row r="435" spans="1:16" x14ac:dyDescent="0.15">
      <c r="A435">
        <v>2004</v>
      </c>
      <c r="B435">
        <v>4.7387600000000002E-2</v>
      </c>
      <c r="C435">
        <v>2.1195800000000001E-2</v>
      </c>
      <c r="D435">
        <v>6.38209E-2</v>
      </c>
      <c r="E435">
        <v>0.17776600000000001</v>
      </c>
      <c r="F435">
        <v>0.18642800000000001</v>
      </c>
      <c r="G435">
        <v>0.13155800000000001</v>
      </c>
      <c r="H435">
        <v>9.5080399999999995E-2</v>
      </c>
      <c r="I435">
        <v>0.12890299999999999</v>
      </c>
      <c r="J435">
        <v>5.9248000000000002E-2</v>
      </c>
      <c r="K435">
        <v>1.7669500000000001E-2</v>
      </c>
      <c r="L435">
        <v>1.6727700000000002E-2</v>
      </c>
      <c r="M435">
        <v>3.2273999999999997E-2</v>
      </c>
      <c r="N435">
        <v>9.2759399999999999E-3</v>
      </c>
      <c r="O435">
        <v>5.7308000000000003E-3</v>
      </c>
      <c r="P435">
        <v>6.9345500000000003E-3</v>
      </c>
    </row>
    <row r="436" spans="1:16" x14ac:dyDescent="0.15">
      <c r="A436">
        <v>2005</v>
      </c>
      <c r="B436">
        <v>3.8573000000000003E-2</v>
      </c>
      <c r="C436">
        <v>9.2325600000000008E-3</v>
      </c>
      <c r="D436">
        <v>4.0910599999999998E-2</v>
      </c>
      <c r="E436">
        <v>0.126974</v>
      </c>
      <c r="F436">
        <v>0.28049600000000002</v>
      </c>
      <c r="G436">
        <v>0.208123</v>
      </c>
      <c r="H436">
        <v>0.10018000000000001</v>
      </c>
      <c r="I436">
        <v>5.5396599999999997E-2</v>
      </c>
      <c r="J436">
        <v>6.6543099999999994E-2</v>
      </c>
      <c r="K436">
        <v>2.9729800000000001E-2</v>
      </c>
      <c r="L436">
        <v>8.8195300000000008E-3</v>
      </c>
      <c r="M436">
        <v>8.2804999999999997E-3</v>
      </c>
      <c r="N436">
        <v>1.5927899999999998E-2</v>
      </c>
      <c r="O436">
        <v>4.57282E-3</v>
      </c>
      <c r="P436">
        <v>6.2406800000000002E-3</v>
      </c>
    </row>
    <row r="437" spans="1:16" x14ac:dyDescent="0.15">
      <c r="A437">
        <v>2006</v>
      </c>
      <c r="B437">
        <v>0.14072499999999999</v>
      </c>
      <c r="C437">
        <v>5.53442E-3</v>
      </c>
      <c r="D437">
        <v>1.5747899999999999E-2</v>
      </c>
      <c r="E437">
        <v>6.5901799999999996E-2</v>
      </c>
      <c r="F437">
        <v>0.160385</v>
      </c>
      <c r="G437">
        <v>0.25922499999999998</v>
      </c>
      <c r="H437">
        <v>0.15567800000000001</v>
      </c>
      <c r="I437">
        <v>6.7691799999999996E-2</v>
      </c>
      <c r="J437">
        <v>3.6303599999999998E-2</v>
      </c>
      <c r="K437">
        <v>4.3902400000000001E-2</v>
      </c>
      <c r="L437">
        <v>1.9790700000000001E-2</v>
      </c>
      <c r="M437">
        <v>5.8603800000000001E-3</v>
      </c>
      <c r="N437">
        <v>5.49907E-3</v>
      </c>
      <c r="O437">
        <v>1.05758E-2</v>
      </c>
      <c r="P437">
        <v>7.1793600000000001E-3</v>
      </c>
    </row>
    <row r="438" spans="1:16" x14ac:dyDescent="0.15">
      <c r="A438">
        <v>2007</v>
      </c>
      <c r="B438">
        <v>0.239958</v>
      </c>
      <c r="C438">
        <v>1.45539E-2</v>
      </c>
      <c r="D438">
        <v>1.32351E-2</v>
      </c>
      <c r="E438">
        <v>4.1525100000000002E-2</v>
      </c>
      <c r="F438">
        <v>0.13445699999999999</v>
      </c>
      <c r="G438">
        <v>0.189417</v>
      </c>
      <c r="H438">
        <v>0.187471</v>
      </c>
      <c r="I438">
        <v>8.5522000000000001E-2</v>
      </c>
      <c r="J438">
        <v>3.3021000000000002E-2</v>
      </c>
      <c r="K438">
        <v>1.7214500000000001E-2</v>
      </c>
      <c r="L438">
        <v>2.0725799999999999E-2</v>
      </c>
      <c r="M438">
        <v>9.2830499999999993E-3</v>
      </c>
      <c r="N438">
        <v>2.7428700000000001E-3</v>
      </c>
      <c r="O438">
        <v>2.57187E-3</v>
      </c>
      <c r="P438">
        <v>8.3015799999999994E-3</v>
      </c>
    </row>
    <row r="439" spans="1:16" x14ac:dyDescent="0.15">
      <c r="A439">
        <v>2008</v>
      </c>
      <c r="B439">
        <v>0.10065200000000001</v>
      </c>
      <c r="C439">
        <v>2.6905599999999998E-2</v>
      </c>
      <c r="D439">
        <v>3.34138E-2</v>
      </c>
      <c r="E439">
        <v>3.5687000000000003E-2</v>
      </c>
      <c r="F439">
        <v>9.3929399999999996E-2</v>
      </c>
      <c r="G439">
        <v>0.19068499999999999</v>
      </c>
      <c r="H439">
        <v>0.18912899999999999</v>
      </c>
      <c r="I439">
        <v>0.16987099999999999</v>
      </c>
      <c r="J439">
        <v>7.5585100000000002E-2</v>
      </c>
      <c r="K439">
        <v>2.94408E-2</v>
      </c>
      <c r="L439">
        <v>1.54901E-2</v>
      </c>
      <c r="M439">
        <v>1.8631499999999999E-2</v>
      </c>
      <c r="N439">
        <v>8.3427699999999994E-3</v>
      </c>
      <c r="O439">
        <v>2.4648700000000001E-3</v>
      </c>
      <c r="P439">
        <v>9.7711199999999995E-3</v>
      </c>
    </row>
    <row r="440" spans="1:16" x14ac:dyDescent="0.15">
      <c r="A440">
        <v>2009</v>
      </c>
      <c r="B440">
        <v>0.19234399999999999</v>
      </c>
      <c r="C440">
        <v>1.77182E-2</v>
      </c>
      <c r="D440">
        <v>0.11625099999999999</v>
      </c>
      <c r="E440">
        <v>0.11984300000000001</v>
      </c>
      <c r="F440">
        <v>7.3148299999999999E-2</v>
      </c>
      <c r="G440">
        <v>9.0342000000000006E-2</v>
      </c>
      <c r="H440">
        <v>0.113997</v>
      </c>
      <c r="I440">
        <v>0.10109899999999999</v>
      </c>
      <c r="J440">
        <v>9.0043700000000004E-2</v>
      </c>
      <c r="K440">
        <v>4.0103E-2</v>
      </c>
      <c r="L440">
        <v>1.5787599999999999E-2</v>
      </c>
      <c r="M440">
        <v>8.3041499999999997E-3</v>
      </c>
      <c r="N440">
        <v>9.9875999999999993E-3</v>
      </c>
      <c r="O440">
        <v>4.4721700000000001E-3</v>
      </c>
      <c r="P440">
        <v>6.5591199999999999E-3</v>
      </c>
    </row>
    <row r="441" spans="1:16" x14ac:dyDescent="0.15">
      <c r="A441">
        <v>2010</v>
      </c>
      <c r="B441">
        <v>7.7816999999999997E-2</v>
      </c>
      <c r="C441">
        <v>4.6907200000000003E-2</v>
      </c>
      <c r="D441">
        <v>4.3319400000000001E-2</v>
      </c>
      <c r="E441">
        <v>0.33206000000000002</v>
      </c>
      <c r="F441">
        <v>0.21380199999999999</v>
      </c>
      <c r="G441">
        <v>6.0683399999999998E-2</v>
      </c>
      <c r="H441">
        <v>4.7442600000000001E-2</v>
      </c>
      <c r="I441">
        <v>5.2671700000000002E-2</v>
      </c>
      <c r="J441">
        <v>4.5758E-2</v>
      </c>
      <c r="K441">
        <v>4.0854399999999999E-2</v>
      </c>
      <c r="L441">
        <v>1.8209599999999999E-2</v>
      </c>
      <c r="M441">
        <v>7.1658599999999996E-3</v>
      </c>
      <c r="N441">
        <v>3.7688399999999999E-3</v>
      </c>
      <c r="O441">
        <v>4.5327900000000001E-3</v>
      </c>
      <c r="P441">
        <v>5.0064300000000001E-3</v>
      </c>
    </row>
    <row r="442" spans="1:16" x14ac:dyDescent="0.15">
      <c r="A442">
        <v>2011</v>
      </c>
      <c r="B442">
        <v>0.18482699999999999</v>
      </c>
      <c r="C442">
        <v>9.2796900000000002E-3</v>
      </c>
      <c r="D442">
        <v>7.6452800000000001E-2</v>
      </c>
      <c r="E442">
        <v>5.7775800000000002E-2</v>
      </c>
      <c r="F442">
        <v>0.30525600000000003</v>
      </c>
      <c r="G442">
        <v>0.15820000000000001</v>
      </c>
      <c r="H442">
        <v>4.3107600000000003E-2</v>
      </c>
      <c r="I442">
        <v>3.4083299999999997E-2</v>
      </c>
      <c r="J442">
        <v>3.8327800000000002E-2</v>
      </c>
      <c r="K442">
        <v>3.3730099999999999E-2</v>
      </c>
      <c r="L442">
        <v>3.0283500000000001E-2</v>
      </c>
      <c r="M442">
        <v>1.3498700000000001E-2</v>
      </c>
      <c r="N442">
        <v>5.3120800000000003E-3</v>
      </c>
      <c r="O442">
        <v>2.7938699999999999E-3</v>
      </c>
      <c r="P442">
        <v>7.0714899999999997E-3</v>
      </c>
    </row>
    <row r="443" spans="1:16" x14ac:dyDescent="0.15">
      <c r="A443">
        <v>2012</v>
      </c>
      <c r="B443">
        <v>0.114575</v>
      </c>
      <c r="C443">
        <v>1.9369299999999999E-2</v>
      </c>
      <c r="D443">
        <v>6.5700800000000004E-2</v>
      </c>
      <c r="E443">
        <v>0.32788200000000001</v>
      </c>
      <c r="F443">
        <v>0.11388</v>
      </c>
      <c r="G443">
        <v>0.22734199999999999</v>
      </c>
      <c r="H443">
        <v>6.3149700000000003E-2</v>
      </c>
      <c r="I443">
        <v>1.4294299999999999E-2</v>
      </c>
      <c r="J443">
        <v>1.1003499999999999E-2</v>
      </c>
      <c r="K443">
        <v>1.2458E-2</v>
      </c>
      <c r="L443">
        <v>1.1041199999999999E-2</v>
      </c>
      <c r="M443">
        <v>9.9143200000000008E-3</v>
      </c>
      <c r="N443">
        <v>4.41962E-3</v>
      </c>
      <c r="O443">
        <v>1.7393E-3</v>
      </c>
      <c r="P443">
        <v>3.2301700000000001E-3</v>
      </c>
    </row>
    <row r="444" spans="1:16" x14ac:dyDescent="0.15">
      <c r="A444">
        <v>2013</v>
      </c>
      <c r="B444">
        <v>0.13683100000000001</v>
      </c>
      <c r="C444">
        <v>9.2878700000000002E-3</v>
      </c>
      <c r="D444">
        <v>3.3494299999999998E-2</v>
      </c>
      <c r="E444">
        <v>0.11416</v>
      </c>
      <c r="F444">
        <v>0.43036200000000002</v>
      </c>
      <c r="G444">
        <v>9.4856300000000005E-2</v>
      </c>
      <c r="H444">
        <v>0.123531</v>
      </c>
      <c r="I444">
        <v>2.85948E-2</v>
      </c>
      <c r="J444">
        <v>6.1273300000000003E-3</v>
      </c>
      <c r="K444">
        <v>4.6606699999999996E-3</v>
      </c>
      <c r="L444">
        <v>5.2741100000000003E-3</v>
      </c>
      <c r="M444">
        <v>4.6662600000000002E-3</v>
      </c>
      <c r="N444">
        <v>4.1878799999999997E-3</v>
      </c>
      <c r="O444">
        <v>1.8665999999999999E-3</v>
      </c>
      <c r="P444">
        <v>2.0987100000000002E-3</v>
      </c>
    </row>
    <row r="445" spans="1:16" x14ac:dyDescent="0.15">
      <c r="A445">
        <v>2014</v>
      </c>
      <c r="B445">
        <v>0.13583000000000001</v>
      </c>
      <c r="C445">
        <v>2.4581599999999999E-2</v>
      </c>
      <c r="D445">
        <v>1.6541E-2</v>
      </c>
      <c r="E445">
        <v>5.57647E-2</v>
      </c>
      <c r="F445">
        <v>0.149065</v>
      </c>
      <c r="G445">
        <v>0.420568</v>
      </c>
      <c r="H445">
        <v>7.2130600000000003E-2</v>
      </c>
      <c r="I445">
        <v>8.6441900000000002E-2</v>
      </c>
      <c r="J445">
        <v>1.9468699999999999E-2</v>
      </c>
      <c r="K445">
        <v>4.1625300000000002E-3</v>
      </c>
      <c r="L445">
        <v>3.1646399999999998E-3</v>
      </c>
      <c r="M445">
        <v>3.5799999999999998E-3</v>
      </c>
      <c r="N445">
        <v>3.16717E-3</v>
      </c>
      <c r="O445">
        <v>2.8424399999999999E-3</v>
      </c>
      <c r="P445">
        <v>2.6913599999999998E-3</v>
      </c>
    </row>
    <row r="446" spans="1:16" x14ac:dyDescent="0.15">
      <c r="A446">
        <v>2015</v>
      </c>
      <c r="B446">
        <v>8.31784E-2</v>
      </c>
      <c r="C446">
        <v>5.2369899999999997E-2</v>
      </c>
      <c r="D446">
        <v>0.13810900000000001</v>
      </c>
      <c r="E446">
        <v>6.73237E-2</v>
      </c>
      <c r="F446">
        <v>0.12620600000000001</v>
      </c>
      <c r="G446">
        <v>0.170016</v>
      </c>
      <c r="H446">
        <v>0.27236399999999999</v>
      </c>
      <c r="I446">
        <v>3.4845399999999999E-2</v>
      </c>
      <c r="J446">
        <v>3.8674199999999999E-2</v>
      </c>
      <c r="K446">
        <v>8.4644100000000003E-3</v>
      </c>
      <c r="L446">
        <v>1.79714E-3</v>
      </c>
      <c r="M446">
        <v>1.3636E-3</v>
      </c>
      <c r="N446">
        <v>1.54181E-3</v>
      </c>
      <c r="O446">
        <v>1.36385E-3</v>
      </c>
      <c r="P446">
        <v>2.3828899999999999E-3</v>
      </c>
    </row>
    <row r="447" spans="1:16" x14ac:dyDescent="0.15">
      <c r="A447" t="s">
        <v>169</v>
      </c>
      <c r="B447" t="s">
        <v>132</v>
      </c>
      <c r="C447" t="s">
        <v>128</v>
      </c>
      <c r="D447" t="s">
        <v>167</v>
      </c>
      <c r="E447" t="s">
        <v>158</v>
      </c>
      <c r="F447" t="s">
        <v>159</v>
      </c>
    </row>
    <row r="448" spans="1:16" x14ac:dyDescent="0.15">
      <c r="A448">
        <v>1979</v>
      </c>
      <c r="B448">
        <v>0</v>
      </c>
      <c r="C448">
        <v>0.88811200000000001</v>
      </c>
      <c r="D448">
        <v>8.3862300000000001E-2</v>
      </c>
      <c r="E448">
        <v>8.9173900000000007E-3</v>
      </c>
      <c r="F448">
        <v>1.153E-2</v>
      </c>
      <c r="G448">
        <v>2.7637400000000002E-3</v>
      </c>
      <c r="H448">
        <v>6.4775200000000003E-4</v>
      </c>
      <c r="I448" s="1">
        <v>8.6366999999999995E-5</v>
      </c>
      <c r="J448">
        <v>6.04569E-4</v>
      </c>
      <c r="K448">
        <v>1.2739100000000001E-3</v>
      </c>
      <c r="L448">
        <v>1.4898299999999999E-3</v>
      </c>
      <c r="M448">
        <v>6.2616099999999997E-4</v>
      </c>
      <c r="N448" s="1">
        <v>6.4775200000000003E-5</v>
      </c>
      <c r="O448" s="1">
        <v>2.1591699999999999E-5</v>
      </c>
      <c r="P448">
        <v>0</v>
      </c>
    </row>
    <row r="449" spans="1:16" x14ac:dyDescent="0.15">
      <c r="A449">
        <v>1982</v>
      </c>
      <c r="B449">
        <v>0</v>
      </c>
      <c r="C449">
        <v>0.19101399999999999</v>
      </c>
      <c r="D449">
        <v>0.23072200000000001</v>
      </c>
      <c r="E449">
        <v>0.42892400000000003</v>
      </c>
      <c r="F449">
        <v>0.100534</v>
      </c>
      <c r="G449">
        <v>1.58944E-2</v>
      </c>
      <c r="H449">
        <v>7.91912E-3</v>
      </c>
      <c r="I449">
        <v>9.9971899999999995E-3</v>
      </c>
      <c r="J449">
        <v>5.0547600000000002E-3</v>
      </c>
      <c r="K449">
        <v>3.08902E-3</v>
      </c>
      <c r="L449">
        <v>6.8520100000000004E-3</v>
      </c>
      <c r="M449">
        <v>0</v>
      </c>
      <c r="N449">
        <v>0</v>
      </c>
      <c r="O449">
        <v>0</v>
      </c>
      <c r="P449">
        <v>0</v>
      </c>
    </row>
    <row r="450" spans="1:16" x14ac:dyDescent="0.15">
      <c r="A450">
        <v>1985</v>
      </c>
      <c r="B450">
        <v>0</v>
      </c>
      <c r="C450">
        <v>6.20782E-2</v>
      </c>
      <c r="D450">
        <v>0.54453700000000005</v>
      </c>
      <c r="E450">
        <v>6.0006700000000003E-2</v>
      </c>
      <c r="F450">
        <v>0.14607400000000001</v>
      </c>
      <c r="G450">
        <v>0.10090200000000001</v>
      </c>
      <c r="H450">
        <v>7.5309100000000004E-2</v>
      </c>
      <c r="I450">
        <v>8.6869400000000006E-3</v>
      </c>
      <c r="J450">
        <v>1.4032700000000001E-3</v>
      </c>
      <c r="K450">
        <v>4.6775799999999998E-4</v>
      </c>
      <c r="L450">
        <v>5.3458100000000001E-4</v>
      </c>
      <c r="M450">
        <v>0</v>
      </c>
      <c r="N450">
        <v>0</v>
      </c>
      <c r="O450">
        <v>0</v>
      </c>
      <c r="P450">
        <v>0</v>
      </c>
    </row>
    <row r="451" spans="1:16" x14ac:dyDescent="0.15">
      <c r="A451">
        <v>1988</v>
      </c>
      <c r="B451">
        <v>0</v>
      </c>
      <c r="C451">
        <v>9.0553400000000006E-2</v>
      </c>
      <c r="D451">
        <v>0.292018</v>
      </c>
      <c r="E451">
        <v>0.31465700000000002</v>
      </c>
      <c r="F451">
        <v>6.01789E-2</v>
      </c>
      <c r="G451">
        <v>0.153257</v>
      </c>
      <c r="H451">
        <v>3.2817499999999999E-2</v>
      </c>
      <c r="I451">
        <v>1.2296400000000001E-2</v>
      </c>
      <c r="J451">
        <v>1.0547900000000001E-2</v>
      </c>
      <c r="K451">
        <v>2.07262E-2</v>
      </c>
      <c r="L451">
        <v>1.2947800000000001E-2</v>
      </c>
      <c r="M451">
        <v>0</v>
      </c>
      <c r="N451">
        <v>0</v>
      </c>
      <c r="O451">
        <v>0</v>
      </c>
      <c r="P451">
        <v>0</v>
      </c>
    </row>
    <row r="452" spans="1:16" x14ac:dyDescent="0.15">
      <c r="A452">
        <v>1991</v>
      </c>
      <c r="B452">
        <v>0</v>
      </c>
      <c r="C452">
        <v>0.76878400000000002</v>
      </c>
      <c r="D452">
        <v>0.125108</v>
      </c>
      <c r="E452">
        <v>2.7757E-2</v>
      </c>
      <c r="F452">
        <v>2.8996500000000001E-2</v>
      </c>
      <c r="G452">
        <v>1.7212600000000002E-2</v>
      </c>
      <c r="H452">
        <v>1.5490200000000001E-2</v>
      </c>
      <c r="I452">
        <v>5.0048799999999997E-3</v>
      </c>
      <c r="J452">
        <v>4.7916299999999998E-3</v>
      </c>
      <c r="K452">
        <v>1.89756E-3</v>
      </c>
      <c r="L452">
        <v>2.075E-3</v>
      </c>
      <c r="M452">
        <v>6.8245000000000003E-4</v>
      </c>
      <c r="N452">
        <v>1.0171900000000001E-3</v>
      </c>
      <c r="O452">
        <v>5.9382700000000001E-4</v>
      </c>
      <c r="P452">
        <v>5.8932799999999997E-4</v>
      </c>
    </row>
    <row r="453" spans="1:16" x14ac:dyDescent="0.15">
      <c r="A453">
        <v>1994</v>
      </c>
      <c r="B453">
        <v>0</v>
      </c>
      <c r="C453">
        <v>0.42779499999999998</v>
      </c>
      <c r="D453">
        <v>0.12347</v>
      </c>
      <c r="E453">
        <v>0.18295400000000001</v>
      </c>
      <c r="F453">
        <v>0.20904300000000001</v>
      </c>
      <c r="G453">
        <v>3.21211E-2</v>
      </c>
      <c r="H453">
        <v>7.5938400000000001E-3</v>
      </c>
      <c r="I453">
        <v>7.31374E-3</v>
      </c>
      <c r="J453">
        <v>3.2963699999999999E-3</v>
      </c>
      <c r="K453">
        <v>2.30693E-3</v>
      </c>
      <c r="L453">
        <v>6.9996499999999998E-4</v>
      </c>
      <c r="M453">
        <v>1.4250199999999999E-3</v>
      </c>
      <c r="N453">
        <v>3.2652899999999999E-4</v>
      </c>
      <c r="O453">
        <v>6.2038000000000002E-4</v>
      </c>
      <c r="P453">
        <v>1.0330199999999999E-3</v>
      </c>
    </row>
    <row r="454" spans="1:16" x14ac:dyDescent="0.15">
      <c r="A454">
        <v>1996</v>
      </c>
      <c r="B454">
        <v>0</v>
      </c>
      <c r="C454">
        <v>8.0389799999999997E-2</v>
      </c>
      <c r="D454">
        <v>9.3711600000000006E-2</v>
      </c>
      <c r="E454">
        <v>0.48379800000000001</v>
      </c>
      <c r="F454">
        <v>0.14780299999999999</v>
      </c>
      <c r="G454">
        <v>9.1716900000000004E-2</v>
      </c>
      <c r="H454">
        <v>7.8221100000000002E-2</v>
      </c>
      <c r="I454">
        <v>1.5283700000000001E-2</v>
      </c>
      <c r="J454">
        <v>3.0115400000000001E-3</v>
      </c>
      <c r="K454">
        <v>1.13003E-3</v>
      </c>
      <c r="L454">
        <v>1.02629E-3</v>
      </c>
      <c r="M454">
        <v>2.1871600000000001E-3</v>
      </c>
      <c r="N454">
        <v>2.35541E-4</v>
      </c>
      <c r="O454">
        <v>8.6138299999999996E-4</v>
      </c>
      <c r="P454">
        <v>6.2441799999999996E-4</v>
      </c>
    </row>
    <row r="455" spans="1:16" x14ac:dyDescent="0.15">
      <c r="A455">
        <v>1997</v>
      </c>
      <c r="B455">
        <v>0</v>
      </c>
      <c r="C455">
        <v>0.43401499999999998</v>
      </c>
      <c r="D455">
        <v>6.09747E-2</v>
      </c>
      <c r="E455">
        <v>7.7681899999999998E-2</v>
      </c>
      <c r="F455">
        <v>0.30352400000000002</v>
      </c>
      <c r="G455">
        <v>6.0765399999999997E-2</v>
      </c>
      <c r="H455">
        <v>3.2484499999999999E-2</v>
      </c>
      <c r="I455">
        <v>2.2576599999999999E-2</v>
      </c>
      <c r="J455">
        <v>5.1801399999999997E-3</v>
      </c>
      <c r="K455">
        <v>6.1531499999999996E-4</v>
      </c>
      <c r="L455">
        <v>7.8258500000000003E-4</v>
      </c>
      <c r="M455">
        <v>3.1809999999999998E-4</v>
      </c>
      <c r="N455">
        <v>3.5334500000000003E-4</v>
      </c>
      <c r="O455">
        <v>3.6392E-4</v>
      </c>
      <c r="P455">
        <v>3.6497100000000001E-4</v>
      </c>
    </row>
    <row r="456" spans="1:16" x14ac:dyDescent="0.15">
      <c r="A456">
        <v>1999</v>
      </c>
      <c r="B456">
        <v>0</v>
      </c>
      <c r="C456">
        <v>0.16731499999999999</v>
      </c>
      <c r="D456">
        <v>0.37907400000000002</v>
      </c>
      <c r="E456">
        <v>0.17743</v>
      </c>
      <c r="F456">
        <v>6.1395199999999997E-2</v>
      </c>
      <c r="G456">
        <v>2.88705E-2</v>
      </c>
      <c r="H456">
        <v>0.12320399999999999</v>
      </c>
      <c r="I456">
        <v>4.2179800000000003E-2</v>
      </c>
      <c r="J456">
        <v>1.1028100000000001E-2</v>
      </c>
      <c r="K456">
        <v>7.0476499999999999E-3</v>
      </c>
      <c r="L456">
        <v>1.5243800000000001E-3</v>
      </c>
      <c r="M456">
        <v>6.8201999999999998E-4</v>
      </c>
      <c r="N456">
        <v>1.7602699999999999E-4</v>
      </c>
      <c r="O456">
        <v>0</v>
      </c>
      <c r="P456" s="1">
        <v>7.3060300000000002E-5</v>
      </c>
    </row>
    <row r="457" spans="1:16" x14ac:dyDescent="0.15">
      <c r="A457">
        <v>2000</v>
      </c>
      <c r="B457">
        <v>0</v>
      </c>
      <c r="C457">
        <v>0.172593</v>
      </c>
      <c r="D457">
        <v>0.16073899999999999</v>
      </c>
      <c r="E457">
        <v>0.33641900000000002</v>
      </c>
      <c r="F457">
        <v>0.122047</v>
      </c>
      <c r="G457">
        <v>3.3083799999999997E-2</v>
      </c>
      <c r="H457">
        <v>3.1741499999999999E-2</v>
      </c>
      <c r="I457">
        <v>9.8364199999999999E-2</v>
      </c>
      <c r="J457">
        <v>2.5831799999999999E-2</v>
      </c>
      <c r="K457">
        <v>1.14889E-2</v>
      </c>
      <c r="L457">
        <v>4.8326999999999997E-3</v>
      </c>
      <c r="M457">
        <v>2.45225E-3</v>
      </c>
      <c r="N457">
        <v>1.5823200000000001E-4</v>
      </c>
      <c r="O457">
        <v>1.8382199999999999E-4</v>
      </c>
      <c r="P457" s="1">
        <v>6.35347E-5</v>
      </c>
    </row>
    <row r="458" spans="1:16" x14ac:dyDescent="0.15">
      <c r="A458">
        <v>2002</v>
      </c>
      <c r="B458">
        <v>0</v>
      </c>
      <c r="C458">
        <v>0.36223100000000003</v>
      </c>
      <c r="D458">
        <v>0.33225700000000002</v>
      </c>
      <c r="E458">
        <v>0.112043</v>
      </c>
      <c r="F458">
        <v>5.9283700000000002E-2</v>
      </c>
      <c r="G458">
        <v>5.1324599999999998E-2</v>
      </c>
      <c r="H458">
        <v>2.4875600000000001E-2</v>
      </c>
      <c r="I458">
        <v>8.6494499999999995E-3</v>
      </c>
      <c r="J458">
        <v>1.1393500000000001E-2</v>
      </c>
      <c r="K458">
        <v>2.0576799999999999E-2</v>
      </c>
      <c r="L458">
        <v>1.0196500000000001E-2</v>
      </c>
      <c r="M458">
        <v>4.1608499999999998E-3</v>
      </c>
      <c r="N458">
        <v>2.1798500000000001E-3</v>
      </c>
      <c r="O458">
        <v>5.5583300000000004E-4</v>
      </c>
      <c r="P458">
        <v>2.7284199999999997E-4</v>
      </c>
    </row>
    <row r="459" spans="1:16" x14ac:dyDescent="0.15">
      <c r="A459">
        <v>2004</v>
      </c>
      <c r="B459">
        <v>0</v>
      </c>
      <c r="C459">
        <v>4.0339800000000002E-2</v>
      </c>
      <c r="D459">
        <v>0.174343</v>
      </c>
      <c r="E459">
        <v>0.42954300000000001</v>
      </c>
      <c r="F459">
        <v>0.21182000000000001</v>
      </c>
      <c r="G459">
        <v>6.1158900000000002E-2</v>
      </c>
      <c r="H459">
        <v>2.9696699999999999E-2</v>
      </c>
      <c r="I459">
        <v>2.82705E-2</v>
      </c>
      <c r="J459">
        <v>9.9722200000000004E-3</v>
      </c>
      <c r="K459">
        <v>5.08881E-3</v>
      </c>
      <c r="L459">
        <v>3.6076900000000002E-3</v>
      </c>
      <c r="M459">
        <v>2.9052599999999998E-3</v>
      </c>
      <c r="N459">
        <v>1.78079E-3</v>
      </c>
      <c r="O459">
        <v>8.5052900000000004E-4</v>
      </c>
      <c r="P459">
        <v>6.2339100000000005E-4</v>
      </c>
    </row>
    <row r="460" spans="1:16" x14ac:dyDescent="0.15">
      <c r="A460">
        <v>2006</v>
      </c>
      <c r="B460">
        <v>0</v>
      </c>
      <c r="C460">
        <v>7.0954500000000004E-2</v>
      </c>
      <c r="D460">
        <v>9.5906199999999997E-2</v>
      </c>
      <c r="E460">
        <v>0.20750199999999999</v>
      </c>
      <c r="F460">
        <v>0.236488</v>
      </c>
      <c r="G460">
        <v>0.18767400000000001</v>
      </c>
      <c r="H460">
        <v>0.108739</v>
      </c>
      <c r="I460">
        <v>3.7438300000000001E-2</v>
      </c>
      <c r="J460">
        <v>1.8023000000000001E-2</v>
      </c>
      <c r="K460">
        <v>1.37159E-2</v>
      </c>
      <c r="L460">
        <v>7.9322100000000003E-3</v>
      </c>
      <c r="M460">
        <v>5.5203099999999996E-3</v>
      </c>
      <c r="N460">
        <v>2.9128000000000001E-3</v>
      </c>
      <c r="O460">
        <v>3.3653400000000001E-3</v>
      </c>
      <c r="P460">
        <v>3.8291100000000002E-3</v>
      </c>
    </row>
    <row r="461" spans="1:16" x14ac:dyDescent="0.15">
      <c r="A461">
        <v>2007</v>
      </c>
      <c r="B461">
        <v>0</v>
      </c>
      <c r="C461">
        <v>0.28363100000000002</v>
      </c>
      <c r="D461">
        <v>8.8362599999999999E-2</v>
      </c>
      <c r="E461">
        <v>0.118866</v>
      </c>
      <c r="F461">
        <v>0.18495500000000001</v>
      </c>
      <c r="G461">
        <v>0.162744</v>
      </c>
      <c r="H461">
        <v>8.4482799999999997E-2</v>
      </c>
      <c r="I461">
        <v>4.5938399999999997E-2</v>
      </c>
      <c r="J461">
        <v>1.6638E-2</v>
      </c>
      <c r="K461">
        <v>5.1898100000000004E-3</v>
      </c>
      <c r="L461">
        <v>5.5768700000000003E-3</v>
      </c>
      <c r="M461">
        <v>1.5847000000000001E-3</v>
      </c>
      <c r="N461">
        <v>4.70989E-4</v>
      </c>
      <c r="O461">
        <v>5.8042E-4</v>
      </c>
      <c r="P461">
        <v>9.7914599999999997E-4</v>
      </c>
    </row>
    <row r="462" spans="1:16" x14ac:dyDescent="0.15">
      <c r="A462">
        <v>2008</v>
      </c>
      <c r="B462">
        <v>0</v>
      </c>
      <c r="C462">
        <v>0.62245099999999998</v>
      </c>
      <c r="D462">
        <v>0.22101899999999999</v>
      </c>
      <c r="E462">
        <v>3.0934799999999998E-2</v>
      </c>
      <c r="F462">
        <v>2.2896E-2</v>
      </c>
      <c r="G462">
        <v>3.6459800000000001E-2</v>
      </c>
      <c r="H462">
        <v>2.8361500000000001E-2</v>
      </c>
      <c r="I462">
        <v>1.51453E-2</v>
      </c>
      <c r="J462">
        <v>1.2473E-2</v>
      </c>
      <c r="K462">
        <v>3.20682E-3</v>
      </c>
      <c r="L462">
        <v>3.2455299999999999E-3</v>
      </c>
      <c r="M462">
        <v>1.4844400000000001E-3</v>
      </c>
      <c r="N462">
        <v>9.5449900000000004E-4</v>
      </c>
      <c r="O462">
        <v>4.12979E-4</v>
      </c>
      <c r="P462">
        <v>9.5483299999999998E-4</v>
      </c>
    </row>
    <row r="463" spans="1:16" x14ac:dyDescent="0.15">
      <c r="A463">
        <v>2009</v>
      </c>
      <c r="B463">
        <v>0</v>
      </c>
      <c r="C463">
        <v>0.27786699999999998</v>
      </c>
      <c r="D463">
        <v>0.58345400000000003</v>
      </c>
      <c r="E463">
        <v>6.9321400000000005E-2</v>
      </c>
      <c r="F463">
        <v>1.0822200000000001E-2</v>
      </c>
      <c r="G463">
        <v>1.18161E-2</v>
      </c>
      <c r="H463">
        <v>1.7602199999999998E-2</v>
      </c>
      <c r="I463">
        <v>1.30732E-2</v>
      </c>
      <c r="J463">
        <v>7.2459899999999999E-3</v>
      </c>
      <c r="K463">
        <v>5.5134600000000004E-3</v>
      </c>
      <c r="L463">
        <v>1.9325099999999999E-3</v>
      </c>
      <c r="M463">
        <v>7.5251300000000001E-4</v>
      </c>
      <c r="N463">
        <v>1.7954000000000001E-4</v>
      </c>
      <c r="O463">
        <v>1.45549E-4</v>
      </c>
      <c r="P463">
        <v>2.7432999999999998E-4</v>
      </c>
    </row>
    <row r="464" spans="1:16" x14ac:dyDescent="0.15">
      <c r="A464">
        <v>2010</v>
      </c>
      <c r="B464">
        <v>0</v>
      </c>
      <c r="C464">
        <v>0.63805000000000001</v>
      </c>
      <c r="D464">
        <v>9.7123799999999996E-2</v>
      </c>
      <c r="E464">
        <v>0.21784300000000001</v>
      </c>
      <c r="F464">
        <v>3.8276400000000002E-2</v>
      </c>
      <c r="G464">
        <v>4.6190500000000004E-3</v>
      </c>
      <c r="H464">
        <v>6.20599E-4</v>
      </c>
      <c r="I464">
        <v>7.3831799999999996E-4</v>
      </c>
      <c r="J464">
        <v>6.7735600000000005E-4</v>
      </c>
      <c r="K464">
        <v>6.4644500000000005E-4</v>
      </c>
      <c r="L464">
        <v>5.97655E-4</v>
      </c>
      <c r="M464">
        <v>2.6026700000000001E-4</v>
      </c>
      <c r="N464">
        <v>1.93418E-4</v>
      </c>
      <c r="O464">
        <v>1.2924200000000001E-4</v>
      </c>
      <c r="P464">
        <v>2.23699E-4</v>
      </c>
    </row>
    <row r="465" spans="1:16" x14ac:dyDescent="0.15">
      <c r="A465">
        <v>2012</v>
      </c>
      <c r="B465">
        <v>0</v>
      </c>
      <c r="C465">
        <v>0.29742000000000002</v>
      </c>
      <c r="D465">
        <v>0.24856300000000001</v>
      </c>
      <c r="E465">
        <v>0.37030099999999999</v>
      </c>
      <c r="F465">
        <v>3.07009E-2</v>
      </c>
      <c r="G465">
        <v>3.7281300000000003E-2</v>
      </c>
      <c r="H465">
        <v>9.6402099999999998E-3</v>
      </c>
      <c r="I465">
        <v>1.9818000000000001E-3</v>
      </c>
      <c r="J465">
        <v>1.26224E-3</v>
      </c>
      <c r="K465">
        <v>9.7876600000000005E-4</v>
      </c>
      <c r="L465">
        <v>9.9498800000000004E-4</v>
      </c>
      <c r="M465">
        <v>2.9777500000000001E-4</v>
      </c>
      <c r="N465">
        <v>3.7759399999999998E-4</v>
      </c>
      <c r="O465" s="1">
        <v>8.9782400000000003E-5</v>
      </c>
      <c r="P465">
        <v>1.10802E-4</v>
      </c>
    </row>
    <row r="466" spans="1:16" x14ac:dyDescent="0.15">
      <c r="A466">
        <v>2014</v>
      </c>
      <c r="B466">
        <v>0</v>
      </c>
      <c r="C466">
        <v>0.66548799999999997</v>
      </c>
      <c r="D466">
        <v>7.2712100000000002E-2</v>
      </c>
      <c r="E466">
        <v>8.5023600000000005E-2</v>
      </c>
      <c r="F466">
        <v>6.8931699999999999E-2</v>
      </c>
      <c r="G466">
        <v>7.5288900000000006E-2</v>
      </c>
      <c r="H466">
        <v>2.4481800000000001E-2</v>
      </c>
      <c r="I466">
        <v>5.1673600000000002E-3</v>
      </c>
      <c r="J466">
        <v>1.6588099999999999E-3</v>
      </c>
      <c r="K466">
        <v>4.5017599999999999E-4</v>
      </c>
      <c r="L466">
        <v>2.1221200000000001E-4</v>
      </c>
      <c r="M466">
        <v>1.3956099999999999E-4</v>
      </c>
      <c r="N466">
        <v>2.1548699999999999E-4</v>
      </c>
      <c r="O466" s="1">
        <v>9.6175000000000007E-5</v>
      </c>
      <c r="P466">
        <v>1.3444100000000001E-4</v>
      </c>
    </row>
    <row r="467" spans="1:16" x14ac:dyDescent="0.15">
      <c r="A467" t="s">
        <v>169</v>
      </c>
      <c r="B467" t="s">
        <v>132</v>
      </c>
      <c r="C467" t="s">
        <v>127</v>
      </c>
      <c r="D467" t="s">
        <v>167</v>
      </c>
      <c r="E467" t="s">
        <v>158</v>
      </c>
      <c r="F467" t="s">
        <v>159</v>
      </c>
    </row>
    <row r="468" spans="1:16" x14ac:dyDescent="0.15">
      <c r="A468">
        <v>1979</v>
      </c>
      <c r="B468">
        <v>0</v>
      </c>
      <c r="C468">
        <v>0.88199099999999997</v>
      </c>
      <c r="D468">
        <v>7.5092800000000001E-2</v>
      </c>
      <c r="E468">
        <v>1.9757299999999998E-2</v>
      </c>
      <c r="F468">
        <v>1.2319200000000001E-2</v>
      </c>
      <c r="G468">
        <v>6.0895000000000003E-3</v>
      </c>
      <c r="H468">
        <v>3.3768700000000001E-3</v>
      </c>
      <c r="I468">
        <v>6.5599600000000005E-4</v>
      </c>
      <c r="J468">
        <v>3.2459999999999998E-4</v>
      </c>
      <c r="K468">
        <v>2.1461900000000001E-4</v>
      </c>
      <c r="L468">
        <v>1.00807E-4</v>
      </c>
      <c r="M468" s="1">
        <v>3.8783499999999999E-5</v>
      </c>
      <c r="N468" s="1">
        <v>2.25084E-5</v>
      </c>
      <c r="O468" s="1">
        <v>7.3920499999999998E-6</v>
      </c>
      <c r="P468" s="1">
        <v>8.4693799999999992E-6</v>
      </c>
    </row>
    <row r="469" spans="1:16" x14ac:dyDescent="0.15">
      <c r="A469">
        <v>1982</v>
      </c>
      <c r="B469">
        <v>0</v>
      </c>
      <c r="C469">
        <v>0.29269899999999999</v>
      </c>
      <c r="D469">
        <v>0.20635000000000001</v>
      </c>
      <c r="E469">
        <v>0.36820199999999997</v>
      </c>
      <c r="F469">
        <v>9.1125100000000001E-2</v>
      </c>
      <c r="G469">
        <v>2.3121599999999999E-2</v>
      </c>
      <c r="H469">
        <v>9.5389199999999993E-3</v>
      </c>
      <c r="I469">
        <v>4.8801299999999999E-3</v>
      </c>
      <c r="J469">
        <v>2.3648699999999998E-3</v>
      </c>
      <c r="K469">
        <v>1.2503799999999999E-3</v>
      </c>
      <c r="L469">
        <v>2.2723099999999999E-4</v>
      </c>
      <c r="M469">
        <v>1.08891E-4</v>
      </c>
      <c r="N469" s="1">
        <v>7.1740800000000003E-5</v>
      </c>
      <c r="O469" s="1">
        <v>3.3696799999999999E-5</v>
      </c>
      <c r="P469" s="1">
        <v>2.5790099999999999E-5</v>
      </c>
    </row>
    <row r="470" spans="1:16" x14ac:dyDescent="0.15">
      <c r="A470">
        <v>1985</v>
      </c>
      <c r="B470">
        <v>0</v>
      </c>
      <c r="C470">
        <v>0.13536999999999999</v>
      </c>
      <c r="D470">
        <v>0.42939899999999998</v>
      </c>
      <c r="E470">
        <v>0.10799</v>
      </c>
      <c r="F470">
        <v>0.134824</v>
      </c>
      <c r="G470">
        <v>6.6139500000000004E-2</v>
      </c>
      <c r="H470">
        <v>9.5827499999999996E-2</v>
      </c>
      <c r="I470">
        <v>1.9907899999999999E-2</v>
      </c>
      <c r="J470">
        <v>5.6935500000000003E-3</v>
      </c>
      <c r="K470">
        <v>2.3851900000000001E-3</v>
      </c>
      <c r="L470">
        <v>1.3560899999999999E-3</v>
      </c>
      <c r="M470">
        <v>6.4350500000000005E-4</v>
      </c>
      <c r="N470">
        <v>3.3811699999999997E-4</v>
      </c>
      <c r="O470" s="1">
        <v>6.14457E-5</v>
      </c>
      <c r="P470" s="1">
        <v>6.4930499999999998E-5</v>
      </c>
    </row>
    <row r="471" spans="1:16" x14ac:dyDescent="0.15">
      <c r="A471">
        <v>1988</v>
      </c>
      <c r="B471">
        <v>0</v>
      </c>
      <c r="C471">
        <v>0.117131</v>
      </c>
      <c r="D471">
        <v>0.164516</v>
      </c>
      <c r="E471">
        <v>0.30620999999999998</v>
      </c>
      <c r="F471">
        <v>8.3003800000000003E-2</v>
      </c>
      <c r="G471">
        <v>0.188557</v>
      </c>
      <c r="H471">
        <v>3.8096100000000001E-2</v>
      </c>
      <c r="I471">
        <v>3.8780500000000002E-2</v>
      </c>
      <c r="J471">
        <v>2.10143E-2</v>
      </c>
      <c r="K471">
        <v>3.1508899999999999E-2</v>
      </c>
      <c r="L471">
        <v>7.3502899999999998E-3</v>
      </c>
      <c r="M471">
        <v>2.0744600000000002E-3</v>
      </c>
      <c r="N471">
        <v>8.6438599999999997E-4</v>
      </c>
      <c r="O471">
        <v>4.9144499999999997E-4</v>
      </c>
      <c r="P471">
        <v>4.0153600000000003E-4</v>
      </c>
    </row>
    <row r="472" spans="1:16" x14ac:dyDescent="0.15">
      <c r="A472">
        <v>1991</v>
      </c>
      <c r="B472">
        <v>0</v>
      </c>
      <c r="C472">
        <v>0.66538399999999998</v>
      </c>
      <c r="D472">
        <v>0.114063</v>
      </c>
      <c r="E472">
        <v>4.1491399999999998E-2</v>
      </c>
      <c r="F472">
        <v>3.7391599999999997E-2</v>
      </c>
      <c r="G472">
        <v>3.5105600000000001E-2</v>
      </c>
      <c r="H472">
        <v>4.9243200000000001E-2</v>
      </c>
      <c r="I472">
        <v>1.03867E-2</v>
      </c>
      <c r="J472">
        <v>2.5249400000000002E-2</v>
      </c>
      <c r="K472">
        <v>5.2608000000000004E-3</v>
      </c>
      <c r="L472">
        <v>6.22362E-3</v>
      </c>
      <c r="M472">
        <v>3.3597100000000001E-3</v>
      </c>
      <c r="N472">
        <v>5.0490099999999996E-3</v>
      </c>
      <c r="O472">
        <v>1.17782E-3</v>
      </c>
      <c r="P472">
        <v>6.1401499999999998E-4</v>
      </c>
    </row>
    <row r="473" spans="1:16" x14ac:dyDescent="0.15">
      <c r="A473">
        <v>1994</v>
      </c>
      <c r="B473">
        <v>0</v>
      </c>
      <c r="C473">
        <v>0.447297</v>
      </c>
      <c r="D473">
        <v>0.17313799999999999</v>
      </c>
      <c r="E473">
        <v>0.15502099999999999</v>
      </c>
      <c r="F473">
        <v>0.182394</v>
      </c>
      <c r="G473">
        <v>2.0723599999999998E-2</v>
      </c>
      <c r="H473">
        <v>5.2078899999999997E-3</v>
      </c>
      <c r="I473">
        <v>3.2139199999999999E-3</v>
      </c>
      <c r="J473">
        <v>2.9918800000000001E-3</v>
      </c>
      <c r="K473">
        <v>4.2413399999999997E-3</v>
      </c>
      <c r="L473">
        <v>1.0527900000000001E-3</v>
      </c>
      <c r="M473">
        <v>2.5400800000000001E-3</v>
      </c>
      <c r="N473">
        <v>5.2871000000000005E-4</v>
      </c>
      <c r="O473">
        <v>6.25474E-4</v>
      </c>
      <c r="P473">
        <v>1.02516E-3</v>
      </c>
    </row>
    <row r="474" spans="1:16" x14ac:dyDescent="0.15">
      <c r="A474">
        <v>1996</v>
      </c>
      <c r="B474">
        <v>0</v>
      </c>
      <c r="C474">
        <v>0.13843900000000001</v>
      </c>
      <c r="D474">
        <v>0.162859</v>
      </c>
      <c r="E474">
        <v>0.39998499999999998</v>
      </c>
      <c r="F474">
        <v>0.13025700000000001</v>
      </c>
      <c r="G474">
        <v>7.9228699999999999E-2</v>
      </c>
      <c r="H474">
        <v>7.19751E-2</v>
      </c>
      <c r="I474">
        <v>7.7801600000000004E-3</v>
      </c>
      <c r="J474">
        <v>2.0007499999999999E-3</v>
      </c>
      <c r="K474">
        <v>1.4498600000000001E-3</v>
      </c>
      <c r="L474">
        <v>1.37641E-3</v>
      </c>
      <c r="M474">
        <v>1.9688700000000002E-3</v>
      </c>
      <c r="N474">
        <v>4.8871500000000003E-4</v>
      </c>
      <c r="O474">
        <v>1.17913E-3</v>
      </c>
      <c r="P474">
        <v>1.0116700000000001E-3</v>
      </c>
    </row>
    <row r="475" spans="1:16" x14ac:dyDescent="0.15">
      <c r="A475">
        <v>1997</v>
      </c>
      <c r="B475">
        <v>0</v>
      </c>
      <c r="C475">
        <v>0.318328</v>
      </c>
      <c r="D475">
        <v>0.112659</v>
      </c>
      <c r="E475">
        <v>0.12695200000000001</v>
      </c>
      <c r="F475">
        <v>0.27990399999999999</v>
      </c>
      <c r="G475">
        <v>7.3222599999999999E-2</v>
      </c>
      <c r="H475">
        <v>4.4042400000000002E-2</v>
      </c>
      <c r="I475">
        <v>3.4993099999999999E-2</v>
      </c>
      <c r="J475">
        <v>4.3861000000000004E-3</v>
      </c>
      <c r="K475">
        <v>1.15573E-3</v>
      </c>
      <c r="L475">
        <v>8.4524100000000005E-4</v>
      </c>
      <c r="M475">
        <v>8.0242099999999999E-4</v>
      </c>
      <c r="N475">
        <v>1.1478199999999999E-3</v>
      </c>
      <c r="O475">
        <v>2.8491200000000001E-4</v>
      </c>
      <c r="P475">
        <v>1.2772E-3</v>
      </c>
    </row>
    <row r="476" spans="1:16" x14ac:dyDescent="0.15">
      <c r="A476">
        <v>1999</v>
      </c>
      <c r="B476">
        <v>0</v>
      </c>
      <c r="C476">
        <v>0.207399</v>
      </c>
      <c r="D476">
        <v>0.35642400000000002</v>
      </c>
      <c r="E476">
        <v>0.191911</v>
      </c>
      <c r="F476">
        <v>5.8218100000000002E-2</v>
      </c>
      <c r="G476">
        <v>4.8765500000000003E-2</v>
      </c>
      <c r="H476">
        <v>8.8883699999999996E-2</v>
      </c>
      <c r="I476">
        <v>2.0972999999999999E-2</v>
      </c>
      <c r="J476">
        <v>1.2484E-2</v>
      </c>
      <c r="K476">
        <v>1.15727E-2</v>
      </c>
      <c r="L476">
        <v>1.48442E-3</v>
      </c>
      <c r="M476">
        <v>3.9495399999999999E-4</v>
      </c>
      <c r="N476">
        <v>2.8884800000000002E-4</v>
      </c>
      <c r="O476">
        <v>2.7421500000000002E-4</v>
      </c>
      <c r="P476">
        <v>9.2607500000000005E-4</v>
      </c>
    </row>
    <row r="477" spans="1:16" x14ac:dyDescent="0.15">
      <c r="A477">
        <v>2000</v>
      </c>
      <c r="B477">
        <v>0</v>
      </c>
      <c r="C477">
        <v>0.24279700000000001</v>
      </c>
      <c r="D477">
        <v>0.18046499999999999</v>
      </c>
      <c r="E477">
        <v>0.29186400000000001</v>
      </c>
      <c r="F477">
        <v>0.139543</v>
      </c>
      <c r="G477">
        <v>3.5288199999999999E-2</v>
      </c>
      <c r="H477">
        <v>3.0516499999999998E-2</v>
      </c>
      <c r="I477">
        <v>4.8368500000000002E-2</v>
      </c>
      <c r="J477">
        <v>1.3283100000000001E-2</v>
      </c>
      <c r="K477">
        <v>8.0881600000000005E-3</v>
      </c>
      <c r="L477">
        <v>7.5793700000000002E-3</v>
      </c>
      <c r="M477">
        <v>9.7219500000000003E-4</v>
      </c>
      <c r="N477">
        <v>2.5866799999999998E-4</v>
      </c>
      <c r="O477">
        <v>1.8917599999999999E-4</v>
      </c>
      <c r="P477">
        <v>7.86109E-4</v>
      </c>
    </row>
    <row r="478" spans="1:16" x14ac:dyDescent="0.15">
      <c r="A478">
        <v>2002</v>
      </c>
      <c r="B478">
        <v>0</v>
      </c>
      <c r="C478">
        <v>0.42471199999999998</v>
      </c>
      <c r="D478">
        <v>0.240788</v>
      </c>
      <c r="E478">
        <v>0.118799</v>
      </c>
      <c r="F478">
        <v>7.1360699999999999E-2</v>
      </c>
      <c r="G478">
        <v>7.7652299999999994E-2</v>
      </c>
      <c r="H478">
        <v>3.14288E-2</v>
      </c>
      <c r="I478">
        <v>7.5461499999999997E-3</v>
      </c>
      <c r="J478">
        <v>6.6537000000000002E-3</v>
      </c>
      <c r="K478">
        <v>1.2544400000000001E-2</v>
      </c>
      <c r="L478">
        <v>3.60094E-3</v>
      </c>
      <c r="M478">
        <v>2.2237200000000002E-3</v>
      </c>
      <c r="N478">
        <v>2.08384E-3</v>
      </c>
      <c r="O478">
        <v>2.6729100000000001E-4</v>
      </c>
      <c r="P478">
        <v>3.39258E-4</v>
      </c>
    </row>
    <row r="479" spans="1:16" x14ac:dyDescent="0.15">
      <c r="A479">
        <v>2004</v>
      </c>
      <c r="B479">
        <v>0</v>
      </c>
      <c r="C479">
        <v>0.193047</v>
      </c>
      <c r="D479">
        <v>0.25622499999999998</v>
      </c>
      <c r="E479">
        <v>0.29991499999999999</v>
      </c>
      <c r="F479">
        <v>0.13789899999999999</v>
      </c>
      <c r="G479">
        <v>4.5892000000000002E-2</v>
      </c>
      <c r="H479">
        <v>2.2073700000000002E-2</v>
      </c>
      <c r="I479">
        <v>2.19676E-2</v>
      </c>
      <c r="J479">
        <v>9.4112699999999994E-3</v>
      </c>
      <c r="K479">
        <v>2.73355E-3</v>
      </c>
      <c r="L479">
        <v>2.5630700000000002E-3</v>
      </c>
      <c r="M479">
        <v>4.9280399999999999E-3</v>
      </c>
      <c r="N479">
        <v>1.4146199999999999E-3</v>
      </c>
      <c r="O479">
        <v>8.7358200000000003E-4</v>
      </c>
      <c r="P479">
        <v>1.0569100000000001E-3</v>
      </c>
    </row>
    <row r="480" spans="1:16" x14ac:dyDescent="0.15">
      <c r="A480">
        <v>2006</v>
      </c>
      <c r="B480">
        <v>0</v>
      </c>
      <c r="C480">
        <v>0.114699</v>
      </c>
      <c r="D480">
        <v>0.134598</v>
      </c>
      <c r="E480">
        <v>0.22234200000000001</v>
      </c>
      <c r="F480">
        <v>0.22644</v>
      </c>
      <c r="G480">
        <v>0.17029</v>
      </c>
      <c r="H480">
        <v>6.9163100000000005E-2</v>
      </c>
      <c r="I480">
        <v>2.2545200000000001E-2</v>
      </c>
      <c r="J480">
        <v>1.14226E-2</v>
      </c>
      <c r="K480">
        <v>1.35427E-2</v>
      </c>
      <c r="L480">
        <v>6.06399E-3</v>
      </c>
      <c r="M480">
        <v>1.7916E-3</v>
      </c>
      <c r="N480">
        <v>1.67986E-3</v>
      </c>
      <c r="O480">
        <v>3.22989E-3</v>
      </c>
      <c r="P480">
        <v>2.19242E-3</v>
      </c>
    </row>
    <row r="481" spans="1:35" x14ac:dyDescent="0.15">
      <c r="A481">
        <v>2007</v>
      </c>
      <c r="B481">
        <v>0</v>
      </c>
      <c r="C481">
        <v>0.33937899999999999</v>
      </c>
      <c r="D481">
        <v>0.10417700000000001</v>
      </c>
      <c r="E481">
        <v>0.112181</v>
      </c>
      <c r="F481">
        <v>0.153586</v>
      </c>
      <c r="G481">
        <v>0.119544</v>
      </c>
      <c r="H481">
        <v>9.5810400000000004E-2</v>
      </c>
      <c r="I481">
        <v>3.62409E-2</v>
      </c>
      <c r="J481">
        <v>1.37921E-2</v>
      </c>
      <c r="K481">
        <v>7.1619400000000003E-3</v>
      </c>
      <c r="L481">
        <v>8.6136700000000004E-3</v>
      </c>
      <c r="M481">
        <v>3.8569400000000001E-3</v>
      </c>
      <c r="N481">
        <v>1.1395299999999999E-3</v>
      </c>
      <c r="O481">
        <v>1.06846E-3</v>
      </c>
      <c r="P481">
        <v>3.4488000000000001E-3</v>
      </c>
    </row>
    <row r="482" spans="1:35" x14ac:dyDescent="0.15">
      <c r="A482">
        <v>2008</v>
      </c>
      <c r="B482">
        <v>0</v>
      </c>
      <c r="C482">
        <v>0.57068799999999997</v>
      </c>
      <c r="D482">
        <v>0.18559200000000001</v>
      </c>
      <c r="E482">
        <v>5.2143700000000001E-2</v>
      </c>
      <c r="F482">
        <v>4.6623299999999999E-2</v>
      </c>
      <c r="G482">
        <v>4.8485300000000002E-2</v>
      </c>
      <c r="H482">
        <v>3.9254200000000003E-2</v>
      </c>
      <c r="I482">
        <v>2.9623500000000001E-2</v>
      </c>
      <c r="J482">
        <v>1.3070399999999999E-2</v>
      </c>
      <c r="K482">
        <v>5.0818E-3</v>
      </c>
      <c r="L482">
        <v>2.6727399999999998E-3</v>
      </c>
      <c r="M482">
        <v>3.2145099999999999E-3</v>
      </c>
      <c r="N482">
        <v>1.43936E-3</v>
      </c>
      <c r="O482">
        <v>4.2525700000000001E-4</v>
      </c>
      <c r="P482">
        <v>1.68578E-3</v>
      </c>
    </row>
    <row r="483" spans="1:35" x14ac:dyDescent="0.15">
      <c r="A483">
        <v>2009</v>
      </c>
      <c r="B483">
        <v>0</v>
      </c>
      <c r="C483">
        <v>0.25517000000000001</v>
      </c>
      <c r="D483">
        <v>0.47220600000000001</v>
      </c>
      <c r="E483">
        <v>0.1416</v>
      </c>
      <c r="F483">
        <v>3.3437700000000001E-2</v>
      </c>
      <c r="G483">
        <v>2.31541E-2</v>
      </c>
      <c r="H483">
        <v>2.4518000000000002E-2</v>
      </c>
      <c r="I483">
        <v>1.83619E-2</v>
      </c>
      <c r="J483">
        <v>1.6227100000000001E-2</v>
      </c>
      <c r="K483">
        <v>7.2143399999999996E-3</v>
      </c>
      <c r="L483">
        <v>2.8389800000000001E-3</v>
      </c>
      <c r="M483">
        <v>1.4931499999999999E-3</v>
      </c>
      <c r="N483">
        <v>1.7958099999999999E-3</v>
      </c>
      <c r="O483">
        <v>8.0410799999999999E-4</v>
      </c>
      <c r="P483">
        <v>1.17935E-3</v>
      </c>
    </row>
    <row r="484" spans="1:35" x14ac:dyDescent="0.15">
      <c r="A484">
        <v>2010</v>
      </c>
      <c r="B484">
        <v>0</v>
      </c>
      <c r="C484">
        <v>0.61266399999999999</v>
      </c>
      <c r="D484">
        <v>0.111502</v>
      </c>
      <c r="E484">
        <v>0.19029499999999999</v>
      </c>
      <c r="F484">
        <v>4.8525199999999998E-2</v>
      </c>
      <c r="G484">
        <v>9.1732399999999992E-3</v>
      </c>
      <c r="H484">
        <v>6.55677E-3</v>
      </c>
      <c r="I484">
        <v>6.3055999999999997E-3</v>
      </c>
      <c r="J484">
        <v>5.4707699999999998E-3</v>
      </c>
      <c r="K484">
        <v>4.8834999999999998E-3</v>
      </c>
      <c r="L484">
        <v>2.1765899999999999E-3</v>
      </c>
      <c r="M484">
        <v>8.5653300000000003E-4</v>
      </c>
      <c r="N484">
        <v>4.5048799999999997E-4</v>
      </c>
      <c r="O484">
        <v>5.4180199999999997E-4</v>
      </c>
      <c r="P484">
        <v>5.9841600000000005E-4</v>
      </c>
    </row>
    <row r="485" spans="1:35" x14ac:dyDescent="0.15">
      <c r="A485">
        <v>2012</v>
      </c>
      <c r="B485">
        <v>0</v>
      </c>
      <c r="C485">
        <v>0.19295200000000001</v>
      </c>
      <c r="D485">
        <v>0.23658100000000001</v>
      </c>
      <c r="E485">
        <v>0.42265000000000003</v>
      </c>
      <c r="F485">
        <v>6.0830599999999999E-2</v>
      </c>
      <c r="G485">
        <v>6.24469E-2</v>
      </c>
      <c r="H485">
        <v>1.3262400000000001E-2</v>
      </c>
      <c r="I485">
        <v>2.42509E-3</v>
      </c>
      <c r="J485">
        <v>1.82277E-3</v>
      </c>
      <c r="K485">
        <v>2.0492399999999999E-3</v>
      </c>
      <c r="L485">
        <v>1.8124599999999999E-3</v>
      </c>
      <c r="M485">
        <v>1.6264999999999999E-3</v>
      </c>
      <c r="N485">
        <v>7.2493999999999998E-4</v>
      </c>
      <c r="O485">
        <v>2.8527799999999997E-4</v>
      </c>
      <c r="P485">
        <v>5.2980300000000002E-4</v>
      </c>
    </row>
    <row r="486" spans="1:35" x14ac:dyDescent="0.15">
      <c r="A486">
        <v>2014</v>
      </c>
      <c r="B486">
        <v>0</v>
      </c>
      <c r="C486">
        <v>0.45662900000000001</v>
      </c>
      <c r="D486">
        <v>0.107876</v>
      </c>
      <c r="E486">
        <v>0.12260699999999999</v>
      </c>
      <c r="F486">
        <v>0.12067899999999999</v>
      </c>
      <c r="G486">
        <v>0.15062600000000001</v>
      </c>
      <c r="H486">
        <v>1.7842799999999999E-2</v>
      </c>
      <c r="I486">
        <v>1.6571300000000001E-2</v>
      </c>
      <c r="J486">
        <v>3.5963700000000002E-3</v>
      </c>
      <c r="K486">
        <v>7.60603E-4</v>
      </c>
      <c r="L486">
        <v>5.7644800000000002E-4</v>
      </c>
      <c r="M486">
        <v>6.5152000000000005E-4</v>
      </c>
      <c r="N486">
        <v>5.7624E-4</v>
      </c>
      <c r="O486">
        <v>5.1711900000000002E-4</v>
      </c>
      <c r="P486">
        <v>4.8962300000000001E-4</v>
      </c>
    </row>
    <row r="487" spans="1:35" x14ac:dyDescent="0.15">
      <c r="A487" t="s">
        <v>170</v>
      </c>
      <c r="B487" t="s">
        <v>132</v>
      </c>
      <c r="C487" t="s">
        <v>171</v>
      </c>
    </row>
    <row r="488" spans="1:35" x14ac:dyDescent="0.15">
      <c r="B488">
        <v>9067.01</v>
      </c>
      <c r="C488">
        <v>6248.03</v>
      </c>
      <c r="D488">
        <v>4936.25</v>
      </c>
      <c r="E488">
        <v>11815.9</v>
      </c>
      <c r="F488">
        <v>4173.2700000000004</v>
      </c>
      <c r="G488">
        <v>9972.67</v>
      </c>
      <c r="H488">
        <v>10593.9</v>
      </c>
      <c r="I488">
        <v>9041.5499999999993</v>
      </c>
      <c r="J488">
        <v>6109.98</v>
      </c>
      <c r="K488">
        <v>3665.66</v>
      </c>
      <c r="L488">
        <v>3620.29</v>
      </c>
      <c r="M488">
        <v>3840.69</v>
      </c>
      <c r="N488">
        <v>3836.45</v>
      </c>
      <c r="O488">
        <v>2866.08</v>
      </c>
      <c r="P488">
        <v>3081.31</v>
      </c>
      <c r="Q488">
        <v>4606.42</v>
      </c>
      <c r="R488">
        <v>4713.1499999999996</v>
      </c>
      <c r="S488">
        <v>5187.26</v>
      </c>
      <c r="T488">
        <v>4377.6400000000003</v>
      </c>
      <c r="U488">
        <v>4366.2700000000004</v>
      </c>
      <c r="V488">
        <v>3791.73</v>
      </c>
      <c r="W488">
        <v>2779.9</v>
      </c>
      <c r="X488">
        <v>3830.41</v>
      </c>
      <c r="Y488">
        <v>4623.1899999999996</v>
      </c>
      <c r="Z488">
        <v>3621.2</v>
      </c>
      <c r="AA488">
        <v>3872.32</v>
      </c>
      <c r="AB488">
        <v>2814.21</v>
      </c>
      <c r="AC488">
        <v>2582.0700000000002</v>
      </c>
      <c r="AD488">
        <v>3649.46</v>
      </c>
      <c r="AE488">
        <v>2396.7399999999998</v>
      </c>
      <c r="AF488">
        <v>4273.05</v>
      </c>
      <c r="AG488">
        <v>5459.14</v>
      </c>
      <c r="AH488">
        <v>4530.6499999999996</v>
      </c>
      <c r="AI488">
        <v>6317.52</v>
      </c>
    </row>
    <row r="489" spans="1:35" x14ac:dyDescent="0.15">
      <c r="A489" t="s">
        <v>172</v>
      </c>
      <c r="B489" t="s">
        <v>132</v>
      </c>
      <c r="C489" t="s">
        <v>171</v>
      </c>
    </row>
    <row r="490" spans="1:35" x14ac:dyDescent="0.15">
      <c r="B490">
        <v>12818.7</v>
      </c>
      <c r="C490">
        <v>15926.6</v>
      </c>
      <c r="D490">
        <v>10877.4</v>
      </c>
      <c r="E490">
        <v>15166.2</v>
      </c>
      <c r="F490">
        <v>9997.84</v>
      </c>
      <c r="G490">
        <v>12858.9</v>
      </c>
      <c r="H490">
        <v>18892.400000000001</v>
      </c>
      <c r="I490">
        <v>15757.8</v>
      </c>
      <c r="J490">
        <v>15785.4</v>
      </c>
      <c r="K490">
        <v>8479.68</v>
      </c>
      <c r="L490">
        <v>8325.0300000000007</v>
      </c>
      <c r="M490">
        <v>10213.1</v>
      </c>
      <c r="N490">
        <v>10042.799999999999</v>
      </c>
      <c r="O490">
        <v>13415.1</v>
      </c>
      <c r="P490">
        <v>6213.77</v>
      </c>
      <c r="Q490">
        <v>8496.35</v>
      </c>
      <c r="R490">
        <v>6296.36</v>
      </c>
      <c r="S490">
        <v>9138.4500000000007</v>
      </c>
      <c r="T490">
        <v>11305.7</v>
      </c>
      <c r="U490">
        <v>8144.45</v>
      </c>
      <c r="V490">
        <v>9537.39</v>
      </c>
      <c r="W490">
        <v>15526.5</v>
      </c>
      <c r="X490">
        <v>6744.19</v>
      </c>
      <c r="Y490">
        <v>10345.6</v>
      </c>
      <c r="Z490">
        <v>5056.71</v>
      </c>
      <c r="AA490">
        <v>7357.24</v>
      </c>
      <c r="AB490">
        <v>4636.5</v>
      </c>
      <c r="AC490">
        <v>3648.9</v>
      </c>
      <c r="AD490">
        <v>7033.5</v>
      </c>
      <c r="AE490">
        <v>4950.78</v>
      </c>
      <c r="AF490">
        <v>7317.35</v>
      </c>
      <c r="AG490">
        <v>9055.2000000000007</v>
      </c>
      <c r="AH490">
        <v>14027.1</v>
      </c>
      <c r="AI490">
        <v>13548.4</v>
      </c>
    </row>
    <row r="491" spans="1:35" x14ac:dyDescent="0.15">
      <c r="A491" t="s">
        <v>170</v>
      </c>
      <c r="B491" t="s">
        <v>163</v>
      </c>
      <c r="C491" t="s">
        <v>132</v>
      </c>
      <c r="D491" t="s">
        <v>171</v>
      </c>
    </row>
    <row r="492" spans="1:35" x14ac:dyDescent="0.15">
      <c r="B492">
        <v>16811.5</v>
      </c>
      <c r="C492">
        <v>11227.5</v>
      </c>
      <c r="D492">
        <v>9963.8700000000008</v>
      </c>
      <c r="E492">
        <v>6863.82</v>
      </c>
      <c r="F492">
        <v>8178.66</v>
      </c>
      <c r="G492">
        <v>11003</v>
      </c>
      <c r="H492">
        <v>7775.37</v>
      </c>
      <c r="I492">
        <v>7745.56</v>
      </c>
      <c r="J492">
        <v>8013.87</v>
      </c>
      <c r="K492">
        <v>7453.2</v>
      </c>
      <c r="L492">
        <v>9351.75</v>
      </c>
      <c r="M492">
        <v>7875.12</v>
      </c>
      <c r="N492">
        <v>4119.18</v>
      </c>
      <c r="O492">
        <v>3660.47</v>
      </c>
      <c r="P492">
        <v>5413.52</v>
      </c>
      <c r="Q492">
        <v>5307.07</v>
      </c>
      <c r="R492">
        <v>9882.0300000000007</v>
      </c>
      <c r="S492">
        <v>8782.33</v>
      </c>
      <c r="T492">
        <v>8601.69</v>
      </c>
    </row>
    <row r="493" spans="1:35" x14ac:dyDescent="0.15">
      <c r="A493" t="s">
        <v>172</v>
      </c>
      <c r="B493" t="s">
        <v>163</v>
      </c>
      <c r="C493" t="s">
        <v>132</v>
      </c>
      <c r="D493" t="s">
        <v>171</v>
      </c>
    </row>
    <row r="494" spans="1:35" x14ac:dyDescent="0.15">
      <c r="B494">
        <v>46314</v>
      </c>
      <c r="C494">
        <v>17805</v>
      </c>
      <c r="D494">
        <v>14965</v>
      </c>
      <c r="E494">
        <v>12280</v>
      </c>
      <c r="F494">
        <v>7729.52</v>
      </c>
      <c r="G494">
        <v>9129.6200000000008</v>
      </c>
      <c r="H494">
        <v>5552.9</v>
      </c>
      <c r="I494">
        <v>6319.49</v>
      </c>
      <c r="J494">
        <v>9488.7900000000009</v>
      </c>
      <c r="K494">
        <v>7371.83</v>
      </c>
      <c r="L494">
        <v>11560.4</v>
      </c>
      <c r="M494">
        <v>6818.74</v>
      </c>
      <c r="N494">
        <v>2940.09</v>
      </c>
      <c r="O494">
        <v>3618.12</v>
      </c>
      <c r="P494">
        <v>4667.5</v>
      </c>
      <c r="Q494">
        <v>2869.71</v>
      </c>
      <c r="R494">
        <v>10023</v>
      </c>
      <c r="S494">
        <v>6600.4</v>
      </c>
      <c r="T494">
        <v>12945.2</v>
      </c>
    </row>
    <row r="495" spans="1:35" x14ac:dyDescent="0.15">
      <c r="A495" t="s">
        <v>703</v>
      </c>
      <c r="B495" t="s">
        <v>802</v>
      </c>
      <c r="C495" t="s">
        <v>175</v>
      </c>
    </row>
    <row r="496" spans="1:35" x14ac:dyDescent="0.15">
      <c r="B496">
        <v>2006</v>
      </c>
      <c r="C496">
        <v>2007</v>
      </c>
      <c r="D496">
        <v>2008</v>
      </c>
      <c r="E496">
        <v>2009</v>
      </c>
      <c r="F496">
        <v>2010</v>
      </c>
      <c r="G496">
        <v>2011</v>
      </c>
      <c r="H496">
        <v>2012</v>
      </c>
      <c r="I496">
        <v>2013</v>
      </c>
      <c r="J496">
        <v>2014</v>
      </c>
      <c r="K496">
        <v>2015</v>
      </c>
    </row>
    <row r="497" spans="1:53" x14ac:dyDescent="0.15">
      <c r="A497" t="s">
        <v>170</v>
      </c>
      <c r="B497" t="s">
        <v>802</v>
      </c>
      <c r="C497" t="s">
        <v>175</v>
      </c>
    </row>
    <row r="498" spans="1:53" x14ac:dyDescent="0.15">
      <c r="B498">
        <v>0.48014600000000002</v>
      </c>
      <c r="C498">
        <v>0.40523500000000001</v>
      </c>
      <c r="D498">
        <v>0.35200700000000001</v>
      </c>
      <c r="E498">
        <v>0.43714799999999998</v>
      </c>
      <c r="F498">
        <v>0.60741400000000001</v>
      </c>
      <c r="G498">
        <v>0.640567</v>
      </c>
      <c r="H498">
        <v>0.668238</v>
      </c>
      <c r="I498">
        <v>0.72998799999999997</v>
      </c>
      <c r="J498">
        <v>0.71424799999999999</v>
      </c>
      <c r="K498">
        <v>0.93206199999999995</v>
      </c>
    </row>
    <row r="499" spans="1:53" x14ac:dyDescent="0.15">
      <c r="A499" t="s">
        <v>172</v>
      </c>
      <c r="B499" t="s">
        <v>802</v>
      </c>
      <c r="C499" t="s">
        <v>175</v>
      </c>
      <c r="D499" t="s">
        <v>175</v>
      </c>
    </row>
    <row r="500" spans="1:53" x14ac:dyDescent="0.15">
      <c r="B500">
        <v>0.55495000000000005</v>
      </c>
      <c r="C500">
        <v>0.63787799999999995</v>
      </c>
      <c r="D500">
        <v>0.31631999999999999</v>
      </c>
      <c r="E500">
        <v>0.284835</v>
      </c>
      <c r="F500">
        <v>0.67869199999999996</v>
      </c>
      <c r="G500">
        <v>0.54338600000000004</v>
      </c>
      <c r="H500">
        <v>0.66061400000000003</v>
      </c>
      <c r="I500">
        <v>0.69571799999999995</v>
      </c>
      <c r="J500">
        <v>0.89975799999999995</v>
      </c>
      <c r="K500">
        <v>0.95322899999999999</v>
      </c>
    </row>
    <row r="502" spans="1:53" x14ac:dyDescent="0.15">
      <c r="A502" t="s">
        <v>172</v>
      </c>
      <c r="B502" t="s">
        <v>293</v>
      </c>
      <c r="C502" t="s">
        <v>292</v>
      </c>
    </row>
    <row r="503" spans="1:53" x14ac:dyDescent="0.15">
      <c r="B503">
        <v>2816.44</v>
      </c>
      <c r="C503">
        <v>3473.58</v>
      </c>
      <c r="D503">
        <v>3802.17</v>
      </c>
      <c r="E503">
        <v>5257.3</v>
      </c>
      <c r="F503">
        <v>6712.47</v>
      </c>
      <c r="G503">
        <v>5679.81</v>
      </c>
      <c r="H503">
        <v>5257.33</v>
      </c>
      <c r="I503">
        <v>5726.74</v>
      </c>
      <c r="J503">
        <v>4787.92</v>
      </c>
      <c r="K503">
        <v>4740.99</v>
      </c>
      <c r="L503">
        <v>4271.57</v>
      </c>
      <c r="M503">
        <v>4318.5200000000004</v>
      </c>
    </row>
    <row r="504" spans="1:53" x14ac:dyDescent="0.15">
      <c r="A504" t="s">
        <v>209</v>
      </c>
      <c r="B504" t="s">
        <v>293</v>
      </c>
      <c r="C504" t="s">
        <v>292</v>
      </c>
    </row>
    <row r="505" spans="1:53" x14ac:dyDescent="0.15">
      <c r="B505">
        <v>2560.19</v>
      </c>
      <c r="C505">
        <v>3015.2</v>
      </c>
      <c r="D505">
        <v>3795.65</v>
      </c>
      <c r="E505">
        <v>4828.12</v>
      </c>
      <c r="F505">
        <v>5563.89</v>
      </c>
      <c r="G505">
        <v>6168.68</v>
      </c>
      <c r="H505">
        <v>6402.63</v>
      </c>
      <c r="I505">
        <v>6180.69</v>
      </c>
      <c r="J505">
        <v>5284.13</v>
      </c>
      <c r="K505">
        <v>4369.76</v>
      </c>
      <c r="L505">
        <v>4158.7299999999996</v>
      </c>
      <c r="M505">
        <v>4114.29</v>
      </c>
    </row>
    <row r="507" spans="1:53" x14ac:dyDescent="0.15">
      <c r="A507" t="s">
        <v>129</v>
      </c>
    </row>
    <row r="508" spans="1:53" x14ac:dyDescent="0.15">
      <c r="B508">
        <v>0.11275499999999999</v>
      </c>
      <c r="C508">
        <v>0.12224</v>
      </c>
      <c r="D508">
        <v>0.117886</v>
      </c>
      <c r="E508">
        <v>0.20274400000000001</v>
      </c>
      <c r="F508">
        <v>0.204901</v>
      </c>
      <c r="G508">
        <v>0.21879699999999999</v>
      </c>
      <c r="H508">
        <v>0.29520600000000002</v>
      </c>
      <c r="I508">
        <v>0.40887200000000001</v>
      </c>
      <c r="J508">
        <v>0.46668300000000001</v>
      </c>
      <c r="K508">
        <v>0.52939499999999995</v>
      </c>
      <c r="L508">
        <v>0.59357700000000002</v>
      </c>
      <c r="M508">
        <v>0.51172099999999998</v>
      </c>
      <c r="N508">
        <v>0.43752099999999999</v>
      </c>
      <c r="O508">
        <v>0.36029800000000001</v>
      </c>
      <c r="P508">
        <v>0.36692900000000001</v>
      </c>
      <c r="Q508">
        <v>0.34468500000000002</v>
      </c>
      <c r="R508">
        <v>0.28720400000000001</v>
      </c>
      <c r="S508">
        <v>0.20005400000000001</v>
      </c>
      <c r="T508">
        <v>0.140047</v>
      </c>
      <c r="U508">
        <v>0.121348</v>
      </c>
      <c r="V508">
        <v>0.12717999999999999</v>
      </c>
      <c r="W508">
        <v>0.13072400000000001</v>
      </c>
      <c r="X508">
        <v>0.12721499999999999</v>
      </c>
      <c r="Y508">
        <v>9.4349500000000003E-2</v>
      </c>
      <c r="Z508">
        <v>0.13617199999999999</v>
      </c>
      <c r="AA508">
        <v>0.148343</v>
      </c>
      <c r="AB508">
        <v>0.22036600000000001</v>
      </c>
      <c r="AC508">
        <v>0.24537</v>
      </c>
      <c r="AD508">
        <v>0.33069199999999999</v>
      </c>
      <c r="AE508">
        <v>0.237539</v>
      </c>
      <c r="AF508">
        <v>0.218224</v>
      </c>
      <c r="AG508">
        <v>0.184223</v>
      </c>
      <c r="AH508">
        <v>0.18191599999999999</v>
      </c>
      <c r="AI508">
        <v>0.17485600000000001</v>
      </c>
      <c r="AJ508">
        <v>0.16282199999999999</v>
      </c>
      <c r="AK508">
        <v>0.14102200000000001</v>
      </c>
      <c r="AL508">
        <v>0.160966</v>
      </c>
      <c r="AM508">
        <v>0.185418</v>
      </c>
      <c r="AN508">
        <v>0.20749899999999999</v>
      </c>
      <c r="AO508">
        <v>0.21640300000000001</v>
      </c>
      <c r="AP508">
        <v>0.19553599999999999</v>
      </c>
      <c r="AQ508">
        <v>0.18923100000000001</v>
      </c>
      <c r="AR508">
        <v>0.218364</v>
      </c>
      <c r="AS508">
        <v>0.23238600000000001</v>
      </c>
      <c r="AT508">
        <v>0.24770600000000001</v>
      </c>
      <c r="AU508">
        <v>0.22580500000000001</v>
      </c>
      <c r="AV508">
        <v>0.19770599999999999</v>
      </c>
      <c r="AW508">
        <v>0.26055200000000001</v>
      </c>
      <c r="AX508">
        <v>0.229793</v>
      </c>
      <c r="AY508">
        <v>0.20095199999999999</v>
      </c>
      <c r="AZ508">
        <v>0.19784399999999999</v>
      </c>
      <c r="BA508">
        <v>0.191943</v>
      </c>
    </row>
    <row r="509" spans="1:53" x14ac:dyDescent="0.15">
      <c r="A509" t="s">
        <v>256</v>
      </c>
      <c r="B509" t="s">
        <v>257</v>
      </c>
    </row>
    <row r="510" spans="1:53" x14ac:dyDescent="0.15">
      <c r="B510">
        <v>0.9</v>
      </c>
      <c r="C510">
        <v>0.45</v>
      </c>
      <c r="D510">
        <v>0.3</v>
      </c>
      <c r="E510">
        <v>0.3</v>
      </c>
      <c r="F510">
        <v>0.3</v>
      </c>
      <c r="G510">
        <v>0.3</v>
      </c>
      <c r="H510">
        <v>0.3</v>
      </c>
      <c r="I510">
        <v>0.3</v>
      </c>
      <c r="J510">
        <v>0.3</v>
      </c>
      <c r="K510">
        <v>0.3</v>
      </c>
      <c r="L510">
        <v>0.3</v>
      </c>
      <c r="M510">
        <v>0.3</v>
      </c>
      <c r="N510">
        <v>0.3</v>
      </c>
      <c r="O510">
        <v>0.3</v>
      </c>
      <c r="P510">
        <v>0.3</v>
      </c>
    </row>
    <row r="511" spans="1:53" x14ac:dyDescent="0.15">
      <c r="A511" t="s">
        <v>155</v>
      </c>
      <c r="B511" t="s">
        <v>158</v>
      </c>
      <c r="C511" t="s">
        <v>159</v>
      </c>
      <c r="D511" t="s">
        <v>173</v>
      </c>
    </row>
    <row r="512" spans="1:53" x14ac:dyDescent="0.15">
      <c r="A512">
        <v>1964</v>
      </c>
      <c r="B512">
        <v>2.9449700000000001</v>
      </c>
      <c r="C512">
        <v>45.024700000000003</v>
      </c>
      <c r="D512">
        <v>107.76600000000001</v>
      </c>
      <c r="E512">
        <v>59.7971</v>
      </c>
      <c r="F512">
        <v>25.632300000000001</v>
      </c>
      <c r="G512">
        <v>49.253</v>
      </c>
      <c r="H512">
        <v>21.4252</v>
      </c>
      <c r="I512">
        <v>6.5981199999999998</v>
      </c>
      <c r="J512">
        <v>4.0696899999999996</v>
      </c>
      <c r="K512">
        <v>4.0171299999999999</v>
      </c>
      <c r="L512">
        <v>4.0067599999999999</v>
      </c>
      <c r="M512">
        <v>3.99837</v>
      </c>
      <c r="N512">
        <v>3.9916900000000002</v>
      </c>
      <c r="O512">
        <v>3.9847700000000001</v>
      </c>
      <c r="P512">
        <v>3.9775900000000002</v>
      </c>
    </row>
    <row r="513" spans="1:16" x14ac:dyDescent="0.15">
      <c r="A513">
        <v>1965</v>
      </c>
      <c r="B513">
        <v>10.3154</v>
      </c>
      <c r="C513">
        <v>40.013100000000001</v>
      </c>
      <c r="D513">
        <v>117.306</v>
      </c>
      <c r="E513">
        <v>183.79</v>
      </c>
      <c r="F513">
        <v>40.6937</v>
      </c>
      <c r="G513">
        <v>17.278600000000001</v>
      </c>
      <c r="H513">
        <v>32.986400000000003</v>
      </c>
      <c r="I513">
        <v>14.5161</v>
      </c>
      <c r="J513">
        <v>4.5244200000000001</v>
      </c>
      <c r="K513">
        <v>2.8093900000000001</v>
      </c>
      <c r="L513">
        <v>2.8188499999999999</v>
      </c>
      <c r="M513">
        <v>2.8115800000000002</v>
      </c>
      <c r="N513">
        <v>2.8056899999999998</v>
      </c>
      <c r="O513">
        <v>2.8010000000000002</v>
      </c>
      <c r="P513">
        <v>5.58725</v>
      </c>
    </row>
    <row r="514" spans="1:16" x14ac:dyDescent="0.15">
      <c r="A514">
        <v>1966</v>
      </c>
      <c r="B514">
        <v>7.0567900000000003</v>
      </c>
      <c r="C514">
        <v>127.28700000000001</v>
      </c>
      <c r="D514">
        <v>95.977000000000004</v>
      </c>
      <c r="E514">
        <v>168.73599999999999</v>
      </c>
      <c r="F514">
        <v>108.75700000000001</v>
      </c>
      <c r="G514">
        <v>24.011500000000002</v>
      </c>
      <c r="H514">
        <v>10.3315</v>
      </c>
      <c r="I514">
        <v>19.969100000000001</v>
      </c>
      <c r="J514">
        <v>8.8642000000000003</v>
      </c>
      <c r="K514">
        <v>2.7758099999999999</v>
      </c>
      <c r="L514">
        <v>1.7550300000000001</v>
      </c>
      <c r="M514">
        <v>1.7609399999999999</v>
      </c>
      <c r="N514">
        <v>1.7564</v>
      </c>
      <c r="O514">
        <v>1.7527200000000001</v>
      </c>
      <c r="P514">
        <v>5.2401499999999999</v>
      </c>
    </row>
    <row r="515" spans="1:16" x14ac:dyDescent="0.15">
      <c r="A515">
        <v>1967</v>
      </c>
      <c r="B515">
        <v>19.8325</v>
      </c>
      <c r="C515">
        <v>158.10599999999999</v>
      </c>
      <c r="D515">
        <v>550.76199999999994</v>
      </c>
      <c r="E515">
        <v>216.17400000000001</v>
      </c>
      <c r="F515">
        <v>168.714</v>
      </c>
      <c r="G515">
        <v>108.68899999999999</v>
      </c>
      <c r="H515">
        <v>24.630700000000001</v>
      </c>
      <c r="I515">
        <v>10.7547</v>
      </c>
      <c r="J515">
        <v>20.951899999999998</v>
      </c>
      <c r="K515">
        <v>9.3640100000000004</v>
      </c>
      <c r="L515">
        <v>2.9812400000000001</v>
      </c>
      <c r="M515">
        <v>1.8849100000000001</v>
      </c>
      <c r="N515">
        <v>1.8912599999999999</v>
      </c>
      <c r="O515">
        <v>1.8863799999999999</v>
      </c>
      <c r="P515">
        <v>7.5103799999999996</v>
      </c>
    </row>
    <row r="516" spans="1:16" x14ac:dyDescent="0.15">
      <c r="A516">
        <v>1968</v>
      </c>
      <c r="B516">
        <v>17.624600000000001</v>
      </c>
      <c r="C516">
        <v>269.40899999999999</v>
      </c>
      <c r="D516">
        <v>399.88299999999998</v>
      </c>
      <c r="E516">
        <v>652.26499999999999</v>
      </c>
      <c r="F516">
        <v>122.285</v>
      </c>
      <c r="G516">
        <v>94.715999999999994</v>
      </c>
      <c r="H516">
        <v>62.6036</v>
      </c>
      <c r="I516">
        <v>14.437900000000001</v>
      </c>
      <c r="J516">
        <v>6.3132900000000003</v>
      </c>
      <c r="K516">
        <v>12.345599999999999</v>
      </c>
      <c r="L516">
        <v>5.5741899999999998</v>
      </c>
      <c r="M516">
        <v>1.7746599999999999</v>
      </c>
      <c r="N516">
        <v>1.1220399999999999</v>
      </c>
      <c r="O516">
        <v>1.12582</v>
      </c>
      <c r="P516">
        <v>5.59368</v>
      </c>
    </row>
    <row r="517" spans="1:16" x14ac:dyDescent="0.15">
      <c r="A517">
        <v>1969</v>
      </c>
      <c r="B517">
        <v>23.020800000000001</v>
      </c>
      <c r="C517">
        <v>258.08</v>
      </c>
      <c r="D517">
        <v>724.87699999999995</v>
      </c>
      <c r="E517">
        <v>458.34899999999999</v>
      </c>
      <c r="F517">
        <v>383.6</v>
      </c>
      <c r="G517">
        <v>72.115399999999994</v>
      </c>
      <c r="H517">
        <v>57.475900000000003</v>
      </c>
      <c r="I517">
        <v>38.966999999999999</v>
      </c>
      <c r="J517">
        <v>8.9012100000000007</v>
      </c>
      <c r="K517">
        <v>3.9255</v>
      </c>
      <c r="L517">
        <v>7.7379300000000004</v>
      </c>
      <c r="M517">
        <v>3.49377</v>
      </c>
      <c r="N517">
        <v>1.11232</v>
      </c>
      <c r="O517">
        <v>0.70327099999999998</v>
      </c>
      <c r="P517">
        <v>4.2116300000000004</v>
      </c>
    </row>
    <row r="518" spans="1:16" x14ac:dyDescent="0.15">
      <c r="A518">
        <v>1970</v>
      </c>
      <c r="B518">
        <v>28.426600000000001</v>
      </c>
      <c r="C518">
        <v>433.53100000000001</v>
      </c>
      <c r="D518">
        <v>836.88499999999999</v>
      </c>
      <c r="E518">
        <v>883.78399999999999</v>
      </c>
      <c r="F518">
        <v>330.30700000000002</v>
      </c>
      <c r="G518">
        <v>273.59500000000003</v>
      </c>
      <c r="H518">
        <v>53.134700000000002</v>
      </c>
      <c r="I518">
        <v>43.516399999999997</v>
      </c>
      <c r="J518">
        <v>28.762899999999998</v>
      </c>
      <c r="K518">
        <v>6.8124900000000004</v>
      </c>
      <c r="L518">
        <v>2.9884400000000002</v>
      </c>
      <c r="M518">
        <v>5.8907999999999996</v>
      </c>
      <c r="N518">
        <v>2.65977</v>
      </c>
      <c r="O518">
        <v>0.84679499999999996</v>
      </c>
      <c r="P518">
        <v>3.74166</v>
      </c>
    </row>
    <row r="519" spans="1:16" x14ac:dyDescent="0.15">
      <c r="A519">
        <v>1971</v>
      </c>
      <c r="B519">
        <v>23.405200000000001</v>
      </c>
      <c r="C519">
        <v>558.85</v>
      </c>
      <c r="D519">
        <v>1354.02</v>
      </c>
      <c r="E519">
        <v>926.47900000000004</v>
      </c>
      <c r="F519">
        <v>645.77499999999998</v>
      </c>
      <c r="G519">
        <v>225.71100000000001</v>
      </c>
      <c r="H519">
        <v>192.042</v>
      </c>
      <c r="I519">
        <v>38.1477</v>
      </c>
      <c r="J519">
        <v>29.8721</v>
      </c>
      <c r="K519">
        <v>20.673200000000001</v>
      </c>
      <c r="L519">
        <v>4.6416899999999996</v>
      </c>
      <c r="M519">
        <v>2.0361699999999998</v>
      </c>
      <c r="N519">
        <v>4.0136900000000004</v>
      </c>
      <c r="O519">
        <v>1.81223</v>
      </c>
      <c r="P519">
        <v>3.1263399999999999</v>
      </c>
    </row>
    <row r="520" spans="1:16" x14ac:dyDescent="0.15">
      <c r="A520">
        <v>1972</v>
      </c>
      <c r="B520">
        <v>20.6524</v>
      </c>
      <c r="C520">
        <v>412.95</v>
      </c>
      <c r="D520">
        <v>1450.24</v>
      </c>
      <c r="E520">
        <v>1166.3399999999999</v>
      </c>
      <c r="F520">
        <v>542.80499999999995</v>
      </c>
      <c r="G520">
        <v>341.67899999999997</v>
      </c>
      <c r="H520">
        <v>122.919</v>
      </c>
      <c r="I520">
        <v>106.93300000000001</v>
      </c>
      <c r="J520">
        <v>19.861999999999998</v>
      </c>
      <c r="K520">
        <v>15.8872</v>
      </c>
      <c r="L520">
        <v>10.0486</v>
      </c>
      <c r="M520">
        <v>2.2561800000000001</v>
      </c>
      <c r="N520">
        <v>0.98971799999999999</v>
      </c>
      <c r="O520">
        <v>1.9509300000000001</v>
      </c>
      <c r="P520">
        <v>2.4004799999999999</v>
      </c>
    </row>
    <row r="521" spans="1:16" x14ac:dyDescent="0.15">
      <c r="A521">
        <v>1973</v>
      </c>
      <c r="B521">
        <v>46.252899999999997</v>
      </c>
      <c r="C521">
        <v>390.63400000000001</v>
      </c>
      <c r="D521">
        <v>1025.68</v>
      </c>
      <c r="E521">
        <v>1129.3499999999999</v>
      </c>
      <c r="F521">
        <v>645.81799999999998</v>
      </c>
      <c r="G521">
        <v>271.84199999999998</v>
      </c>
      <c r="H521">
        <v>174.441</v>
      </c>
      <c r="I521">
        <v>64.096800000000002</v>
      </c>
      <c r="J521">
        <v>51.602499999999999</v>
      </c>
      <c r="K521">
        <v>9.5269300000000001</v>
      </c>
      <c r="L521">
        <v>7.1231600000000004</v>
      </c>
      <c r="M521">
        <v>4.5053599999999996</v>
      </c>
      <c r="N521">
        <v>1.0115799999999999</v>
      </c>
      <c r="O521">
        <v>0.44374799999999998</v>
      </c>
      <c r="P521">
        <v>1.95099</v>
      </c>
    </row>
    <row r="522" spans="1:16" x14ac:dyDescent="0.15">
      <c r="A522">
        <v>1974</v>
      </c>
      <c r="B522">
        <v>36.579799999999999</v>
      </c>
      <c r="C522">
        <v>937.22500000000002</v>
      </c>
      <c r="D522">
        <v>950.50900000000001</v>
      </c>
      <c r="E522">
        <v>726.72500000000002</v>
      </c>
      <c r="F522">
        <v>585.54399999999998</v>
      </c>
      <c r="G522">
        <v>298.779</v>
      </c>
      <c r="H522">
        <v>127.459</v>
      </c>
      <c r="I522">
        <v>83.581100000000006</v>
      </c>
      <c r="J522">
        <v>28.242899999999999</v>
      </c>
      <c r="K522">
        <v>21.9937</v>
      </c>
      <c r="L522">
        <v>3.9157999999999999</v>
      </c>
      <c r="M522">
        <v>2.9278</v>
      </c>
      <c r="N522">
        <v>1.85181</v>
      </c>
      <c r="O522">
        <v>0.41578199999999998</v>
      </c>
      <c r="P522">
        <v>0.98429599999999995</v>
      </c>
    </row>
    <row r="523" spans="1:16" x14ac:dyDescent="0.15">
      <c r="A523">
        <v>1975</v>
      </c>
      <c r="B523">
        <v>26.301400000000001</v>
      </c>
      <c r="C523">
        <v>575.69899999999996</v>
      </c>
      <c r="D523">
        <v>1780.88</v>
      </c>
      <c r="E523">
        <v>489.98899999999998</v>
      </c>
      <c r="F523">
        <v>286.221</v>
      </c>
      <c r="G523">
        <v>204.69</v>
      </c>
      <c r="H523">
        <v>106.217</v>
      </c>
      <c r="I523">
        <v>46.302700000000002</v>
      </c>
      <c r="J523">
        <v>27.893000000000001</v>
      </c>
      <c r="K523">
        <v>9.0076900000000002</v>
      </c>
      <c r="L523">
        <v>7.0735900000000003</v>
      </c>
      <c r="M523">
        <v>1.25939</v>
      </c>
      <c r="N523">
        <v>0.94163300000000005</v>
      </c>
      <c r="O523">
        <v>0.59557700000000002</v>
      </c>
      <c r="P523">
        <v>0.450291</v>
      </c>
    </row>
    <row r="524" spans="1:16" x14ac:dyDescent="0.15">
      <c r="A524">
        <v>1976</v>
      </c>
      <c r="B524">
        <v>16.650500000000001</v>
      </c>
      <c r="C524">
        <v>419.88400000000001</v>
      </c>
      <c r="D524">
        <v>1135.6600000000001</v>
      </c>
      <c r="E524">
        <v>944.67100000000005</v>
      </c>
      <c r="F524">
        <v>207.864</v>
      </c>
      <c r="G524">
        <v>108.172</v>
      </c>
      <c r="H524">
        <v>78.598299999999995</v>
      </c>
      <c r="I524">
        <v>41.852800000000002</v>
      </c>
      <c r="J524">
        <v>17.0015</v>
      </c>
      <c r="K524">
        <v>9.70763</v>
      </c>
      <c r="L524">
        <v>3.18811</v>
      </c>
      <c r="M524">
        <v>2.5035699999999999</v>
      </c>
      <c r="N524">
        <v>0.445739</v>
      </c>
      <c r="O524">
        <v>0.33327400000000001</v>
      </c>
      <c r="P524">
        <v>0.370166</v>
      </c>
    </row>
    <row r="525" spans="1:16" x14ac:dyDescent="0.15">
      <c r="A525">
        <v>1977</v>
      </c>
      <c r="B525">
        <v>14.233599999999999</v>
      </c>
      <c r="C525">
        <v>262.70699999999999</v>
      </c>
      <c r="D525">
        <v>816.995</v>
      </c>
      <c r="E525">
        <v>636.10500000000002</v>
      </c>
      <c r="F525">
        <v>418.21899999999999</v>
      </c>
      <c r="G525">
        <v>81.741900000000001</v>
      </c>
      <c r="H525">
        <v>43.296599999999998</v>
      </c>
      <c r="I525">
        <v>32.466999999999999</v>
      </c>
      <c r="J525">
        <v>16.4422</v>
      </c>
      <c r="K525">
        <v>6.2850299999999999</v>
      </c>
      <c r="L525">
        <v>3.6475900000000001</v>
      </c>
      <c r="M525">
        <v>1.19791</v>
      </c>
      <c r="N525">
        <v>0.94070200000000004</v>
      </c>
      <c r="O525">
        <v>0.16748399999999999</v>
      </c>
      <c r="P525">
        <v>0.26431399999999999</v>
      </c>
    </row>
    <row r="526" spans="1:16" x14ac:dyDescent="0.15">
      <c r="A526">
        <v>1978</v>
      </c>
      <c r="B526">
        <v>23.230499999999999</v>
      </c>
      <c r="C526">
        <v>275.91800000000001</v>
      </c>
      <c r="D526">
        <v>632.21400000000006</v>
      </c>
      <c r="E526">
        <v>615.14300000000003</v>
      </c>
      <c r="F526">
        <v>380.67599999999999</v>
      </c>
      <c r="G526">
        <v>210.88399999999999</v>
      </c>
      <c r="H526">
        <v>42.152799999999999</v>
      </c>
      <c r="I526">
        <v>23.0806</v>
      </c>
      <c r="J526">
        <v>16.829899999999999</v>
      </c>
      <c r="K526">
        <v>7.9366399999999997</v>
      </c>
      <c r="L526">
        <v>3.0534699999999999</v>
      </c>
      <c r="M526">
        <v>1.7721199999999999</v>
      </c>
      <c r="N526">
        <v>0.58198499999999997</v>
      </c>
      <c r="O526">
        <v>0.45702300000000001</v>
      </c>
      <c r="P526">
        <v>0.209781</v>
      </c>
    </row>
    <row r="527" spans="1:16" x14ac:dyDescent="0.15">
      <c r="A527">
        <v>1979</v>
      </c>
      <c r="B527">
        <v>45.3185</v>
      </c>
      <c r="C527">
        <v>387.95100000000002</v>
      </c>
      <c r="D527">
        <v>605.80100000000004</v>
      </c>
      <c r="E527">
        <v>467.53300000000002</v>
      </c>
      <c r="F527">
        <v>361.85399999999998</v>
      </c>
      <c r="G527">
        <v>183.69300000000001</v>
      </c>
      <c r="H527">
        <v>101.193</v>
      </c>
      <c r="I527">
        <v>20.793700000000001</v>
      </c>
      <c r="J527">
        <v>11.2613</v>
      </c>
      <c r="K527">
        <v>7.5695499999999996</v>
      </c>
      <c r="L527">
        <v>3.5554299999999999</v>
      </c>
      <c r="M527">
        <v>1.36788</v>
      </c>
      <c r="N527">
        <v>0.79386599999999996</v>
      </c>
      <c r="O527">
        <v>0.260716</v>
      </c>
      <c r="P527">
        <v>0.29871300000000001</v>
      </c>
    </row>
    <row r="528" spans="1:16" x14ac:dyDescent="0.15">
      <c r="A528">
        <v>1980</v>
      </c>
      <c r="B528">
        <v>13.0661</v>
      </c>
      <c r="C528">
        <v>607.75099999999998</v>
      </c>
      <c r="D528">
        <v>789.90599999999995</v>
      </c>
      <c r="E528">
        <v>467.23</v>
      </c>
      <c r="F528">
        <v>268.45699999999999</v>
      </c>
      <c r="G528">
        <v>164.173</v>
      </c>
      <c r="H528">
        <v>80.052099999999996</v>
      </c>
      <c r="I528">
        <v>45.937899999999999</v>
      </c>
      <c r="J528">
        <v>9.4875100000000003</v>
      </c>
      <c r="K528">
        <v>4.7510000000000003</v>
      </c>
      <c r="L528">
        <v>3.1301199999999998</v>
      </c>
      <c r="M528">
        <v>1.4702200000000001</v>
      </c>
      <c r="N528">
        <v>0.565639</v>
      </c>
      <c r="O528">
        <v>0.32827499999999998</v>
      </c>
      <c r="P528">
        <v>0.23133200000000001</v>
      </c>
    </row>
    <row r="529" spans="1:16" x14ac:dyDescent="0.15">
      <c r="A529">
        <v>1981</v>
      </c>
      <c r="B529">
        <v>8.9212299999999995</v>
      </c>
      <c r="C529">
        <v>143.86699999999999</v>
      </c>
      <c r="D529">
        <v>1108.94</v>
      </c>
      <c r="E529">
        <v>622.83500000000004</v>
      </c>
      <c r="F529">
        <v>247.27199999999999</v>
      </c>
      <c r="G529">
        <v>109.994</v>
      </c>
      <c r="H529">
        <v>63.9619</v>
      </c>
      <c r="I529">
        <v>32.504300000000001</v>
      </c>
      <c r="J529">
        <v>19.339300000000001</v>
      </c>
      <c r="K529">
        <v>3.7395299999999998</v>
      </c>
      <c r="L529">
        <v>1.7920100000000001</v>
      </c>
      <c r="M529">
        <v>1.1806300000000001</v>
      </c>
      <c r="N529">
        <v>0.55454499999999995</v>
      </c>
      <c r="O529">
        <v>0.21335000000000001</v>
      </c>
      <c r="P529">
        <v>0.21107500000000001</v>
      </c>
    </row>
    <row r="530" spans="1:16" x14ac:dyDescent="0.15">
      <c r="A530">
        <v>1982</v>
      </c>
      <c r="B530">
        <v>2.9337900000000001</v>
      </c>
      <c r="C530">
        <v>99.345399999999998</v>
      </c>
      <c r="D530">
        <v>268.03300000000002</v>
      </c>
      <c r="E530">
        <v>1054.68</v>
      </c>
      <c r="F530">
        <v>365.12700000000001</v>
      </c>
      <c r="G530">
        <v>110.489</v>
      </c>
      <c r="H530">
        <v>46.943399999999997</v>
      </c>
      <c r="I530">
        <v>28.2059</v>
      </c>
      <c r="J530">
        <v>15.1564</v>
      </c>
      <c r="K530">
        <v>8.5846699999999991</v>
      </c>
      <c r="L530">
        <v>1.56009</v>
      </c>
      <c r="M530">
        <v>0.74760300000000002</v>
      </c>
      <c r="N530">
        <v>0.49254599999999998</v>
      </c>
      <c r="O530">
        <v>0.23135</v>
      </c>
      <c r="P530">
        <v>0.177065</v>
      </c>
    </row>
    <row r="531" spans="1:16" x14ac:dyDescent="0.15">
      <c r="A531">
        <v>1983</v>
      </c>
      <c r="B531">
        <v>6.7556599999999998</v>
      </c>
      <c r="C531">
        <v>42.217700000000001</v>
      </c>
      <c r="D531">
        <v>236.971</v>
      </c>
      <c r="E531">
        <v>350.51600000000002</v>
      </c>
      <c r="F531">
        <v>819.02</v>
      </c>
      <c r="G531">
        <v>215.44399999999999</v>
      </c>
      <c r="H531">
        <v>61.448500000000003</v>
      </c>
      <c r="I531">
        <v>26.6813</v>
      </c>
      <c r="J531">
        <v>17.2163</v>
      </c>
      <c r="K531">
        <v>8.8823699999999999</v>
      </c>
      <c r="L531">
        <v>4.6670600000000002</v>
      </c>
      <c r="M531">
        <v>0.84814199999999995</v>
      </c>
      <c r="N531">
        <v>0.40643499999999999</v>
      </c>
      <c r="O531">
        <v>0.26777299999999998</v>
      </c>
      <c r="P531">
        <v>0.22203500000000001</v>
      </c>
    </row>
    <row r="532" spans="1:16" x14ac:dyDescent="0.15">
      <c r="A532">
        <v>1984</v>
      </c>
      <c r="B532">
        <v>1.59562</v>
      </c>
      <c r="C532">
        <v>117.411</v>
      </c>
      <c r="D532">
        <v>125.721</v>
      </c>
      <c r="E532">
        <v>390.69499999999999</v>
      </c>
      <c r="F532">
        <v>358.02</v>
      </c>
      <c r="G532">
        <v>615.67200000000003</v>
      </c>
      <c r="H532">
        <v>146.93799999999999</v>
      </c>
      <c r="I532">
        <v>42.289499999999997</v>
      </c>
      <c r="J532">
        <v>20.0047</v>
      </c>
      <c r="K532">
        <v>12.312200000000001</v>
      </c>
      <c r="L532">
        <v>5.8424899999999997</v>
      </c>
      <c r="M532">
        <v>3.06982</v>
      </c>
      <c r="N532">
        <v>0.55787500000000001</v>
      </c>
      <c r="O532">
        <v>0.26733699999999999</v>
      </c>
      <c r="P532">
        <v>0.32217699999999999</v>
      </c>
    </row>
    <row r="533" spans="1:16" x14ac:dyDescent="0.15">
      <c r="A533">
        <v>1985</v>
      </c>
      <c r="B533">
        <v>3.7060599999999999</v>
      </c>
      <c r="C533">
        <v>28.276399999999999</v>
      </c>
      <c r="D533">
        <v>377.18299999999999</v>
      </c>
      <c r="E533">
        <v>202.44300000000001</v>
      </c>
      <c r="F533">
        <v>390.97699999999998</v>
      </c>
      <c r="G533">
        <v>273.762</v>
      </c>
      <c r="H533">
        <v>416.61</v>
      </c>
      <c r="I533">
        <v>98.0548</v>
      </c>
      <c r="J533">
        <v>31.092400000000001</v>
      </c>
      <c r="K533">
        <v>13.854799999999999</v>
      </c>
      <c r="L533">
        <v>7.8771399999999998</v>
      </c>
      <c r="M533">
        <v>3.73793</v>
      </c>
      <c r="N533">
        <v>1.9640200000000001</v>
      </c>
      <c r="O533">
        <v>0.35692000000000002</v>
      </c>
      <c r="P533">
        <v>0.377162</v>
      </c>
    </row>
    <row r="534" spans="1:16" x14ac:dyDescent="0.15">
      <c r="A534">
        <v>1986</v>
      </c>
      <c r="B534">
        <v>1.34392</v>
      </c>
      <c r="C534">
        <v>64.088200000000001</v>
      </c>
      <c r="D534">
        <v>91.741600000000005</v>
      </c>
      <c r="E534">
        <v>589.14800000000002</v>
      </c>
      <c r="F534">
        <v>198.083</v>
      </c>
      <c r="G534">
        <v>305.02199999999999</v>
      </c>
      <c r="H534">
        <v>178.291</v>
      </c>
      <c r="I534">
        <v>257.755</v>
      </c>
      <c r="J534">
        <v>68.549499999999995</v>
      </c>
      <c r="K534">
        <v>19.9634</v>
      </c>
      <c r="L534">
        <v>8.3183600000000002</v>
      </c>
      <c r="M534">
        <v>4.7293900000000004</v>
      </c>
      <c r="N534">
        <v>2.2442299999999999</v>
      </c>
      <c r="O534">
        <v>1.17919</v>
      </c>
      <c r="P534">
        <v>0.44073800000000002</v>
      </c>
    </row>
    <row r="535" spans="1:16" x14ac:dyDescent="0.15">
      <c r="A535">
        <v>1987</v>
      </c>
      <c r="B535">
        <v>0.51242100000000002</v>
      </c>
      <c r="C535">
        <v>17.794</v>
      </c>
      <c r="D535">
        <v>169.51499999999999</v>
      </c>
      <c r="E535">
        <v>105.874</v>
      </c>
      <c r="F535">
        <v>435.06</v>
      </c>
      <c r="G535">
        <v>121.276</v>
      </c>
      <c r="H535">
        <v>157.75</v>
      </c>
      <c r="I535">
        <v>85.375699999999995</v>
      </c>
      <c r="J535">
        <v>141.87799999999999</v>
      </c>
      <c r="K535">
        <v>33.375799999999998</v>
      </c>
      <c r="L535">
        <v>9.4195799999999998</v>
      </c>
      <c r="M535">
        <v>3.92496</v>
      </c>
      <c r="N535">
        <v>2.2315299999999998</v>
      </c>
      <c r="O535">
        <v>1.0589200000000001</v>
      </c>
      <c r="P535">
        <v>0.76434899999999995</v>
      </c>
    </row>
    <row r="536" spans="1:16" x14ac:dyDescent="0.15">
      <c r="A536">
        <v>1988</v>
      </c>
      <c r="B536">
        <v>0.48989199999999999</v>
      </c>
      <c r="C536">
        <v>13.8065</v>
      </c>
      <c r="D536">
        <v>106.932</v>
      </c>
      <c r="E536">
        <v>385.44900000000001</v>
      </c>
      <c r="F536">
        <v>164.72200000000001</v>
      </c>
      <c r="G536">
        <v>532.54399999999998</v>
      </c>
      <c r="H536">
        <v>135.67400000000001</v>
      </c>
      <c r="I536">
        <v>151.38800000000001</v>
      </c>
      <c r="J536">
        <v>87.3703</v>
      </c>
      <c r="K536">
        <v>127.813</v>
      </c>
      <c r="L536">
        <v>29.815799999999999</v>
      </c>
      <c r="M536">
        <v>8.4148599999999991</v>
      </c>
      <c r="N536">
        <v>3.50631</v>
      </c>
      <c r="O536">
        <v>1.9935099999999999</v>
      </c>
      <c r="P536">
        <v>1.6288</v>
      </c>
    </row>
    <row r="537" spans="1:16" x14ac:dyDescent="0.15">
      <c r="A537">
        <v>1989</v>
      </c>
      <c r="B537">
        <v>0.97126500000000004</v>
      </c>
      <c r="C537">
        <v>9.7802000000000007</v>
      </c>
      <c r="D537">
        <v>58.916800000000002</v>
      </c>
      <c r="E537">
        <v>170.42500000000001</v>
      </c>
      <c r="F537">
        <v>434.85</v>
      </c>
      <c r="G537">
        <v>144.619</v>
      </c>
      <c r="H537">
        <v>454.39400000000001</v>
      </c>
      <c r="I537">
        <v>90.563699999999997</v>
      </c>
      <c r="J537">
        <v>105.68300000000001</v>
      </c>
      <c r="K537">
        <v>56.448</v>
      </c>
      <c r="L537">
        <v>84.830600000000004</v>
      </c>
      <c r="M537">
        <v>19.789000000000001</v>
      </c>
      <c r="N537">
        <v>5.5850099999999996</v>
      </c>
      <c r="O537">
        <v>2.3271600000000001</v>
      </c>
      <c r="P537">
        <v>2.40415</v>
      </c>
    </row>
    <row r="538" spans="1:16" x14ac:dyDescent="0.15">
      <c r="A538">
        <v>1990</v>
      </c>
      <c r="B538">
        <v>6.0335700000000001</v>
      </c>
      <c r="C538">
        <v>26.856200000000001</v>
      </c>
      <c r="D538">
        <v>55.029800000000002</v>
      </c>
      <c r="E538">
        <v>139.83500000000001</v>
      </c>
      <c r="F538">
        <v>252.61199999999999</v>
      </c>
      <c r="G538">
        <v>513.70500000000004</v>
      </c>
      <c r="H538">
        <v>158.90299999999999</v>
      </c>
      <c r="I538">
        <v>382.04700000000003</v>
      </c>
      <c r="J538">
        <v>79.258799999999994</v>
      </c>
      <c r="K538">
        <v>90.031899999999993</v>
      </c>
      <c r="L538">
        <v>48.602200000000003</v>
      </c>
      <c r="M538">
        <v>73.0398</v>
      </c>
      <c r="N538">
        <v>17.038499999999999</v>
      </c>
      <c r="O538">
        <v>4.8087299999999997</v>
      </c>
      <c r="P538">
        <v>4.0736999999999997</v>
      </c>
    </row>
    <row r="539" spans="1:16" x14ac:dyDescent="0.15">
      <c r="A539">
        <v>1991</v>
      </c>
      <c r="B539">
        <v>2.9782199999999999</v>
      </c>
      <c r="C539">
        <v>120.596</v>
      </c>
      <c r="D539">
        <v>103.94799999999999</v>
      </c>
      <c r="E539">
        <v>97.017399999999995</v>
      </c>
      <c r="F539">
        <v>138.05199999999999</v>
      </c>
      <c r="G539">
        <v>204.654</v>
      </c>
      <c r="H539">
        <v>395.17599999999999</v>
      </c>
      <c r="I539">
        <v>88.421199999999999</v>
      </c>
      <c r="J539">
        <v>227.834</v>
      </c>
      <c r="K539">
        <v>47.752299999999998</v>
      </c>
      <c r="L539">
        <v>56.491799999999998</v>
      </c>
      <c r="M539">
        <v>30.496200000000002</v>
      </c>
      <c r="N539">
        <v>45.829900000000002</v>
      </c>
      <c r="O539">
        <v>10.691000000000001</v>
      </c>
      <c r="P539">
        <v>5.5734199999999996</v>
      </c>
    </row>
    <row r="540" spans="1:16" x14ac:dyDescent="0.15">
      <c r="A540">
        <v>1992</v>
      </c>
      <c r="B540">
        <v>3.01736</v>
      </c>
      <c r="C540">
        <v>76.527799999999999</v>
      </c>
      <c r="D540">
        <v>651.59799999999996</v>
      </c>
      <c r="E540">
        <v>243.38399999999999</v>
      </c>
      <c r="F540">
        <v>115.673</v>
      </c>
      <c r="G540">
        <v>146.148</v>
      </c>
      <c r="H540">
        <v>187.87799999999999</v>
      </c>
      <c r="I540">
        <v>261.86099999999999</v>
      </c>
      <c r="J540">
        <v>64.530799999999999</v>
      </c>
      <c r="K540">
        <v>154.88</v>
      </c>
      <c r="L540">
        <v>32.2378</v>
      </c>
      <c r="M540">
        <v>38.137900000000002</v>
      </c>
      <c r="N540">
        <v>20.588100000000001</v>
      </c>
      <c r="O540">
        <v>30.94</v>
      </c>
      <c r="P540">
        <v>10.9802</v>
      </c>
    </row>
    <row r="541" spans="1:16" x14ac:dyDescent="0.15">
      <c r="A541">
        <v>1993</v>
      </c>
      <c r="B541">
        <v>4.2538200000000002</v>
      </c>
      <c r="C541">
        <v>41.505099999999999</v>
      </c>
      <c r="D541">
        <v>223.20699999999999</v>
      </c>
      <c r="E541">
        <v>989.29100000000005</v>
      </c>
      <c r="F541">
        <v>167.529</v>
      </c>
      <c r="G541">
        <v>78.311800000000005</v>
      </c>
      <c r="H541">
        <v>74.7971</v>
      </c>
      <c r="I541">
        <v>68.857399999999998</v>
      </c>
      <c r="J541">
        <v>95.607500000000002</v>
      </c>
      <c r="K541">
        <v>22.1358</v>
      </c>
      <c r="L541">
        <v>53.407400000000003</v>
      </c>
      <c r="M541">
        <v>11.1166</v>
      </c>
      <c r="N541">
        <v>13.1511</v>
      </c>
      <c r="O541">
        <v>7.0994200000000003</v>
      </c>
      <c r="P541">
        <v>14.455399999999999</v>
      </c>
    </row>
    <row r="542" spans="1:16" x14ac:dyDescent="0.15">
      <c r="A542">
        <v>1994</v>
      </c>
      <c r="B542">
        <v>1.12409</v>
      </c>
      <c r="C542">
        <v>75.591800000000006</v>
      </c>
      <c r="D542">
        <v>134.96700000000001</v>
      </c>
      <c r="E542">
        <v>357.28399999999999</v>
      </c>
      <c r="F542">
        <v>886.01099999999997</v>
      </c>
      <c r="G542">
        <v>161.38499999999999</v>
      </c>
      <c r="H542">
        <v>52.239699999999999</v>
      </c>
      <c r="I542">
        <v>36.708300000000001</v>
      </c>
      <c r="J542">
        <v>33.119399999999999</v>
      </c>
      <c r="K542">
        <v>44.186599999999999</v>
      </c>
      <c r="L542">
        <v>10.968</v>
      </c>
      <c r="M542">
        <v>26.462700000000002</v>
      </c>
      <c r="N542">
        <v>5.5081300000000004</v>
      </c>
      <c r="O542">
        <v>6.5162199999999997</v>
      </c>
      <c r="P542">
        <v>10.680099999999999</v>
      </c>
    </row>
    <row r="543" spans="1:16" x14ac:dyDescent="0.15">
      <c r="A543">
        <v>1995</v>
      </c>
      <c r="B543">
        <v>0.58406999999999998</v>
      </c>
      <c r="C543">
        <v>19.812899999999999</v>
      </c>
      <c r="D543">
        <v>202.21199999999999</v>
      </c>
      <c r="E543">
        <v>183.09200000000001</v>
      </c>
      <c r="F543">
        <v>361.16199999999998</v>
      </c>
      <c r="G543">
        <v>744.80100000000004</v>
      </c>
      <c r="H543">
        <v>97.234700000000004</v>
      </c>
      <c r="I543">
        <v>24.5656</v>
      </c>
      <c r="J543">
        <v>16.526399999999999</v>
      </c>
      <c r="K543">
        <v>14.6839</v>
      </c>
      <c r="L543">
        <v>21.0045</v>
      </c>
      <c r="M543">
        <v>5.2137500000000001</v>
      </c>
      <c r="N543">
        <v>12.5793</v>
      </c>
      <c r="O543">
        <v>2.6183399999999999</v>
      </c>
      <c r="P543">
        <v>8.1744400000000006</v>
      </c>
    </row>
    <row r="544" spans="1:16" x14ac:dyDescent="0.15">
      <c r="A544">
        <v>1996</v>
      </c>
      <c r="B544">
        <v>1.19638</v>
      </c>
      <c r="C544">
        <v>13.8064</v>
      </c>
      <c r="D544">
        <v>66.111999999999995</v>
      </c>
      <c r="E544">
        <v>289.24200000000002</v>
      </c>
      <c r="F544">
        <v>246</v>
      </c>
      <c r="G544">
        <v>390.53300000000002</v>
      </c>
      <c r="H544">
        <v>485.98500000000001</v>
      </c>
      <c r="I544">
        <v>57.238799999999998</v>
      </c>
      <c r="J544">
        <v>13.2248</v>
      </c>
      <c r="K544">
        <v>8.90625</v>
      </c>
      <c r="L544">
        <v>8.4550599999999996</v>
      </c>
      <c r="M544">
        <v>12.0945</v>
      </c>
      <c r="N544">
        <v>3.0021</v>
      </c>
      <c r="O544">
        <v>7.2431999999999999</v>
      </c>
      <c r="P544">
        <v>6.2145299999999999</v>
      </c>
    </row>
    <row r="545" spans="1:16" x14ac:dyDescent="0.15">
      <c r="A545">
        <v>1997</v>
      </c>
      <c r="B545">
        <v>1.57995</v>
      </c>
      <c r="C545">
        <v>32.2819</v>
      </c>
      <c r="D545">
        <v>48.7712</v>
      </c>
      <c r="E545">
        <v>105.139</v>
      </c>
      <c r="F545">
        <v>484.65199999999999</v>
      </c>
      <c r="G545">
        <v>303.62599999999998</v>
      </c>
      <c r="H545">
        <v>261.92899999999997</v>
      </c>
      <c r="I545">
        <v>238.94900000000001</v>
      </c>
      <c r="J545">
        <v>28.7501</v>
      </c>
      <c r="K545">
        <v>7.0081199999999999</v>
      </c>
      <c r="L545">
        <v>5.1253700000000002</v>
      </c>
      <c r="M545">
        <v>4.86571</v>
      </c>
      <c r="N545">
        <v>6.9601199999999999</v>
      </c>
      <c r="O545">
        <v>1.7276499999999999</v>
      </c>
      <c r="P545">
        <v>7.74465</v>
      </c>
    </row>
    <row r="546" spans="1:16" x14ac:dyDescent="0.15">
      <c r="A546">
        <v>1998</v>
      </c>
      <c r="B546">
        <v>0.677122</v>
      </c>
      <c r="C546">
        <v>39.904000000000003</v>
      </c>
      <c r="D546">
        <v>122.806</v>
      </c>
      <c r="E546">
        <v>81.278999999999996</v>
      </c>
      <c r="F546">
        <v>158.065</v>
      </c>
      <c r="G546">
        <v>624.98699999999997</v>
      </c>
      <c r="H546">
        <v>212.75399999999999</v>
      </c>
      <c r="I546">
        <v>138.113</v>
      </c>
      <c r="J546">
        <v>121.842</v>
      </c>
      <c r="K546">
        <v>14.352399999999999</v>
      </c>
      <c r="L546">
        <v>3.8186800000000001</v>
      </c>
      <c r="M546">
        <v>2.79278</v>
      </c>
      <c r="N546">
        <v>2.6512899999999999</v>
      </c>
      <c r="O546">
        <v>3.7925200000000001</v>
      </c>
      <c r="P546">
        <v>5.1613899999999999</v>
      </c>
    </row>
    <row r="547" spans="1:16" x14ac:dyDescent="0.15">
      <c r="A547">
        <v>1999</v>
      </c>
      <c r="B547">
        <v>0.65597099999999997</v>
      </c>
      <c r="C547">
        <v>15.231999999999999</v>
      </c>
      <c r="D547">
        <v>210.11099999999999</v>
      </c>
      <c r="E547">
        <v>210.13399999999999</v>
      </c>
      <c r="F547">
        <v>111.16</v>
      </c>
      <c r="G547">
        <v>166.14099999999999</v>
      </c>
      <c r="H547">
        <v>438.84300000000002</v>
      </c>
      <c r="I547">
        <v>122.133</v>
      </c>
      <c r="J547">
        <v>67.074200000000005</v>
      </c>
      <c r="K547">
        <v>55.654400000000003</v>
      </c>
      <c r="L547">
        <v>7.1387099999999997</v>
      </c>
      <c r="M547">
        <v>1.89937</v>
      </c>
      <c r="N547">
        <v>1.3891</v>
      </c>
      <c r="O547">
        <v>1.31873</v>
      </c>
      <c r="P547">
        <v>4.4535799999999997</v>
      </c>
    </row>
    <row r="548" spans="1:16" x14ac:dyDescent="0.15">
      <c r="A548">
        <v>2000</v>
      </c>
      <c r="B548">
        <v>1.1015200000000001</v>
      </c>
      <c r="C548">
        <v>16.9923</v>
      </c>
      <c r="D548">
        <v>91.265000000000001</v>
      </c>
      <c r="E548">
        <v>391.46899999999999</v>
      </c>
      <c r="F548">
        <v>337.625</v>
      </c>
      <c r="G548">
        <v>132.61799999999999</v>
      </c>
      <c r="H548">
        <v>159.65600000000001</v>
      </c>
      <c r="I548">
        <v>318.108</v>
      </c>
      <c r="J548">
        <v>74.628200000000007</v>
      </c>
      <c r="K548">
        <v>39.913800000000002</v>
      </c>
      <c r="L548">
        <v>37.402999999999999</v>
      </c>
      <c r="M548">
        <v>4.7976299999999998</v>
      </c>
      <c r="N548">
        <v>1.2764899999999999</v>
      </c>
      <c r="O548">
        <v>0.93355399999999999</v>
      </c>
      <c r="P548">
        <v>3.8793199999999999</v>
      </c>
    </row>
    <row r="549" spans="1:16" x14ac:dyDescent="0.15">
      <c r="A549">
        <v>2001</v>
      </c>
      <c r="B549">
        <v>1.68652</v>
      </c>
      <c r="C549">
        <v>26.379200000000001</v>
      </c>
      <c r="D549">
        <v>96.090400000000002</v>
      </c>
      <c r="E549">
        <v>190.095</v>
      </c>
      <c r="F549">
        <v>593.81500000000005</v>
      </c>
      <c r="G549">
        <v>394.23899999999998</v>
      </c>
      <c r="H549">
        <v>119.72499999999999</v>
      </c>
      <c r="I549">
        <v>105.33199999999999</v>
      </c>
      <c r="J549">
        <v>171.24199999999999</v>
      </c>
      <c r="K549">
        <v>43.886400000000002</v>
      </c>
      <c r="L549">
        <v>27.101500000000001</v>
      </c>
      <c r="M549">
        <v>25.396699999999999</v>
      </c>
      <c r="N549">
        <v>3.2576000000000001</v>
      </c>
      <c r="O549">
        <v>0.86673699999999998</v>
      </c>
      <c r="P549">
        <v>3.2679499999999999</v>
      </c>
    </row>
    <row r="550" spans="1:16" x14ac:dyDescent="0.15">
      <c r="A550">
        <v>2002</v>
      </c>
      <c r="B550">
        <v>1.1498999999999999</v>
      </c>
      <c r="C550">
        <v>41.032899999999998</v>
      </c>
      <c r="D550">
        <v>162.553</v>
      </c>
      <c r="E550">
        <v>230.85300000000001</v>
      </c>
      <c r="F550">
        <v>302.82400000000001</v>
      </c>
      <c r="G550">
        <v>636.45799999999997</v>
      </c>
      <c r="H550">
        <v>275.68</v>
      </c>
      <c r="I550">
        <v>74.552800000000005</v>
      </c>
      <c r="J550">
        <v>59.312899999999999</v>
      </c>
      <c r="K550">
        <v>96.728300000000004</v>
      </c>
      <c r="L550">
        <v>27.766400000000001</v>
      </c>
      <c r="M550">
        <v>17.146799999999999</v>
      </c>
      <c r="N550">
        <v>16.068200000000001</v>
      </c>
      <c r="O550">
        <v>2.0610400000000002</v>
      </c>
      <c r="P550">
        <v>2.6159699999999999</v>
      </c>
    </row>
    <row r="551" spans="1:16" x14ac:dyDescent="0.15">
      <c r="A551">
        <v>2003</v>
      </c>
      <c r="B551">
        <v>0.73024699999999998</v>
      </c>
      <c r="C551">
        <v>25.1203</v>
      </c>
      <c r="D551">
        <v>301.233</v>
      </c>
      <c r="E551">
        <v>399.88</v>
      </c>
      <c r="F551">
        <v>363.00200000000001</v>
      </c>
      <c r="G551">
        <v>298.61599999999999</v>
      </c>
      <c r="H551">
        <v>367.97500000000002</v>
      </c>
      <c r="I551">
        <v>150.90700000000001</v>
      </c>
      <c r="J551">
        <v>37.892200000000003</v>
      </c>
      <c r="K551">
        <v>29.4785</v>
      </c>
      <c r="L551">
        <v>56.678600000000003</v>
      </c>
      <c r="M551">
        <v>16.2699</v>
      </c>
      <c r="N551">
        <v>10.0473</v>
      </c>
      <c r="O551">
        <v>9.4152400000000007</v>
      </c>
      <c r="P551">
        <v>2.7405200000000001</v>
      </c>
    </row>
    <row r="552" spans="1:16" x14ac:dyDescent="0.15">
      <c r="A552">
        <v>2004</v>
      </c>
      <c r="B552">
        <v>0.29003800000000002</v>
      </c>
      <c r="C552">
        <v>12.976599999999999</v>
      </c>
      <c r="D552">
        <v>141.536</v>
      </c>
      <c r="E552">
        <v>724.28700000000003</v>
      </c>
      <c r="F552">
        <v>526.76300000000003</v>
      </c>
      <c r="G552">
        <v>277.99200000000002</v>
      </c>
      <c r="H552">
        <v>152.40799999999999</v>
      </c>
      <c r="I552">
        <v>167.434</v>
      </c>
      <c r="J552">
        <v>64.519400000000005</v>
      </c>
      <c r="K552">
        <v>16.340900000000001</v>
      </c>
      <c r="L552">
        <v>15.3218</v>
      </c>
      <c r="M552">
        <v>29.459399999999999</v>
      </c>
      <c r="N552">
        <v>8.4564599999999999</v>
      </c>
      <c r="O552">
        <v>5.2221900000000003</v>
      </c>
      <c r="P552">
        <v>6.3181099999999999</v>
      </c>
    </row>
    <row r="553" spans="1:16" x14ac:dyDescent="0.15">
      <c r="A553">
        <v>2005</v>
      </c>
      <c r="B553">
        <v>0.18759700000000001</v>
      </c>
      <c r="C553">
        <v>5.5083799999999998</v>
      </c>
      <c r="D553">
        <v>80.7898</v>
      </c>
      <c r="E553">
        <v>402.35599999999999</v>
      </c>
      <c r="F553">
        <v>859.81700000000001</v>
      </c>
      <c r="G553">
        <v>450.66699999999997</v>
      </c>
      <c r="H553">
        <v>157.501</v>
      </c>
      <c r="I553">
        <v>74.055499999999995</v>
      </c>
      <c r="J553">
        <v>79.339200000000005</v>
      </c>
      <c r="K553">
        <v>30.8947</v>
      </c>
      <c r="L553">
        <v>9.1278000000000006</v>
      </c>
      <c r="M553">
        <v>8.5585500000000003</v>
      </c>
      <c r="N553">
        <v>16.4556</v>
      </c>
      <c r="O553">
        <v>4.7236599999999997</v>
      </c>
      <c r="P553">
        <v>6.4462400000000004</v>
      </c>
    </row>
    <row r="554" spans="1:16" x14ac:dyDescent="0.15">
      <c r="A554">
        <v>2006</v>
      </c>
      <c r="B554">
        <v>0.55152999999999996</v>
      </c>
      <c r="C554">
        <v>4.2814199999999998</v>
      </c>
      <c r="D554">
        <v>45.11</v>
      </c>
      <c r="E554">
        <v>273.72800000000001</v>
      </c>
      <c r="F554">
        <v>587.26</v>
      </c>
      <c r="G554">
        <v>684.53700000000003</v>
      </c>
      <c r="H554">
        <v>268.69499999999999</v>
      </c>
      <c r="I554">
        <v>94.052000000000007</v>
      </c>
      <c r="J554">
        <v>43.982100000000003</v>
      </c>
      <c r="K554">
        <v>46.909399999999998</v>
      </c>
      <c r="L554">
        <v>21.0046</v>
      </c>
      <c r="M554">
        <v>6.2057900000000004</v>
      </c>
      <c r="N554">
        <v>5.8187600000000002</v>
      </c>
      <c r="O554">
        <v>11.187799999999999</v>
      </c>
      <c r="P554">
        <v>7.5941599999999996</v>
      </c>
    </row>
    <row r="555" spans="1:16" x14ac:dyDescent="0.15">
      <c r="A555">
        <v>2007</v>
      </c>
      <c r="B555">
        <v>1.3893899999999999</v>
      </c>
      <c r="C555">
        <v>11.363300000000001</v>
      </c>
      <c r="D555">
        <v>31.112300000000001</v>
      </c>
      <c r="E555">
        <v>125.721</v>
      </c>
      <c r="F555">
        <v>352.30700000000002</v>
      </c>
      <c r="G555">
        <v>467.14299999999997</v>
      </c>
      <c r="H555">
        <v>350.524</v>
      </c>
      <c r="I555">
        <v>139.93199999999999</v>
      </c>
      <c r="J555">
        <v>50.142899999999997</v>
      </c>
      <c r="K555">
        <v>23.8413</v>
      </c>
      <c r="L555">
        <v>28.673999999999999</v>
      </c>
      <c r="M555">
        <v>12.8393</v>
      </c>
      <c r="N555">
        <v>3.7933599999999998</v>
      </c>
      <c r="O555">
        <v>3.5567899999999999</v>
      </c>
      <c r="P555">
        <v>11.480700000000001</v>
      </c>
    </row>
    <row r="556" spans="1:16" x14ac:dyDescent="0.15">
      <c r="A556">
        <v>2008</v>
      </c>
      <c r="B556">
        <v>0.60302800000000001</v>
      </c>
      <c r="C556">
        <v>27.070900000000002</v>
      </c>
      <c r="D556">
        <v>71.395799999999994</v>
      </c>
      <c r="E556">
        <v>87.096599999999995</v>
      </c>
      <c r="F556">
        <v>154.71899999999999</v>
      </c>
      <c r="G556">
        <v>288.20400000000001</v>
      </c>
      <c r="H556">
        <v>228.017</v>
      </c>
      <c r="I556">
        <v>178.054</v>
      </c>
      <c r="J556">
        <v>76.179100000000005</v>
      </c>
      <c r="K556">
        <v>27.432500000000001</v>
      </c>
      <c r="L556">
        <v>14.428000000000001</v>
      </c>
      <c r="M556">
        <v>17.352499999999999</v>
      </c>
      <c r="N556">
        <v>7.7699299999999996</v>
      </c>
      <c r="O556">
        <v>2.2956099999999999</v>
      </c>
      <c r="P556">
        <v>9.1001700000000003</v>
      </c>
    </row>
    <row r="557" spans="1:16" x14ac:dyDescent="0.15">
      <c r="A557">
        <v>2009</v>
      </c>
      <c r="B557">
        <v>2.2697099999999999</v>
      </c>
      <c r="C557">
        <v>9.6559899999999992</v>
      </c>
      <c r="D557">
        <v>140.494</v>
      </c>
      <c r="E557">
        <v>201.84899999999999</v>
      </c>
      <c r="F557">
        <v>89.0959</v>
      </c>
      <c r="G557">
        <v>108.172</v>
      </c>
      <c r="H557">
        <v>120.02200000000001</v>
      </c>
      <c r="I557">
        <v>98.197699999999998</v>
      </c>
      <c r="J557">
        <v>84.100800000000007</v>
      </c>
      <c r="K557">
        <v>36.757599999999996</v>
      </c>
      <c r="L557">
        <v>14.4649</v>
      </c>
      <c r="M557">
        <v>7.6077000000000004</v>
      </c>
      <c r="N557">
        <v>9.1497799999999998</v>
      </c>
      <c r="O557">
        <v>4.0970000000000004</v>
      </c>
      <c r="P557">
        <v>6.0088699999999999</v>
      </c>
    </row>
    <row r="558" spans="1:16" x14ac:dyDescent="0.15">
      <c r="A558">
        <v>2010</v>
      </c>
      <c r="B558">
        <v>0.83419100000000002</v>
      </c>
      <c r="C558">
        <v>37.609299999999998</v>
      </c>
      <c r="D558">
        <v>45.768300000000004</v>
      </c>
      <c r="E558">
        <v>502.1</v>
      </c>
      <c r="F558">
        <v>225.56100000000001</v>
      </c>
      <c r="G558">
        <v>67.257000000000005</v>
      </c>
      <c r="H558">
        <v>51.337499999999999</v>
      </c>
      <c r="I558">
        <v>55.709200000000003</v>
      </c>
      <c r="J558">
        <v>46.759900000000002</v>
      </c>
      <c r="K558">
        <v>40.064100000000003</v>
      </c>
      <c r="L558">
        <v>17.8567</v>
      </c>
      <c r="M558">
        <v>7.0269700000000004</v>
      </c>
      <c r="N558">
        <v>3.6957900000000001</v>
      </c>
      <c r="O558">
        <v>4.4449300000000003</v>
      </c>
      <c r="P558">
        <v>4.9093900000000001</v>
      </c>
    </row>
    <row r="559" spans="1:16" x14ac:dyDescent="0.15">
      <c r="A559">
        <v>2011</v>
      </c>
      <c r="B559">
        <v>0.70566600000000002</v>
      </c>
      <c r="C559">
        <v>21.249199999999998</v>
      </c>
      <c r="D559">
        <v>243.70599999999999</v>
      </c>
      <c r="E559">
        <v>212.66</v>
      </c>
      <c r="F559">
        <v>802.33399999999995</v>
      </c>
      <c r="G559">
        <v>242.85400000000001</v>
      </c>
      <c r="H559">
        <v>49.643000000000001</v>
      </c>
      <c r="I559">
        <v>35.975000000000001</v>
      </c>
      <c r="J559">
        <v>38.446800000000003</v>
      </c>
      <c r="K559">
        <v>32.305399999999999</v>
      </c>
      <c r="L559">
        <v>28.9909</v>
      </c>
      <c r="M559">
        <v>12.9214</v>
      </c>
      <c r="N559">
        <v>5.0848199999999997</v>
      </c>
      <c r="O559">
        <v>2.6743299999999999</v>
      </c>
      <c r="P559">
        <v>6.7689199999999996</v>
      </c>
    </row>
    <row r="560" spans="1:16" x14ac:dyDescent="0.15">
      <c r="A560">
        <v>2012</v>
      </c>
      <c r="B560">
        <v>0.41531800000000002</v>
      </c>
      <c r="C560">
        <v>13.2387</v>
      </c>
      <c r="D560">
        <v>99.4392</v>
      </c>
      <c r="E560">
        <v>915.322</v>
      </c>
      <c r="F560">
        <v>239.28100000000001</v>
      </c>
      <c r="G560">
        <v>475.07499999999999</v>
      </c>
      <c r="H560">
        <v>110.959</v>
      </c>
      <c r="I560">
        <v>22.7469</v>
      </c>
      <c r="J560">
        <v>16.418900000000001</v>
      </c>
      <c r="K560">
        <v>17.829699999999999</v>
      </c>
      <c r="L560">
        <v>15.769500000000001</v>
      </c>
      <c r="M560">
        <v>14.1516</v>
      </c>
      <c r="N560">
        <v>6.3074399999999997</v>
      </c>
      <c r="O560">
        <v>2.4821</v>
      </c>
      <c r="P560">
        <v>4.6096199999999996</v>
      </c>
    </row>
    <row r="561" spans="1:17" x14ac:dyDescent="0.15">
      <c r="A561">
        <v>2013</v>
      </c>
      <c r="B561">
        <v>1.21953</v>
      </c>
      <c r="C561">
        <v>7.81081</v>
      </c>
      <c r="D561">
        <v>57.677100000000003</v>
      </c>
      <c r="E561">
        <v>330.27300000000002</v>
      </c>
      <c r="F561">
        <v>957.72900000000004</v>
      </c>
      <c r="G561">
        <v>178.15</v>
      </c>
      <c r="H561">
        <v>228.928</v>
      </c>
      <c r="I561">
        <v>51.027799999999999</v>
      </c>
      <c r="J561">
        <v>10.5177</v>
      </c>
      <c r="K561">
        <v>7.9100700000000002</v>
      </c>
      <c r="L561">
        <v>8.9402100000000004</v>
      </c>
      <c r="M561">
        <v>7.9072199999999997</v>
      </c>
      <c r="N561">
        <v>7.0959500000000002</v>
      </c>
      <c r="O561">
        <v>3.1627000000000001</v>
      </c>
      <c r="P561">
        <v>3.5559599999999998</v>
      </c>
    </row>
    <row r="562" spans="1:17" x14ac:dyDescent="0.15">
      <c r="A562">
        <v>2014</v>
      </c>
      <c r="B562">
        <v>0.81629300000000005</v>
      </c>
      <c r="C562">
        <v>27.655799999999999</v>
      </c>
      <c r="D562">
        <v>37.0443</v>
      </c>
      <c r="E562">
        <v>198.12200000000001</v>
      </c>
      <c r="F562">
        <v>407.286</v>
      </c>
      <c r="G562">
        <v>773.904</v>
      </c>
      <c r="H562">
        <v>131.83099999999999</v>
      </c>
      <c r="I562">
        <v>125.01600000000001</v>
      </c>
      <c r="J562">
        <v>27.4222</v>
      </c>
      <c r="K562">
        <v>5.7746300000000002</v>
      </c>
      <c r="L562">
        <v>4.3765000000000001</v>
      </c>
      <c r="M562">
        <v>4.9464499999999996</v>
      </c>
      <c r="N562">
        <v>4.3749200000000004</v>
      </c>
      <c r="O562">
        <v>3.9260600000000001</v>
      </c>
      <c r="P562">
        <v>3.7173099999999999</v>
      </c>
    </row>
    <row r="563" spans="1:17" x14ac:dyDescent="0.15">
      <c r="A563">
        <v>2015</v>
      </c>
      <c r="B563">
        <v>0.69630800000000004</v>
      </c>
      <c r="C563">
        <v>18.394500000000001</v>
      </c>
      <c r="D563">
        <v>123.666</v>
      </c>
      <c r="E563">
        <v>129.696</v>
      </c>
      <c r="F563">
        <v>266.85199999999998</v>
      </c>
      <c r="G563">
        <v>324.31200000000001</v>
      </c>
      <c r="H563">
        <v>574.75099999999998</v>
      </c>
      <c r="I563">
        <v>64.438299999999998</v>
      </c>
      <c r="J563">
        <v>69.566699999999997</v>
      </c>
      <c r="K563">
        <v>15.030200000000001</v>
      </c>
      <c r="L563">
        <v>3.1806199999999998</v>
      </c>
      <c r="M563">
        <v>2.4105400000000001</v>
      </c>
      <c r="N563">
        <v>2.7244700000000002</v>
      </c>
      <c r="O563">
        <v>2.4096700000000002</v>
      </c>
      <c r="P563">
        <v>4.2099099999999998</v>
      </c>
    </row>
    <row r="564" spans="1:17" x14ac:dyDescent="0.15">
      <c r="A564" t="s">
        <v>174</v>
      </c>
      <c r="B564" t="s">
        <v>175</v>
      </c>
      <c r="C564" t="s">
        <v>176</v>
      </c>
      <c r="D564" t="s">
        <v>173</v>
      </c>
    </row>
    <row r="565" spans="1:17" x14ac:dyDescent="0.15">
      <c r="A565">
        <v>1964</v>
      </c>
      <c r="B565">
        <v>1476.29</v>
      </c>
      <c r="C565">
        <v>0.20209199999999999</v>
      </c>
      <c r="D565">
        <v>65.677400000000006</v>
      </c>
      <c r="E565">
        <v>266.76900000000001</v>
      </c>
      <c r="F565">
        <v>227.06299999999999</v>
      </c>
      <c r="G565">
        <v>128.125</v>
      </c>
      <c r="H565">
        <v>301.49200000000002</v>
      </c>
      <c r="I565">
        <v>152.30699999999999</v>
      </c>
      <c r="J565">
        <v>52.511800000000001</v>
      </c>
      <c r="K565">
        <v>35.334899999999998</v>
      </c>
      <c r="L565">
        <v>37.318300000000001</v>
      </c>
      <c r="M565">
        <v>39.282400000000003</v>
      </c>
      <c r="N565">
        <v>40.851700000000001</v>
      </c>
      <c r="O565">
        <v>42.1631</v>
      </c>
      <c r="P565">
        <v>43.198500000000003</v>
      </c>
      <c r="Q565">
        <v>43.9925</v>
      </c>
    </row>
    <row r="566" spans="1:17" x14ac:dyDescent="0.15">
      <c r="A566">
        <v>1965</v>
      </c>
      <c r="B566">
        <v>1792.33</v>
      </c>
      <c r="C566">
        <v>0.64727199999999996</v>
      </c>
      <c r="D566">
        <v>53.41</v>
      </c>
      <c r="E566">
        <v>266.49599999999998</v>
      </c>
      <c r="F566">
        <v>642.17600000000004</v>
      </c>
      <c r="G566">
        <v>187.03</v>
      </c>
      <c r="H566">
        <v>97.157600000000002</v>
      </c>
      <c r="I566">
        <v>215.43600000000001</v>
      </c>
      <c r="J566">
        <v>106.173</v>
      </c>
      <c r="K566">
        <v>36.105899999999998</v>
      </c>
      <c r="L566">
        <v>23.983599999999999</v>
      </c>
      <c r="M566">
        <v>25.3965</v>
      </c>
      <c r="N566">
        <v>26.398199999999999</v>
      </c>
      <c r="O566">
        <v>27.234100000000002</v>
      </c>
      <c r="P566">
        <v>27.904599999999999</v>
      </c>
      <c r="Q566">
        <v>56.787599999999998</v>
      </c>
    </row>
    <row r="567" spans="1:17" x14ac:dyDescent="0.15">
      <c r="A567">
        <v>1966</v>
      </c>
      <c r="B567">
        <v>2143.3000000000002</v>
      </c>
      <c r="C567">
        <v>0.46620499999999998</v>
      </c>
      <c r="D567">
        <v>178.86199999999999</v>
      </c>
      <c r="E567">
        <v>229.631</v>
      </c>
      <c r="F567">
        <v>618.45100000000002</v>
      </c>
      <c r="G567">
        <v>524.57000000000005</v>
      </c>
      <c r="H567">
        <v>141.66900000000001</v>
      </c>
      <c r="I567">
        <v>70.837800000000001</v>
      </c>
      <c r="J567">
        <v>153.39599999999999</v>
      </c>
      <c r="K567">
        <v>74.314700000000002</v>
      </c>
      <c r="L567">
        <v>24.898099999999999</v>
      </c>
      <c r="M567">
        <v>16.613399999999999</v>
      </c>
      <c r="N567">
        <v>17.371700000000001</v>
      </c>
      <c r="O567">
        <v>17.913</v>
      </c>
      <c r="P567">
        <v>18.346299999999999</v>
      </c>
      <c r="Q567">
        <v>55.959400000000002</v>
      </c>
    </row>
    <row r="568" spans="1:17" x14ac:dyDescent="0.15">
      <c r="A568">
        <v>1967</v>
      </c>
      <c r="B568">
        <v>2807.69</v>
      </c>
      <c r="C568">
        <v>0.79296199999999994</v>
      </c>
      <c r="D568">
        <v>135.33099999999999</v>
      </c>
      <c r="E568">
        <v>819.31299999999999</v>
      </c>
      <c r="F568">
        <v>501.65199999999999</v>
      </c>
      <c r="G568">
        <v>515.52</v>
      </c>
      <c r="H568">
        <v>406.04700000000003</v>
      </c>
      <c r="I568">
        <v>106.959</v>
      </c>
      <c r="J568">
        <v>52.348599999999998</v>
      </c>
      <c r="K568">
        <v>111.295</v>
      </c>
      <c r="L568">
        <v>53.217700000000001</v>
      </c>
      <c r="M568">
        <v>17.8809</v>
      </c>
      <c r="N568">
        <v>11.781599999999999</v>
      </c>
      <c r="O568">
        <v>12.2212</v>
      </c>
      <c r="P568">
        <v>12.5107</v>
      </c>
      <c r="Q568">
        <v>50.816899999999997</v>
      </c>
    </row>
    <row r="569" spans="1:17" x14ac:dyDescent="0.15">
      <c r="A569">
        <v>1968</v>
      </c>
      <c r="B569">
        <v>3650.99</v>
      </c>
      <c r="C569">
        <v>0.71280299999999996</v>
      </c>
      <c r="D569">
        <v>233.39699999999999</v>
      </c>
      <c r="E569">
        <v>603.25</v>
      </c>
      <c r="F569">
        <v>1529.1</v>
      </c>
      <c r="G569">
        <v>377.30599999999998</v>
      </c>
      <c r="H569">
        <v>357.57400000000001</v>
      </c>
      <c r="I569">
        <v>274.94799999999998</v>
      </c>
      <c r="J569">
        <v>71.1828</v>
      </c>
      <c r="K569">
        <v>33.986199999999997</v>
      </c>
      <c r="L569">
        <v>71.119399999999999</v>
      </c>
      <c r="M569">
        <v>33.888800000000003</v>
      </c>
      <c r="N569">
        <v>11.2438</v>
      </c>
      <c r="O569">
        <v>7.3494599999999997</v>
      </c>
      <c r="P569">
        <v>7.5684300000000002</v>
      </c>
      <c r="Q569">
        <v>38.364199999999997</v>
      </c>
    </row>
    <row r="570" spans="1:17" x14ac:dyDescent="0.15">
      <c r="A570">
        <v>1969</v>
      </c>
      <c r="B570">
        <v>4258.46</v>
      </c>
      <c r="C570">
        <v>0.88252900000000001</v>
      </c>
      <c r="D570">
        <v>212.22</v>
      </c>
      <c r="E570">
        <v>1043.9000000000001</v>
      </c>
      <c r="F570">
        <v>1020.01</v>
      </c>
      <c r="G570">
        <v>1125.58</v>
      </c>
      <c r="H570">
        <v>259.09100000000001</v>
      </c>
      <c r="I570">
        <v>240.54499999999999</v>
      </c>
      <c r="J570">
        <v>183.47800000000001</v>
      </c>
      <c r="K570">
        <v>45.788899999999998</v>
      </c>
      <c r="L570">
        <v>21.637699999999999</v>
      </c>
      <c r="M570">
        <v>45.013100000000001</v>
      </c>
      <c r="N570">
        <v>21.180299999999999</v>
      </c>
      <c r="O570">
        <v>6.9713099999999999</v>
      </c>
      <c r="P570">
        <v>4.5237400000000001</v>
      </c>
      <c r="Q570">
        <v>27.6387</v>
      </c>
    </row>
    <row r="571" spans="1:17" x14ac:dyDescent="0.15">
      <c r="A571">
        <v>1970</v>
      </c>
      <c r="B571">
        <v>4555.7</v>
      </c>
      <c r="C571">
        <v>0.77949400000000002</v>
      </c>
      <c r="D571">
        <v>256.56599999999997</v>
      </c>
      <c r="E571">
        <v>882.57799999999997</v>
      </c>
      <c r="F571">
        <v>1443.06</v>
      </c>
      <c r="G571">
        <v>716.00800000000004</v>
      </c>
      <c r="H571">
        <v>726.50699999999995</v>
      </c>
      <c r="I571">
        <v>164.751</v>
      </c>
      <c r="J571">
        <v>152.38800000000001</v>
      </c>
      <c r="K571">
        <v>110.154</v>
      </c>
      <c r="L571">
        <v>28.1401</v>
      </c>
      <c r="M571">
        <v>13.0275</v>
      </c>
      <c r="N571">
        <v>26.761700000000001</v>
      </c>
      <c r="O571">
        <v>12.492000000000001</v>
      </c>
      <c r="P571">
        <v>4.0818500000000002</v>
      </c>
      <c r="Q571">
        <v>18.400700000000001</v>
      </c>
    </row>
    <row r="572" spans="1:17" x14ac:dyDescent="0.15">
      <c r="A572">
        <v>1971</v>
      </c>
      <c r="B572">
        <v>4622.32</v>
      </c>
      <c r="C572">
        <v>0.45308300000000001</v>
      </c>
      <c r="D572">
        <v>235.53399999999999</v>
      </c>
      <c r="E572">
        <v>1042.42</v>
      </c>
      <c r="F572">
        <v>1113.8499999999999</v>
      </c>
      <c r="G572">
        <v>1038.73</v>
      </c>
      <c r="H572">
        <v>444.51299999999998</v>
      </c>
      <c r="I572">
        <v>442.27800000000002</v>
      </c>
      <c r="J572">
        <v>99.820300000000003</v>
      </c>
      <c r="K572">
        <v>85.625399999999999</v>
      </c>
      <c r="L572">
        <v>64.434799999999996</v>
      </c>
      <c r="M572">
        <v>15.2682</v>
      </c>
      <c r="N572">
        <v>6.9798900000000001</v>
      </c>
      <c r="O572">
        <v>14.2242</v>
      </c>
      <c r="P572">
        <v>6.5915299999999997</v>
      </c>
      <c r="Q572">
        <v>11.6012</v>
      </c>
    </row>
    <row r="573" spans="1:17" x14ac:dyDescent="0.15">
      <c r="A573">
        <v>1972</v>
      </c>
      <c r="B573">
        <v>4489.8</v>
      </c>
      <c r="C573">
        <v>0.35247000000000001</v>
      </c>
      <c r="D573">
        <v>154.35900000000001</v>
      </c>
      <c r="E573">
        <v>1007.28</v>
      </c>
      <c r="F573">
        <v>1266.1400000000001</v>
      </c>
      <c r="G573">
        <v>789.73800000000006</v>
      </c>
      <c r="H573">
        <v>609.35500000000002</v>
      </c>
      <c r="I573">
        <v>256.55700000000002</v>
      </c>
      <c r="J573">
        <v>254.41300000000001</v>
      </c>
      <c r="K573">
        <v>51.8553</v>
      </c>
      <c r="L573">
        <v>44.977499999999999</v>
      </c>
      <c r="M573">
        <v>30.0227</v>
      </c>
      <c r="N573">
        <v>7.0249199999999998</v>
      </c>
      <c r="O573">
        <v>3.18587</v>
      </c>
      <c r="P573">
        <v>6.4453699999999996</v>
      </c>
      <c r="Q573">
        <v>8.0909200000000006</v>
      </c>
    </row>
    <row r="574" spans="1:17" x14ac:dyDescent="0.15">
      <c r="A574">
        <v>1973</v>
      </c>
      <c r="B574">
        <v>3879.71</v>
      </c>
      <c r="C574">
        <v>0.70339399999999996</v>
      </c>
      <c r="D574">
        <v>130.90899999999999</v>
      </c>
      <c r="E574">
        <v>650.84299999999996</v>
      </c>
      <c r="F574">
        <v>1121.58</v>
      </c>
      <c r="G574">
        <v>862.67899999999997</v>
      </c>
      <c r="H574">
        <v>445.601</v>
      </c>
      <c r="I574">
        <v>334.75900000000001</v>
      </c>
      <c r="J574">
        <v>140.64599999999999</v>
      </c>
      <c r="K574">
        <v>124.399</v>
      </c>
      <c r="L574">
        <v>24.774699999999999</v>
      </c>
      <c r="M574">
        <v>19.549099999999999</v>
      </c>
      <c r="N574">
        <v>12.8856</v>
      </c>
      <c r="O574">
        <v>2.99105</v>
      </c>
      <c r="P574">
        <v>1.3466400000000001</v>
      </c>
      <c r="Q574">
        <v>6.0403599999999997</v>
      </c>
    </row>
    <row r="575" spans="1:17" x14ac:dyDescent="0.15">
      <c r="A575">
        <v>1974</v>
      </c>
      <c r="B575">
        <v>3241.34</v>
      </c>
      <c r="C575">
        <v>0.50127299999999997</v>
      </c>
      <c r="D575">
        <v>284.88900000000001</v>
      </c>
      <c r="E575">
        <v>560.34699999999998</v>
      </c>
      <c r="F575">
        <v>669.86199999999997</v>
      </c>
      <c r="G575">
        <v>727.81</v>
      </c>
      <c r="H575">
        <v>455.46600000000001</v>
      </c>
      <c r="I575">
        <v>227.71100000000001</v>
      </c>
      <c r="J575">
        <v>171.23699999999999</v>
      </c>
      <c r="K575">
        <v>63.693300000000001</v>
      </c>
      <c r="L575">
        <v>53.024500000000003</v>
      </c>
      <c r="M575">
        <v>9.9631399999999992</v>
      </c>
      <c r="N575">
        <v>7.7631800000000002</v>
      </c>
      <c r="O575">
        <v>5.0762700000000001</v>
      </c>
      <c r="P575">
        <v>1.16978</v>
      </c>
      <c r="Q575">
        <v>2.82524</v>
      </c>
    </row>
    <row r="576" spans="1:17" x14ac:dyDescent="0.15">
      <c r="A576">
        <v>1975</v>
      </c>
      <c r="B576">
        <v>3069.43</v>
      </c>
      <c r="C576">
        <v>0.41589100000000001</v>
      </c>
      <c r="D576">
        <v>200.06299999999999</v>
      </c>
      <c r="E576">
        <v>1184.1199999999999</v>
      </c>
      <c r="F576">
        <v>503.601</v>
      </c>
      <c r="G576">
        <v>395.43400000000003</v>
      </c>
      <c r="H576">
        <v>346.72199999999998</v>
      </c>
      <c r="I576">
        <v>210.61799999999999</v>
      </c>
      <c r="J576">
        <v>104.999</v>
      </c>
      <c r="K576">
        <v>69.688100000000006</v>
      </c>
      <c r="L576">
        <v>24.022200000000002</v>
      </c>
      <c r="M576">
        <v>19.9085</v>
      </c>
      <c r="N576">
        <v>3.69387</v>
      </c>
      <c r="O576">
        <v>2.8552900000000001</v>
      </c>
      <c r="P576">
        <v>1.8535200000000001</v>
      </c>
      <c r="Q576">
        <v>1.4297</v>
      </c>
    </row>
    <row r="577" spans="1:17" x14ac:dyDescent="0.15">
      <c r="A577">
        <v>1976</v>
      </c>
      <c r="B577">
        <v>3016.42</v>
      </c>
      <c r="C577">
        <v>0.30582599999999999</v>
      </c>
      <c r="D577">
        <v>168.12299999999999</v>
      </c>
      <c r="E577">
        <v>847.71799999999996</v>
      </c>
      <c r="F577">
        <v>1092.6199999999999</v>
      </c>
      <c r="G577">
        <v>322.56299999999999</v>
      </c>
      <c r="H577">
        <v>205.661</v>
      </c>
      <c r="I577">
        <v>174.64099999999999</v>
      </c>
      <c r="J577">
        <v>106.035</v>
      </c>
      <c r="K577">
        <v>47.525399999999998</v>
      </c>
      <c r="L577">
        <v>28.9772</v>
      </c>
      <c r="M577">
        <v>10.0433</v>
      </c>
      <c r="N577">
        <v>8.2190899999999996</v>
      </c>
      <c r="O577">
        <v>1.51284</v>
      </c>
      <c r="P577">
        <v>1.16092</v>
      </c>
      <c r="Q577">
        <v>1.3154999999999999</v>
      </c>
    </row>
    <row r="578" spans="1:17" x14ac:dyDescent="0.15">
      <c r="A578">
        <v>1977</v>
      </c>
      <c r="B578">
        <v>2923.35</v>
      </c>
      <c r="C578">
        <v>0.31474299999999999</v>
      </c>
      <c r="D578">
        <v>125.678</v>
      </c>
      <c r="E578">
        <v>708.59799999999996</v>
      </c>
      <c r="F578">
        <v>849.84400000000005</v>
      </c>
      <c r="G578">
        <v>753.71600000000001</v>
      </c>
      <c r="H578">
        <v>180.41399999999999</v>
      </c>
      <c r="I578">
        <v>111.52200000000001</v>
      </c>
      <c r="J578">
        <v>95.016300000000001</v>
      </c>
      <c r="K578">
        <v>53.167000000000002</v>
      </c>
      <c r="L578">
        <v>21.742699999999999</v>
      </c>
      <c r="M578">
        <v>13.3171</v>
      </c>
      <c r="N578">
        <v>4.5577699999999997</v>
      </c>
      <c r="O578">
        <v>3.7002199999999998</v>
      </c>
      <c r="P578">
        <v>0.67614300000000005</v>
      </c>
      <c r="Q578">
        <v>1.0886199999999999</v>
      </c>
    </row>
    <row r="579" spans="1:17" x14ac:dyDescent="0.15">
      <c r="A579">
        <v>1978</v>
      </c>
      <c r="B579">
        <v>2841.18</v>
      </c>
      <c r="C579">
        <v>0.498116</v>
      </c>
      <c r="D579">
        <v>127.732</v>
      </c>
      <c r="E579">
        <v>527.88199999999995</v>
      </c>
      <c r="F579">
        <v>793.03200000000004</v>
      </c>
      <c r="G579">
        <v>666.05</v>
      </c>
      <c r="H579">
        <v>452.50599999999997</v>
      </c>
      <c r="I579">
        <v>105.59399999999999</v>
      </c>
      <c r="J579">
        <v>65.643600000000006</v>
      </c>
      <c r="K579">
        <v>53.066499999999998</v>
      </c>
      <c r="L579">
        <v>26.817699999999999</v>
      </c>
      <c r="M579">
        <v>10.8887</v>
      </c>
      <c r="N579">
        <v>6.5856500000000002</v>
      </c>
      <c r="O579">
        <v>2.23597</v>
      </c>
      <c r="P579">
        <v>1.8021199999999999</v>
      </c>
      <c r="Q579">
        <v>0.84392500000000004</v>
      </c>
    </row>
    <row r="580" spans="1:17" x14ac:dyDescent="0.15">
      <c r="A580">
        <v>1979</v>
      </c>
      <c r="B580">
        <v>2802.18</v>
      </c>
      <c r="C580">
        <v>1.0163199999999999</v>
      </c>
      <c r="D580">
        <v>186.89099999999999</v>
      </c>
      <c r="E580">
        <v>519.23900000000003</v>
      </c>
      <c r="F580">
        <v>620.83799999999997</v>
      </c>
      <c r="G580">
        <v>654.65</v>
      </c>
      <c r="H580">
        <v>409.21300000000002</v>
      </c>
      <c r="I580">
        <v>262.15300000000002</v>
      </c>
      <c r="J580">
        <v>61.061100000000003</v>
      </c>
      <c r="K580">
        <v>36.717199999999998</v>
      </c>
      <c r="L580">
        <v>26.5139</v>
      </c>
      <c r="M580">
        <v>13.143000000000001</v>
      </c>
      <c r="N580">
        <v>5.2695499999999997</v>
      </c>
      <c r="O580">
        <v>3.1617000000000002</v>
      </c>
      <c r="P580">
        <v>1.06569</v>
      </c>
      <c r="Q580">
        <v>1.24569</v>
      </c>
    </row>
    <row r="581" spans="1:17" x14ac:dyDescent="0.15">
      <c r="A581">
        <v>1980</v>
      </c>
      <c r="B581">
        <v>3290.79</v>
      </c>
      <c r="C581">
        <v>0.34617199999999998</v>
      </c>
      <c r="D581">
        <v>343.767</v>
      </c>
      <c r="E581">
        <v>779.84199999999998</v>
      </c>
      <c r="F581">
        <v>715.30499999999995</v>
      </c>
      <c r="G581">
        <v>558.45899999999995</v>
      </c>
      <c r="H581">
        <v>420.80599999999998</v>
      </c>
      <c r="I581">
        <v>238.42699999999999</v>
      </c>
      <c r="J581">
        <v>154.41900000000001</v>
      </c>
      <c r="K581">
        <v>35.356900000000003</v>
      </c>
      <c r="L581">
        <v>19.076000000000001</v>
      </c>
      <c r="M581">
        <v>13.2636</v>
      </c>
      <c r="N581">
        <v>6.4924099999999996</v>
      </c>
      <c r="O581">
        <v>2.5823200000000002</v>
      </c>
      <c r="P581">
        <v>1.5381499999999999</v>
      </c>
      <c r="Q581">
        <v>1.1058300000000001</v>
      </c>
    </row>
    <row r="582" spans="1:17" x14ac:dyDescent="0.15">
      <c r="A582">
        <v>1981</v>
      </c>
      <c r="B582">
        <v>4550.75</v>
      </c>
      <c r="C582">
        <v>0.33428200000000002</v>
      </c>
      <c r="D582">
        <v>114.51600000000001</v>
      </c>
      <c r="E582">
        <v>1508.87</v>
      </c>
      <c r="F582">
        <v>1301.3599999999999</v>
      </c>
      <c r="G582">
        <v>697.75</v>
      </c>
      <c r="H582">
        <v>381.75099999999998</v>
      </c>
      <c r="I582">
        <v>258.05500000000001</v>
      </c>
      <c r="J582">
        <v>147.58799999999999</v>
      </c>
      <c r="K582">
        <v>96.966099999999997</v>
      </c>
      <c r="L582">
        <v>20.209099999999999</v>
      </c>
      <c r="M582">
        <v>10.2204</v>
      </c>
      <c r="N582">
        <v>7.01722</v>
      </c>
      <c r="O582">
        <v>3.4075000000000002</v>
      </c>
      <c r="P582">
        <v>1.3454999999999999</v>
      </c>
      <c r="Q582">
        <v>1.35806</v>
      </c>
    </row>
    <row r="583" spans="1:17" x14ac:dyDescent="0.15">
      <c r="A583">
        <v>1982</v>
      </c>
      <c r="B583">
        <v>6199.45</v>
      </c>
      <c r="C583">
        <v>0.154802</v>
      </c>
      <c r="D583">
        <v>111.045</v>
      </c>
      <c r="E583">
        <v>506.11399999999998</v>
      </c>
      <c r="F583">
        <v>3024.68</v>
      </c>
      <c r="G583">
        <v>1407.81</v>
      </c>
      <c r="H583">
        <v>523.91399999999999</v>
      </c>
      <c r="I583">
        <v>258.80900000000003</v>
      </c>
      <c r="J583">
        <v>174.71</v>
      </c>
      <c r="K583">
        <v>103.372</v>
      </c>
      <c r="L583">
        <v>63.066200000000002</v>
      </c>
      <c r="M583">
        <v>12.0954</v>
      </c>
      <c r="N583">
        <v>6.0403900000000004</v>
      </c>
      <c r="O583">
        <v>4.1142300000000001</v>
      </c>
      <c r="P583">
        <v>1.98336</v>
      </c>
      <c r="Q583">
        <v>1.54867</v>
      </c>
    </row>
    <row r="584" spans="1:17" x14ac:dyDescent="0.15">
      <c r="A584">
        <v>1983</v>
      </c>
      <c r="B584">
        <v>7237.78</v>
      </c>
      <c r="C584">
        <v>0.40610299999999999</v>
      </c>
      <c r="D584">
        <v>53.711599999999997</v>
      </c>
      <c r="E584">
        <v>507.37900000000002</v>
      </c>
      <c r="F584">
        <v>1133.25</v>
      </c>
      <c r="G584">
        <v>3557.28</v>
      </c>
      <c r="H584">
        <v>1153.68</v>
      </c>
      <c r="I584">
        <v>382.58600000000001</v>
      </c>
      <c r="J584">
        <v>186.447</v>
      </c>
      <c r="K584">
        <v>132.364</v>
      </c>
      <c r="L584">
        <v>73.552599999999998</v>
      </c>
      <c r="M584">
        <v>40.786000000000001</v>
      </c>
      <c r="N584">
        <v>7.7243000000000004</v>
      </c>
      <c r="O584">
        <v>3.8267500000000001</v>
      </c>
      <c r="P584">
        <v>2.5875900000000001</v>
      </c>
      <c r="Q584">
        <v>2.18899</v>
      </c>
    </row>
    <row r="585" spans="1:17" x14ac:dyDescent="0.15">
      <c r="A585">
        <v>1984</v>
      </c>
      <c r="B585">
        <v>7701.11</v>
      </c>
      <c r="C585">
        <v>9.10855E-2</v>
      </c>
      <c r="D585">
        <v>141.81299999999999</v>
      </c>
      <c r="E585">
        <v>255.566</v>
      </c>
      <c r="F585">
        <v>1198.23</v>
      </c>
      <c r="G585">
        <v>1479.02</v>
      </c>
      <c r="H585">
        <v>3142.29</v>
      </c>
      <c r="I585">
        <v>872.74900000000002</v>
      </c>
      <c r="J585">
        <v>281.64600000000002</v>
      </c>
      <c r="K585">
        <v>146.654</v>
      </c>
      <c r="L585">
        <v>97.213200000000001</v>
      </c>
      <c r="M585">
        <v>48.683999999999997</v>
      </c>
      <c r="N585">
        <v>26.657800000000002</v>
      </c>
      <c r="O585">
        <v>5.0083799999999998</v>
      </c>
      <c r="P585">
        <v>2.46326</v>
      </c>
      <c r="Q585">
        <v>3.0285700000000002</v>
      </c>
    </row>
    <row r="586" spans="1:17" x14ac:dyDescent="0.15">
      <c r="A586">
        <v>1985</v>
      </c>
      <c r="B586">
        <v>7786.18</v>
      </c>
      <c r="C586">
        <v>0.205037</v>
      </c>
      <c r="D586">
        <v>33.095100000000002</v>
      </c>
      <c r="E586">
        <v>743.04899999999998</v>
      </c>
      <c r="F586">
        <v>600.85500000000002</v>
      </c>
      <c r="G586">
        <v>1560.57</v>
      </c>
      <c r="H586">
        <v>1358.79</v>
      </c>
      <c r="I586">
        <v>2407.59</v>
      </c>
      <c r="J586">
        <v>634.995</v>
      </c>
      <c r="K586">
        <v>221.63900000000001</v>
      </c>
      <c r="L586">
        <v>106.295</v>
      </c>
      <c r="M586">
        <v>63.778799999999997</v>
      </c>
      <c r="N586">
        <v>31.54</v>
      </c>
      <c r="O586">
        <v>17.1327</v>
      </c>
      <c r="P586">
        <v>3.1955100000000001</v>
      </c>
      <c r="Q586">
        <v>3.4450099999999999</v>
      </c>
    </row>
    <row r="587" spans="1:17" x14ac:dyDescent="0.15">
      <c r="A587">
        <v>1986</v>
      </c>
      <c r="B587">
        <v>8032.59</v>
      </c>
      <c r="C587">
        <v>7.6757400000000003E-2</v>
      </c>
      <c r="D587">
        <v>77.411799999999999</v>
      </c>
      <c r="E587">
        <v>186.452</v>
      </c>
      <c r="F587">
        <v>1802.79</v>
      </c>
      <c r="G587">
        <v>813.221</v>
      </c>
      <c r="H587">
        <v>1558.71</v>
      </c>
      <c r="I587">
        <v>1064.9100000000001</v>
      </c>
      <c r="J587">
        <v>1721.21</v>
      </c>
      <c r="K587">
        <v>504.488</v>
      </c>
      <c r="L587">
        <v>157.703</v>
      </c>
      <c r="M587">
        <v>69.349100000000007</v>
      </c>
      <c r="N587">
        <v>41.089500000000001</v>
      </c>
      <c r="O587">
        <v>20.157800000000002</v>
      </c>
      <c r="P587">
        <v>10.8704</v>
      </c>
      <c r="Q587">
        <v>4.14513</v>
      </c>
    </row>
    <row r="588" spans="1:17" x14ac:dyDescent="0.15">
      <c r="A588">
        <v>1987</v>
      </c>
      <c r="B588">
        <v>8028.3</v>
      </c>
      <c r="C588">
        <v>3.9372699999999997E-2</v>
      </c>
      <c r="D588">
        <v>28.889199999999999</v>
      </c>
      <c r="E588">
        <v>461.54500000000002</v>
      </c>
      <c r="F588">
        <v>431.20699999999999</v>
      </c>
      <c r="G588">
        <v>2366.61</v>
      </c>
      <c r="H588">
        <v>817.72</v>
      </c>
      <c r="I588">
        <v>1244.42</v>
      </c>
      <c r="J588">
        <v>755.005</v>
      </c>
      <c r="K588">
        <v>1378.3</v>
      </c>
      <c r="L588">
        <v>347.40300000000002</v>
      </c>
      <c r="M588">
        <v>103.474</v>
      </c>
      <c r="N588">
        <v>44.932299999999998</v>
      </c>
      <c r="O588">
        <v>26.410299999999999</v>
      </c>
      <c r="P588">
        <v>12.862500000000001</v>
      </c>
      <c r="Q588">
        <v>9.4720999999999993</v>
      </c>
    </row>
    <row r="589" spans="1:17" x14ac:dyDescent="0.15">
      <c r="A589">
        <v>1988</v>
      </c>
      <c r="B589">
        <v>8125.2</v>
      </c>
      <c r="C589">
        <v>2.6091799999999998E-2</v>
      </c>
      <c r="D589">
        <v>15.547800000000001</v>
      </c>
      <c r="E589">
        <v>203.04</v>
      </c>
      <c r="F589">
        <v>1100.33</v>
      </c>
      <c r="G589">
        <v>632.72299999999996</v>
      </c>
      <c r="H589">
        <v>2542.94</v>
      </c>
      <c r="I589">
        <v>765.02800000000002</v>
      </c>
      <c r="J589">
        <v>953.86</v>
      </c>
      <c r="K589">
        <v>604.50300000000004</v>
      </c>
      <c r="L589">
        <v>945.08299999999997</v>
      </c>
      <c r="M589">
        <v>232.66900000000001</v>
      </c>
      <c r="N589">
        <v>68.432500000000005</v>
      </c>
      <c r="O589">
        <v>29.479099999999999</v>
      </c>
      <c r="P589">
        <v>17.201699999999999</v>
      </c>
      <c r="Q589">
        <v>14.338800000000001</v>
      </c>
    </row>
    <row r="590" spans="1:17" x14ac:dyDescent="0.15">
      <c r="A590">
        <v>1989</v>
      </c>
      <c r="B590">
        <v>7381.57</v>
      </c>
      <c r="C590">
        <v>4.6425500000000001E-2</v>
      </c>
      <c r="D590">
        <v>9.8841099999999997</v>
      </c>
      <c r="E590">
        <v>100.333</v>
      </c>
      <c r="F590">
        <v>438.02499999999998</v>
      </c>
      <c r="G590">
        <v>1504.54</v>
      </c>
      <c r="H590">
        <v>623.89200000000005</v>
      </c>
      <c r="I590">
        <v>2326.0700000000002</v>
      </c>
      <c r="J590">
        <v>517.96299999999997</v>
      </c>
      <c r="K590">
        <v>660.08299999999997</v>
      </c>
      <c r="L590">
        <v>377.24700000000001</v>
      </c>
      <c r="M590">
        <v>598.31200000000001</v>
      </c>
      <c r="N590">
        <v>145.453</v>
      </c>
      <c r="O590">
        <v>42.439500000000002</v>
      </c>
      <c r="P590">
        <v>18.1495</v>
      </c>
      <c r="Q590">
        <v>19.128900000000002</v>
      </c>
    </row>
    <row r="591" spans="1:17" x14ac:dyDescent="0.15">
      <c r="A591">
        <v>1990</v>
      </c>
      <c r="B591">
        <v>6119.77</v>
      </c>
      <c r="C591">
        <v>0.19382099999999999</v>
      </c>
      <c r="D591">
        <v>18.256799999999998</v>
      </c>
      <c r="E591">
        <v>63.310299999999998</v>
      </c>
      <c r="F591">
        <v>245.892</v>
      </c>
      <c r="G591">
        <v>604.44100000000003</v>
      </c>
      <c r="H591">
        <v>1546.47</v>
      </c>
      <c r="I591">
        <v>572.6</v>
      </c>
      <c r="J591">
        <v>1540.11</v>
      </c>
      <c r="K591">
        <v>348.8</v>
      </c>
      <c r="L591">
        <v>422.32600000000002</v>
      </c>
      <c r="M591">
        <v>240.60599999999999</v>
      </c>
      <c r="N591">
        <v>376.81900000000002</v>
      </c>
      <c r="O591">
        <v>90.876599999999996</v>
      </c>
      <c r="P591">
        <v>26.323399999999999</v>
      </c>
      <c r="Q591">
        <v>22.750599999999999</v>
      </c>
    </row>
    <row r="592" spans="1:17" x14ac:dyDescent="0.15">
      <c r="A592">
        <v>1991</v>
      </c>
      <c r="B592">
        <v>4627.18</v>
      </c>
      <c r="C592">
        <v>8.6166900000000005E-2</v>
      </c>
      <c r="D592">
        <v>64.973399999999998</v>
      </c>
      <c r="E592">
        <v>101.892</v>
      </c>
      <c r="F592">
        <v>164.30600000000001</v>
      </c>
      <c r="G592">
        <v>306.72000000000003</v>
      </c>
      <c r="H592">
        <v>562.18399999999997</v>
      </c>
      <c r="I592">
        <v>1315.09</v>
      </c>
      <c r="J592">
        <v>304.20299999999997</v>
      </c>
      <c r="K592">
        <v>896.88900000000001</v>
      </c>
      <c r="L592">
        <v>210.678</v>
      </c>
      <c r="M592">
        <v>248.84</v>
      </c>
      <c r="N592">
        <v>147.77500000000001</v>
      </c>
      <c r="O592">
        <v>222.86500000000001</v>
      </c>
      <c r="P592">
        <v>53.5383</v>
      </c>
      <c r="Q592">
        <v>27.144200000000001</v>
      </c>
    </row>
    <row r="593" spans="1:17" x14ac:dyDescent="0.15">
      <c r="A593">
        <v>1992</v>
      </c>
      <c r="B593">
        <v>4090.75</v>
      </c>
      <c r="C593">
        <v>6.50255E-2</v>
      </c>
      <c r="D593">
        <v>36.789200000000001</v>
      </c>
      <c r="E593">
        <v>664.18200000000002</v>
      </c>
      <c r="F593">
        <v>304.73099999999999</v>
      </c>
      <c r="G593">
        <v>206.90700000000001</v>
      </c>
      <c r="H593">
        <v>305.19299999999998</v>
      </c>
      <c r="I593">
        <v>470.64699999999999</v>
      </c>
      <c r="J593">
        <v>791.16300000000001</v>
      </c>
      <c r="K593">
        <v>204.23500000000001</v>
      </c>
      <c r="L593">
        <v>583.524</v>
      </c>
      <c r="M593">
        <v>122.39100000000001</v>
      </c>
      <c r="N593">
        <v>149.011</v>
      </c>
      <c r="O593">
        <v>74.446299999999994</v>
      </c>
      <c r="P593">
        <v>128.767</v>
      </c>
      <c r="Q593">
        <v>48.695</v>
      </c>
    </row>
    <row r="594" spans="1:17" x14ac:dyDescent="0.15">
      <c r="A594">
        <v>1993</v>
      </c>
      <c r="B594">
        <v>4898.75</v>
      </c>
      <c r="C594">
        <v>0.123103</v>
      </c>
      <c r="D594">
        <v>49.497599999999998</v>
      </c>
      <c r="E594">
        <v>376.16199999999998</v>
      </c>
      <c r="F594">
        <v>2157.92</v>
      </c>
      <c r="G594">
        <v>397.10500000000002</v>
      </c>
      <c r="H594">
        <v>229.07900000000001</v>
      </c>
      <c r="I594">
        <v>272.97000000000003</v>
      </c>
      <c r="J594">
        <v>281.64800000000002</v>
      </c>
      <c r="K594">
        <v>447.76900000000001</v>
      </c>
      <c r="L594">
        <v>105.645</v>
      </c>
      <c r="M594">
        <v>291.56099999999998</v>
      </c>
      <c r="N594">
        <v>66.789599999999993</v>
      </c>
      <c r="O594">
        <v>84.203400000000002</v>
      </c>
      <c r="P594">
        <v>46.524099999999997</v>
      </c>
      <c r="Q594">
        <v>91.750200000000007</v>
      </c>
    </row>
    <row r="595" spans="1:17" x14ac:dyDescent="0.15">
      <c r="A595">
        <v>1994</v>
      </c>
      <c r="B595">
        <v>5238.0200000000004</v>
      </c>
      <c r="C595">
        <v>3.4959299999999999E-2</v>
      </c>
      <c r="D595">
        <v>68.136200000000002</v>
      </c>
      <c r="E595">
        <v>193.97</v>
      </c>
      <c r="F595">
        <v>868.75199999999995</v>
      </c>
      <c r="G595">
        <v>2536.5500000000002</v>
      </c>
      <c r="H595">
        <v>488.66</v>
      </c>
      <c r="I595">
        <v>153.804</v>
      </c>
      <c r="J595">
        <v>154.505</v>
      </c>
      <c r="K595">
        <v>191.38900000000001</v>
      </c>
      <c r="L595">
        <v>240.11699999999999</v>
      </c>
      <c r="M595">
        <v>60.452300000000001</v>
      </c>
      <c r="N595">
        <v>154.404</v>
      </c>
      <c r="O595">
        <v>31.150600000000001</v>
      </c>
      <c r="P595">
        <v>35.138599999999997</v>
      </c>
      <c r="Q595">
        <v>60.9544</v>
      </c>
    </row>
    <row r="596" spans="1:17" x14ac:dyDescent="0.15">
      <c r="A596">
        <v>1995</v>
      </c>
      <c r="B596">
        <v>5888.64</v>
      </c>
      <c r="C596">
        <v>2.1115600000000002E-2</v>
      </c>
      <c r="D596">
        <v>13.664300000000001</v>
      </c>
      <c r="E596">
        <v>320.32100000000003</v>
      </c>
      <c r="F596">
        <v>393.47899999999998</v>
      </c>
      <c r="G596">
        <v>1172.8599999999999</v>
      </c>
      <c r="H596">
        <v>2966.65</v>
      </c>
      <c r="I596">
        <v>395.57499999999999</v>
      </c>
      <c r="J596">
        <v>113.512</v>
      </c>
      <c r="K596">
        <v>95.482399999999998</v>
      </c>
      <c r="L596">
        <v>92.072000000000003</v>
      </c>
      <c r="M596">
        <v>139.08799999999999</v>
      </c>
      <c r="N596">
        <v>36.574300000000001</v>
      </c>
      <c r="O596">
        <v>82.236800000000002</v>
      </c>
      <c r="P596">
        <v>14.8736</v>
      </c>
      <c r="Q596">
        <v>52.234400000000001</v>
      </c>
    </row>
    <row r="597" spans="1:17" x14ac:dyDescent="0.15">
      <c r="A597">
        <v>1996</v>
      </c>
      <c r="B597">
        <v>5104.7700000000004</v>
      </c>
      <c r="C597">
        <v>3.9029700000000001E-2</v>
      </c>
      <c r="D597">
        <v>16.397200000000002</v>
      </c>
      <c r="E597">
        <v>81.129900000000006</v>
      </c>
      <c r="F597">
        <v>475.86399999999998</v>
      </c>
      <c r="G597">
        <v>661.87300000000005</v>
      </c>
      <c r="H597">
        <v>1297.3599999999999</v>
      </c>
      <c r="I597">
        <v>1998.83</v>
      </c>
      <c r="J597">
        <v>234.547</v>
      </c>
      <c r="K597">
        <v>57.561599999999999</v>
      </c>
      <c r="L597">
        <v>41.029400000000003</v>
      </c>
      <c r="M597">
        <v>50.146900000000002</v>
      </c>
      <c r="N597">
        <v>76.528599999999997</v>
      </c>
      <c r="O597">
        <v>19.530100000000001</v>
      </c>
      <c r="P597">
        <v>53.587600000000002</v>
      </c>
      <c r="Q597">
        <v>40.342799999999997</v>
      </c>
    </row>
    <row r="598" spans="1:17" x14ac:dyDescent="0.15">
      <c r="A598">
        <v>1997</v>
      </c>
      <c r="B598">
        <v>5284.37</v>
      </c>
      <c r="C598">
        <v>5.8031300000000001E-2</v>
      </c>
      <c r="D598">
        <v>27.5884</v>
      </c>
      <c r="E598">
        <v>67.702600000000004</v>
      </c>
      <c r="F598">
        <v>212.749</v>
      </c>
      <c r="G598">
        <v>1191.44</v>
      </c>
      <c r="H598">
        <v>1049.1500000000001</v>
      </c>
      <c r="I598">
        <v>1121.05</v>
      </c>
      <c r="J598">
        <v>1233.46</v>
      </c>
      <c r="K598">
        <v>150.029</v>
      </c>
      <c r="L598">
        <v>41.295000000000002</v>
      </c>
      <c r="M598">
        <v>34.366999999999997</v>
      </c>
      <c r="N598">
        <v>34.0809</v>
      </c>
      <c r="O598">
        <v>57.032899999999998</v>
      </c>
      <c r="P598">
        <v>11.9724</v>
      </c>
      <c r="Q598">
        <v>52.405299999999997</v>
      </c>
    </row>
    <row r="599" spans="1:17" x14ac:dyDescent="0.15">
      <c r="A599">
        <v>1998</v>
      </c>
      <c r="B599">
        <v>5470</v>
      </c>
      <c r="C599">
        <v>2.6948199999999999E-2</v>
      </c>
      <c r="D599">
        <v>37.602699999999999</v>
      </c>
      <c r="E599">
        <v>212.351</v>
      </c>
      <c r="F599">
        <v>225.12</v>
      </c>
      <c r="G599">
        <v>477.43200000000002</v>
      </c>
      <c r="H599">
        <v>1957.22</v>
      </c>
      <c r="I599">
        <v>849.10400000000004</v>
      </c>
      <c r="J599">
        <v>738.75</v>
      </c>
      <c r="K599">
        <v>739.08900000000006</v>
      </c>
      <c r="L599">
        <v>91.170500000000004</v>
      </c>
      <c r="M599">
        <v>25.2532</v>
      </c>
      <c r="N599">
        <v>20.222300000000001</v>
      </c>
      <c r="O599">
        <v>21.13</v>
      </c>
      <c r="P599">
        <v>30.160900000000002</v>
      </c>
      <c r="Q599">
        <v>45.373699999999999</v>
      </c>
    </row>
    <row r="600" spans="1:17" x14ac:dyDescent="0.15">
      <c r="A600">
        <v>1999</v>
      </c>
      <c r="B600">
        <v>5388.53</v>
      </c>
      <c r="C600">
        <v>2.9168099999999999E-2</v>
      </c>
      <c r="D600">
        <v>15.802</v>
      </c>
      <c r="E600">
        <v>438.25599999999997</v>
      </c>
      <c r="F600">
        <v>557.52800000000002</v>
      </c>
      <c r="G600">
        <v>382.28100000000001</v>
      </c>
      <c r="H600">
        <v>644.64800000000002</v>
      </c>
      <c r="I600">
        <v>1815.49</v>
      </c>
      <c r="J600">
        <v>628.47699999999998</v>
      </c>
      <c r="K600">
        <v>394.95100000000002</v>
      </c>
      <c r="L600">
        <v>397.18900000000002</v>
      </c>
      <c r="M600">
        <v>48.343000000000004</v>
      </c>
      <c r="N600">
        <v>15.0793</v>
      </c>
      <c r="O600">
        <v>9.0708300000000008</v>
      </c>
      <c r="P600">
        <v>8.4412500000000001</v>
      </c>
      <c r="Q600">
        <v>32.947299999999998</v>
      </c>
    </row>
    <row r="601" spans="1:17" x14ac:dyDescent="0.15">
      <c r="A601">
        <v>2000</v>
      </c>
      <c r="B601">
        <v>5125.95</v>
      </c>
      <c r="C601">
        <v>4.0422100000000002E-2</v>
      </c>
      <c r="D601">
        <v>16.865100000000002</v>
      </c>
      <c r="E601">
        <v>137.78800000000001</v>
      </c>
      <c r="F601">
        <v>901.73699999999997</v>
      </c>
      <c r="G601">
        <v>962.06100000000004</v>
      </c>
      <c r="H601">
        <v>449.15899999999999</v>
      </c>
      <c r="I601">
        <v>594.96699999999998</v>
      </c>
      <c r="J601">
        <v>1232.98</v>
      </c>
      <c r="K601">
        <v>342.96899999999999</v>
      </c>
      <c r="L601">
        <v>189.78399999999999</v>
      </c>
      <c r="M601">
        <v>221.482</v>
      </c>
      <c r="N601">
        <v>29.5106</v>
      </c>
      <c r="O601">
        <v>7.8658299999999999</v>
      </c>
      <c r="P601">
        <v>7.26051</v>
      </c>
      <c r="Q601">
        <v>31.477799999999998</v>
      </c>
    </row>
    <row r="602" spans="1:17" x14ac:dyDescent="0.15">
      <c r="A602">
        <v>2001</v>
      </c>
      <c r="B602">
        <v>6097.03</v>
      </c>
      <c r="C602">
        <v>5.7468100000000001E-2</v>
      </c>
      <c r="D602">
        <v>25.708100000000002</v>
      </c>
      <c r="E602">
        <v>125.886</v>
      </c>
      <c r="F602">
        <v>391.89600000000002</v>
      </c>
      <c r="G602">
        <v>1725.08</v>
      </c>
      <c r="H602">
        <v>1401.59</v>
      </c>
      <c r="I602">
        <v>526.48900000000003</v>
      </c>
      <c r="J602">
        <v>479.471</v>
      </c>
      <c r="K602">
        <v>820.33399999999995</v>
      </c>
      <c r="L602">
        <v>222.631</v>
      </c>
      <c r="M602">
        <v>160.46</v>
      </c>
      <c r="N602">
        <v>164.447</v>
      </c>
      <c r="O602">
        <v>23.0322</v>
      </c>
      <c r="P602">
        <v>5.6683899999999996</v>
      </c>
      <c r="Q602">
        <v>24.273900000000001</v>
      </c>
    </row>
    <row r="603" spans="1:17" x14ac:dyDescent="0.15">
      <c r="A603">
        <v>2002</v>
      </c>
      <c r="B603">
        <v>5892.1</v>
      </c>
      <c r="C603">
        <v>3.5301199999999998E-2</v>
      </c>
      <c r="D603">
        <v>35.656599999999997</v>
      </c>
      <c r="E603">
        <v>219.136</v>
      </c>
      <c r="F603">
        <v>427.46</v>
      </c>
      <c r="G603">
        <v>774.88699999999994</v>
      </c>
      <c r="H603">
        <v>2053.81</v>
      </c>
      <c r="I603">
        <v>1020.05</v>
      </c>
      <c r="J603">
        <v>310.26299999999998</v>
      </c>
      <c r="K603">
        <v>265.392</v>
      </c>
      <c r="L603">
        <v>417.28899999999999</v>
      </c>
      <c r="M603">
        <v>142.11500000000001</v>
      </c>
      <c r="N603">
        <v>96.534300000000002</v>
      </c>
      <c r="O603">
        <v>101.923</v>
      </c>
      <c r="P603">
        <v>10.704700000000001</v>
      </c>
      <c r="Q603">
        <v>16.847300000000001</v>
      </c>
    </row>
    <row r="604" spans="1:17" x14ac:dyDescent="0.15">
      <c r="A604">
        <v>2003</v>
      </c>
      <c r="B604">
        <v>5543.06</v>
      </c>
      <c r="C604">
        <v>2.053E-2</v>
      </c>
      <c r="D604">
        <v>24.596599999999999</v>
      </c>
      <c r="E604">
        <v>489.93</v>
      </c>
      <c r="F604">
        <v>761.08399999999995</v>
      </c>
      <c r="G604">
        <v>860.34299999999996</v>
      </c>
      <c r="H604">
        <v>879.68299999999999</v>
      </c>
      <c r="I604">
        <v>1230.54</v>
      </c>
      <c r="J604">
        <v>556.61900000000003</v>
      </c>
      <c r="K604">
        <v>156.42099999999999</v>
      </c>
      <c r="L604">
        <v>134.50399999999999</v>
      </c>
      <c r="M604">
        <v>256.26900000000001</v>
      </c>
      <c r="N604">
        <v>74.358599999999996</v>
      </c>
      <c r="O604">
        <v>54.103200000000001</v>
      </c>
      <c r="P604">
        <v>47.022300000000001</v>
      </c>
      <c r="Q604">
        <v>17.5715</v>
      </c>
    </row>
    <row r="605" spans="1:17" x14ac:dyDescent="0.15">
      <c r="A605">
        <v>2004</v>
      </c>
      <c r="B605">
        <v>6130.56</v>
      </c>
      <c r="C605">
        <v>9.5152099999999996E-3</v>
      </c>
      <c r="D605">
        <v>7.0213000000000001</v>
      </c>
      <c r="E605">
        <v>216.279</v>
      </c>
      <c r="F605">
        <v>1668.71</v>
      </c>
      <c r="G605">
        <v>1385.13</v>
      </c>
      <c r="H605">
        <v>911.71299999999997</v>
      </c>
      <c r="I605">
        <v>585.19600000000003</v>
      </c>
      <c r="J605">
        <v>667.09199999999998</v>
      </c>
      <c r="K605">
        <v>280.23399999999998</v>
      </c>
      <c r="L605">
        <v>82.204300000000003</v>
      </c>
      <c r="M605">
        <v>74.021900000000002</v>
      </c>
      <c r="N605">
        <v>144.738</v>
      </c>
      <c r="O605">
        <v>47.633699999999997</v>
      </c>
      <c r="P605">
        <v>28.122699999999998</v>
      </c>
      <c r="Q605">
        <v>32.458500000000001</v>
      </c>
    </row>
    <row r="606" spans="1:17" x14ac:dyDescent="0.15">
      <c r="A606">
        <v>2005</v>
      </c>
      <c r="B606">
        <v>6448.4</v>
      </c>
      <c r="C606">
        <v>6.2262899999999998E-3</v>
      </c>
      <c r="D606">
        <v>6.4181600000000003</v>
      </c>
      <c r="E606">
        <v>110.676</v>
      </c>
      <c r="F606">
        <v>824.98199999999997</v>
      </c>
      <c r="G606">
        <v>2364.5100000000002</v>
      </c>
      <c r="H606">
        <v>1469.15</v>
      </c>
      <c r="I606">
        <v>607.53300000000002</v>
      </c>
      <c r="J606">
        <v>305.86200000000002</v>
      </c>
      <c r="K606">
        <v>363.88900000000001</v>
      </c>
      <c r="L606">
        <v>143.923</v>
      </c>
      <c r="M606">
        <v>49.2517</v>
      </c>
      <c r="N606">
        <v>47.8018</v>
      </c>
      <c r="O606">
        <v>92.024299999999997</v>
      </c>
      <c r="P606">
        <v>23.410399999999999</v>
      </c>
      <c r="Q606">
        <v>38.957099999999997</v>
      </c>
    </row>
    <row r="607" spans="1:17" x14ac:dyDescent="0.15">
      <c r="A607">
        <v>2006</v>
      </c>
      <c r="B607">
        <v>5554.56</v>
      </c>
      <c r="C607">
        <v>1.54491E-2</v>
      </c>
      <c r="D607">
        <v>2.5932900000000001</v>
      </c>
      <c r="E607">
        <v>45.210900000000002</v>
      </c>
      <c r="F607">
        <v>421.30599999999998</v>
      </c>
      <c r="G607">
        <v>1298.07</v>
      </c>
      <c r="H607">
        <v>1970.16</v>
      </c>
      <c r="I607">
        <v>867.12199999999996</v>
      </c>
      <c r="J607">
        <v>337.14</v>
      </c>
      <c r="K607">
        <v>171.87899999999999</v>
      </c>
      <c r="L607">
        <v>193.096</v>
      </c>
      <c r="M607">
        <v>93.551400000000001</v>
      </c>
      <c r="N607">
        <v>29.101900000000001</v>
      </c>
      <c r="O607">
        <v>27.769500000000001</v>
      </c>
      <c r="P607">
        <v>57.199300000000001</v>
      </c>
      <c r="Q607">
        <v>40.340499999999999</v>
      </c>
    </row>
    <row r="608" spans="1:17" x14ac:dyDescent="0.15">
      <c r="A608">
        <v>2007</v>
      </c>
      <c r="B608">
        <v>4599.37</v>
      </c>
      <c r="C608">
        <v>3.5822399999999997E-2</v>
      </c>
      <c r="D608">
        <v>5.6031899999999997</v>
      </c>
      <c r="E608">
        <v>31.691299999999998</v>
      </c>
      <c r="F608">
        <v>201.78700000000001</v>
      </c>
      <c r="G608">
        <v>757.673</v>
      </c>
      <c r="H608">
        <v>1295.51</v>
      </c>
      <c r="I608">
        <v>1173.71</v>
      </c>
      <c r="J608">
        <v>532.27099999999996</v>
      </c>
      <c r="K608">
        <v>204.958</v>
      </c>
      <c r="L608">
        <v>102.81699999999999</v>
      </c>
      <c r="M608">
        <v>128.708</v>
      </c>
      <c r="N608">
        <v>65.777199999999993</v>
      </c>
      <c r="O608">
        <v>18.143699999999999</v>
      </c>
      <c r="P608">
        <v>21.25</v>
      </c>
      <c r="Q608">
        <v>59.429600000000001</v>
      </c>
    </row>
    <row r="609" spans="1:17" x14ac:dyDescent="0.15">
      <c r="A609">
        <v>2008</v>
      </c>
      <c r="B609">
        <v>3291.92</v>
      </c>
      <c r="C609">
        <v>1.5075E-2</v>
      </c>
      <c r="D609">
        <v>17.4255</v>
      </c>
      <c r="E609">
        <v>68.656300000000002</v>
      </c>
      <c r="F609">
        <v>139.12100000000001</v>
      </c>
      <c r="G609">
        <v>327.94</v>
      </c>
      <c r="H609">
        <v>771.91600000000005</v>
      </c>
      <c r="I609">
        <v>703.97500000000002</v>
      </c>
      <c r="J609">
        <v>626.73</v>
      </c>
      <c r="K609">
        <v>285.39499999999998</v>
      </c>
      <c r="L609">
        <v>109.901</v>
      </c>
      <c r="M609">
        <v>62.8386</v>
      </c>
      <c r="N609">
        <v>81.080200000000005</v>
      </c>
      <c r="O609">
        <v>39.123600000000003</v>
      </c>
      <c r="P609">
        <v>12.212899999999999</v>
      </c>
      <c r="Q609">
        <v>45.587000000000003</v>
      </c>
    </row>
    <row r="610" spans="1:17" x14ac:dyDescent="0.15">
      <c r="A610">
        <v>2009</v>
      </c>
      <c r="B610">
        <v>3216.22</v>
      </c>
      <c r="C610">
        <v>6.9823300000000005E-2</v>
      </c>
      <c r="D610">
        <v>5.00631</v>
      </c>
      <c r="E610">
        <v>174.101</v>
      </c>
      <c r="F610">
        <v>414.649</v>
      </c>
      <c r="G610">
        <v>239.94900000000001</v>
      </c>
      <c r="H610">
        <v>398.15699999999998</v>
      </c>
      <c r="I610">
        <v>505.73500000000001</v>
      </c>
      <c r="J610">
        <v>464.60199999999998</v>
      </c>
      <c r="K610">
        <v>483.65199999999999</v>
      </c>
      <c r="L610">
        <v>222.73099999999999</v>
      </c>
      <c r="M610">
        <v>96.466399999999993</v>
      </c>
      <c r="N610">
        <v>50.795200000000001</v>
      </c>
      <c r="O610">
        <v>67.784599999999998</v>
      </c>
      <c r="P610">
        <v>36.3596</v>
      </c>
      <c r="Q610">
        <v>56.1646</v>
      </c>
    </row>
    <row r="611" spans="1:17" x14ac:dyDescent="0.15">
      <c r="A611">
        <v>2010</v>
      </c>
      <c r="B611">
        <v>3644.63</v>
      </c>
      <c r="C611">
        <v>0.22461900000000001</v>
      </c>
      <c r="D611">
        <v>29.16</v>
      </c>
      <c r="E611">
        <v>72.090199999999996</v>
      </c>
      <c r="F611">
        <v>1068.5899999999999</v>
      </c>
      <c r="G611">
        <v>679.59699999999998</v>
      </c>
      <c r="H611">
        <v>288.56700000000001</v>
      </c>
      <c r="I611">
        <v>267.21899999999999</v>
      </c>
      <c r="J611">
        <v>328.16800000000001</v>
      </c>
      <c r="K611">
        <v>293.39499999999998</v>
      </c>
      <c r="L611">
        <v>297.28699999999998</v>
      </c>
      <c r="M611">
        <v>134.04</v>
      </c>
      <c r="N611">
        <v>60.298699999999997</v>
      </c>
      <c r="O611">
        <v>33.435400000000001</v>
      </c>
      <c r="P611">
        <v>42.375500000000002</v>
      </c>
      <c r="Q611">
        <v>50.189500000000002</v>
      </c>
    </row>
    <row r="612" spans="1:17" x14ac:dyDescent="0.15">
      <c r="A612">
        <v>2011</v>
      </c>
      <c r="B612">
        <v>4187.68</v>
      </c>
      <c r="C612">
        <v>8.6425500000000002E-2</v>
      </c>
      <c r="D612">
        <v>14.2339</v>
      </c>
      <c r="E612">
        <v>217.07400000000001</v>
      </c>
      <c r="F612">
        <v>346.16500000000002</v>
      </c>
      <c r="G612">
        <v>1863.27</v>
      </c>
      <c r="H612">
        <v>710.72400000000005</v>
      </c>
      <c r="I612">
        <v>174.63399999999999</v>
      </c>
      <c r="J612">
        <v>158.29400000000001</v>
      </c>
      <c r="K612">
        <v>184.08</v>
      </c>
      <c r="L612">
        <v>173.126</v>
      </c>
      <c r="M612">
        <v>162.72</v>
      </c>
      <c r="N612">
        <v>74.177800000000005</v>
      </c>
      <c r="O612">
        <v>38.221400000000003</v>
      </c>
      <c r="P612">
        <v>16.464200000000002</v>
      </c>
      <c r="Q612">
        <v>54.408700000000003</v>
      </c>
    </row>
    <row r="613" spans="1:17" x14ac:dyDescent="0.15">
      <c r="A613">
        <v>2012</v>
      </c>
      <c r="B613">
        <v>4625.71</v>
      </c>
      <c r="C613">
        <v>5.43878E-2</v>
      </c>
      <c r="D613">
        <v>6.9527299999999999</v>
      </c>
      <c r="E613">
        <v>93.528899999999993</v>
      </c>
      <c r="F613">
        <v>1356.39</v>
      </c>
      <c r="G613">
        <v>577.15</v>
      </c>
      <c r="H613">
        <v>1562.17</v>
      </c>
      <c r="I613">
        <v>434.28199999999998</v>
      </c>
      <c r="J613">
        <v>106.994</v>
      </c>
      <c r="K613">
        <v>85.552599999999998</v>
      </c>
      <c r="L613">
        <v>107.69</v>
      </c>
      <c r="M613">
        <v>100.996</v>
      </c>
      <c r="N613">
        <v>92.500299999999996</v>
      </c>
      <c r="O613">
        <v>43.068399999999997</v>
      </c>
      <c r="P613">
        <v>19.885899999999999</v>
      </c>
      <c r="Q613">
        <v>38.490499999999997</v>
      </c>
    </row>
    <row r="614" spans="1:17" x14ac:dyDescent="0.15">
      <c r="A614">
        <v>2013</v>
      </c>
      <c r="B614">
        <v>5582.66</v>
      </c>
      <c r="C614">
        <v>0.61535600000000001</v>
      </c>
      <c r="D614">
        <v>4.8968499999999997</v>
      </c>
      <c r="E614">
        <v>68.466399999999993</v>
      </c>
      <c r="F614">
        <v>617.88199999999995</v>
      </c>
      <c r="G614">
        <v>2376.48</v>
      </c>
      <c r="H614">
        <v>630.33900000000006</v>
      </c>
      <c r="I614">
        <v>1180.6099999999999</v>
      </c>
      <c r="J614">
        <v>301.14699999999999</v>
      </c>
      <c r="K614">
        <v>69.397499999999994</v>
      </c>
      <c r="L614">
        <v>62.0869</v>
      </c>
      <c r="M614">
        <v>76.267200000000003</v>
      </c>
      <c r="N614">
        <v>66.327399999999997</v>
      </c>
      <c r="O614">
        <v>63.3324</v>
      </c>
      <c r="P614">
        <v>30.857199999999999</v>
      </c>
      <c r="Q614">
        <v>33.963299999999997</v>
      </c>
    </row>
    <row r="615" spans="1:17" x14ac:dyDescent="0.15">
      <c r="A615">
        <v>2014</v>
      </c>
      <c r="B615">
        <v>5407.86</v>
      </c>
      <c r="C615">
        <v>5.8496399999999997E-2</v>
      </c>
      <c r="D615">
        <v>21.8443</v>
      </c>
      <c r="E615">
        <v>49.596400000000003</v>
      </c>
      <c r="F615">
        <v>395.14800000000002</v>
      </c>
      <c r="G615">
        <v>1078.5</v>
      </c>
      <c r="H615">
        <v>2489.2199999999998</v>
      </c>
      <c r="I615">
        <v>514.25099999999998</v>
      </c>
      <c r="J615">
        <v>557.58699999999999</v>
      </c>
      <c r="K615">
        <v>135.53</v>
      </c>
      <c r="L615">
        <v>31.2531</v>
      </c>
      <c r="M615">
        <v>25.441299999999998</v>
      </c>
      <c r="N615">
        <v>30.767399999999999</v>
      </c>
      <c r="O615">
        <v>28.380700000000001</v>
      </c>
      <c r="P615">
        <v>25.377500000000001</v>
      </c>
      <c r="Q615">
        <v>24.911100000000001</v>
      </c>
    </row>
    <row r="616" spans="1:17" x14ac:dyDescent="0.15">
      <c r="A616">
        <v>2015</v>
      </c>
      <c r="B616">
        <v>5913.02</v>
      </c>
      <c r="C616">
        <v>9.3940200000000001E-2</v>
      </c>
      <c r="D616">
        <v>14.646000000000001</v>
      </c>
      <c r="E616">
        <v>165.39099999999999</v>
      </c>
      <c r="F616">
        <v>268.68</v>
      </c>
      <c r="G616">
        <v>753.49099999999999</v>
      </c>
      <c r="H616">
        <v>1176.42</v>
      </c>
      <c r="I616">
        <v>2591.66</v>
      </c>
      <c r="J616">
        <v>332.82100000000003</v>
      </c>
      <c r="K616">
        <v>398.91699999999997</v>
      </c>
      <c r="L616">
        <v>95.680499999999995</v>
      </c>
      <c r="M616">
        <v>21.710100000000001</v>
      </c>
      <c r="N616">
        <v>17.297999999999998</v>
      </c>
      <c r="O616">
        <v>20.890699999999999</v>
      </c>
      <c r="P616">
        <v>19.521000000000001</v>
      </c>
      <c r="Q616">
        <v>35.797199999999997</v>
      </c>
    </row>
    <row r="618" spans="1:17" x14ac:dyDescent="0.15">
      <c r="A618" t="s">
        <v>539</v>
      </c>
    </row>
    <row r="619" spans="1:17" x14ac:dyDescent="0.15">
      <c r="A619" t="s">
        <v>540</v>
      </c>
      <c r="B619">
        <v>0.65584500000000001</v>
      </c>
    </row>
    <row r="620" spans="1:17" x14ac:dyDescent="0.15">
      <c r="A620" t="s">
        <v>295</v>
      </c>
      <c r="B620">
        <v>1.78243</v>
      </c>
    </row>
    <row r="621" spans="1:17" x14ac:dyDescent="0.15">
      <c r="A621" t="s">
        <v>541</v>
      </c>
      <c r="B621">
        <v>22.7959</v>
      </c>
    </row>
    <row r="622" spans="1:17" x14ac:dyDescent="0.15">
      <c r="A622" t="s">
        <v>542</v>
      </c>
      <c r="B622">
        <v>21.191199999999998</v>
      </c>
    </row>
    <row r="623" spans="1:17" x14ac:dyDescent="0.15">
      <c r="A623" t="s">
        <v>543</v>
      </c>
      <c r="B623">
        <v>28.170500000000001</v>
      </c>
    </row>
    <row r="625" spans="1:2" x14ac:dyDescent="0.15">
      <c r="A625" t="s">
        <v>794</v>
      </c>
      <c r="B625">
        <v>2.0567500000000001</v>
      </c>
    </row>
    <row r="627" spans="1:2" x14ac:dyDescent="0.15">
      <c r="A627" t="s">
        <v>544</v>
      </c>
    </row>
    <row r="628" spans="1:2" x14ac:dyDescent="0.15">
      <c r="A628" t="s">
        <v>545</v>
      </c>
      <c r="B628">
        <v>216.17400000000001</v>
      </c>
    </row>
    <row r="629" spans="1:2" x14ac:dyDescent="0.15">
      <c r="A629" t="s">
        <v>546</v>
      </c>
      <c r="B629">
        <v>-958.38900000000001</v>
      </c>
    </row>
    <row r="630" spans="1:2" x14ac:dyDescent="0.15">
      <c r="A630" t="s">
        <v>547</v>
      </c>
      <c r="B630">
        <v>132.715</v>
      </c>
    </row>
    <row r="631" spans="1:2" x14ac:dyDescent="0.15">
      <c r="A631" t="s">
        <v>548</v>
      </c>
      <c r="B631">
        <v>47.094200000000001</v>
      </c>
    </row>
    <row r="633" spans="1:2" x14ac:dyDescent="0.15">
      <c r="A633" t="s">
        <v>549</v>
      </c>
      <c r="B633" t="s">
        <v>550</v>
      </c>
    </row>
    <row r="634" spans="1:2" x14ac:dyDescent="0.15">
      <c r="A634" t="s">
        <v>551</v>
      </c>
      <c r="B634">
        <v>9.3117099999999997</v>
      </c>
    </row>
    <row r="635" spans="1:2" x14ac:dyDescent="0.15">
      <c r="A635" t="s">
        <v>552</v>
      </c>
      <c r="B635">
        <v>1.2301599999999999</v>
      </c>
    </row>
    <row r="636" spans="1:2" x14ac:dyDescent="0.15">
      <c r="A636" t="s">
        <v>553</v>
      </c>
      <c r="B636">
        <v>18.994800000000001</v>
      </c>
    </row>
    <row r="637" spans="1:2" x14ac:dyDescent="0.15">
      <c r="A637" t="s">
        <v>554</v>
      </c>
      <c r="B637">
        <v>0</v>
      </c>
    </row>
    <row r="638" spans="1:2" x14ac:dyDescent="0.15">
      <c r="A638" t="s">
        <v>555</v>
      </c>
      <c r="B638">
        <v>3.2784300000000002</v>
      </c>
    </row>
    <row r="639" spans="1:2" x14ac:dyDescent="0.15">
      <c r="A639" t="s">
        <v>556</v>
      </c>
      <c r="B639">
        <v>2.9155899999999999</v>
      </c>
    </row>
    <row r="640" spans="1:2" x14ac:dyDescent="0.15">
      <c r="A640" t="s">
        <v>557</v>
      </c>
      <c r="B640">
        <v>0</v>
      </c>
    </row>
    <row r="641" spans="1:5" x14ac:dyDescent="0.15">
      <c r="A641" t="s">
        <v>558</v>
      </c>
      <c r="B641">
        <v>4.7996499999999997</v>
      </c>
    </row>
    <row r="642" spans="1:5" x14ac:dyDescent="0.15">
      <c r="A642" t="s">
        <v>559</v>
      </c>
      <c r="B642">
        <v>0</v>
      </c>
    </row>
    <row r="643" spans="1:5" x14ac:dyDescent="0.15">
      <c r="A643" t="s">
        <v>560</v>
      </c>
      <c r="B643">
        <v>1.3327899999999999</v>
      </c>
    </row>
    <row r="644" spans="1:5" x14ac:dyDescent="0.15">
      <c r="A644" t="s">
        <v>561</v>
      </c>
      <c r="B644">
        <v>65.177599999999998</v>
      </c>
    </row>
    <row r="645" spans="1:5" x14ac:dyDescent="0.15">
      <c r="A645" t="s">
        <v>562</v>
      </c>
      <c r="B645">
        <v>19.2973</v>
      </c>
    </row>
    <row r="646" spans="1:5" x14ac:dyDescent="0.15">
      <c r="A646" t="s">
        <v>563</v>
      </c>
      <c r="B646">
        <v>0.38466099999999998</v>
      </c>
    </row>
    <row r="647" spans="1:5" x14ac:dyDescent="0.15">
      <c r="A647" t="s">
        <v>564</v>
      </c>
      <c r="B647" s="1">
        <v>2.2924099999999999E-12</v>
      </c>
    </row>
    <row r="648" spans="1:5" x14ac:dyDescent="0.15">
      <c r="A648" t="s">
        <v>565</v>
      </c>
      <c r="B648">
        <v>0</v>
      </c>
    </row>
    <row r="649" spans="1:5" x14ac:dyDescent="0.15">
      <c r="A649" t="s">
        <v>566</v>
      </c>
      <c r="B649">
        <v>6.3716399999999996E-4</v>
      </c>
    </row>
    <row r="650" spans="1:5" x14ac:dyDescent="0.15">
      <c r="A650" t="s">
        <v>528</v>
      </c>
      <c r="B650">
        <v>22.778199999999998</v>
      </c>
      <c r="C650">
        <v>14.9321</v>
      </c>
      <c r="D650">
        <v>14.9321</v>
      </c>
      <c r="E650" t="s">
        <v>113</v>
      </c>
    </row>
    <row r="651" spans="1:5" x14ac:dyDescent="0.15">
      <c r="A651" t="s">
        <v>529</v>
      </c>
      <c r="B651">
        <v>0</v>
      </c>
    </row>
    <row r="653" spans="1:5" x14ac:dyDescent="0.15">
      <c r="A653" t="s">
        <v>567</v>
      </c>
    </row>
    <row r="654" spans="1:5" x14ac:dyDescent="0.15">
      <c r="A654" t="s">
        <v>568</v>
      </c>
      <c r="B654">
        <v>990.00599999999997</v>
      </c>
    </row>
    <row r="655" spans="1:5" x14ac:dyDescent="0.15">
      <c r="A655" t="s">
        <v>569</v>
      </c>
      <c r="B655">
        <v>1130.19</v>
      </c>
    </row>
    <row r="657" spans="1:53" x14ac:dyDescent="0.15">
      <c r="A657" t="s">
        <v>120</v>
      </c>
    </row>
    <row r="658" spans="1:53" x14ac:dyDescent="0.15">
      <c r="B658">
        <v>559.07100000000003</v>
      </c>
      <c r="C658">
        <v>640.01900000000001</v>
      </c>
      <c r="D658">
        <v>723.24599999999998</v>
      </c>
      <c r="E658">
        <v>897.30399999999997</v>
      </c>
      <c r="F658">
        <v>1100.24</v>
      </c>
      <c r="G658">
        <v>1325</v>
      </c>
      <c r="H658">
        <v>1520.36</v>
      </c>
      <c r="I658">
        <v>1595.37</v>
      </c>
      <c r="J658">
        <v>1529.63</v>
      </c>
      <c r="K658">
        <v>1316.42</v>
      </c>
      <c r="L658">
        <v>1004.81</v>
      </c>
      <c r="M658">
        <v>875.79700000000003</v>
      </c>
      <c r="N658">
        <v>924.51700000000005</v>
      </c>
      <c r="O658">
        <v>997.726</v>
      </c>
      <c r="P658">
        <v>1049.1400000000001</v>
      </c>
      <c r="Q658">
        <v>1078.46</v>
      </c>
      <c r="R658">
        <v>1283.04</v>
      </c>
      <c r="S658">
        <v>2079.65</v>
      </c>
      <c r="T658">
        <v>3076.73</v>
      </c>
      <c r="U658">
        <v>3734.37</v>
      </c>
      <c r="V658">
        <v>3945.4</v>
      </c>
      <c r="W658">
        <v>4152.58</v>
      </c>
      <c r="X658">
        <v>4285.6499999999996</v>
      </c>
      <c r="Y658">
        <v>4295.72</v>
      </c>
      <c r="Z658">
        <v>4172.18</v>
      </c>
      <c r="AA658">
        <v>3683.91</v>
      </c>
      <c r="AB658">
        <v>2934.91</v>
      </c>
      <c r="AC658">
        <v>2189.87</v>
      </c>
      <c r="AD658">
        <v>2328.75</v>
      </c>
      <c r="AE658">
        <v>3261.38</v>
      </c>
      <c r="AF658">
        <v>3606.2</v>
      </c>
      <c r="AG658">
        <v>3814.62</v>
      </c>
      <c r="AH658">
        <v>3793.39</v>
      </c>
      <c r="AI658">
        <v>3544.37</v>
      </c>
      <c r="AJ658">
        <v>3277.58</v>
      </c>
      <c r="AK658">
        <v>3302.53</v>
      </c>
      <c r="AL658">
        <v>3372.47</v>
      </c>
      <c r="AM658">
        <v>3428.23</v>
      </c>
      <c r="AN658">
        <v>3256.56</v>
      </c>
      <c r="AO658">
        <v>3446.53</v>
      </c>
      <c r="AP658">
        <v>3555.93</v>
      </c>
      <c r="AQ658">
        <v>3270.85</v>
      </c>
      <c r="AR658">
        <v>2699.99</v>
      </c>
      <c r="AS658">
        <v>2266.9</v>
      </c>
      <c r="AT658">
        <v>1684.91</v>
      </c>
      <c r="AU658">
        <v>1863.55</v>
      </c>
      <c r="AV658">
        <v>2100.9299999999998</v>
      </c>
      <c r="AW658">
        <v>2551.9</v>
      </c>
      <c r="AX658">
        <v>2976.88</v>
      </c>
      <c r="AY658">
        <v>3374.22</v>
      </c>
      <c r="AZ658">
        <v>3297.67</v>
      </c>
      <c r="BA658">
        <v>3310.58</v>
      </c>
    </row>
    <row r="659" spans="1:53" x14ac:dyDescent="0.15">
      <c r="A659" t="s">
        <v>200</v>
      </c>
    </row>
    <row r="660" spans="1:53" x14ac:dyDescent="0.15"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53" x14ac:dyDescent="0.15"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53" x14ac:dyDescent="0.15"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53" x14ac:dyDescent="0.15"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53" x14ac:dyDescent="0.15"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53" x14ac:dyDescent="0.15"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53" x14ac:dyDescent="0.15"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53" x14ac:dyDescent="0.15"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53" x14ac:dyDescent="0.15"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53" x14ac:dyDescent="0.15"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53" x14ac:dyDescent="0.15"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53" x14ac:dyDescent="0.15">
      <c r="B671" t="s">
        <v>203</v>
      </c>
      <c r="C671" t="s">
        <v>156</v>
      </c>
      <c r="D671" t="s">
        <v>201</v>
      </c>
      <c r="E671" t="s">
        <v>204</v>
      </c>
      <c r="F671" t="s">
        <v>205</v>
      </c>
    </row>
    <row r="672" spans="1:53" x14ac:dyDescent="0.15">
      <c r="B672">
        <v>121.161</v>
      </c>
      <c r="C672">
        <v>363.48399999999998</v>
      </c>
      <c r="D672">
        <v>605.80700000000002</v>
      </c>
      <c r="E672">
        <v>848.12900000000002</v>
      </c>
      <c r="F672">
        <v>1090.45</v>
      </c>
      <c r="G672">
        <v>1332.77</v>
      </c>
      <c r="H672">
        <v>1575.1</v>
      </c>
      <c r="I672">
        <v>1817.42</v>
      </c>
      <c r="J672">
        <v>2059.7399999999998</v>
      </c>
      <c r="K672">
        <v>2302.0700000000002</v>
      </c>
      <c r="L672">
        <v>2544.39</v>
      </c>
      <c r="M672">
        <v>2786.71</v>
      </c>
      <c r="N672">
        <v>3029.03</v>
      </c>
      <c r="O672">
        <v>3271.36</v>
      </c>
      <c r="P672">
        <v>3513.68</v>
      </c>
      <c r="Q672">
        <v>3756</v>
      </c>
      <c r="R672">
        <v>3998.32</v>
      </c>
      <c r="S672">
        <v>4240.6499999999996</v>
      </c>
      <c r="T672">
        <v>4482.97</v>
      </c>
      <c r="U672">
        <v>4725.29</v>
      </c>
    </row>
    <row r="673" spans="1:21" x14ac:dyDescent="0.15">
      <c r="B673">
        <v>4396.3900000000003</v>
      </c>
      <c r="C673">
        <v>11606.8</v>
      </c>
      <c r="D673">
        <v>17023.900000000001</v>
      </c>
      <c r="E673">
        <v>20974.1</v>
      </c>
      <c r="F673">
        <v>23731.5</v>
      </c>
      <c r="G673">
        <v>25525.3</v>
      </c>
      <c r="H673">
        <v>26547.200000000001</v>
      </c>
      <c r="I673">
        <v>26956.400000000001</v>
      </c>
      <c r="J673">
        <v>26885.4</v>
      </c>
      <c r="K673">
        <v>26443.4</v>
      </c>
      <c r="L673">
        <v>25720.5</v>
      </c>
      <c r="M673">
        <v>24790.5</v>
      </c>
      <c r="N673">
        <v>23713.4</v>
      </c>
      <c r="O673">
        <v>22537.9</v>
      </c>
      <c r="P673">
        <v>21303.200000000001</v>
      </c>
      <c r="Q673">
        <v>20040.3</v>
      </c>
      <c r="R673">
        <v>18773.8</v>
      </c>
      <c r="S673">
        <v>17522.8</v>
      </c>
      <c r="T673">
        <v>16301.7</v>
      </c>
      <c r="U673">
        <v>15121.4</v>
      </c>
    </row>
    <row r="674" spans="1:21" x14ac:dyDescent="0.15">
      <c r="A674">
        <v>-168.655</v>
      </c>
      <c r="B674">
        <v>54.640099999999997</v>
      </c>
      <c r="C674">
        <v>1</v>
      </c>
    </row>
    <row r="675" spans="1:21" x14ac:dyDescent="0.15">
      <c r="A675">
        <v>-167.821</v>
      </c>
      <c r="B675">
        <v>54.640099999999997</v>
      </c>
      <c r="C675">
        <v>1</v>
      </c>
    </row>
    <row r="676" spans="1:21" x14ac:dyDescent="0.15">
      <c r="A676">
        <v>-166.988</v>
      </c>
      <c r="B676">
        <v>54.640099999999997</v>
      </c>
      <c r="C676">
        <v>1</v>
      </c>
    </row>
    <row r="677" spans="1:21" x14ac:dyDescent="0.15">
      <c r="A677">
        <v>-166.154</v>
      </c>
      <c r="B677">
        <v>54.640099999999997</v>
      </c>
      <c r="C677">
        <v>1</v>
      </c>
    </row>
    <row r="678" spans="1:21" x14ac:dyDescent="0.15">
      <c r="A678">
        <v>-165.321</v>
      </c>
      <c r="B678">
        <v>54.640099999999997</v>
      </c>
      <c r="C678">
        <v>1</v>
      </c>
    </row>
    <row r="679" spans="1:21" x14ac:dyDescent="0.15">
      <c r="A679">
        <v>-164.488</v>
      </c>
      <c r="B679">
        <v>54.640099999999997</v>
      </c>
      <c r="C679">
        <v>1</v>
      </c>
    </row>
    <row r="680" spans="1:21" x14ac:dyDescent="0.15">
      <c r="A680">
        <v>-163.654</v>
      </c>
      <c r="B680">
        <v>54.640099999999997</v>
      </c>
      <c r="C680">
        <v>1</v>
      </c>
    </row>
    <row r="681" spans="1:21" x14ac:dyDescent="0.15">
      <c r="A681">
        <v>-162.821</v>
      </c>
      <c r="B681">
        <v>54.640099999999997</v>
      </c>
      <c r="C681">
        <v>1</v>
      </c>
    </row>
    <row r="682" spans="1:21" x14ac:dyDescent="0.15">
      <c r="A682">
        <v>-161.98699999999999</v>
      </c>
      <c r="B682">
        <v>54.640099999999997</v>
      </c>
      <c r="C682">
        <v>1</v>
      </c>
    </row>
    <row r="683" spans="1:21" x14ac:dyDescent="0.15">
      <c r="A683">
        <v>-161.154</v>
      </c>
      <c r="B683">
        <v>54.640099999999997</v>
      </c>
      <c r="C683">
        <v>1</v>
      </c>
    </row>
    <row r="684" spans="1:21" x14ac:dyDescent="0.15">
      <c r="A684">
        <v>-160.321</v>
      </c>
      <c r="B684">
        <v>54.640099999999997</v>
      </c>
      <c r="C684">
        <v>1</v>
      </c>
    </row>
    <row r="685" spans="1:21" x14ac:dyDescent="0.15">
      <c r="A685">
        <v>-168.655</v>
      </c>
      <c r="B685">
        <v>54.950899999999997</v>
      </c>
      <c r="C685">
        <v>1</v>
      </c>
    </row>
    <row r="686" spans="1:21" x14ac:dyDescent="0.15">
      <c r="A686">
        <v>-167.821</v>
      </c>
      <c r="B686">
        <v>54.950899999999997</v>
      </c>
      <c r="C686">
        <v>1</v>
      </c>
    </row>
    <row r="687" spans="1:21" x14ac:dyDescent="0.15">
      <c r="A687">
        <v>-166.988</v>
      </c>
      <c r="B687">
        <v>54.950899999999997</v>
      </c>
      <c r="C687">
        <v>1</v>
      </c>
    </row>
    <row r="688" spans="1:21" x14ac:dyDescent="0.15">
      <c r="A688">
        <v>-166.154</v>
      </c>
      <c r="B688">
        <v>54.950899999999997</v>
      </c>
      <c r="C688">
        <v>1</v>
      </c>
    </row>
    <row r="689" spans="1:3" x14ac:dyDescent="0.15">
      <c r="A689">
        <v>-165.321</v>
      </c>
      <c r="B689">
        <v>54.950899999999997</v>
      </c>
      <c r="C689">
        <v>1</v>
      </c>
    </row>
    <row r="690" spans="1:3" x14ac:dyDescent="0.15">
      <c r="A690">
        <v>-164.488</v>
      </c>
      <c r="B690">
        <v>54.950899999999997</v>
      </c>
      <c r="C690">
        <v>1</v>
      </c>
    </row>
    <row r="691" spans="1:3" x14ac:dyDescent="0.15">
      <c r="A691">
        <v>-163.654</v>
      </c>
      <c r="B691">
        <v>54.950899999999997</v>
      </c>
      <c r="C691">
        <v>1</v>
      </c>
    </row>
    <row r="692" spans="1:3" x14ac:dyDescent="0.15">
      <c r="A692">
        <v>-162.821</v>
      </c>
      <c r="B692">
        <v>54.950899999999997</v>
      </c>
      <c r="C692">
        <v>1</v>
      </c>
    </row>
    <row r="693" spans="1:3" x14ac:dyDescent="0.15">
      <c r="A693">
        <v>-161.98699999999999</v>
      </c>
      <c r="B693">
        <v>54.950899999999997</v>
      </c>
      <c r="C693">
        <v>1</v>
      </c>
    </row>
    <row r="694" spans="1:3" x14ac:dyDescent="0.15">
      <c r="A694">
        <v>-161.154</v>
      </c>
      <c r="B694">
        <v>54.950899999999997</v>
      </c>
      <c r="C694">
        <v>1</v>
      </c>
    </row>
    <row r="695" spans="1:3" x14ac:dyDescent="0.15">
      <c r="A695">
        <v>-160.321</v>
      </c>
      <c r="B695">
        <v>54.950899999999997</v>
      </c>
      <c r="C695">
        <v>1</v>
      </c>
    </row>
    <row r="696" spans="1:3" x14ac:dyDescent="0.15">
      <c r="A696">
        <v>-168.655</v>
      </c>
      <c r="B696">
        <v>55.261699999999998</v>
      </c>
      <c r="C696">
        <v>1</v>
      </c>
    </row>
    <row r="697" spans="1:3" x14ac:dyDescent="0.15">
      <c r="A697">
        <v>-167.821</v>
      </c>
      <c r="B697">
        <v>55.261699999999998</v>
      </c>
      <c r="C697">
        <v>1</v>
      </c>
    </row>
    <row r="698" spans="1:3" x14ac:dyDescent="0.15">
      <c r="A698">
        <v>-166.988</v>
      </c>
      <c r="B698">
        <v>55.261699999999998</v>
      </c>
      <c r="C698">
        <v>1</v>
      </c>
    </row>
    <row r="699" spans="1:3" x14ac:dyDescent="0.15">
      <c r="A699">
        <v>-166.154</v>
      </c>
      <c r="B699">
        <v>55.261699999999998</v>
      </c>
      <c r="C699">
        <v>1</v>
      </c>
    </row>
    <row r="700" spans="1:3" x14ac:dyDescent="0.15">
      <c r="A700">
        <v>-165.321</v>
      </c>
      <c r="B700">
        <v>55.261699999999998</v>
      </c>
      <c r="C700">
        <v>1</v>
      </c>
    </row>
    <row r="701" spans="1:3" x14ac:dyDescent="0.15">
      <c r="A701">
        <v>-164.488</v>
      </c>
      <c r="B701">
        <v>55.261699999999998</v>
      </c>
      <c r="C701">
        <v>1</v>
      </c>
    </row>
    <row r="702" spans="1:3" x14ac:dyDescent="0.15">
      <c r="A702">
        <v>-163.654</v>
      </c>
      <c r="B702">
        <v>55.261699999999998</v>
      </c>
      <c r="C702">
        <v>1</v>
      </c>
    </row>
    <row r="703" spans="1:3" x14ac:dyDescent="0.15">
      <c r="A703">
        <v>-162.821</v>
      </c>
      <c r="B703">
        <v>55.261699999999998</v>
      </c>
      <c r="C703">
        <v>1</v>
      </c>
    </row>
    <row r="704" spans="1:3" x14ac:dyDescent="0.15">
      <c r="A704">
        <v>-161.98699999999999</v>
      </c>
      <c r="B704">
        <v>55.261699999999998</v>
      </c>
      <c r="C704">
        <v>1</v>
      </c>
    </row>
    <row r="705" spans="1:3" x14ac:dyDescent="0.15">
      <c r="A705">
        <v>-161.154</v>
      </c>
      <c r="B705">
        <v>55.261699999999998</v>
      </c>
      <c r="C705">
        <v>1</v>
      </c>
    </row>
    <row r="706" spans="1:3" x14ac:dyDescent="0.15">
      <c r="A706">
        <v>-160.321</v>
      </c>
      <c r="B706">
        <v>55.261699999999998</v>
      </c>
      <c r="C706">
        <v>1</v>
      </c>
    </row>
    <row r="707" spans="1:3" x14ac:dyDescent="0.15">
      <c r="A707">
        <v>-168.655</v>
      </c>
      <c r="B707">
        <v>55.572600000000001</v>
      </c>
      <c r="C707">
        <v>1</v>
      </c>
    </row>
    <row r="708" spans="1:3" x14ac:dyDescent="0.15">
      <c r="A708">
        <v>-167.821</v>
      </c>
      <c r="B708">
        <v>55.572600000000001</v>
      </c>
      <c r="C708">
        <v>1</v>
      </c>
    </row>
    <row r="709" spans="1:3" x14ac:dyDescent="0.15">
      <c r="A709">
        <v>-166.988</v>
      </c>
      <c r="B709">
        <v>55.572600000000001</v>
      </c>
      <c r="C709">
        <v>1</v>
      </c>
    </row>
    <row r="710" spans="1:3" x14ac:dyDescent="0.15">
      <c r="A710">
        <v>-166.154</v>
      </c>
      <c r="B710">
        <v>55.572600000000001</v>
      </c>
      <c r="C710">
        <v>1</v>
      </c>
    </row>
    <row r="711" spans="1:3" x14ac:dyDescent="0.15">
      <c r="A711">
        <v>-165.321</v>
      </c>
      <c r="B711">
        <v>55.572600000000001</v>
      </c>
      <c r="C711">
        <v>1</v>
      </c>
    </row>
    <row r="712" spans="1:3" x14ac:dyDescent="0.15">
      <c r="A712">
        <v>-164.488</v>
      </c>
      <c r="B712">
        <v>55.572600000000001</v>
      </c>
      <c r="C712">
        <v>1</v>
      </c>
    </row>
    <row r="713" spans="1:3" x14ac:dyDescent="0.15">
      <c r="A713">
        <v>-163.654</v>
      </c>
      <c r="B713">
        <v>55.572600000000001</v>
      </c>
      <c r="C713">
        <v>1</v>
      </c>
    </row>
    <row r="714" spans="1:3" x14ac:dyDescent="0.15">
      <c r="A714">
        <v>-162.821</v>
      </c>
      <c r="B714">
        <v>55.572600000000001</v>
      </c>
      <c r="C714">
        <v>1</v>
      </c>
    </row>
    <row r="715" spans="1:3" x14ac:dyDescent="0.15">
      <c r="A715">
        <v>-161.98699999999999</v>
      </c>
      <c r="B715">
        <v>55.572600000000001</v>
      </c>
      <c r="C715">
        <v>1</v>
      </c>
    </row>
    <row r="716" spans="1:3" x14ac:dyDescent="0.15">
      <c r="A716">
        <v>-161.154</v>
      </c>
      <c r="B716">
        <v>55.572600000000001</v>
      </c>
      <c r="C716">
        <v>1</v>
      </c>
    </row>
    <row r="717" spans="1:3" x14ac:dyDescent="0.15">
      <c r="A717">
        <v>-160.321</v>
      </c>
      <c r="B717">
        <v>55.572600000000001</v>
      </c>
      <c r="C717">
        <v>1</v>
      </c>
    </row>
    <row r="718" spans="1:3" x14ac:dyDescent="0.15">
      <c r="A718">
        <v>-168.655</v>
      </c>
      <c r="B718">
        <v>55.883400000000002</v>
      </c>
      <c r="C718">
        <v>1</v>
      </c>
    </row>
    <row r="719" spans="1:3" x14ac:dyDescent="0.15">
      <c r="A719">
        <v>-167.821</v>
      </c>
      <c r="B719">
        <v>55.883400000000002</v>
      </c>
      <c r="C719">
        <v>1</v>
      </c>
    </row>
    <row r="720" spans="1:3" x14ac:dyDescent="0.15">
      <c r="A720">
        <v>-166.988</v>
      </c>
      <c r="B720">
        <v>55.883400000000002</v>
      </c>
      <c r="C720">
        <v>1</v>
      </c>
    </row>
    <row r="721" spans="1:3" x14ac:dyDescent="0.15">
      <c r="A721">
        <v>-166.154</v>
      </c>
      <c r="B721">
        <v>55.883400000000002</v>
      </c>
      <c r="C721">
        <v>1</v>
      </c>
    </row>
    <row r="722" spans="1:3" x14ac:dyDescent="0.15">
      <c r="A722">
        <v>-165.321</v>
      </c>
      <c r="B722">
        <v>55.883400000000002</v>
      </c>
      <c r="C722">
        <v>1</v>
      </c>
    </row>
    <row r="723" spans="1:3" x14ac:dyDescent="0.15">
      <c r="A723">
        <v>-164.488</v>
      </c>
      <c r="B723">
        <v>55.883400000000002</v>
      </c>
      <c r="C723">
        <v>1</v>
      </c>
    </row>
    <row r="724" spans="1:3" x14ac:dyDescent="0.15">
      <c r="A724">
        <v>-163.654</v>
      </c>
      <c r="B724">
        <v>55.883400000000002</v>
      </c>
      <c r="C724">
        <v>1</v>
      </c>
    </row>
    <row r="725" spans="1:3" x14ac:dyDescent="0.15">
      <c r="A725">
        <v>-162.821</v>
      </c>
      <c r="B725">
        <v>55.883400000000002</v>
      </c>
      <c r="C725">
        <v>1</v>
      </c>
    </row>
    <row r="726" spans="1:3" x14ac:dyDescent="0.15">
      <c r="A726">
        <v>-161.98699999999999</v>
      </c>
      <c r="B726">
        <v>55.883400000000002</v>
      </c>
      <c r="C726">
        <v>1</v>
      </c>
    </row>
    <row r="727" spans="1:3" x14ac:dyDescent="0.15">
      <c r="A727">
        <v>-161.154</v>
      </c>
      <c r="B727">
        <v>55.883400000000002</v>
      </c>
      <c r="C727">
        <v>1</v>
      </c>
    </row>
    <row r="728" spans="1:3" x14ac:dyDescent="0.15">
      <c r="A728">
        <v>-160.321</v>
      </c>
      <c r="B728">
        <v>55.883400000000002</v>
      </c>
      <c r="C728">
        <v>1</v>
      </c>
    </row>
    <row r="729" spans="1:3" x14ac:dyDescent="0.15">
      <c r="A729">
        <v>-168.655</v>
      </c>
      <c r="B729">
        <v>56.194200000000002</v>
      </c>
      <c r="C729">
        <v>1</v>
      </c>
    </row>
    <row r="730" spans="1:3" x14ac:dyDescent="0.15">
      <c r="A730">
        <v>-167.821</v>
      </c>
      <c r="B730">
        <v>56.194200000000002</v>
      </c>
      <c r="C730">
        <v>1</v>
      </c>
    </row>
    <row r="731" spans="1:3" x14ac:dyDescent="0.15">
      <c r="A731">
        <v>-166.988</v>
      </c>
      <c r="B731">
        <v>56.194200000000002</v>
      </c>
      <c r="C731">
        <v>1</v>
      </c>
    </row>
    <row r="732" spans="1:3" x14ac:dyDescent="0.15">
      <c r="A732">
        <v>-166.154</v>
      </c>
      <c r="B732">
        <v>56.194200000000002</v>
      </c>
      <c r="C732">
        <v>1</v>
      </c>
    </row>
    <row r="733" spans="1:3" x14ac:dyDescent="0.15">
      <c r="A733">
        <v>-165.321</v>
      </c>
      <c r="B733">
        <v>56.194200000000002</v>
      </c>
      <c r="C733">
        <v>1</v>
      </c>
    </row>
    <row r="734" spans="1:3" x14ac:dyDescent="0.15">
      <c r="A734">
        <v>-164.488</v>
      </c>
      <c r="B734">
        <v>56.194200000000002</v>
      </c>
      <c r="C734">
        <v>1</v>
      </c>
    </row>
    <row r="735" spans="1:3" x14ac:dyDescent="0.15">
      <c r="A735">
        <v>-163.654</v>
      </c>
      <c r="B735">
        <v>56.194200000000002</v>
      </c>
      <c r="C735">
        <v>1</v>
      </c>
    </row>
    <row r="736" spans="1:3" x14ac:dyDescent="0.15">
      <c r="A736">
        <v>-162.821</v>
      </c>
      <c r="B736">
        <v>56.194200000000002</v>
      </c>
      <c r="C736">
        <v>1</v>
      </c>
    </row>
    <row r="737" spans="1:3" x14ac:dyDescent="0.15">
      <c r="A737">
        <v>-161.98699999999999</v>
      </c>
      <c r="B737">
        <v>56.194200000000002</v>
      </c>
      <c r="C737">
        <v>1</v>
      </c>
    </row>
    <row r="738" spans="1:3" x14ac:dyDescent="0.15">
      <c r="A738">
        <v>-161.154</v>
      </c>
      <c r="B738">
        <v>56.194200000000002</v>
      </c>
      <c r="C738">
        <v>1</v>
      </c>
    </row>
    <row r="739" spans="1:3" x14ac:dyDescent="0.15">
      <c r="A739">
        <v>-160.321</v>
      </c>
      <c r="B739">
        <v>56.194200000000002</v>
      </c>
      <c r="C739">
        <v>1</v>
      </c>
    </row>
    <row r="740" spans="1:3" x14ac:dyDescent="0.15">
      <c r="A740">
        <v>-168.655</v>
      </c>
      <c r="B740">
        <v>56.505000000000003</v>
      </c>
      <c r="C740">
        <v>1</v>
      </c>
    </row>
    <row r="741" spans="1:3" x14ac:dyDescent="0.15">
      <c r="A741">
        <v>-167.821</v>
      </c>
      <c r="B741">
        <v>56.505000000000003</v>
      </c>
      <c r="C741">
        <v>1</v>
      </c>
    </row>
    <row r="742" spans="1:3" x14ac:dyDescent="0.15">
      <c r="A742">
        <v>-166.988</v>
      </c>
      <c r="B742">
        <v>56.505000000000003</v>
      </c>
      <c r="C742">
        <v>1</v>
      </c>
    </row>
    <row r="743" spans="1:3" x14ac:dyDescent="0.15">
      <c r="A743">
        <v>-166.154</v>
      </c>
      <c r="B743">
        <v>56.505000000000003</v>
      </c>
      <c r="C743">
        <v>1</v>
      </c>
    </row>
    <row r="744" spans="1:3" x14ac:dyDescent="0.15">
      <c r="A744">
        <v>-165.321</v>
      </c>
      <c r="B744">
        <v>56.505000000000003</v>
      </c>
      <c r="C744">
        <v>1</v>
      </c>
    </row>
    <row r="745" spans="1:3" x14ac:dyDescent="0.15">
      <c r="A745">
        <v>-164.488</v>
      </c>
      <c r="B745">
        <v>56.505000000000003</v>
      </c>
      <c r="C745">
        <v>1</v>
      </c>
    </row>
    <row r="746" spans="1:3" x14ac:dyDescent="0.15">
      <c r="A746">
        <v>-163.654</v>
      </c>
      <c r="B746">
        <v>56.505000000000003</v>
      </c>
      <c r="C746">
        <v>1</v>
      </c>
    </row>
    <row r="747" spans="1:3" x14ac:dyDescent="0.15">
      <c r="A747">
        <v>-162.821</v>
      </c>
      <c r="B747">
        <v>56.505000000000003</v>
      </c>
      <c r="C747">
        <v>1</v>
      </c>
    </row>
    <row r="748" spans="1:3" x14ac:dyDescent="0.15">
      <c r="A748">
        <v>-161.98699999999999</v>
      </c>
      <c r="B748">
        <v>56.505000000000003</v>
      </c>
      <c r="C748">
        <v>1</v>
      </c>
    </row>
    <row r="749" spans="1:3" x14ac:dyDescent="0.15">
      <c r="A749">
        <v>-161.154</v>
      </c>
      <c r="B749">
        <v>56.505000000000003</v>
      </c>
      <c r="C749">
        <v>1</v>
      </c>
    </row>
    <row r="750" spans="1:3" x14ac:dyDescent="0.15">
      <c r="A750">
        <v>-160.321</v>
      </c>
      <c r="B750">
        <v>56.505000000000003</v>
      </c>
      <c r="C750">
        <v>1</v>
      </c>
    </row>
    <row r="751" spans="1:3" x14ac:dyDescent="0.15">
      <c r="A751">
        <v>-168.655</v>
      </c>
      <c r="B751">
        <v>56.815800000000003</v>
      </c>
      <c r="C751">
        <v>1</v>
      </c>
    </row>
    <row r="752" spans="1:3" x14ac:dyDescent="0.15">
      <c r="A752">
        <v>-167.821</v>
      </c>
      <c r="B752">
        <v>56.815800000000003</v>
      </c>
      <c r="C752">
        <v>1</v>
      </c>
    </row>
    <row r="753" spans="1:3" x14ac:dyDescent="0.15">
      <c r="A753">
        <v>-166.988</v>
      </c>
      <c r="B753">
        <v>56.815800000000003</v>
      </c>
      <c r="C753">
        <v>1</v>
      </c>
    </row>
    <row r="754" spans="1:3" x14ac:dyDescent="0.15">
      <c r="A754">
        <v>-166.154</v>
      </c>
      <c r="B754">
        <v>56.815800000000003</v>
      </c>
      <c r="C754">
        <v>1</v>
      </c>
    </row>
    <row r="755" spans="1:3" x14ac:dyDescent="0.15">
      <c r="A755">
        <v>-165.321</v>
      </c>
      <c r="B755">
        <v>56.815800000000003</v>
      </c>
      <c r="C755">
        <v>1</v>
      </c>
    </row>
    <row r="756" spans="1:3" x14ac:dyDescent="0.15">
      <c r="A756">
        <v>-164.488</v>
      </c>
      <c r="B756">
        <v>56.815800000000003</v>
      </c>
      <c r="C756">
        <v>1</v>
      </c>
    </row>
    <row r="757" spans="1:3" x14ac:dyDescent="0.15">
      <c r="A757">
        <v>-163.654</v>
      </c>
      <c r="B757">
        <v>56.815800000000003</v>
      </c>
      <c r="C757">
        <v>1</v>
      </c>
    </row>
    <row r="758" spans="1:3" x14ac:dyDescent="0.15">
      <c r="A758">
        <v>-162.821</v>
      </c>
      <c r="B758">
        <v>56.815800000000003</v>
      </c>
      <c r="C758">
        <v>1</v>
      </c>
    </row>
    <row r="759" spans="1:3" x14ac:dyDescent="0.15">
      <c r="A759">
        <v>-161.98699999999999</v>
      </c>
      <c r="B759">
        <v>56.815800000000003</v>
      </c>
      <c r="C759">
        <v>1</v>
      </c>
    </row>
    <row r="760" spans="1:3" x14ac:dyDescent="0.15">
      <c r="A760">
        <v>-161.154</v>
      </c>
      <c r="B760">
        <v>56.815800000000003</v>
      </c>
      <c r="C760">
        <v>1</v>
      </c>
    </row>
    <row r="761" spans="1:3" x14ac:dyDescent="0.15">
      <c r="A761">
        <v>-160.321</v>
      </c>
      <c r="B761">
        <v>56.815800000000003</v>
      </c>
      <c r="C761">
        <v>1</v>
      </c>
    </row>
    <row r="762" spans="1:3" x14ac:dyDescent="0.15">
      <c r="A762">
        <v>-168.655</v>
      </c>
      <c r="B762">
        <v>57.1267</v>
      </c>
      <c r="C762">
        <v>1</v>
      </c>
    </row>
    <row r="763" spans="1:3" x14ac:dyDescent="0.15">
      <c r="A763">
        <v>-167.821</v>
      </c>
      <c r="B763">
        <v>57.1267</v>
      </c>
      <c r="C763">
        <v>1</v>
      </c>
    </row>
    <row r="764" spans="1:3" x14ac:dyDescent="0.15">
      <c r="A764">
        <v>-166.988</v>
      </c>
      <c r="B764">
        <v>57.1267</v>
      </c>
      <c r="C764">
        <v>1</v>
      </c>
    </row>
    <row r="765" spans="1:3" x14ac:dyDescent="0.15">
      <c r="A765">
        <v>-166.154</v>
      </c>
      <c r="B765">
        <v>57.1267</v>
      </c>
      <c r="C765">
        <v>1</v>
      </c>
    </row>
    <row r="766" spans="1:3" x14ac:dyDescent="0.15">
      <c r="A766">
        <v>-165.321</v>
      </c>
      <c r="B766">
        <v>57.1267</v>
      </c>
      <c r="C766">
        <v>1</v>
      </c>
    </row>
    <row r="767" spans="1:3" x14ac:dyDescent="0.15">
      <c r="A767">
        <v>-164.488</v>
      </c>
      <c r="B767">
        <v>57.1267</v>
      </c>
      <c r="C767">
        <v>1</v>
      </c>
    </row>
    <row r="768" spans="1:3" x14ac:dyDescent="0.15">
      <c r="A768">
        <v>-163.654</v>
      </c>
      <c r="B768">
        <v>57.1267</v>
      </c>
      <c r="C768">
        <v>1</v>
      </c>
    </row>
    <row r="769" spans="1:3" x14ac:dyDescent="0.15">
      <c r="A769">
        <v>-162.821</v>
      </c>
      <c r="B769">
        <v>57.1267</v>
      </c>
      <c r="C769">
        <v>1</v>
      </c>
    </row>
    <row r="770" spans="1:3" x14ac:dyDescent="0.15">
      <c r="A770">
        <v>-161.98699999999999</v>
      </c>
      <c r="B770">
        <v>57.1267</v>
      </c>
      <c r="C770">
        <v>1</v>
      </c>
    </row>
    <row r="771" spans="1:3" x14ac:dyDescent="0.15">
      <c r="A771">
        <v>-161.154</v>
      </c>
      <c r="B771">
        <v>57.1267</v>
      </c>
      <c r="C771">
        <v>1</v>
      </c>
    </row>
    <row r="772" spans="1:3" x14ac:dyDescent="0.15">
      <c r="A772">
        <v>-160.321</v>
      </c>
      <c r="B772">
        <v>57.1267</v>
      </c>
      <c r="C772">
        <v>1</v>
      </c>
    </row>
    <row r="773" spans="1:3" x14ac:dyDescent="0.15">
      <c r="A773">
        <v>-168.655</v>
      </c>
      <c r="B773">
        <v>57.4375</v>
      </c>
      <c r="C773">
        <v>1</v>
      </c>
    </row>
    <row r="774" spans="1:3" x14ac:dyDescent="0.15">
      <c r="A774">
        <v>-167.821</v>
      </c>
      <c r="B774">
        <v>57.4375</v>
      </c>
      <c r="C774">
        <v>1</v>
      </c>
    </row>
    <row r="775" spans="1:3" x14ac:dyDescent="0.15">
      <c r="A775">
        <v>-166.988</v>
      </c>
      <c r="B775">
        <v>57.4375</v>
      </c>
      <c r="C775">
        <v>1</v>
      </c>
    </row>
    <row r="776" spans="1:3" x14ac:dyDescent="0.15">
      <c r="A776">
        <v>-166.154</v>
      </c>
      <c r="B776">
        <v>57.4375</v>
      </c>
      <c r="C776">
        <v>1</v>
      </c>
    </row>
    <row r="777" spans="1:3" x14ac:dyDescent="0.15">
      <c r="A777">
        <v>-165.321</v>
      </c>
      <c r="B777">
        <v>57.4375</v>
      </c>
      <c r="C777">
        <v>1</v>
      </c>
    </row>
    <row r="778" spans="1:3" x14ac:dyDescent="0.15">
      <c r="A778">
        <v>-164.488</v>
      </c>
      <c r="B778">
        <v>57.4375</v>
      </c>
      <c r="C778">
        <v>1</v>
      </c>
    </row>
    <row r="779" spans="1:3" x14ac:dyDescent="0.15">
      <c r="A779">
        <v>-163.654</v>
      </c>
      <c r="B779">
        <v>57.4375</v>
      </c>
      <c r="C779">
        <v>1</v>
      </c>
    </row>
    <row r="780" spans="1:3" x14ac:dyDescent="0.15">
      <c r="A780">
        <v>-162.821</v>
      </c>
      <c r="B780">
        <v>57.4375</v>
      </c>
      <c r="C780">
        <v>1</v>
      </c>
    </row>
    <row r="781" spans="1:3" x14ac:dyDescent="0.15">
      <c r="A781">
        <v>-161.98699999999999</v>
      </c>
      <c r="B781">
        <v>57.4375</v>
      </c>
      <c r="C781">
        <v>1</v>
      </c>
    </row>
    <row r="782" spans="1:3" x14ac:dyDescent="0.15">
      <c r="A782">
        <v>-161.154</v>
      </c>
      <c r="B782">
        <v>57.4375</v>
      </c>
      <c r="C782">
        <v>1</v>
      </c>
    </row>
    <row r="783" spans="1:3" x14ac:dyDescent="0.15">
      <c r="A783">
        <v>-160.321</v>
      </c>
      <c r="B783">
        <v>57.4375</v>
      </c>
      <c r="C783">
        <v>1</v>
      </c>
    </row>
    <row r="784" spans="1:3" x14ac:dyDescent="0.15">
      <c r="A784">
        <v>-168.655</v>
      </c>
      <c r="B784">
        <v>57.7483</v>
      </c>
      <c r="C784">
        <v>1</v>
      </c>
    </row>
    <row r="785" spans="1:53" x14ac:dyDescent="0.15">
      <c r="A785">
        <v>-167.821</v>
      </c>
      <c r="B785">
        <v>57.7483</v>
      </c>
      <c r="C785">
        <v>1</v>
      </c>
    </row>
    <row r="786" spans="1:53" x14ac:dyDescent="0.15">
      <c r="A786">
        <v>-166.988</v>
      </c>
      <c r="B786">
        <v>57.7483</v>
      </c>
      <c r="C786">
        <v>1</v>
      </c>
    </row>
    <row r="787" spans="1:53" x14ac:dyDescent="0.15">
      <c r="A787">
        <v>-166.154</v>
      </c>
      <c r="B787">
        <v>57.7483</v>
      </c>
      <c r="C787">
        <v>1</v>
      </c>
    </row>
    <row r="788" spans="1:53" x14ac:dyDescent="0.15">
      <c r="A788">
        <v>-165.321</v>
      </c>
      <c r="B788">
        <v>57.7483</v>
      </c>
      <c r="C788">
        <v>1</v>
      </c>
    </row>
    <row r="789" spans="1:53" x14ac:dyDescent="0.15">
      <c r="A789">
        <v>-164.488</v>
      </c>
      <c r="B789">
        <v>57.7483</v>
      </c>
      <c r="C789">
        <v>1</v>
      </c>
    </row>
    <row r="790" spans="1:53" x14ac:dyDescent="0.15">
      <c r="A790">
        <v>-163.654</v>
      </c>
      <c r="B790">
        <v>57.7483</v>
      </c>
      <c r="C790">
        <v>1</v>
      </c>
    </row>
    <row r="791" spans="1:53" x14ac:dyDescent="0.15">
      <c r="A791">
        <v>-162.821</v>
      </c>
      <c r="B791">
        <v>57.7483</v>
      </c>
      <c r="C791">
        <v>1</v>
      </c>
    </row>
    <row r="792" spans="1:53" x14ac:dyDescent="0.15">
      <c r="A792">
        <v>-161.98699999999999</v>
      </c>
      <c r="B792">
        <v>57.7483</v>
      </c>
      <c r="C792">
        <v>1</v>
      </c>
    </row>
    <row r="793" spans="1:53" x14ac:dyDescent="0.15">
      <c r="A793">
        <v>-161.154</v>
      </c>
      <c r="B793">
        <v>57.7483</v>
      </c>
      <c r="C793">
        <v>1</v>
      </c>
    </row>
    <row r="794" spans="1:53" x14ac:dyDescent="0.15">
      <c r="A794">
        <v>-160.321</v>
      </c>
      <c r="B794">
        <v>57.7483</v>
      </c>
      <c r="C794">
        <v>1</v>
      </c>
    </row>
    <row r="795" spans="1:53" x14ac:dyDescent="0.15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7" spans="1:53" x14ac:dyDescent="0.15">
      <c r="A797" t="s">
        <v>147</v>
      </c>
      <c r="B797" t="s">
        <v>308</v>
      </c>
      <c r="C797" t="s">
        <v>309</v>
      </c>
      <c r="D797" t="s">
        <v>310</v>
      </c>
    </row>
    <row r="798" spans="1:53" x14ac:dyDescent="0.15">
      <c r="A798">
        <v>1982</v>
      </c>
      <c r="B798">
        <v>0.80157</v>
      </c>
      <c r="C798">
        <v>1.04989</v>
      </c>
      <c r="D798">
        <v>1.04989</v>
      </c>
    </row>
    <row r="799" spans="1:53" x14ac:dyDescent="0.15">
      <c r="A799">
        <v>1983</v>
      </c>
      <c r="B799">
        <v>1.3087800000000001</v>
      </c>
      <c r="C799">
        <v>1.04989</v>
      </c>
      <c r="D799">
        <v>1.04989</v>
      </c>
    </row>
    <row r="800" spans="1:53" x14ac:dyDescent="0.15">
      <c r="A800">
        <v>1984</v>
      </c>
      <c r="B800">
        <v>0.88743399999999995</v>
      </c>
      <c r="C800">
        <v>1.04989</v>
      </c>
      <c r="D800">
        <v>1.04989</v>
      </c>
    </row>
    <row r="801" spans="1:4" x14ac:dyDescent="0.15">
      <c r="A801">
        <v>1985</v>
      </c>
      <c r="B801">
        <v>0.96280200000000005</v>
      </c>
      <c r="C801">
        <v>1.04989</v>
      </c>
      <c r="D801">
        <v>1.04989</v>
      </c>
    </row>
    <row r="802" spans="1:4" x14ac:dyDescent="0.15">
      <c r="A802">
        <v>1986</v>
      </c>
      <c r="B802">
        <v>0.66069500000000003</v>
      </c>
      <c r="C802">
        <v>1.04989</v>
      </c>
      <c r="D802">
        <v>1.04989</v>
      </c>
    </row>
    <row r="803" spans="1:4" x14ac:dyDescent="0.15">
      <c r="A803">
        <v>1987</v>
      </c>
      <c r="B803">
        <v>1.3638699999999999</v>
      </c>
      <c r="C803">
        <v>1.04989</v>
      </c>
      <c r="D803">
        <v>1.04989</v>
      </c>
    </row>
    <row r="804" spans="1:4" x14ac:dyDescent="0.15">
      <c r="A804">
        <v>1988</v>
      </c>
      <c r="B804">
        <v>0.93734700000000004</v>
      </c>
      <c r="C804">
        <v>1.04989</v>
      </c>
      <c r="D804">
        <v>1.04989</v>
      </c>
    </row>
    <row r="805" spans="1:4" x14ac:dyDescent="0.15">
      <c r="A805">
        <v>1989</v>
      </c>
      <c r="B805">
        <v>1.2637700000000001</v>
      </c>
      <c r="C805">
        <v>1.04989</v>
      </c>
      <c r="D805">
        <v>1.04989</v>
      </c>
    </row>
    <row r="806" spans="1:4" x14ac:dyDescent="0.15">
      <c r="A806">
        <v>1990</v>
      </c>
      <c r="B806">
        <v>1.0361100000000001</v>
      </c>
      <c r="C806">
        <v>1.04989</v>
      </c>
      <c r="D806">
        <v>1.04989</v>
      </c>
    </row>
    <row r="807" spans="1:4" x14ac:dyDescent="0.15">
      <c r="A807">
        <v>1991</v>
      </c>
      <c r="B807">
        <v>1.21835</v>
      </c>
      <c r="C807">
        <v>1.04989</v>
      </c>
      <c r="D807">
        <v>1.04989</v>
      </c>
    </row>
    <row r="808" spans="1:4" x14ac:dyDescent="0.15">
      <c r="A808">
        <v>1992</v>
      </c>
      <c r="B808">
        <v>0.77051499999999995</v>
      </c>
      <c r="C808">
        <v>1.04989</v>
      </c>
      <c r="D808">
        <v>1.04989</v>
      </c>
    </row>
    <row r="809" spans="1:4" x14ac:dyDescent="0.15">
      <c r="A809">
        <v>1993</v>
      </c>
      <c r="B809">
        <v>1.3169599999999999</v>
      </c>
      <c r="C809">
        <v>1.04989</v>
      </c>
      <c r="D809">
        <v>1.04989</v>
      </c>
    </row>
    <row r="810" spans="1:4" x14ac:dyDescent="0.15">
      <c r="A810">
        <v>1994</v>
      </c>
      <c r="B810">
        <v>0.56578899999999999</v>
      </c>
      <c r="C810">
        <v>1.04989</v>
      </c>
      <c r="D810">
        <v>1.04989</v>
      </c>
    </row>
    <row r="811" spans="1:4" x14ac:dyDescent="0.15">
      <c r="A811">
        <v>1995</v>
      </c>
      <c r="B811">
        <v>0.64625500000000002</v>
      </c>
      <c r="C811">
        <v>1.04989</v>
      </c>
      <c r="D811">
        <v>1.04989</v>
      </c>
    </row>
    <row r="812" spans="1:4" x14ac:dyDescent="0.15">
      <c r="A812">
        <v>1996</v>
      </c>
      <c r="B812">
        <v>1.4475800000000001</v>
      </c>
      <c r="C812">
        <v>1.04989</v>
      </c>
      <c r="D812">
        <v>1.04989</v>
      </c>
    </row>
    <row r="813" spans="1:4" x14ac:dyDescent="0.15">
      <c r="A813">
        <v>1997</v>
      </c>
      <c r="B813">
        <v>1.0952500000000001</v>
      </c>
      <c r="C813">
        <v>1.04989</v>
      </c>
      <c r="D813">
        <v>1.04989</v>
      </c>
    </row>
    <row r="814" spans="1:4" x14ac:dyDescent="0.15">
      <c r="A814">
        <v>1998</v>
      </c>
      <c r="B814">
        <v>1.476</v>
      </c>
      <c r="C814">
        <v>1.04989</v>
      </c>
      <c r="D814">
        <v>1.04989</v>
      </c>
    </row>
    <row r="815" spans="1:4" x14ac:dyDescent="0.15">
      <c r="A815">
        <v>1999</v>
      </c>
      <c r="B815">
        <v>0.14905599999999999</v>
      </c>
      <c r="C815">
        <v>1.04989</v>
      </c>
      <c r="D815">
        <v>1.04989</v>
      </c>
    </row>
    <row r="816" spans="1:4" x14ac:dyDescent="0.15">
      <c r="A816">
        <v>2000</v>
      </c>
      <c r="B816">
        <v>0.87097400000000003</v>
      </c>
      <c r="C816">
        <v>1.04989</v>
      </c>
      <c r="D816">
        <v>1.04989</v>
      </c>
    </row>
    <row r="817" spans="1:4" x14ac:dyDescent="0.15">
      <c r="A817">
        <v>2001</v>
      </c>
      <c r="B817">
        <v>1.0491999999999999</v>
      </c>
      <c r="C817">
        <v>1.04989</v>
      </c>
      <c r="D817">
        <v>1.04989</v>
      </c>
    </row>
    <row r="818" spans="1:4" x14ac:dyDescent="0.15">
      <c r="A818">
        <v>2002</v>
      </c>
      <c r="B818">
        <v>1.4319</v>
      </c>
      <c r="C818">
        <v>1.04989</v>
      </c>
      <c r="D818">
        <v>1.04989</v>
      </c>
    </row>
    <row r="819" spans="1:4" x14ac:dyDescent="0.15">
      <c r="A819">
        <v>2003</v>
      </c>
      <c r="B819">
        <v>1.6291100000000001</v>
      </c>
      <c r="C819">
        <v>1.04989</v>
      </c>
      <c r="D819">
        <v>1.04989</v>
      </c>
    </row>
    <row r="820" spans="1:4" x14ac:dyDescent="0.15">
      <c r="A820">
        <v>2004</v>
      </c>
      <c r="B820">
        <v>1.4676</v>
      </c>
      <c r="C820">
        <v>1.04989</v>
      </c>
      <c r="D820">
        <v>1.04989</v>
      </c>
    </row>
    <row r="821" spans="1:4" x14ac:dyDescent="0.15">
      <c r="A821">
        <v>2005</v>
      </c>
      <c r="B821">
        <v>1.4998800000000001</v>
      </c>
      <c r="C821">
        <v>1.04989</v>
      </c>
      <c r="D821">
        <v>1.04989</v>
      </c>
    </row>
    <row r="822" spans="1:4" x14ac:dyDescent="0.15">
      <c r="A822">
        <v>2006</v>
      </c>
      <c r="B822">
        <v>0.65158400000000005</v>
      </c>
      <c r="C822">
        <v>1.04989</v>
      </c>
      <c r="D822">
        <v>1.04989</v>
      </c>
    </row>
    <row r="823" spans="1:4" x14ac:dyDescent="0.15">
      <c r="A823">
        <v>2007</v>
      </c>
      <c r="B823">
        <v>0.64470400000000005</v>
      </c>
      <c r="C823">
        <v>1.04989</v>
      </c>
      <c r="D823">
        <v>1.04989</v>
      </c>
    </row>
    <row r="824" spans="1:4" x14ac:dyDescent="0.15">
      <c r="A824">
        <v>2008</v>
      </c>
      <c r="B824">
        <v>0.40724700000000003</v>
      </c>
      <c r="C824">
        <v>1.04989</v>
      </c>
      <c r="D824">
        <v>1.04989</v>
      </c>
    </row>
    <row r="825" spans="1:4" x14ac:dyDescent="0.15">
      <c r="A825">
        <v>2009</v>
      </c>
      <c r="B825">
        <v>0.43967200000000001</v>
      </c>
      <c r="C825">
        <v>1.04989</v>
      </c>
      <c r="D825">
        <v>1.04989</v>
      </c>
    </row>
    <row r="826" spans="1:4" x14ac:dyDescent="0.15">
      <c r="A826">
        <v>2010</v>
      </c>
      <c r="B826">
        <v>0.43967200000000001</v>
      </c>
      <c r="C826">
        <v>1.04989</v>
      </c>
      <c r="D826">
        <v>1.04989</v>
      </c>
    </row>
    <row r="827" spans="1:4" x14ac:dyDescent="0.15">
      <c r="A827">
        <v>2011</v>
      </c>
      <c r="B827">
        <v>0.43967200000000001</v>
      </c>
      <c r="C827">
        <v>1.04989</v>
      </c>
      <c r="D827">
        <v>1.04989</v>
      </c>
    </row>
    <row r="828" spans="1:4" x14ac:dyDescent="0.15">
      <c r="A828">
        <v>2012</v>
      </c>
      <c r="B828">
        <v>0.43967200000000001</v>
      </c>
      <c r="C828">
        <v>1.04989</v>
      </c>
      <c r="D828">
        <v>1.04989</v>
      </c>
    </row>
    <row r="829" spans="1:4" x14ac:dyDescent="0.15">
      <c r="A829">
        <v>2013</v>
      </c>
      <c r="B829">
        <v>0.43967200000000001</v>
      </c>
      <c r="C829">
        <v>1.04989</v>
      </c>
      <c r="D829">
        <v>1.04989</v>
      </c>
    </row>
    <row r="830" spans="1:4" x14ac:dyDescent="0.15">
      <c r="A830">
        <v>2014</v>
      </c>
      <c r="B830">
        <v>0.43967200000000001</v>
      </c>
      <c r="C830">
        <v>1.04989</v>
      </c>
      <c r="D830">
        <v>1.04989</v>
      </c>
    </row>
    <row r="831" spans="1:4" x14ac:dyDescent="0.15">
      <c r="A831">
        <v>2015</v>
      </c>
      <c r="B831">
        <v>0.43967200000000001</v>
      </c>
      <c r="C831">
        <v>1.04989</v>
      </c>
      <c r="D831">
        <v>1.04989</v>
      </c>
    </row>
    <row r="833" spans="1:37" x14ac:dyDescent="0.15">
      <c r="A833" t="s">
        <v>220</v>
      </c>
      <c r="B833" t="s">
        <v>221</v>
      </c>
    </row>
    <row r="834" spans="1:37" x14ac:dyDescent="0.15">
      <c r="A834">
        <v>0.39288299999999998</v>
      </c>
      <c r="B834">
        <v>0.50262799999999996</v>
      </c>
    </row>
    <row r="835" spans="1:37" x14ac:dyDescent="0.15">
      <c r="A835" t="s">
        <v>570</v>
      </c>
    </row>
    <row r="836" spans="1:37" x14ac:dyDescent="0.15">
      <c r="B836">
        <v>1.9889899999999999E-4</v>
      </c>
      <c r="C836">
        <v>8.6070000000000001E-3</v>
      </c>
      <c r="D836">
        <v>6.2215199999999998E-2</v>
      </c>
      <c r="E836">
        <v>0.34961399999999998</v>
      </c>
      <c r="F836">
        <v>0.71589000000000003</v>
      </c>
      <c r="G836">
        <v>1</v>
      </c>
      <c r="H836">
        <v>1.1449499999999999</v>
      </c>
      <c r="I836">
        <v>1.1051200000000001</v>
      </c>
      <c r="J836">
        <v>1.0827100000000001</v>
      </c>
      <c r="K836">
        <v>1.0595000000000001</v>
      </c>
      <c r="L836">
        <v>1.0595000000000001</v>
      </c>
      <c r="M836">
        <v>1.0595000000000001</v>
      </c>
      <c r="N836">
        <v>1.0595000000000001</v>
      </c>
      <c r="O836">
        <v>1.0595000000000001</v>
      </c>
      <c r="P836">
        <v>1.0595000000000001</v>
      </c>
    </row>
    <row r="837" spans="1:37" x14ac:dyDescent="0.15">
      <c r="A837" t="s">
        <v>269</v>
      </c>
      <c r="B837" t="s">
        <v>239</v>
      </c>
    </row>
    <row r="838" spans="1:37" x14ac:dyDescent="0.15">
      <c r="A838">
        <v>0.133743</v>
      </c>
      <c r="B838">
        <v>0.133743</v>
      </c>
      <c r="C838">
        <v>0.133743</v>
      </c>
      <c r="D838">
        <v>0.133743</v>
      </c>
      <c r="E838">
        <v>0.133743</v>
      </c>
    </row>
    <row r="839" spans="1:37" x14ac:dyDescent="0.15">
      <c r="A839" t="s">
        <v>270</v>
      </c>
      <c r="B839" t="s">
        <v>158</v>
      </c>
      <c r="C839" t="s">
        <v>159</v>
      </c>
      <c r="D839" t="s">
        <v>271</v>
      </c>
      <c r="E839" t="s">
        <v>269</v>
      </c>
      <c r="F839" t="s">
        <v>272</v>
      </c>
      <c r="G839" t="s">
        <v>273</v>
      </c>
    </row>
    <row r="840" spans="1:37" x14ac:dyDescent="0.15">
      <c r="B840">
        <v>22341.1</v>
      </c>
      <c r="C840">
        <v>9126.7900000000009</v>
      </c>
      <c r="D840">
        <v>6594.55</v>
      </c>
      <c r="E840">
        <v>7009.43</v>
      </c>
      <c r="F840">
        <v>1395.46</v>
      </c>
      <c r="G840">
        <v>1303.9000000000001</v>
      </c>
      <c r="H840">
        <v>1159.02</v>
      </c>
      <c r="I840">
        <v>1495.56</v>
      </c>
      <c r="J840">
        <v>179.464</v>
      </c>
      <c r="K840">
        <v>194.00700000000001</v>
      </c>
      <c r="L840">
        <v>42.082500000000003</v>
      </c>
      <c r="M840">
        <v>8.9052900000000008</v>
      </c>
      <c r="N840">
        <v>6.7491700000000003</v>
      </c>
      <c r="O840">
        <v>7.62812</v>
      </c>
      <c r="P840">
        <v>18.533899999999999</v>
      </c>
    </row>
    <row r="841" spans="1:37" x14ac:dyDescent="0.15">
      <c r="B841">
        <v>21331.9</v>
      </c>
      <c r="C841">
        <v>9082.93</v>
      </c>
      <c r="D841">
        <v>5811.01</v>
      </c>
      <c r="E841">
        <v>4834.08</v>
      </c>
      <c r="F841">
        <v>4893.71</v>
      </c>
      <c r="G841">
        <v>915.56700000000001</v>
      </c>
      <c r="H841">
        <v>815.23800000000006</v>
      </c>
      <c r="I841">
        <v>707.05799999999999</v>
      </c>
      <c r="J841">
        <v>918.54200000000003</v>
      </c>
      <c r="K841">
        <v>110.64400000000001</v>
      </c>
      <c r="L841">
        <v>120.081</v>
      </c>
      <c r="M841">
        <v>26.047000000000001</v>
      </c>
      <c r="N841">
        <v>5.5119499999999997</v>
      </c>
      <c r="O841">
        <v>4.1774100000000001</v>
      </c>
      <c r="P841">
        <v>16.193000000000001</v>
      </c>
    </row>
    <row r="842" spans="1:37" x14ac:dyDescent="0.15">
      <c r="B842">
        <v>19954.599999999999</v>
      </c>
      <c r="C842">
        <v>8672.6200000000008</v>
      </c>
      <c r="D842">
        <v>5783.08</v>
      </c>
      <c r="E842">
        <v>4259.71</v>
      </c>
      <c r="F842">
        <v>3374.96</v>
      </c>
      <c r="G842">
        <v>3210.77</v>
      </c>
      <c r="H842">
        <v>572.44100000000003</v>
      </c>
      <c r="I842">
        <v>497.33300000000003</v>
      </c>
      <c r="J842">
        <v>434.26100000000002</v>
      </c>
      <c r="K842">
        <v>566.29999999999995</v>
      </c>
      <c r="L842">
        <v>68.483099999999993</v>
      </c>
      <c r="M842">
        <v>74.3245</v>
      </c>
      <c r="N842">
        <v>16.1219</v>
      </c>
      <c r="O842">
        <v>3.4116300000000002</v>
      </c>
      <c r="P842">
        <v>12.6083</v>
      </c>
    </row>
    <row r="843" spans="1:37" x14ac:dyDescent="0.15">
      <c r="B843">
        <v>19369</v>
      </c>
      <c r="C843">
        <v>8112.66</v>
      </c>
      <c r="D843">
        <v>5521.84</v>
      </c>
      <c r="E843">
        <v>4239.2299999999996</v>
      </c>
      <c r="F843">
        <v>2973.96</v>
      </c>
      <c r="G843">
        <v>2214.3200000000002</v>
      </c>
      <c r="H843">
        <v>2007.48</v>
      </c>
      <c r="I843">
        <v>349.21499999999997</v>
      </c>
      <c r="J843">
        <v>305.452</v>
      </c>
      <c r="K843">
        <v>267.73099999999999</v>
      </c>
      <c r="L843">
        <v>350.51299999999998</v>
      </c>
      <c r="M843">
        <v>42.387799999999999</v>
      </c>
      <c r="N843">
        <v>46.003300000000003</v>
      </c>
      <c r="O843">
        <v>9.9786699999999993</v>
      </c>
      <c r="P843">
        <v>9.9155899999999999</v>
      </c>
    </row>
    <row r="844" spans="1:37" x14ac:dyDescent="0.15">
      <c r="B844">
        <v>19292.8</v>
      </c>
      <c r="C844">
        <v>7874.58</v>
      </c>
      <c r="D844">
        <v>5165.3100000000004</v>
      </c>
      <c r="E844">
        <v>4047.73</v>
      </c>
      <c r="F844">
        <v>2959.67</v>
      </c>
      <c r="G844">
        <v>1951.22</v>
      </c>
      <c r="H844">
        <v>1384.46</v>
      </c>
      <c r="I844">
        <v>1224.6500000000001</v>
      </c>
      <c r="J844">
        <v>214.482</v>
      </c>
      <c r="K844">
        <v>188.31800000000001</v>
      </c>
      <c r="L844">
        <v>165.71299999999999</v>
      </c>
      <c r="M844">
        <v>216.95099999999999</v>
      </c>
      <c r="N844">
        <v>26.236000000000001</v>
      </c>
      <c r="O844">
        <v>28.4739</v>
      </c>
      <c r="P844">
        <v>12.313599999999999</v>
      </c>
    </row>
    <row r="845" spans="1:37" x14ac:dyDescent="0.15">
      <c r="A845" t="s">
        <v>24</v>
      </c>
      <c r="B845" t="s">
        <v>25</v>
      </c>
      <c r="C845" t="s">
        <v>26</v>
      </c>
      <c r="D845" t="s">
        <v>27</v>
      </c>
      <c r="E845" t="s">
        <v>28</v>
      </c>
      <c r="F845" t="s">
        <v>29</v>
      </c>
      <c r="G845" t="s">
        <v>30</v>
      </c>
      <c r="H845" t="s">
        <v>31</v>
      </c>
      <c r="I845" t="s">
        <v>32</v>
      </c>
      <c r="J845" t="s">
        <v>33</v>
      </c>
      <c r="K845" t="s">
        <v>34</v>
      </c>
      <c r="L845" t="s">
        <v>59</v>
      </c>
    </row>
    <row r="846" spans="1:37" x14ac:dyDescent="0.15">
      <c r="A846">
        <v>1.39347</v>
      </c>
      <c r="B846">
        <v>1676.65</v>
      </c>
      <c r="C846">
        <v>0.73459799999999997</v>
      </c>
      <c r="D846">
        <v>15927.1</v>
      </c>
      <c r="E846">
        <v>4558.8900000000003</v>
      </c>
      <c r="F846">
        <v>0.28623399999999999</v>
      </c>
      <c r="G846">
        <v>2.4043700000000001</v>
      </c>
      <c r="H846">
        <v>0</v>
      </c>
      <c r="I846">
        <v>7000.51</v>
      </c>
      <c r="J846">
        <v>2800.2</v>
      </c>
      <c r="K846">
        <v>0.67989500000000003</v>
      </c>
      <c r="L846">
        <v>2466.04</v>
      </c>
    </row>
    <row r="847" spans="1:37" x14ac:dyDescent="0.15">
      <c r="A847" t="s">
        <v>64</v>
      </c>
      <c r="B847">
        <v>860</v>
      </c>
    </row>
    <row r="848" spans="1:37" x14ac:dyDescent="0.15">
      <c r="B848">
        <v>997.726</v>
      </c>
      <c r="C848">
        <v>1049.1400000000001</v>
      </c>
      <c r="D848">
        <v>1078.46</v>
      </c>
      <c r="E848">
        <v>1283.04</v>
      </c>
      <c r="F848">
        <v>2079.65</v>
      </c>
      <c r="G848">
        <v>3076.73</v>
      </c>
      <c r="H848">
        <v>3734.37</v>
      </c>
      <c r="I848">
        <v>3945.4</v>
      </c>
      <c r="J848">
        <v>4152.58</v>
      </c>
      <c r="K848">
        <v>4285.6499999999996</v>
      </c>
      <c r="L848">
        <v>4295.72</v>
      </c>
      <c r="M848">
        <v>4172.18</v>
      </c>
      <c r="N848">
        <v>3683.91</v>
      </c>
      <c r="O848">
        <v>2934.91</v>
      </c>
      <c r="P848">
        <v>2189.87</v>
      </c>
      <c r="Q848">
        <v>2328.75</v>
      </c>
      <c r="R848">
        <v>3261.38</v>
      </c>
      <c r="S848">
        <v>3606.2</v>
      </c>
      <c r="T848">
        <v>3814.62</v>
      </c>
      <c r="U848">
        <v>3793.39</v>
      </c>
      <c r="V848">
        <v>3544.37</v>
      </c>
      <c r="W848">
        <v>3277.58</v>
      </c>
      <c r="X848">
        <v>3302.53</v>
      </c>
      <c r="Y848">
        <v>3372.47</v>
      </c>
      <c r="Z848">
        <v>3428.23</v>
      </c>
      <c r="AA848">
        <v>3256.56</v>
      </c>
      <c r="AB848">
        <v>3446.53</v>
      </c>
      <c r="AC848">
        <v>3555.93</v>
      </c>
      <c r="AD848">
        <v>3270.85</v>
      </c>
      <c r="AE848">
        <v>2699.99</v>
      </c>
      <c r="AF848">
        <v>2266.9</v>
      </c>
      <c r="AG848">
        <v>1684.91</v>
      </c>
      <c r="AH848">
        <v>1863.55</v>
      </c>
      <c r="AI848">
        <v>2100.9299999999998</v>
      </c>
      <c r="AJ848">
        <v>2551.9</v>
      </c>
      <c r="AK848">
        <v>2976.88</v>
      </c>
    </row>
    <row r="849" spans="1:37" x14ac:dyDescent="0.15">
      <c r="B849">
        <v>29688.7</v>
      </c>
      <c r="C849">
        <v>69378.2</v>
      </c>
      <c r="D849">
        <v>27706</v>
      </c>
      <c r="E849">
        <v>31199.8</v>
      </c>
      <c r="F849">
        <v>16738.900000000001</v>
      </c>
      <c r="G849">
        <v>50418.6</v>
      </c>
      <c r="H849">
        <v>12783.2</v>
      </c>
      <c r="I849">
        <v>32267</v>
      </c>
      <c r="J849">
        <v>13282.7</v>
      </c>
      <c r="K849">
        <v>7614.19</v>
      </c>
      <c r="L849">
        <v>5440.55</v>
      </c>
      <c r="M849">
        <v>11045.7</v>
      </c>
      <c r="N849">
        <v>51584.800000000003</v>
      </c>
      <c r="O849">
        <v>26782</v>
      </c>
      <c r="P849">
        <v>22342</v>
      </c>
      <c r="Q849">
        <v>46599.5</v>
      </c>
      <c r="R849">
        <v>14772.5</v>
      </c>
      <c r="S849">
        <v>10187.200000000001</v>
      </c>
      <c r="T849">
        <v>23335.4</v>
      </c>
      <c r="U849">
        <v>33443.4</v>
      </c>
      <c r="V849">
        <v>15720.1</v>
      </c>
      <c r="W849">
        <v>17116.099999999999</v>
      </c>
      <c r="X849">
        <v>26342.400000000001</v>
      </c>
      <c r="Y849">
        <v>37573.1</v>
      </c>
      <c r="Z849">
        <v>23600.5</v>
      </c>
      <c r="AA849">
        <v>14377.7</v>
      </c>
      <c r="AB849">
        <v>6494.51</v>
      </c>
      <c r="AC849">
        <v>4468.57</v>
      </c>
      <c r="AD849">
        <v>11749.8</v>
      </c>
      <c r="AE849">
        <v>29218.6</v>
      </c>
      <c r="AF849">
        <v>12804.1</v>
      </c>
      <c r="AG849">
        <v>57235.5</v>
      </c>
      <c r="AH849">
        <v>24182.5</v>
      </c>
      <c r="AI849">
        <v>16024</v>
      </c>
      <c r="AJ849">
        <v>10778.3</v>
      </c>
      <c r="AK849">
        <v>37136.300000000003</v>
      </c>
    </row>
    <row r="850" spans="1:37" x14ac:dyDescent="0.15">
      <c r="B850">
        <v>22801.7</v>
      </c>
      <c r="C850">
        <v>23335.3</v>
      </c>
      <c r="D850">
        <v>23619.3</v>
      </c>
      <c r="E850">
        <v>25225.9</v>
      </c>
      <c r="F850">
        <v>26861.7</v>
      </c>
      <c r="G850">
        <v>23488.400000000001</v>
      </c>
      <c r="H850">
        <v>20153.5</v>
      </c>
      <c r="I850">
        <v>19049.7</v>
      </c>
      <c r="J850">
        <v>17974.7</v>
      </c>
      <c r="K850">
        <v>17293.400000000001</v>
      </c>
      <c r="L850">
        <v>17242.2</v>
      </c>
      <c r="M850">
        <v>17873.8</v>
      </c>
      <c r="N850">
        <v>20417.400000000001</v>
      </c>
      <c r="O850">
        <v>24145.9</v>
      </c>
      <c r="P850">
        <v>26688</v>
      </c>
      <c r="Q850">
        <v>26376.1</v>
      </c>
      <c r="R850">
        <v>22587.7</v>
      </c>
      <c r="S850">
        <v>20822.8</v>
      </c>
      <c r="T850">
        <v>19733.5</v>
      </c>
      <c r="U850">
        <v>19844.599999999999</v>
      </c>
      <c r="V850">
        <v>21144.2</v>
      </c>
      <c r="W850">
        <v>22506.799999999999</v>
      </c>
      <c r="X850">
        <v>22381.7</v>
      </c>
      <c r="Y850">
        <v>22027.9</v>
      </c>
      <c r="Z850">
        <v>21743.200000000001</v>
      </c>
      <c r="AA850">
        <v>22611.8</v>
      </c>
      <c r="AB850">
        <v>21649.3</v>
      </c>
      <c r="AC850">
        <v>21084.3</v>
      </c>
      <c r="AD850">
        <v>22540.400000000001</v>
      </c>
      <c r="AE850">
        <v>25143.1</v>
      </c>
      <c r="AF850">
        <v>26526.9</v>
      </c>
      <c r="AG850">
        <v>26800</v>
      </c>
      <c r="AH850">
        <v>26976.3</v>
      </c>
      <c r="AI850">
        <v>26833.8</v>
      </c>
      <c r="AJ850">
        <v>25694.5</v>
      </c>
      <c r="AK850">
        <v>23955</v>
      </c>
    </row>
    <row r="851" spans="1:37" x14ac:dyDescent="0.15">
      <c r="B851">
        <v>0.26393100000000003</v>
      </c>
      <c r="C851">
        <v>1.08961</v>
      </c>
      <c r="D851">
        <v>0.159584</v>
      </c>
      <c r="E851">
        <v>0.21254000000000001</v>
      </c>
      <c r="F851">
        <v>-0.47296700000000003</v>
      </c>
      <c r="G851">
        <v>0.76385099999999995</v>
      </c>
      <c r="H851">
        <v>-0.45524900000000001</v>
      </c>
      <c r="I851">
        <v>0.52699399999999996</v>
      </c>
      <c r="J851">
        <v>-0.302504</v>
      </c>
      <c r="K851">
        <v>-0.82030999999999998</v>
      </c>
      <c r="L851">
        <v>-1.1534800000000001</v>
      </c>
      <c r="M851">
        <v>-0.48129100000000002</v>
      </c>
      <c r="N851">
        <v>0.92684100000000003</v>
      </c>
      <c r="O851">
        <v>0.103614</v>
      </c>
      <c r="P851">
        <v>-0.17774699999999999</v>
      </c>
      <c r="Q851">
        <v>0.56913000000000002</v>
      </c>
      <c r="R851">
        <v>-0.42464000000000002</v>
      </c>
      <c r="S851">
        <v>-0.71492199999999995</v>
      </c>
      <c r="T851">
        <v>0.167656</v>
      </c>
      <c r="U851">
        <v>0.52192300000000003</v>
      </c>
      <c r="V851">
        <v>-0.29642499999999999</v>
      </c>
      <c r="W851">
        <v>-0.27379399999999998</v>
      </c>
      <c r="X851">
        <v>0.162937</v>
      </c>
      <c r="Y851">
        <v>0.53397799999999995</v>
      </c>
      <c r="Z851">
        <v>8.1966600000000001E-2</v>
      </c>
      <c r="AA851">
        <v>-0.45279399999999997</v>
      </c>
      <c r="AB851">
        <v>-1.2040200000000001</v>
      </c>
      <c r="AC851">
        <v>-1.5514600000000001</v>
      </c>
      <c r="AD851">
        <v>-0.65147600000000006</v>
      </c>
      <c r="AE851">
        <v>0.150223</v>
      </c>
      <c r="AF851">
        <v>-0.72839200000000004</v>
      </c>
      <c r="AG851">
        <v>0.758772</v>
      </c>
      <c r="AH851">
        <v>-0.10933</v>
      </c>
      <c r="AI851">
        <v>-0.51557200000000003</v>
      </c>
      <c r="AJ851">
        <v>-0.86874099999999999</v>
      </c>
      <c r="AK851">
        <v>0.43841599999999997</v>
      </c>
    </row>
    <row r="852" spans="1:37" x14ac:dyDescent="0.15">
      <c r="A852" t="s">
        <v>14</v>
      </c>
      <c r="B852" t="s">
        <v>180</v>
      </c>
    </row>
    <row r="853" spans="1:37" x14ac:dyDescent="0.15">
      <c r="B853">
        <v>1979</v>
      </c>
      <c r="C853">
        <v>1982</v>
      </c>
      <c r="D853">
        <v>1985</v>
      </c>
      <c r="E853">
        <v>1988</v>
      </c>
      <c r="F853">
        <v>1991</v>
      </c>
      <c r="G853">
        <v>1994</v>
      </c>
      <c r="H853">
        <v>1996</v>
      </c>
      <c r="I853">
        <v>1997</v>
      </c>
      <c r="J853">
        <v>1999</v>
      </c>
      <c r="K853">
        <v>2000</v>
      </c>
      <c r="L853">
        <v>2002</v>
      </c>
      <c r="M853">
        <v>2004</v>
      </c>
      <c r="N853">
        <v>2006</v>
      </c>
      <c r="O853">
        <v>2007</v>
      </c>
      <c r="P853">
        <v>2008</v>
      </c>
      <c r="Q853">
        <v>2009</v>
      </c>
      <c r="R853">
        <v>2010</v>
      </c>
      <c r="S853">
        <v>2012</v>
      </c>
      <c r="T853">
        <v>2014</v>
      </c>
    </row>
    <row r="854" spans="1:37" x14ac:dyDescent="0.15">
      <c r="B854">
        <v>69110</v>
      </c>
      <c r="C854">
        <v>108</v>
      </c>
      <c r="D854">
        <v>2076</v>
      </c>
      <c r="E854">
        <v>10.854699999999999</v>
      </c>
      <c r="F854">
        <v>639.26800000000003</v>
      </c>
      <c r="G854">
        <v>452.85500000000002</v>
      </c>
      <c r="H854">
        <v>972.33600000000001</v>
      </c>
      <c r="I854">
        <v>12383.8</v>
      </c>
      <c r="J854">
        <v>111.866</v>
      </c>
      <c r="K854">
        <v>257.92200000000003</v>
      </c>
      <c r="L854">
        <v>561.31399999999996</v>
      </c>
      <c r="M854">
        <v>15.7537</v>
      </c>
      <c r="N854">
        <v>455.565</v>
      </c>
      <c r="O854">
        <v>5588.54</v>
      </c>
      <c r="P854">
        <v>36.481499999999997</v>
      </c>
      <c r="Q854">
        <v>5127.67</v>
      </c>
      <c r="R854">
        <v>2525.54</v>
      </c>
      <c r="S854">
        <v>66.874399999999994</v>
      </c>
      <c r="T854">
        <v>4438.33</v>
      </c>
    </row>
    <row r="855" spans="1:37" x14ac:dyDescent="0.15">
      <c r="B855">
        <v>2030.78</v>
      </c>
      <c r="C855">
        <v>490.14499999999998</v>
      </c>
      <c r="D855">
        <v>944.87800000000004</v>
      </c>
      <c r="E855">
        <v>159.31899999999999</v>
      </c>
      <c r="F855">
        <v>784.26</v>
      </c>
      <c r="G855">
        <v>432.596</v>
      </c>
      <c r="H855">
        <v>683.36599999999999</v>
      </c>
      <c r="I855">
        <v>979.37599999999998</v>
      </c>
      <c r="J855">
        <v>501.24200000000002</v>
      </c>
      <c r="K855">
        <v>771.428</v>
      </c>
      <c r="L855">
        <v>691.13099999999997</v>
      </c>
      <c r="M855">
        <v>190.18899999999999</v>
      </c>
      <c r="N855">
        <v>344.08800000000002</v>
      </c>
      <c r="O855">
        <v>855.65499999999997</v>
      </c>
      <c r="P855">
        <v>374.964</v>
      </c>
      <c r="Q855">
        <v>1676.13</v>
      </c>
      <c r="R855">
        <v>708.18</v>
      </c>
      <c r="S855">
        <v>315.64</v>
      </c>
      <c r="T855">
        <v>746.63099999999997</v>
      </c>
    </row>
    <row r="856" spans="1:37" x14ac:dyDescent="0.15">
      <c r="B856">
        <v>44215.6</v>
      </c>
      <c r="C856">
        <v>10671.8</v>
      </c>
      <c r="D856">
        <v>20572.599999999999</v>
      </c>
      <c r="E856">
        <v>3468.81</v>
      </c>
      <c r="F856">
        <v>17075.5</v>
      </c>
      <c r="G856">
        <v>9418.7999999999993</v>
      </c>
      <c r="H856">
        <v>14878.7</v>
      </c>
      <c r="I856">
        <v>21323.7</v>
      </c>
      <c r="J856">
        <v>10913.4</v>
      </c>
      <c r="K856">
        <v>16796.099999999999</v>
      </c>
      <c r="L856">
        <v>15047.8</v>
      </c>
      <c r="M856">
        <v>4140.9399999999996</v>
      </c>
      <c r="N856">
        <v>7491.73</v>
      </c>
      <c r="O856">
        <v>18629.900000000001</v>
      </c>
      <c r="P856">
        <v>8163.99</v>
      </c>
      <c r="Q856">
        <v>36493.9</v>
      </c>
      <c r="R856">
        <v>15419</v>
      </c>
      <c r="S856">
        <v>6872.34</v>
      </c>
      <c r="T856">
        <v>16256.2</v>
      </c>
    </row>
    <row r="857" spans="1:37" x14ac:dyDescent="0.15">
      <c r="A857" t="s">
        <v>663</v>
      </c>
    </row>
    <row r="858" spans="1:37" x14ac:dyDescent="0.15">
      <c r="B858">
        <v>1982</v>
      </c>
      <c r="C858">
        <v>1983</v>
      </c>
      <c r="D858">
        <v>1984</v>
      </c>
      <c r="E858">
        <v>1985</v>
      </c>
      <c r="F858">
        <v>1986</v>
      </c>
      <c r="G858">
        <v>1987</v>
      </c>
      <c r="H858">
        <v>1988</v>
      </c>
      <c r="I858">
        <v>1989</v>
      </c>
      <c r="J858">
        <v>1990</v>
      </c>
      <c r="K858">
        <v>1991</v>
      </c>
      <c r="L858">
        <v>1992</v>
      </c>
      <c r="M858">
        <v>1993</v>
      </c>
      <c r="N858">
        <v>1994</v>
      </c>
      <c r="O858">
        <v>1995</v>
      </c>
      <c r="P858">
        <v>1996</v>
      </c>
      <c r="Q858">
        <v>1997</v>
      </c>
      <c r="R858">
        <v>1998</v>
      </c>
      <c r="S858">
        <v>1999</v>
      </c>
      <c r="T858">
        <v>2000</v>
      </c>
      <c r="U858">
        <v>2001</v>
      </c>
      <c r="V858">
        <v>2002</v>
      </c>
      <c r="W858">
        <v>2003</v>
      </c>
      <c r="X858">
        <v>2004</v>
      </c>
      <c r="Y858">
        <v>2005</v>
      </c>
      <c r="Z858">
        <v>2006</v>
      </c>
      <c r="AA858">
        <v>2007</v>
      </c>
      <c r="AB858">
        <v>2008</v>
      </c>
      <c r="AC858">
        <v>2009</v>
      </c>
      <c r="AD858">
        <v>2010</v>
      </c>
      <c r="AE858">
        <v>2011</v>
      </c>
      <c r="AF858">
        <v>2012</v>
      </c>
      <c r="AG858">
        <v>2013</v>
      </c>
      <c r="AH858">
        <v>2014</v>
      </c>
      <c r="AI858">
        <v>2015</v>
      </c>
    </row>
    <row r="859" spans="1:37" x14ac:dyDescent="0.15">
      <c r="B859">
        <v>2912.87</v>
      </c>
      <c r="C859">
        <v>5921.38</v>
      </c>
      <c r="D859">
        <v>4542.3999999999996</v>
      </c>
      <c r="E859">
        <v>5949.85</v>
      </c>
      <c r="F859">
        <v>4835.72</v>
      </c>
      <c r="G859">
        <v>5498.43</v>
      </c>
      <c r="H859">
        <v>7183.96</v>
      </c>
      <c r="I859">
        <v>6550.41</v>
      </c>
      <c r="J859">
        <v>7296.65</v>
      </c>
      <c r="K859">
        <v>5129.54</v>
      </c>
      <c r="L859">
        <v>4526.1499999999996</v>
      </c>
      <c r="M859">
        <v>5294.82</v>
      </c>
      <c r="N859">
        <v>5027.33</v>
      </c>
      <c r="O859">
        <v>5477.84</v>
      </c>
      <c r="P859">
        <v>3125.25</v>
      </c>
      <c r="Q859">
        <v>3562.16</v>
      </c>
      <c r="R859">
        <v>2687.76</v>
      </c>
      <c r="S859">
        <v>3798.47</v>
      </c>
      <c r="T859">
        <v>5103.63</v>
      </c>
      <c r="U859">
        <v>4196.8500000000004</v>
      </c>
      <c r="V859">
        <v>4953.4399999999996</v>
      </c>
      <c r="W859">
        <v>8392.26</v>
      </c>
      <c r="X859">
        <v>3862.97</v>
      </c>
      <c r="Y859">
        <v>4868.62</v>
      </c>
      <c r="Z859">
        <v>3045.38</v>
      </c>
      <c r="AA859">
        <v>4338.22</v>
      </c>
      <c r="AB859">
        <v>3023.27</v>
      </c>
      <c r="AC859">
        <v>2282.41</v>
      </c>
      <c r="AD859">
        <v>3737.88</v>
      </c>
      <c r="AE859">
        <v>3112.31</v>
      </c>
      <c r="AF859">
        <v>3487.23</v>
      </c>
      <c r="AG859">
        <v>4575.3999999999996</v>
      </c>
      <c r="AH859">
        <v>7429.95</v>
      </c>
      <c r="AI859">
        <v>6394.36</v>
      </c>
    </row>
    <row r="860" spans="1:37" x14ac:dyDescent="0.15">
      <c r="B860">
        <v>2840.79</v>
      </c>
      <c r="C860">
        <v>2769.65</v>
      </c>
      <c r="D860">
        <v>2654.63</v>
      </c>
      <c r="E860">
        <v>6898.22</v>
      </c>
      <c r="F860">
        <v>2484.12</v>
      </c>
      <c r="G860">
        <v>5356.77</v>
      </c>
      <c r="H860">
        <v>5644.5</v>
      </c>
      <c r="I860">
        <v>5120.2</v>
      </c>
      <c r="J860">
        <v>3970.01</v>
      </c>
      <c r="K860">
        <v>2567.46</v>
      </c>
      <c r="L860">
        <v>2215.5</v>
      </c>
      <c r="M860">
        <v>2246.9299999999998</v>
      </c>
      <c r="N860">
        <v>2349.09</v>
      </c>
      <c r="O860">
        <v>1765.34</v>
      </c>
      <c r="P860">
        <v>1923.24</v>
      </c>
      <c r="Q860">
        <v>2903.61</v>
      </c>
      <c r="R860">
        <v>2622.64</v>
      </c>
      <c r="S860">
        <v>2821.49</v>
      </c>
      <c r="T860">
        <v>2534.94</v>
      </c>
      <c r="U860">
        <v>2627.01</v>
      </c>
      <c r="V860">
        <v>2449.67</v>
      </c>
      <c r="W860">
        <v>1922.15</v>
      </c>
      <c r="X860">
        <v>2527.6</v>
      </c>
      <c r="Y860">
        <v>2841.17</v>
      </c>
      <c r="Z860">
        <v>2461.96</v>
      </c>
      <c r="AA860">
        <v>2825.42</v>
      </c>
      <c r="AB860">
        <v>2077.7399999999998</v>
      </c>
      <c r="AC860">
        <v>1834.61</v>
      </c>
      <c r="AD860">
        <v>2171.5300000000002</v>
      </c>
      <c r="AE860">
        <v>1605.39</v>
      </c>
      <c r="AF860">
        <v>2340.67</v>
      </c>
      <c r="AG860">
        <v>3150.91</v>
      </c>
      <c r="AH860">
        <v>2748.15</v>
      </c>
      <c r="AI860">
        <v>3828.29</v>
      </c>
    </row>
    <row r="861" spans="1:37" x14ac:dyDescent="0.15">
      <c r="A861" t="s">
        <v>667</v>
      </c>
    </row>
    <row r="862" spans="1:37" x14ac:dyDescent="0.15">
      <c r="B862">
        <v>1979</v>
      </c>
      <c r="C862">
        <v>1982</v>
      </c>
      <c r="D862">
        <v>1985</v>
      </c>
      <c r="E862">
        <v>1988</v>
      </c>
      <c r="F862">
        <v>1991</v>
      </c>
      <c r="G862">
        <v>1994</v>
      </c>
      <c r="H862">
        <v>1996</v>
      </c>
      <c r="I862">
        <v>1997</v>
      </c>
      <c r="J862">
        <v>1999</v>
      </c>
      <c r="K862">
        <v>2000</v>
      </c>
      <c r="L862">
        <v>2002</v>
      </c>
      <c r="M862">
        <v>2004</v>
      </c>
      <c r="N862">
        <v>2006</v>
      </c>
      <c r="O862">
        <v>2007</v>
      </c>
      <c r="P862">
        <v>2008</v>
      </c>
      <c r="Q862">
        <v>2009</v>
      </c>
      <c r="R862">
        <v>2010</v>
      </c>
      <c r="S862">
        <v>2012</v>
      </c>
      <c r="T862">
        <v>2014</v>
      </c>
    </row>
    <row r="863" spans="1:37" x14ac:dyDescent="0.15">
      <c r="B863">
        <v>7460</v>
      </c>
      <c r="C863">
        <v>4900</v>
      </c>
      <c r="D863">
        <v>4800</v>
      </c>
      <c r="E863">
        <v>4680</v>
      </c>
      <c r="F863">
        <v>1450</v>
      </c>
      <c r="G863">
        <v>2886.23</v>
      </c>
      <c r="H863">
        <v>2310.73</v>
      </c>
      <c r="I863">
        <v>2592.1799999999998</v>
      </c>
      <c r="J863">
        <v>3285.08</v>
      </c>
      <c r="K863">
        <v>3048.7</v>
      </c>
      <c r="L863">
        <v>3621.82</v>
      </c>
      <c r="M863">
        <v>3306.94</v>
      </c>
      <c r="N863">
        <v>1560.13</v>
      </c>
      <c r="O863">
        <v>1769.02</v>
      </c>
      <c r="P863">
        <v>996.93899999999996</v>
      </c>
      <c r="Q863">
        <v>923.84299999999996</v>
      </c>
      <c r="R863">
        <v>2322.64</v>
      </c>
      <c r="S863">
        <v>1842.79</v>
      </c>
      <c r="T863">
        <v>3501.94</v>
      </c>
    </row>
    <row r="864" spans="1:37" x14ac:dyDescent="0.15">
      <c r="B864">
        <v>2748.36</v>
      </c>
      <c r="C864">
        <v>3520.62</v>
      </c>
      <c r="D864">
        <v>3928.71</v>
      </c>
      <c r="E864">
        <v>3288.88</v>
      </c>
      <c r="F864">
        <v>2179.08</v>
      </c>
      <c r="G864">
        <v>3116.56</v>
      </c>
      <c r="H864">
        <v>3022.96</v>
      </c>
      <c r="I864">
        <v>3096.41</v>
      </c>
      <c r="J864">
        <v>2709.97</v>
      </c>
      <c r="K864">
        <v>2864.05</v>
      </c>
      <c r="L864">
        <v>3099.42</v>
      </c>
      <c r="M864">
        <v>3172.13</v>
      </c>
      <c r="N864">
        <v>1971.02</v>
      </c>
      <c r="O864">
        <v>1639.83</v>
      </c>
      <c r="P864">
        <v>1447.82</v>
      </c>
      <c r="Q864">
        <v>1854.58</v>
      </c>
      <c r="R864">
        <v>2606.91</v>
      </c>
      <c r="S864">
        <v>2888.46</v>
      </c>
      <c r="T864">
        <v>3045.02</v>
      </c>
    </row>
    <row r="865" spans="1:15" x14ac:dyDescent="0.15">
      <c r="A865" t="s">
        <v>668</v>
      </c>
    </row>
    <row r="866" spans="1:15" x14ac:dyDescent="0.15">
      <c r="A866">
        <v>1979</v>
      </c>
      <c r="B866">
        <v>14827.6</v>
      </c>
      <c r="C866">
        <v>1262.42</v>
      </c>
      <c r="D866">
        <v>332.15100000000001</v>
      </c>
      <c r="E866">
        <v>207.10499999999999</v>
      </c>
      <c r="F866">
        <v>102.374</v>
      </c>
      <c r="G866">
        <v>56.770299999999999</v>
      </c>
      <c r="H866">
        <v>11.0283</v>
      </c>
      <c r="I866">
        <v>5.4570100000000004</v>
      </c>
      <c r="J866">
        <v>3.6080700000000001</v>
      </c>
      <c r="K866">
        <v>1.69472</v>
      </c>
      <c r="L866">
        <v>0.65200899999999995</v>
      </c>
      <c r="M866">
        <v>0.37840099999999999</v>
      </c>
      <c r="N866">
        <v>0.12427199999999999</v>
      </c>
      <c r="O866">
        <v>0.14238300000000001</v>
      </c>
    </row>
    <row r="867" spans="1:15" x14ac:dyDescent="0.15">
      <c r="A867">
        <v>1982</v>
      </c>
      <c r="B867">
        <v>3286.29</v>
      </c>
      <c r="C867">
        <v>2316.81</v>
      </c>
      <c r="D867">
        <v>4134.01</v>
      </c>
      <c r="E867">
        <v>1023.11</v>
      </c>
      <c r="F867">
        <v>259.59800000000001</v>
      </c>
      <c r="G867">
        <v>107.099</v>
      </c>
      <c r="H867">
        <v>54.791800000000002</v>
      </c>
      <c r="I867">
        <v>26.5517</v>
      </c>
      <c r="J867">
        <v>14.0387</v>
      </c>
      <c r="K867">
        <v>2.55125</v>
      </c>
      <c r="L867">
        <v>1.22258</v>
      </c>
      <c r="M867">
        <v>0.80547299999999999</v>
      </c>
      <c r="N867">
        <v>0.378332</v>
      </c>
      <c r="O867">
        <v>0.28955900000000001</v>
      </c>
    </row>
    <row r="868" spans="1:15" x14ac:dyDescent="0.15">
      <c r="A868">
        <v>1985</v>
      </c>
      <c r="B868">
        <v>1348.81</v>
      </c>
      <c r="C868">
        <v>4278.47</v>
      </c>
      <c r="D868">
        <v>1076</v>
      </c>
      <c r="E868">
        <v>1343.37</v>
      </c>
      <c r="F868">
        <v>659.005</v>
      </c>
      <c r="G868">
        <v>954.81299999999999</v>
      </c>
      <c r="H868">
        <v>198.36</v>
      </c>
      <c r="I868">
        <v>56.729700000000001</v>
      </c>
      <c r="J868">
        <v>23.765699999999999</v>
      </c>
      <c r="K868">
        <v>13.511900000000001</v>
      </c>
      <c r="L868">
        <v>6.4118000000000004</v>
      </c>
      <c r="M868">
        <v>3.3689499999999999</v>
      </c>
      <c r="N868">
        <v>0.61223700000000003</v>
      </c>
      <c r="O868">
        <v>0.64695899999999995</v>
      </c>
    </row>
    <row r="869" spans="1:15" x14ac:dyDescent="0.15">
      <c r="A869">
        <v>1988</v>
      </c>
      <c r="B869">
        <v>803.96900000000005</v>
      </c>
      <c r="C869">
        <v>1129.21</v>
      </c>
      <c r="D869">
        <v>2101.77</v>
      </c>
      <c r="E869">
        <v>569.72299999999996</v>
      </c>
      <c r="F869">
        <v>1294.22</v>
      </c>
      <c r="G869">
        <v>261.48500000000001</v>
      </c>
      <c r="H869">
        <v>266.18200000000002</v>
      </c>
      <c r="I869">
        <v>144.239</v>
      </c>
      <c r="J869">
        <v>216.27099999999999</v>
      </c>
      <c r="K869">
        <v>50.451000000000001</v>
      </c>
      <c r="L869">
        <v>14.2387</v>
      </c>
      <c r="M869">
        <v>5.9329900000000002</v>
      </c>
      <c r="N869">
        <v>3.3731900000000001</v>
      </c>
      <c r="O869">
        <v>2.7560699999999998</v>
      </c>
    </row>
    <row r="870" spans="1:15" x14ac:dyDescent="0.15">
      <c r="A870">
        <v>1991</v>
      </c>
      <c r="B870">
        <v>5441.95</v>
      </c>
      <c r="C870">
        <v>932.88599999999997</v>
      </c>
      <c r="D870">
        <v>339.34399999999999</v>
      </c>
      <c r="E870">
        <v>305.81299999999999</v>
      </c>
      <c r="F870">
        <v>287.11700000000002</v>
      </c>
      <c r="G870">
        <v>402.74299999999999</v>
      </c>
      <c r="H870">
        <v>84.948899999999995</v>
      </c>
      <c r="I870">
        <v>206.506</v>
      </c>
      <c r="J870">
        <v>43.026299999999999</v>
      </c>
      <c r="K870">
        <v>50.900799999999997</v>
      </c>
      <c r="L870">
        <v>27.478000000000002</v>
      </c>
      <c r="M870">
        <v>41.2941</v>
      </c>
      <c r="N870">
        <v>9.6329600000000006</v>
      </c>
      <c r="O870">
        <v>5.02182</v>
      </c>
    </row>
    <row r="871" spans="1:15" x14ac:dyDescent="0.15">
      <c r="A871">
        <v>1994</v>
      </c>
      <c r="B871">
        <v>4921.62</v>
      </c>
      <c r="C871">
        <v>1905.05</v>
      </c>
      <c r="D871">
        <v>1705.7</v>
      </c>
      <c r="E871">
        <v>2006.88</v>
      </c>
      <c r="F871">
        <v>228.023</v>
      </c>
      <c r="G871">
        <v>57.302599999999998</v>
      </c>
      <c r="H871">
        <v>35.362900000000003</v>
      </c>
      <c r="I871">
        <v>32.919800000000002</v>
      </c>
      <c r="J871">
        <v>46.667700000000004</v>
      </c>
      <c r="K871">
        <v>11.5839</v>
      </c>
      <c r="L871">
        <v>27.948599999999999</v>
      </c>
      <c r="M871">
        <v>5.8174200000000003</v>
      </c>
      <c r="N871">
        <v>6.8821099999999999</v>
      </c>
      <c r="O871">
        <v>11.2798</v>
      </c>
    </row>
    <row r="872" spans="1:15" x14ac:dyDescent="0.15">
      <c r="A872">
        <v>1996</v>
      </c>
      <c r="B872">
        <v>1076.42</v>
      </c>
      <c r="C872">
        <v>1266.29</v>
      </c>
      <c r="D872">
        <v>3110.03</v>
      </c>
      <c r="E872">
        <v>1012.8</v>
      </c>
      <c r="F872">
        <v>616.03300000000002</v>
      </c>
      <c r="G872">
        <v>559.63300000000004</v>
      </c>
      <c r="H872">
        <v>60.493600000000001</v>
      </c>
      <c r="I872">
        <v>15.5566</v>
      </c>
      <c r="J872">
        <v>11.273199999999999</v>
      </c>
      <c r="K872">
        <v>10.7021</v>
      </c>
      <c r="L872">
        <v>15.3087</v>
      </c>
      <c r="M872">
        <v>3.7999499999999999</v>
      </c>
      <c r="N872">
        <v>9.1681799999999996</v>
      </c>
      <c r="O872">
        <v>7.8661199999999996</v>
      </c>
    </row>
    <row r="873" spans="1:15" x14ac:dyDescent="0.15">
      <c r="A873">
        <v>1997</v>
      </c>
      <c r="B873">
        <v>2465.63</v>
      </c>
      <c r="C873">
        <v>872.60400000000004</v>
      </c>
      <c r="D873">
        <v>983.31100000000004</v>
      </c>
      <c r="E873">
        <v>2168.0100000000002</v>
      </c>
      <c r="F873">
        <v>567.15</v>
      </c>
      <c r="G873">
        <v>341.13299999999998</v>
      </c>
      <c r="H873">
        <v>271.041</v>
      </c>
      <c r="I873">
        <v>33.972799999999999</v>
      </c>
      <c r="J873">
        <v>8.9517900000000008</v>
      </c>
      <c r="K873">
        <v>6.5468599999999997</v>
      </c>
      <c r="L873">
        <v>6.2152000000000003</v>
      </c>
      <c r="M873">
        <v>8.8904700000000005</v>
      </c>
      <c r="N873">
        <v>2.2067999999999999</v>
      </c>
      <c r="O873">
        <v>9.8925900000000002</v>
      </c>
    </row>
    <row r="874" spans="1:15" x14ac:dyDescent="0.15">
      <c r="A874">
        <v>1999</v>
      </c>
      <c r="B874">
        <v>1662.07</v>
      </c>
      <c r="C874">
        <v>2856.33</v>
      </c>
      <c r="D874">
        <v>1537.95</v>
      </c>
      <c r="E874">
        <v>466.55200000000002</v>
      </c>
      <c r="F874">
        <v>390.8</v>
      </c>
      <c r="G874">
        <v>712.30200000000002</v>
      </c>
      <c r="H874">
        <v>168.07499999999999</v>
      </c>
      <c r="I874">
        <v>100.045</v>
      </c>
      <c r="J874">
        <v>92.742400000000004</v>
      </c>
      <c r="K874">
        <v>11.895899999999999</v>
      </c>
      <c r="L874">
        <v>3.1651099999999999</v>
      </c>
      <c r="M874">
        <v>2.3147899999999999</v>
      </c>
      <c r="N874">
        <v>2.1975199999999999</v>
      </c>
      <c r="O874">
        <v>7.4214399999999996</v>
      </c>
    </row>
    <row r="875" spans="1:15" x14ac:dyDescent="0.15">
      <c r="A875">
        <v>2000</v>
      </c>
      <c r="B875">
        <v>1809.62</v>
      </c>
      <c r="C875">
        <v>1345.04</v>
      </c>
      <c r="D875">
        <v>2175.3200000000002</v>
      </c>
      <c r="E875">
        <v>1040.05</v>
      </c>
      <c r="F875">
        <v>263.01</v>
      </c>
      <c r="G875">
        <v>227.446</v>
      </c>
      <c r="H875">
        <v>360.5</v>
      </c>
      <c r="I875">
        <v>99.001300000000001</v>
      </c>
      <c r="J875">
        <v>60.282699999999998</v>
      </c>
      <c r="K875">
        <v>56.490499999999997</v>
      </c>
      <c r="L875">
        <v>7.2459600000000002</v>
      </c>
      <c r="M875">
        <v>1.92791</v>
      </c>
      <c r="N875">
        <v>1.4099699999999999</v>
      </c>
      <c r="O875">
        <v>5.8590299999999997</v>
      </c>
    </row>
    <row r="876" spans="1:15" x14ac:dyDescent="0.15">
      <c r="A876">
        <v>2002</v>
      </c>
      <c r="B876">
        <v>3971.8</v>
      </c>
      <c r="C876">
        <v>2251.79</v>
      </c>
      <c r="D876">
        <v>1110.98</v>
      </c>
      <c r="E876">
        <v>667.34799999999996</v>
      </c>
      <c r="F876">
        <v>726.18499999999995</v>
      </c>
      <c r="G876">
        <v>293.91399999999999</v>
      </c>
      <c r="H876">
        <v>70.569699999999997</v>
      </c>
      <c r="I876">
        <v>62.223799999999997</v>
      </c>
      <c r="J876">
        <v>117.312</v>
      </c>
      <c r="K876">
        <v>33.6751</v>
      </c>
      <c r="L876">
        <v>20.7957</v>
      </c>
      <c r="M876">
        <v>19.487500000000001</v>
      </c>
      <c r="N876">
        <v>2.4996399999999999</v>
      </c>
      <c r="O876">
        <v>3.17265</v>
      </c>
    </row>
    <row r="877" spans="1:15" x14ac:dyDescent="0.15">
      <c r="A877">
        <v>2004</v>
      </c>
      <c r="B877">
        <v>1520.27</v>
      </c>
      <c r="C877">
        <v>2017.8</v>
      </c>
      <c r="D877">
        <v>2361.87</v>
      </c>
      <c r="E877">
        <v>1085.97</v>
      </c>
      <c r="F877">
        <v>361.40499999999997</v>
      </c>
      <c r="G877">
        <v>173.833</v>
      </c>
      <c r="H877">
        <v>172.99700000000001</v>
      </c>
      <c r="I877">
        <v>74.114900000000006</v>
      </c>
      <c r="J877">
        <v>21.527100000000001</v>
      </c>
      <c r="K877">
        <v>20.1845</v>
      </c>
      <c r="L877">
        <v>38.808900000000001</v>
      </c>
      <c r="M877">
        <v>11.1403</v>
      </c>
      <c r="N877">
        <v>6.8795599999999997</v>
      </c>
      <c r="O877">
        <v>8.3232900000000001</v>
      </c>
    </row>
    <row r="878" spans="1:15" x14ac:dyDescent="0.15">
      <c r="A878">
        <v>2006</v>
      </c>
      <c r="B878">
        <v>472.46499999999997</v>
      </c>
      <c r="C878">
        <v>554.43299999999999</v>
      </c>
      <c r="D878">
        <v>915.86599999999999</v>
      </c>
      <c r="E878">
        <v>932.745</v>
      </c>
      <c r="F878">
        <v>701.45600000000002</v>
      </c>
      <c r="G878">
        <v>284.89499999999998</v>
      </c>
      <c r="H878">
        <v>92.867800000000003</v>
      </c>
      <c r="I878">
        <v>47.051699999999997</v>
      </c>
      <c r="J878">
        <v>55.784599999999998</v>
      </c>
      <c r="K878">
        <v>24.9787</v>
      </c>
      <c r="L878">
        <v>7.3799099999999997</v>
      </c>
      <c r="M878">
        <v>6.9196600000000004</v>
      </c>
      <c r="N878">
        <v>13.304500000000001</v>
      </c>
      <c r="O878">
        <v>9.0309600000000003</v>
      </c>
    </row>
    <row r="879" spans="1:15" x14ac:dyDescent="0.15">
      <c r="A879">
        <v>2007</v>
      </c>
      <c r="B879">
        <v>1242.29</v>
      </c>
      <c r="C879">
        <v>381.33600000000001</v>
      </c>
      <c r="D879">
        <v>410.637</v>
      </c>
      <c r="E879">
        <v>562.19600000000003</v>
      </c>
      <c r="F879">
        <v>437.58800000000002</v>
      </c>
      <c r="G879">
        <v>350.71100000000001</v>
      </c>
      <c r="H879">
        <v>132.65899999999999</v>
      </c>
      <c r="I879">
        <v>50.485599999999998</v>
      </c>
      <c r="J879">
        <v>26.216100000000001</v>
      </c>
      <c r="K879">
        <v>31.530100000000001</v>
      </c>
      <c r="L879">
        <v>14.1182</v>
      </c>
      <c r="M879">
        <v>4.1712100000000003</v>
      </c>
      <c r="N879">
        <v>3.91107</v>
      </c>
      <c r="O879">
        <v>12.6242</v>
      </c>
    </row>
    <row r="880" spans="1:15" x14ac:dyDescent="0.15">
      <c r="A880">
        <v>2008</v>
      </c>
      <c r="B880">
        <v>3089.43</v>
      </c>
      <c r="C880">
        <v>1004.71</v>
      </c>
      <c r="D880">
        <v>282.28100000000001</v>
      </c>
      <c r="E880">
        <v>252.39599999999999</v>
      </c>
      <c r="F880">
        <v>262.476</v>
      </c>
      <c r="G880">
        <v>212.50399999999999</v>
      </c>
      <c r="H880">
        <v>160.36699999999999</v>
      </c>
      <c r="I880">
        <v>70.756699999999995</v>
      </c>
      <c r="J880">
        <v>27.5105</v>
      </c>
      <c r="K880">
        <v>14.468999999999999</v>
      </c>
      <c r="L880">
        <v>17.401800000000001</v>
      </c>
      <c r="M880">
        <v>7.7920100000000003</v>
      </c>
      <c r="N880">
        <v>2.3021400000000001</v>
      </c>
      <c r="O880">
        <v>9.1260200000000005</v>
      </c>
    </row>
    <row r="881" spans="1:15" x14ac:dyDescent="0.15">
      <c r="A881">
        <v>2009</v>
      </c>
      <c r="B881">
        <v>1354.2</v>
      </c>
      <c r="C881">
        <v>2506.0300000000002</v>
      </c>
      <c r="D881">
        <v>751.48199999999997</v>
      </c>
      <c r="E881">
        <v>177.45599999999999</v>
      </c>
      <c r="F881">
        <v>122.88</v>
      </c>
      <c r="G881">
        <v>130.119</v>
      </c>
      <c r="H881">
        <v>97.447800000000001</v>
      </c>
      <c r="I881">
        <v>86.118399999999994</v>
      </c>
      <c r="J881">
        <v>38.286999999999999</v>
      </c>
      <c r="K881">
        <v>15.066700000000001</v>
      </c>
      <c r="L881">
        <v>7.9242299999999997</v>
      </c>
      <c r="M881">
        <v>9.5304699999999993</v>
      </c>
      <c r="N881">
        <v>4.2674599999999998</v>
      </c>
      <c r="O881">
        <v>6.2588800000000004</v>
      </c>
    </row>
    <row r="882" spans="1:15" x14ac:dyDescent="0.15">
      <c r="A882">
        <v>2010</v>
      </c>
      <c r="B882">
        <v>6054.37</v>
      </c>
      <c r="C882">
        <v>1101.8699999999999</v>
      </c>
      <c r="D882">
        <v>1880.5</v>
      </c>
      <c r="E882">
        <v>479.52699999999999</v>
      </c>
      <c r="F882">
        <v>90.650199999999998</v>
      </c>
      <c r="G882">
        <v>64.794200000000004</v>
      </c>
      <c r="H882">
        <v>62.312100000000001</v>
      </c>
      <c r="I882">
        <v>54.0623</v>
      </c>
      <c r="J882">
        <v>48.258800000000001</v>
      </c>
      <c r="K882">
        <v>21.5092</v>
      </c>
      <c r="L882">
        <v>8.4642800000000005</v>
      </c>
      <c r="M882">
        <v>4.45174</v>
      </c>
      <c r="N882">
        <v>5.3540999999999999</v>
      </c>
      <c r="O882">
        <v>5.91357</v>
      </c>
    </row>
    <row r="883" spans="1:15" x14ac:dyDescent="0.15">
      <c r="A883">
        <v>2012</v>
      </c>
      <c r="B883">
        <v>1694.57</v>
      </c>
      <c r="C883">
        <v>2077.7399999999998</v>
      </c>
      <c r="D883">
        <v>3711.86</v>
      </c>
      <c r="E883">
        <v>534.23500000000001</v>
      </c>
      <c r="F883">
        <v>548.42999999999995</v>
      </c>
      <c r="G883">
        <v>116.474</v>
      </c>
      <c r="H883">
        <v>21.297899999999998</v>
      </c>
      <c r="I883">
        <v>16.008099999999999</v>
      </c>
      <c r="J883">
        <v>17.9971</v>
      </c>
      <c r="K883">
        <v>15.9176</v>
      </c>
      <c r="L883">
        <v>14.2845</v>
      </c>
      <c r="M883">
        <v>6.3666600000000004</v>
      </c>
      <c r="N883">
        <v>2.5054099999999999</v>
      </c>
      <c r="O883">
        <v>4.6529100000000003</v>
      </c>
    </row>
    <row r="884" spans="1:15" x14ac:dyDescent="0.15">
      <c r="A884">
        <v>2014</v>
      </c>
      <c r="B884">
        <v>3927.78</v>
      </c>
      <c r="C884">
        <v>927.92</v>
      </c>
      <c r="D884">
        <v>1054.6300000000001</v>
      </c>
      <c r="E884">
        <v>1038.04</v>
      </c>
      <c r="F884">
        <v>1295.6400000000001</v>
      </c>
      <c r="G884">
        <v>153.47800000000001</v>
      </c>
      <c r="H884">
        <v>142.541</v>
      </c>
      <c r="I884">
        <v>30.934799999999999</v>
      </c>
      <c r="J884">
        <v>6.5424699999999998</v>
      </c>
      <c r="K884">
        <v>4.9584299999999999</v>
      </c>
      <c r="L884">
        <v>5.6041699999999999</v>
      </c>
      <c r="M884">
        <v>4.9566400000000002</v>
      </c>
      <c r="N884">
        <v>4.4481000000000002</v>
      </c>
      <c r="O884">
        <v>4.2115900000000002</v>
      </c>
    </row>
    <row r="885" spans="1:15" x14ac:dyDescent="0.15">
      <c r="A885" t="s">
        <v>672</v>
      </c>
    </row>
    <row r="886" spans="1:15" x14ac:dyDescent="0.15">
      <c r="A886">
        <v>1978</v>
      </c>
      <c r="B886">
        <v>0.26393100000000003</v>
      </c>
    </row>
    <row r="887" spans="1:15" x14ac:dyDescent="0.15">
      <c r="A887">
        <v>1979</v>
      </c>
      <c r="B887">
        <v>1.08961</v>
      </c>
    </row>
    <row r="888" spans="1:15" x14ac:dyDescent="0.15">
      <c r="A888">
        <v>1980</v>
      </c>
      <c r="B888">
        <v>0.159584</v>
      </c>
    </row>
    <row r="889" spans="1:15" x14ac:dyDescent="0.15">
      <c r="A889">
        <v>1981</v>
      </c>
      <c r="B889">
        <v>0.21254000000000001</v>
      </c>
    </row>
    <row r="890" spans="1:15" x14ac:dyDescent="0.15">
      <c r="A890">
        <v>1982</v>
      </c>
      <c r="B890">
        <v>-0.47296700000000003</v>
      </c>
    </row>
    <row r="891" spans="1:15" x14ac:dyDescent="0.15">
      <c r="A891">
        <v>1983</v>
      </c>
      <c r="B891">
        <v>0.76385099999999995</v>
      </c>
    </row>
    <row r="892" spans="1:15" x14ac:dyDescent="0.15">
      <c r="A892">
        <v>1984</v>
      </c>
      <c r="B892">
        <v>-0.45524900000000001</v>
      </c>
    </row>
    <row r="893" spans="1:15" x14ac:dyDescent="0.15">
      <c r="A893">
        <v>1985</v>
      </c>
      <c r="B893">
        <v>0.52699399999999996</v>
      </c>
    </row>
    <row r="894" spans="1:15" x14ac:dyDescent="0.15">
      <c r="A894">
        <v>1986</v>
      </c>
      <c r="B894">
        <v>-0.302504</v>
      </c>
    </row>
    <row r="895" spans="1:15" x14ac:dyDescent="0.15">
      <c r="A895">
        <v>1987</v>
      </c>
      <c r="B895">
        <v>-0.82030999999999998</v>
      </c>
    </row>
    <row r="896" spans="1:15" x14ac:dyDescent="0.15">
      <c r="A896">
        <v>1988</v>
      </c>
      <c r="B896">
        <v>-1.1534800000000001</v>
      </c>
    </row>
    <row r="897" spans="1:2" x14ac:dyDescent="0.15">
      <c r="A897">
        <v>1989</v>
      </c>
      <c r="B897">
        <v>-0.48129100000000002</v>
      </c>
    </row>
    <row r="898" spans="1:2" x14ac:dyDescent="0.15">
      <c r="A898">
        <v>1990</v>
      </c>
      <c r="B898">
        <v>0.92684100000000003</v>
      </c>
    </row>
    <row r="899" spans="1:2" x14ac:dyDescent="0.15">
      <c r="A899">
        <v>1991</v>
      </c>
      <c r="B899">
        <v>0.103614</v>
      </c>
    </row>
    <row r="900" spans="1:2" x14ac:dyDescent="0.15">
      <c r="A900">
        <v>1992</v>
      </c>
      <c r="B900">
        <v>-0.17774699999999999</v>
      </c>
    </row>
    <row r="901" spans="1:2" x14ac:dyDescent="0.15">
      <c r="A901">
        <v>1993</v>
      </c>
      <c r="B901">
        <v>0.56913000000000002</v>
      </c>
    </row>
    <row r="902" spans="1:2" x14ac:dyDescent="0.15">
      <c r="A902">
        <v>1994</v>
      </c>
      <c r="B902">
        <v>-0.42464000000000002</v>
      </c>
    </row>
    <row r="903" spans="1:2" x14ac:dyDescent="0.15">
      <c r="A903">
        <v>1995</v>
      </c>
      <c r="B903">
        <v>-0.71492199999999995</v>
      </c>
    </row>
    <row r="904" spans="1:2" x14ac:dyDescent="0.15">
      <c r="A904">
        <v>1996</v>
      </c>
      <c r="B904">
        <v>0.167656</v>
      </c>
    </row>
    <row r="905" spans="1:2" x14ac:dyDescent="0.15">
      <c r="A905">
        <v>1997</v>
      </c>
      <c r="B905">
        <v>0.52192300000000003</v>
      </c>
    </row>
    <row r="906" spans="1:2" x14ac:dyDescent="0.15">
      <c r="A906">
        <v>1998</v>
      </c>
      <c r="B906">
        <v>-0.29642499999999999</v>
      </c>
    </row>
    <row r="907" spans="1:2" x14ac:dyDescent="0.15">
      <c r="A907">
        <v>1999</v>
      </c>
      <c r="B907">
        <v>-0.27379399999999998</v>
      </c>
    </row>
    <row r="908" spans="1:2" x14ac:dyDescent="0.15">
      <c r="A908">
        <v>2000</v>
      </c>
      <c r="B908">
        <v>0.162937</v>
      </c>
    </row>
    <row r="909" spans="1:2" x14ac:dyDescent="0.15">
      <c r="A909">
        <v>2001</v>
      </c>
      <c r="B909">
        <v>0.53397799999999995</v>
      </c>
    </row>
    <row r="910" spans="1:2" x14ac:dyDescent="0.15">
      <c r="A910">
        <v>2002</v>
      </c>
      <c r="B910">
        <v>8.1966600000000001E-2</v>
      </c>
    </row>
    <row r="911" spans="1:2" x14ac:dyDescent="0.15">
      <c r="A911">
        <v>2003</v>
      </c>
      <c r="B911">
        <v>-0.45279399999999997</v>
      </c>
    </row>
    <row r="912" spans="1:2" x14ac:dyDescent="0.15">
      <c r="A912">
        <v>2004</v>
      </c>
      <c r="B912">
        <v>-1.2040200000000001</v>
      </c>
    </row>
    <row r="913" spans="1:16" x14ac:dyDescent="0.15">
      <c r="A913">
        <v>2005</v>
      </c>
      <c r="B913">
        <v>-1.5514600000000001</v>
      </c>
    </row>
    <row r="914" spans="1:16" x14ac:dyDescent="0.15">
      <c r="A914">
        <v>2006</v>
      </c>
      <c r="B914">
        <v>-0.65147600000000006</v>
      </c>
    </row>
    <row r="915" spans="1:16" x14ac:dyDescent="0.15">
      <c r="A915">
        <v>2007</v>
      </c>
      <c r="B915">
        <v>0.150223</v>
      </c>
    </row>
    <row r="916" spans="1:16" x14ac:dyDescent="0.15">
      <c r="A916">
        <v>2008</v>
      </c>
      <c r="B916">
        <v>-0.72839200000000004</v>
      </c>
    </row>
    <row r="917" spans="1:16" x14ac:dyDescent="0.15">
      <c r="A917">
        <v>2009</v>
      </c>
      <c r="B917">
        <v>0.758772</v>
      </c>
    </row>
    <row r="918" spans="1:16" x14ac:dyDescent="0.15">
      <c r="A918">
        <v>2010</v>
      </c>
      <c r="B918">
        <v>-0.10933</v>
      </c>
    </row>
    <row r="919" spans="1:16" x14ac:dyDescent="0.15">
      <c r="A919">
        <v>2011</v>
      </c>
      <c r="B919">
        <v>-0.51557200000000003</v>
      </c>
    </row>
    <row r="920" spans="1:16" x14ac:dyDescent="0.15">
      <c r="A920">
        <v>2012</v>
      </c>
      <c r="B920">
        <v>-0.86874099999999999</v>
      </c>
    </row>
    <row r="921" spans="1:16" x14ac:dyDescent="0.15">
      <c r="A921">
        <v>2013</v>
      </c>
      <c r="B921">
        <v>0.43841599999999997</v>
      </c>
    </row>
    <row r="922" spans="1:16" x14ac:dyDescent="0.15">
      <c r="A922" t="s">
        <v>678</v>
      </c>
      <c r="B922" t="s">
        <v>679</v>
      </c>
      <c r="C922" t="s">
        <v>128</v>
      </c>
      <c r="D922" t="s">
        <v>127</v>
      </c>
      <c r="E922" t="s">
        <v>683</v>
      </c>
      <c r="F922" t="s">
        <v>684</v>
      </c>
      <c r="G922" t="s">
        <v>680</v>
      </c>
    </row>
    <row r="923" spans="1:16" x14ac:dyDescent="0.15">
      <c r="B923">
        <v>6.9829699999999996E-4</v>
      </c>
      <c r="C923">
        <v>1.7629599999999999E-2</v>
      </c>
      <c r="D923">
        <v>6.2244800000000003E-2</v>
      </c>
      <c r="E923">
        <v>0.14590800000000001</v>
      </c>
      <c r="F923">
        <v>0.14379900000000001</v>
      </c>
      <c r="G923">
        <v>0.141678</v>
      </c>
      <c r="H923">
        <v>0.13774600000000001</v>
      </c>
      <c r="I923">
        <v>0.13412399999999999</v>
      </c>
      <c r="J923">
        <v>0.13134999999999999</v>
      </c>
      <c r="K923">
        <v>0.129357</v>
      </c>
      <c r="L923">
        <v>0.129357</v>
      </c>
      <c r="M923">
        <v>0.129357</v>
      </c>
      <c r="N923">
        <v>0.129357</v>
      </c>
      <c r="O923">
        <v>0.129357</v>
      </c>
      <c r="P923">
        <v>0.129357</v>
      </c>
    </row>
    <row r="924" spans="1:16" x14ac:dyDescent="0.15">
      <c r="B924">
        <v>7.5720300000000002E-4</v>
      </c>
      <c r="C924">
        <v>1.9286600000000001E-2</v>
      </c>
      <c r="D924">
        <v>7.0063E-2</v>
      </c>
      <c r="E924">
        <v>0.15957099999999999</v>
      </c>
      <c r="F924">
        <v>0.15579999999999999</v>
      </c>
      <c r="G924">
        <v>0.15163199999999999</v>
      </c>
      <c r="H924">
        <v>0.148012</v>
      </c>
      <c r="I924">
        <v>0.14507400000000001</v>
      </c>
      <c r="J924">
        <v>0.14252100000000001</v>
      </c>
      <c r="K924">
        <v>0.14014799999999999</v>
      </c>
      <c r="L924">
        <v>0.14014799999999999</v>
      </c>
      <c r="M924">
        <v>0.14014799999999999</v>
      </c>
      <c r="N924">
        <v>0.14014799999999999</v>
      </c>
      <c r="O924">
        <v>0.14014799999999999</v>
      </c>
      <c r="P924">
        <v>0.14014799999999999</v>
      </c>
    </row>
    <row r="925" spans="1:16" x14ac:dyDescent="0.15">
      <c r="B925">
        <v>7.3114999999999996E-4</v>
      </c>
      <c r="C925">
        <v>1.8991500000000001E-2</v>
      </c>
      <c r="D925">
        <v>7.0648600000000006E-2</v>
      </c>
      <c r="E925">
        <v>0.151559</v>
      </c>
      <c r="F925">
        <v>0.14876900000000001</v>
      </c>
      <c r="G925">
        <v>0.14424100000000001</v>
      </c>
      <c r="H925">
        <v>0.14177699999999999</v>
      </c>
      <c r="I925">
        <v>0.139707</v>
      </c>
      <c r="J925">
        <v>0.13778699999999999</v>
      </c>
      <c r="K925">
        <v>0.13567899999999999</v>
      </c>
      <c r="L925">
        <v>0.13567899999999999</v>
      </c>
      <c r="M925">
        <v>0.13567899999999999</v>
      </c>
      <c r="N925">
        <v>0.13567899999999999</v>
      </c>
      <c r="O925">
        <v>0.13567899999999999</v>
      </c>
      <c r="P925">
        <v>0.13567899999999999</v>
      </c>
    </row>
    <row r="926" spans="1:16" x14ac:dyDescent="0.15">
      <c r="B926">
        <v>1.2519E-3</v>
      </c>
      <c r="C926">
        <v>3.3519399999999998E-2</v>
      </c>
      <c r="D926">
        <v>0.12893499999999999</v>
      </c>
      <c r="E926">
        <v>0.25048100000000001</v>
      </c>
      <c r="F926">
        <v>0.24889500000000001</v>
      </c>
      <c r="G926">
        <v>0.24319399999999999</v>
      </c>
      <c r="H926">
        <v>0.24121999999999999</v>
      </c>
      <c r="I926">
        <v>0.240175</v>
      </c>
      <c r="J926">
        <v>0.23804900000000001</v>
      </c>
      <c r="K926">
        <v>0.23590800000000001</v>
      </c>
      <c r="L926">
        <v>0.23590800000000001</v>
      </c>
      <c r="M926">
        <v>0.23590800000000001</v>
      </c>
      <c r="N926">
        <v>0.23590800000000001</v>
      </c>
      <c r="O926">
        <v>0.23590800000000001</v>
      </c>
      <c r="P926">
        <v>0.23590800000000001</v>
      </c>
    </row>
    <row r="927" spans="1:16" x14ac:dyDescent="0.15">
      <c r="B927">
        <v>1.26059E-3</v>
      </c>
      <c r="C927">
        <v>3.4829199999999998E-2</v>
      </c>
      <c r="D927">
        <v>0.134406</v>
      </c>
      <c r="E927">
        <v>0.24762799999999999</v>
      </c>
      <c r="F927">
        <v>0.24510599999999999</v>
      </c>
      <c r="G927">
        <v>0.24105799999999999</v>
      </c>
      <c r="H927">
        <v>0.24088899999999999</v>
      </c>
      <c r="I927">
        <v>0.243149</v>
      </c>
      <c r="J927">
        <v>0.242204</v>
      </c>
      <c r="K927">
        <v>0.24049799999999999</v>
      </c>
      <c r="L927">
        <v>0.24049799999999999</v>
      </c>
      <c r="M927">
        <v>0.24049799999999999</v>
      </c>
      <c r="N927">
        <v>0.24049799999999999</v>
      </c>
      <c r="O927">
        <v>0.24049799999999999</v>
      </c>
      <c r="P927">
        <v>0.24049799999999999</v>
      </c>
    </row>
    <row r="928" spans="1:16" x14ac:dyDescent="0.15">
      <c r="B928">
        <v>1.3278999999999999E-3</v>
      </c>
      <c r="C928">
        <v>3.7857500000000002E-2</v>
      </c>
      <c r="D928">
        <v>0.14973600000000001</v>
      </c>
      <c r="E928">
        <v>0.250944</v>
      </c>
      <c r="F928">
        <v>0.252359</v>
      </c>
      <c r="G928">
        <v>0.24985199999999999</v>
      </c>
      <c r="H928">
        <v>0.252606</v>
      </c>
      <c r="I928">
        <v>0.259741</v>
      </c>
      <c r="J928">
        <v>0.26003599999999999</v>
      </c>
      <c r="K928">
        <v>0.26124900000000001</v>
      </c>
      <c r="L928">
        <v>0.26124900000000001</v>
      </c>
      <c r="M928">
        <v>0.26124900000000001</v>
      </c>
      <c r="N928">
        <v>0.26124900000000001</v>
      </c>
      <c r="O928">
        <v>0.26124900000000001</v>
      </c>
      <c r="P928">
        <v>0.26124900000000001</v>
      </c>
    </row>
    <row r="929" spans="2:16" x14ac:dyDescent="0.15">
      <c r="B929">
        <v>1.7399500000000001E-3</v>
      </c>
      <c r="C929">
        <v>5.1614199999999999E-2</v>
      </c>
      <c r="D929">
        <v>0.201185</v>
      </c>
      <c r="E929">
        <v>0.30760999999999999</v>
      </c>
      <c r="F929">
        <v>0.32430100000000001</v>
      </c>
      <c r="G929">
        <v>0.32280799999999998</v>
      </c>
      <c r="H929">
        <v>0.33090999999999998</v>
      </c>
      <c r="I929">
        <v>0.34675</v>
      </c>
      <c r="J929">
        <v>0.34936699999999998</v>
      </c>
      <c r="K929">
        <v>0.36530000000000001</v>
      </c>
      <c r="L929">
        <v>0.36530000000000001</v>
      </c>
      <c r="M929">
        <v>0.36530000000000001</v>
      </c>
      <c r="N929">
        <v>0.36530000000000001</v>
      </c>
      <c r="O929">
        <v>0.36530000000000001</v>
      </c>
      <c r="P929">
        <v>0.36530000000000001</v>
      </c>
    </row>
    <row r="930" spans="2:16" x14ac:dyDescent="0.15">
      <c r="B930">
        <v>2.2841099999999998E-3</v>
      </c>
      <c r="C930">
        <v>7.1255399999999997E-2</v>
      </c>
      <c r="D930">
        <v>0.27529100000000001</v>
      </c>
      <c r="E930">
        <v>0.40251900000000002</v>
      </c>
      <c r="F930">
        <v>0.437135</v>
      </c>
      <c r="G930">
        <v>0.43445800000000001</v>
      </c>
      <c r="H930">
        <v>0.446131</v>
      </c>
      <c r="I930">
        <v>0.47604999999999997</v>
      </c>
      <c r="J930">
        <v>0.48251100000000002</v>
      </c>
      <c r="K930">
        <v>0.51757500000000001</v>
      </c>
      <c r="L930">
        <v>0.51757500000000001</v>
      </c>
      <c r="M930">
        <v>0.51757500000000001</v>
      </c>
      <c r="N930">
        <v>0.51757500000000001</v>
      </c>
      <c r="O930">
        <v>0.51757500000000001</v>
      </c>
      <c r="P930">
        <v>0.51757500000000001</v>
      </c>
    </row>
    <row r="931" spans="2:16" x14ac:dyDescent="0.15">
      <c r="B931">
        <v>2.4580700000000001E-3</v>
      </c>
      <c r="C931">
        <v>8.4483000000000003E-2</v>
      </c>
      <c r="D931">
        <v>0.32662099999999999</v>
      </c>
      <c r="E931">
        <v>0.45704299999999998</v>
      </c>
      <c r="F931">
        <v>0.49600100000000003</v>
      </c>
      <c r="G931">
        <v>0.49595400000000001</v>
      </c>
      <c r="H931">
        <v>0.50959100000000002</v>
      </c>
      <c r="I931">
        <v>0.54742100000000005</v>
      </c>
      <c r="J931">
        <v>0.55801000000000001</v>
      </c>
      <c r="K931">
        <v>0.58711000000000002</v>
      </c>
      <c r="L931">
        <v>0.58711000000000002</v>
      </c>
      <c r="M931">
        <v>0.58711000000000002</v>
      </c>
      <c r="N931">
        <v>0.58711000000000002</v>
      </c>
      <c r="O931">
        <v>0.58711000000000002</v>
      </c>
      <c r="P931">
        <v>0.58711000000000002</v>
      </c>
    </row>
    <row r="932" spans="2:16" x14ac:dyDescent="0.15">
      <c r="B932">
        <v>2.6195099999999998E-3</v>
      </c>
      <c r="C932">
        <v>9.80824E-2</v>
      </c>
      <c r="D932">
        <v>0.38279400000000002</v>
      </c>
      <c r="E932">
        <v>0.51775199999999999</v>
      </c>
      <c r="F932">
        <v>0.56548200000000004</v>
      </c>
      <c r="G932">
        <v>0.56799599999999995</v>
      </c>
      <c r="H932">
        <v>0.58258799999999999</v>
      </c>
      <c r="I932">
        <v>0.62822599999999995</v>
      </c>
      <c r="J932">
        <v>0.64178199999999996</v>
      </c>
      <c r="K932">
        <v>0.65893400000000002</v>
      </c>
      <c r="L932">
        <v>0.65893400000000002</v>
      </c>
      <c r="M932">
        <v>0.65893400000000002</v>
      </c>
      <c r="N932">
        <v>0.65893400000000002</v>
      </c>
      <c r="O932">
        <v>0.65893400000000002</v>
      </c>
      <c r="P932">
        <v>0.65893400000000002</v>
      </c>
    </row>
    <row r="933" spans="2:16" x14ac:dyDescent="0.15">
      <c r="B933">
        <v>2.77174E-3</v>
      </c>
      <c r="C933">
        <v>0.112733</v>
      </c>
      <c r="D933">
        <v>0.45223999999999998</v>
      </c>
      <c r="E933">
        <v>0.586677</v>
      </c>
      <c r="F933">
        <v>0.64106300000000005</v>
      </c>
      <c r="G933">
        <v>0.64229199999999997</v>
      </c>
      <c r="H933">
        <v>0.65957299999999996</v>
      </c>
      <c r="I933">
        <v>0.71287500000000004</v>
      </c>
      <c r="J933">
        <v>0.73130200000000001</v>
      </c>
      <c r="K933">
        <v>0.72702100000000003</v>
      </c>
      <c r="L933">
        <v>0.72702100000000003</v>
      </c>
      <c r="M933">
        <v>0.72702100000000003</v>
      </c>
      <c r="N933">
        <v>0.72702100000000003</v>
      </c>
      <c r="O933">
        <v>0.72702100000000003</v>
      </c>
      <c r="P933">
        <v>0.72702100000000003</v>
      </c>
    </row>
    <row r="934" spans="2:16" x14ac:dyDescent="0.15">
      <c r="B934">
        <v>2.2089499999999999E-3</v>
      </c>
      <c r="C934">
        <v>9.1777499999999998E-2</v>
      </c>
      <c r="D934">
        <v>0.39984900000000001</v>
      </c>
      <c r="E934">
        <v>0.50647200000000003</v>
      </c>
      <c r="F934">
        <v>0.55269500000000005</v>
      </c>
      <c r="G934">
        <v>0.55318199999999995</v>
      </c>
      <c r="H934">
        <v>0.56753200000000004</v>
      </c>
      <c r="I934">
        <v>0.61341699999999999</v>
      </c>
      <c r="J934">
        <v>0.63361400000000001</v>
      </c>
      <c r="K934">
        <v>0.62584499999999998</v>
      </c>
      <c r="L934">
        <v>0.62584499999999998</v>
      </c>
      <c r="M934">
        <v>0.62584499999999998</v>
      </c>
      <c r="N934">
        <v>0.62584499999999998</v>
      </c>
      <c r="O934">
        <v>0.62584499999999998</v>
      </c>
      <c r="P934">
        <v>0.62584499999999998</v>
      </c>
    </row>
    <row r="935" spans="2:16" x14ac:dyDescent="0.15">
      <c r="B935">
        <v>1.7308200000000001E-3</v>
      </c>
      <c r="C935">
        <v>7.3556200000000002E-2</v>
      </c>
      <c r="D935">
        <v>0.32283699999999999</v>
      </c>
      <c r="E935">
        <v>0.433419</v>
      </c>
      <c r="F935">
        <v>0.474665</v>
      </c>
      <c r="G935">
        <v>0.47351100000000002</v>
      </c>
      <c r="H935">
        <v>0.48382500000000001</v>
      </c>
      <c r="I935">
        <v>0.52215999999999996</v>
      </c>
      <c r="J935">
        <v>0.54536899999999999</v>
      </c>
      <c r="K935">
        <v>0.53862399999999999</v>
      </c>
      <c r="L935">
        <v>0.53862399999999999</v>
      </c>
      <c r="M935">
        <v>0.53862399999999999</v>
      </c>
      <c r="N935">
        <v>0.53862399999999999</v>
      </c>
      <c r="O935">
        <v>0.53862399999999999</v>
      </c>
      <c r="P935">
        <v>0.53862399999999999</v>
      </c>
    </row>
    <row r="936" spans="2:16" x14ac:dyDescent="0.15">
      <c r="B936">
        <v>1.2965299999999999E-3</v>
      </c>
      <c r="C936">
        <v>5.6503299999999999E-2</v>
      </c>
      <c r="D936">
        <v>0.243838</v>
      </c>
      <c r="E936">
        <v>0.339646</v>
      </c>
      <c r="F936">
        <v>0.39236100000000002</v>
      </c>
      <c r="G936">
        <v>0.39028400000000002</v>
      </c>
      <c r="H936">
        <v>0.39723799999999998</v>
      </c>
      <c r="I936">
        <v>0.42687999999999998</v>
      </c>
      <c r="J936">
        <v>0.45291399999999998</v>
      </c>
      <c r="K936">
        <v>0.45058399999999998</v>
      </c>
      <c r="L936">
        <v>0.45058399999999998</v>
      </c>
      <c r="M936">
        <v>0.45058399999999998</v>
      </c>
      <c r="N936">
        <v>0.45058399999999998</v>
      </c>
      <c r="O936">
        <v>0.45058399999999998</v>
      </c>
      <c r="P936">
        <v>0.45058399999999998</v>
      </c>
    </row>
    <row r="937" spans="2:16" x14ac:dyDescent="0.15">
      <c r="B937">
        <v>1.1873000000000001E-3</v>
      </c>
      <c r="C937">
        <v>5.1879399999999999E-2</v>
      </c>
      <c r="D937">
        <v>0.22786500000000001</v>
      </c>
      <c r="E937">
        <v>0.32859500000000003</v>
      </c>
      <c r="F937">
        <v>0.39493899999999998</v>
      </c>
      <c r="G937">
        <v>0.39602100000000001</v>
      </c>
      <c r="H937">
        <v>0.40377600000000002</v>
      </c>
      <c r="I937">
        <v>0.43178499999999997</v>
      </c>
      <c r="J937">
        <v>0.46557700000000002</v>
      </c>
      <c r="K937">
        <v>0.46705099999999999</v>
      </c>
      <c r="L937">
        <v>0.46705099999999999</v>
      </c>
      <c r="M937">
        <v>0.46705099999999999</v>
      </c>
      <c r="N937">
        <v>0.46705099999999999</v>
      </c>
      <c r="O937">
        <v>0.46705099999999999</v>
      </c>
      <c r="P937">
        <v>0.46705099999999999</v>
      </c>
    </row>
    <row r="938" spans="2:16" x14ac:dyDescent="0.15">
      <c r="B938">
        <v>9.9107899999999996E-4</v>
      </c>
      <c r="C938">
        <v>4.07169E-2</v>
      </c>
      <c r="D938">
        <v>0.186859</v>
      </c>
      <c r="E938">
        <v>0.29443200000000003</v>
      </c>
      <c r="F938">
        <v>0.36901899999999999</v>
      </c>
      <c r="G938">
        <v>0.37917499999999998</v>
      </c>
      <c r="H938">
        <v>0.37815100000000001</v>
      </c>
      <c r="I938">
        <v>0.40236699999999997</v>
      </c>
      <c r="J938">
        <v>0.43941200000000002</v>
      </c>
      <c r="K938">
        <v>0.44652399999999998</v>
      </c>
      <c r="L938">
        <v>0.44652399999999998</v>
      </c>
      <c r="M938">
        <v>0.44652399999999998</v>
      </c>
      <c r="N938">
        <v>0.44652399999999998</v>
      </c>
      <c r="O938">
        <v>0.44652399999999998</v>
      </c>
      <c r="P938">
        <v>0.44652399999999998</v>
      </c>
    </row>
    <row r="939" spans="2:16" x14ac:dyDescent="0.15">
      <c r="B939">
        <v>7.1544700000000002E-4</v>
      </c>
      <c r="C939">
        <v>2.7120100000000001E-2</v>
      </c>
      <c r="D939">
        <v>0.13178699999999999</v>
      </c>
      <c r="E939">
        <v>0.240311</v>
      </c>
      <c r="F939">
        <v>0.30825399999999997</v>
      </c>
      <c r="G939">
        <v>0.31974900000000001</v>
      </c>
      <c r="H939">
        <v>0.31697500000000001</v>
      </c>
      <c r="I939">
        <v>0.33121899999999999</v>
      </c>
      <c r="J939">
        <v>0.36438500000000001</v>
      </c>
      <c r="K939">
        <v>0.37792399999999998</v>
      </c>
      <c r="L939">
        <v>0.37792399999999998</v>
      </c>
      <c r="M939">
        <v>0.37792399999999998</v>
      </c>
      <c r="N939">
        <v>0.37792399999999998</v>
      </c>
      <c r="O939">
        <v>0.37792399999999998</v>
      </c>
      <c r="P939">
        <v>0.37792399999999998</v>
      </c>
    </row>
    <row r="940" spans="2:16" x14ac:dyDescent="0.15">
      <c r="B940">
        <v>4.3373700000000001E-4</v>
      </c>
      <c r="C940">
        <v>1.5989300000000001E-2</v>
      </c>
      <c r="D940">
        <v>7.6085100000000003E-2</v>
      </c>
      <c r="E940">
        <v>0.162303</v>
      </c>
      <c r="F940">
        <v>0.21589</v>
      </c>
      <c r="G940">
        <v>0.223276</v>
      </c>
      <c r="H940">
        <v>0.22144</v>
      </c>
      <c r="I940">
        <v>0.22924600000000001</v>
      </c>
      <c r="J940">
        <v>0.253052</v>
      </c>
      <c r="K940">
        <v>0.267183</v>
      </c>
      <c r="L940">
        <v>0.267183</v>
      </c>
      <c r="M940">
        <v>0.267183</v>
      </c>
      <c r="N940">
        <v>0.267183</v>
      </c>
      <c r="O940">
        <v>0.267183</v>
      </c>
      <c r="P940">
        <v>0.267183</v>
      </c>
    </row>
    <row r="941" spans="2:16" x14ac:dyDescent="0.15">
      <c r="B941">
        <v>2.6584200000000002E-4</v>
      </c>
      <c r="C941">
        <v>9.77395E-3</v>
      </c>
      <c r="D941">
        <v>4.4864500000000002E-2</v>
      </c>
      <c r="E941">
        <v>0.106932</v>
      </c>
      <c r="F941">
        <v>0.150228</v>
      </c>
      <c r="G941">
        <v>0.1573</v>
      </c>
      <c r="H941">
        <v>0.15590599999999999</v>
      </c>
      <c r="I941">
        <v>0.15990399999999999</v>
      </c>
      <c r="J941">
        <v>0.17719299999999999</v>
      </c>
      <c r="K941">
        <v>0.189723</v>
      </c>
      <c r="L941">
        <v>0.189723</v>
      </c>
      <c r="M941">
        <v>0.189723</v>
      </c>
      <c r="N941">
        <v>0.189723</v>
      </c>
      <c r="O941">
        <v>0.189723</v>
      </c>
      <c r="P941">
        <v>0.189723</v>
      </c>
    </row>
    <row r="942" spans="2:16" x14ac:dyDescent="0.15">
      <c r="B942">
        <v>2.0322999999999999E-4</v>
      </c>
      <c r="C942">
        <v>7.7331800000000001E-3</v>
      </c>
      <c r="D942">
        <v>3.4830100000000003E-2</v>
      </c>
      <c r="E942">
        <v>8.4383399999999997E-2</v>
      </c>
      <c r="F942">
        <v>0.12584400000000001</v>
      </c>
      <c r="G942">
        <v>0.13828299999999999</v>
      </c>
      <c r="H942">
        <v>0.136907</v>
      </c>
      <c r="I942">
        <v>0.138686</v>
      </c>
      <c r="J942">
        <v>0.15418599999999999</v>
      </c>
      <c r="K942">
        <v>0.16652700000000001</v>
      </c>
      <c r="L942">
        <v>0.16652700000000001</v>
      </c>
      <c r="M942">
        <v>0.16652700000000001</v>
      </c>
      <c r="N942">
        <v>0.16652700000000001</v>
      </c>
      <c r="O942">
        <v>0.16652700000000001</v>
      </c>
      <c r="P942">
        <v>0.16652700000000001</v>
      </c>
    </row>
    <row r="943" spans="2:16" x14ac:dyDescent="0.15">
      <c r="B943">
        <v>1.8932199999999999E-4</v>
      </c>
      <c r="C943">
        <v>7.1377699999999999E-3</v>
      </c>
      <c r="D943">
        <v>3.4358800000000002E-2</v>
      </c>
      <c r="E943">
        <v>8.2065200000000005E-2</v>
      </c>
      <c r="F943">
        <v>0.12926399999999999</v>
      </c>
      <c r="G943">
        <v>0.14619299999999999</v>
      </c>
      <c r="H943">
        <v>0.14676500000000001</v>
      </c>
      <c r="I943">
        <v>0.14649499999999999</v>
      </c>
      <c r="J943">
        <v>0.16306999999999999</v>
      </c>
      <c r="K943">
        <v>0.17536099999999999</v>
      </c>
      <c r="L943">
        <v>0.17536099999999999</v>
      </c>
      <c r="M943">
        <v>0.17536099999999999</v>
      </c>
      <c r="N943">
        <v>0.17536099999999999</v>
      </c>
      <c r="O943">
        <v>0.17536099999999999</v>
      </c>
      <c r="P943">
        <v>0.17536099999999999</v>
      </c>
    </row>
    <row r="944" spans="2:16" x14ac:dyDescent="0.15">
      <c r="B944">
        <v>1.7420399999999999E-4</v>
      </c>
      <c r="C944">
        <v>6.7787799999999999E-3</v>
      </c>
      <c r="D944">
        <v>3.41978E-2</v>
      </c>
      <c r="E944">
        <v>7.8930500000000001E-2</v>
      </c>
      <c r="F944">
        <v>0.122637</v>
      </c>
      <c r="G944">
        <v>0.153553</v>
      </c>
      <c r="H944">
        <v>0.15520100000000001</v>
      </c>
      <c r="I944">
        <v>0.153587</v>
      </c>
      <c r="J944">
        <v>0.170179</v>
      </c>
      <c r="K944">
        <v>0.18093699999999999</v>
      </c>
      <c r="L944">
        <v>0.18093699999999999</v>
      </c>
      <c r="M944">
        <v>0.18093699999999999</v>
      </c>
      <c r="N944">
        <v>0.18093699999999999</v>
      </c>
      <c r="O944">
        <v>0.18093699999999999</v>
      </c>
      <c r="P944">
        <v>0.18093699999999999</v>
      </c>
    </row>
    <row r="945" spans="2:16" x14ac:dyDescent="0.15">
      <c r="B945">
        <v>1.5345800000000001E-4</v>
      </c>
      <c r="C945">
        <v>6.0847100000000001E-3</v>
      </c>
      <c r="D945">
        <v>3.2772599999999999E-2</v>
      </c>
      <c r="E945">
        <v>7.6097799999999993E-2</v>
      </c>
      <c r="F945">
        <v>0.114714</v>
      </c>
      <c r="G945">
        <v>0.147707</v>
      </c>
      <c r="H945">
        <v>0.157697</v>
      </c>
      <c r="I945">
        <v>0.151091</v>
      </c>
      <c r="J945">
        <v>0.17030699999999999</v>
      </c>
      <c r="K945">
        <v>0.17526700000000001</v>
      </c>
      <c r="L945">
        <v>0.17526700000000001</v>
      </c>
      <c r="M945">
        <v>0.17526700000000001</v>
      </c>
      <c r="N945">
        <v>0.17526700000000001</v>
      </c>
      <c r="O945">
        <v>0.17526700000000001</v>
      </c>
      <c r="P945">
        <v>0.17526700000000001</v>
      </c>
    </row>
    <row r="946" spans="2:16" x14ac:dyDescent="0.15">
      <c r="B946">
        <v>1.02069E-4</v>
      </c>
      <c r="C946">
        <v>4.1001600000000003E-3</v>
      </c>
      <c r="D946">
        <v>2.3872399999999998E-2</v>
      </c>
      <c r="E946">
        <v>5.3266300000000003E-2</v>
      </c>
      <c r="F946">
        <v>8.2082799999999997E-2</v>
      </c>
      <c r="G946">
        <v>0.105892</v>
      </c>
      <c r="H946">
        <v>0.11788700000000001</v>
      </c>
      <c r="I946">
        <v>0.11712</v>
      </c>
      <c r="J946">
        <v>0.12925800000000001</v>
      </c>
      <c r="K946">
        <v>0.130277</v>
      </c>
      <c r="L946">
        <v>0.130277</v>
      </c>
      <c r="M946">
        <v>0.130277</v>
      </c>
      <c r="N946">
        <v>0.130277</v>
      </c>
      <c r="O946">
        <v>0.130277</v>
      </c>
      <c r="P946">
        <v>0.130277</v>
      </c>
    </row>
    <row r="947" spans="2:16" x14ac:dyDescent="0.15">
      <c r="B947">
        <v>1.3657E-4</v>
      </c>
      <c r="C947">
        <v>5.5531799999999996E-3</v>
      </c>
      <c r="D947">
        <v>3.6731300000000001E-2</v>
      </c>
      <c r="E947">
        <v>7.6942099999999999E-2</v>
      </c>
      <c r="F947">
        <v>0.121833</v>
      </c>
      <c r="G947">
        <v>0.15210599999999999</v>
      </c>
      <c r="H947">
        <v>0.18434900000000001</v>
      </c>
      <c r="I947">
        <v>0.17654900000000001</v>
      </c>
      <c r="J947">
        <v>0.187948</v>
      </c>
      <c r="K947">
        <v>0.18340500000000001</v>
      </c>
      <c r="L947">
        <v>0.18340500000000001</v>
      </c>
      <c r="M947">
        <v>0.18340500000000001</v>
      </c>
      <c r="N947">
        <v>0.18340500000000001</v>
      </c>
      <c r="O947">
        <v>0.18340500000000001</v>
      </c>
      <c r="P947">
        <v>0.18340500000000001</v>
      </c>
    </row>
    <row r="948" spans="2:16" x14ac:dyDescent="0.15">
      <c r="B948">
        <v>1.3336500000000001E-4</v>
      </c>
      <c r="C948">
        <v>5.5054500000000003E-3</v>
      </c>
      <c r="D948">
        <v>3.53307E-2</v>
      </c>
      <c r="E948">
        <v>8.3813600000000002E-2</v>
      </c>
      <c r="F948">
        <v>0.12969600000000001</v>
      </c>
      <c r="G948">
        <v>0.16650300000000001</v>
      </c>
      <c r="H948">
        <v>0.209422</v>
      </c>
      <c r="I948">
        <v>0.201292</v>
      </c>
      <c r="J948">
        <v>0.200707</v>
      </c>
      <c r="K948">
        <v>0.198791</v>
      </c>
      <c r="L948">
        <v>0.198791</v>
      </c>
      <c r="M948">
        <v>0.198791</v>
      </c>
      <c r="N948">
        <v>0.198791</v>
      </c>
      <c r="O948">
        <v>0.198791</v>
      </c>
      <c r="P948">
        <v>0.198791</v>
      </c>
    </row>
    <row r="949" spans="2:16" x14ac:dyDescent="0.15">
      <c r="B949">
        <v>1.7740200000000001E-4</v>
      </c>
      <c r="C949">
        <v>7.45293E-3</v>
      </c>
      <c r="D949">
        <v>4.6425800000000003E-2</v>
      </c>
      <c r="E949">
        <v>0.12213</v>
      </c>
      <c r="F949">
        <v>0.19171199999999999</v>
      </c>
      <c r="G949">
        <v>0.24868999999999999</v>
      </c>
      <c r="H949">
        <v>0.31161800000000001</v>
      </c>
      <c r="I949">
        <v>0.30620999999999998</v>
      </c>
      <c r="J949">
        <v>0.30482399999999998</v>
      </c>
      <c r="K949">
        <v>0.294375</v>
      </c>
      <c r="L949">
        <v>0.294375</v>
      </c>
      <c r="M949">
        <v>0.294375</v>
      </c>
      <c r="N949">
        <v>0.294375</v>
      </c>
      <c r="O949">
        <v>0.294375</v>
      </c>
      <c r="P949">
        <v>0.294375</v>
      </c>
    </row>
    <row r="950" spans="2:16" x14ac:dyDescent="0.15">
      <c r="B950">
        <v>1.6866299999999999E-4</v>
      </c>
      <c r="C950">
        <v>7.1655800000000004E-3</v>
      </c>
      <c r="D950">
        <v>4.3212599999999997E-2</v>
      </c>
      <c r="E950">
        <v>0.119778</v>
      </c>
      <c r="F950">
        <v>0.18973499999999999</v>
      </c>
      <c r="G950">
        <v>0.262268</v>
      </c>
      <c r="H950">
        <v>0.34599099999999999</v>
      </c>
      <c r="I950">
        <v>0.320994</v>
      </c>
      <c r="J950">
        <v>0.33990500000000001</v>
      </c>
      <c r="K950">
        <v>0.341889</v>
      </c>
      <c r="L950">
        <v>0.341889</v>
      </c>
      <c r="M950">
        <v>0.341889</v>
      </c>
      <c r="N950">
        <v>0.341889</v>
      </c>
      <c r="O950">
        <v>0.341889</v>
      </c>
      <c r="P950">
        <v>0.341889</v>
      </c>
    </row>
    <row r="951" spans="2:16" x14ac:dyDescent="0.15">
      <c r="B951">
        <v>2.0484100000000001E-4</v>
      </c>
      <c r="C951">
        <v>8.7646200000000007E-3</v>
      </c>
      <c r="D951">
        <v>5.8404900000000003E-2</v>
      </c>
      <c r="E951">
        <v>0.149893</v>
      </c>
      <c r="F951">
        <v>0.22845799999999999</v>
      </c>
      <c r="G951">
        <v>0.35291</v>
      </c>
      <c r="H951">
        <v>0.46169399999999999</v>
      </c>
      <c r="I951">
        <v>0.46002300000000002</v>
      </c>
      <c r="J951">
        <v>0.46451399999999998</v>
      </c>
      <c r="K951">
        <v>0.46258500000000002</v>
      </c>
      <c r="L951">
        <v>0.46258500000000002</v>
      </c>
      <c r="M951">
        <v>0.46258500000000002</v>
      </c>
      <c r="N951">
        <v>0.46258500000000002</v>
      </c>
      <c r="O951">
        <v>0.46258500000000002</v>
      </c>
      <c r="P951">
        <v>0.46258500000000002</v>
      </c>
    </row>
    <row r="952" spans="2:16" x14ac:dyDescent="0.15">
      <c r="B952">
        <v>1.3845099999999999E-4</v>
      </c>
      <c r="C952">
        <v>5.6902899999999998E-3</v>
      </c>
      <c r="D952">
        <v>3.8231500000000002E-2</v>
      </c>
      <c r="E952">
        <v>0.13129099999999999</v>
      </c>
      <c r="F952">
        <v>0.16276099999999999</v>
      </c>
      <c r="G952">
        <v>0.26700400000000002</v>
      </c>
      <c r="H952">
        <v>0.34590100000000001</v>
      </c>
      <c r="I952">
        <v>0.34407700000000002</v>
      </c>
      <c r="J952">
        <v>0.34069199999999999</v>
      </c>
      <c r="K952">
        <v>0.32121699999999997</v>
      </c>
      <c r="L952">
        <v>0.32121699999999997</v>
      </c>
      <c r="M952">
        <v>0.32121699999999997</v>
      </c>
      <c r="N952">
        <v>0.32121699999999997</v>
      </c>
      <c r="O952">
        <v>0.32121699999999997</v>
      </c>
      <c r="P952">
        <v>0.32121699999999997</v>
      </c>
    </row>
    <row r="953" spans="2:16" x14ac:dyDescent="0.15">
      <c r="B953">
        <v>1.1540999999999999E-4</v>
      </c>
      <c r="C953">
        <v>4.9667699999999997E-3</v>
      </c>
      <c r="D953">
        <v>2.7487600000000001E-2</v>
      </c>
      <c r="E953">
        <v>8.7850200000000003E-2</v>
      </c>
      <c r="F953">
        <v>0.185588</v>
      </c>
      <c r="G953">
        <v>0.26044</v>
      </c>
      <c r="H953">
        <v>0.32186799999999999</v>
      </c>
      <c r="I953">
        <v>0.32013599999999998</v>
      </c>
      <c r="J953">
        <v>0.31042599999999998</v>
      </c>
      <c r="K953">
        <v>0.29241299999999998</v>
      </c>
      <c r="L953">
        <v>0.29241299999999998</v>
      </c>
      <c r="M953">
        <v>0.29241299999999998</v>
      </c>
      <c r="N953">
        <v>0.29241299999999998</v>
      </c>
      <c r="O953">
        <v>0.29241299999999998</v>
      </c>
      <c r="P953">
        <v>0.29241299999999998</v>
      </c>
    </row>
    <row r="954" spans="2:16" x14ac:dyDescent="0.15">
      <c r="B954" s="1">
        <v>8.6956100000000006E-5</v>
      </c>
      <c r="C954">
        <v>4.1048100000000004E-3</v>
      </c>
      <c r="D954">
        <v>1.96565E-2</v>
      </c>
      <c r="E954">
        <v>5.2347900000000003E-2</v>
      </c>
      <c r="F954">
        <v>0.13370599999999999</v>
      </c>
      <c r="G954">
        <v>0.26260899999999998</v>
      </c>
      <c r="H954">
        <v>0.27688200000000002</v>
      </c>
      <c r="I954">
        <v>0.276144</v>
      </c>
      <c r="J954">
        <v>0.26089499999999999</v>
      </c>
      <c r="K954">
        <v>0.24615200000000001</v>
      </c>
      <c r="L954">
        <v>0.24615200000000001</v>
      </c>
      <c r="M954">
        <v>0.24615200000000001</v>
      </c>
      <c r="N954">
        <v>0.24615200000000001</v>
      </c>
      <c r="O954">
        <v>0.24615200000000001</v>
      </c>
      <c r="P954">
        <v>0.24615200000000001</v>
      </c>
    </row>
    <row r="955" spans="2:16" x14ac:dyDescent="0.15">
      <c r="B955" s="1">
        <v>7.7756999999999994E-5</v>
      </c>
      <c r="C955">
        <v>4.14782E-3</v>
      </c>
      <c r="D955">
        <v>2.0260299999999998E-2</v>
      </c>
      <c r="E955">
        <v>3.9063199999999999E-2</v>
      </c>
      <c r="F955">
        <v>0.102418</v>
      </c>
      <c r="G955">
        <v>0.23356299999999999</v>
      </c>
      <c r="H955">
        <v>0.306834</v>
      </c>
      <c r="I955">
        <v>0.29221900000000001</v>
      </c>
      <c r="J955">
        <v>0.26291199999999998</v>
      </c>
      <c r="K955">
        <v>0.24454000000000001</v>
      </c>
      <c r="L955">
        <v>0.24454000000000001</v>
      </c>
      <c r="M955">
        <v>0.24454000000000001</v>
      </c>
      <c r="N955">
        <v>0.24454000000000001</v>
      </c>
      <c r="O955">
        <v>0.24454000000000001</v>
      </c>
      <c r="P955">
        <v>0.24454000000000001</v>
      </c>
    </row>
    <row r="956" spans="2:16" x14ac:dyDescent="0.15">
      <c r="B956" s="1">
        <v>7.1650199999999994E-5</v>
      </c>
      <c r="C956">
        <v>4.2339999999999999E-3</v>
      </c>
      <c r="D956">
        <v>2.1688499999999999E-2</v>
      </c>
      <c r="E956">
        <v>4.4902699999999997E-2</v>
      </c>
      <c r="F956">
        <v>9.4286800000000004E-2</v>
      </c>
      <c r="G956">
        <v>0.197543</v>
      </c>
      <c r="H956">
        <v>0.271762</v>
      </c>
      <c r="I956">
        <v>0.27252700000000002</v>
      </c>
      <c r="J956">
        <v>0.261739</v>
      </c>
      <c r="K956">
        <v>0.24234700000000001</v>
      </c>
      <c r="L956">
        <v>0.24234700000000001</v>
      </c>
      <c r="M956">
        <v>0.24234700000000001</v>
      </c>
      <c r="N956">
        <v>0.24234700000000001</v>
      </c>
      <c r="O956">
        <v>0.24234700000000001</v>
      </c>
      <c r="P956">
        <v>0.24234700000000001</v>
      </c>
    </row>
    <row r="957" spans="2:16" x14ac:dyDescent="0.15">
      <c r="B957" s="1">
        <v>6.5327500000000001E-5</v>
      </c>
      <c r="C957">
        <v>3.6508500000000002E-3</v>
      </c>
      <c r="D957">
        <v>2.3867300000000001E-2</v>
      </c>
      <c r="E957">
        <v>5.05438E-2</v>
      </c>
      <c r="F957">
        <v>9.7699099999999997E-2</v>
      </c>
      <c r="G957">
        <v>0.188393</v>
      </c>
      <c r="H957">
        <v>0.231187</v>
      </c>
      <c r="I957">
        <v>0.25151600000000002</v>
      </c>
      <c r="J957">
        <v>0.24307699999999999</v>
      </c>
      <c r="K957">
        <v>0.225387</v>
      </c>
      <c r="L957">
        <v>0.225387</v>
      </c>
      <c r="M957">
        <v>0.225387</v>
      </c>
      <c r="N957">
        <v>0.225387</v>
      </c>
      <c r="O957">
        <v>0.225387</v>
      </c>
      <c r="P957">
        <v>0.225387</v>
      </c>
    </row>
    <row r="958" spans="2:16" x14ac:dyDescent="0.15">
      <c r="B958" s="1">
        <v>5.8124900000000003E-5</v>
      </c>
      <c r="C958">
        <v>2.96379E-3</v>
      </c>
      <c r="D958">
        <v>2.85393E-2</v>
      </c>
      <c r="E958">
        <v>5.7358300000000001E-2</v>
      </c>
      <c r="F958">
        <v>0.100471</v>
      </c>
      <c r="G958">
        <v>0.15712200000000001</v>
      </c>
      <c r="H958">
        <v>0.218583</v>
      </c>
      <c r="I958">
        <v>0.22511500000000001</v>
      </c>
      <c r="J958">
        <v>0.20785400000000001</v>
      </c>
      <c r="K958">
        <v>0.18621199999999999</v>
      </c>
      <c r="L958">
        <v>0.18621199999999999</v>
      </c>
      <c r="M958">
        <v>0.18621199999999999</v>
      </c>
      <c r="N958">
        <v>0.18621199999999999</v>
      </c>
      <c r="O958">
        <v>0.18621199999999999</v>
      </c>
      <c r="P958">
        <v>0.18621199999999999</v>
      </c>
    </row>
    <row r="959" spans="2:16" x14ac:dyDescent="0.15">
      <c r="B959" s="1">
        <v>6.3419599999999998E-5</v>
      </c>
      <c r="C959">
        <v>3.0367100000000002E-3</v>
      </c>
      <c r="D959">
        <v>2.6326800000000001E-2</v>
      </c>
      <c r="E959">
        <v>7.55049E-2</v>
      </c>
      <c r="F959">
        <v>0.13671900000000001</v>
      </c>
      <c r="G959">
        <v>0.18614600000000001</v>
      </c>
      <c r="H959">
        <v>0.24871299999999999</v>
      </c>
      <c r="I959">
        <v>0.27277400000000002</v>
      </c>
      <c r="J959">
        <v>0.23344300000000001</v>
      </c>
      <c r="K959">
        <v>0.205293</v>
      </c>
      <c r="L959">
        <v>0.205293</v>
      </c>
      <c r="M959">
        <v>0.205293</v>
      </c>
      <c r="N959">
        <v>0.205293</v>
      </c>
      <c r="O959">
        <v>0.205293</v>
      </c>
      <c r="P959">
        <v>0.205293</v>
      </c>
    </row>
    <row r="960" spans="2:16" x14ac:dyDescent="0.15">
      <c r="B960" s="1">
        <v>6.8077000000000006E-5</v>
      </c>
      <c r="C960">
        <v>3.06318E-3</v>
      </c>
      <c r="D960">
        <v>2.5448999999999999E-2</v>
      </c>
      <c r="E960">
        <v>7.7861299999999994E-2</v>
      </c>
      <c r="F960">
        <v>0.17458399999999999</v>
      </c>
      <c r="G960">
        <v>0.26163500000000001</v>
      </c>
      <c r="H960">
        <v>0.285964</v>
      </c>
      <c r="I960">
        <v>0.28931000000000001</v>
      </c>
      <c r="J960">
        <v>0.25871699999999997</v>
      </c>
      <c r="K960">
        <v>0.23410400000000001</v>
      </c>
      <c r="L960">
        <v>0.23410400000000001</v>
      </c>
      <c r="M960">
        <v>0.23410400000000001</v>
      </c>
      <c r="N960">
        <v>0.23410400000000001</v>
      </c>
      <c r="O960">
        <v>0.23410400000000001</v>
      </c>
      <c r="P960">
        <v>0.23410400000000001</v>
      </c>
    </row>
    <row r="961" spans="1:16" x14ac:dyDescent="0.15">
      <c r="B961" s="1">
        <v>7.38966E-5</v>
      </c>
      <c r="C961">
        <v>3.3410200000000001E-3</v>
      </c>
      <c r="D961">
        <v>2.8007600000000001E-2</v>
      </c>
      <c r="E961">
        <v>8.71508E-2</v>
      </c>
      <c r="F961">
        <v>0.19071299999999999</v>
      </c>
      <c r="G961">
        <v>0.32154700000000003</v>
      </c>
      <c r="H961">
        <v>0.33100299999999999</v>
      </c>
      <c r="I961">
        <v>0.32571499999999998</v>
      </c>
      <c r="J961">
        <v>0.29435600000000001</v>
      </c>
      <c r="K961">
        <v>0.25509599999999999</v>
      </c>
      <c r="L961">
        <v>0.25509599999999999</v>
      </c>
      <c r="M961">
        <v>0.25509599999999999</v>
      </c>
      <c r="N961">
        <v>0.25509599999999999</v>
      </c>
      <c r="O961">
        <v>0.25509599999999999</v>
      </c>
      <c r="P961">
        <v>0.25509599999999999</v>
      </c>
    </row>
    <row r="962" spans="1:16" x14ac:dyDescent="0.15">
      <c r="B962" s="1">
        <v>7.7031600000000003E-5</v>
      </c>
      <c r="C962">
        <v>3.2562099999999998E-3</v>
      </c>
      <c r="D962">
        <v>3.6545599999999998E-2</v>
      </c>
      <c r="E962">
        <v>9.8883399999999996E-2</v>
      </c>
      <c r="F962">
        <v>0.214029</v>
      </c>
      <c r="G962">
        <v>0.32675500000000002</v>
      </c>
      <c r="H962">
        <v>0.350657</v>
      </c>
      <c r="I962">
        <v>0.34226600000000001</v>
      </c>
      <c r="J962">
        <v>0.30690299999999998</v>
      </c>
      <c r="K962">
        <v>0.26111299999999998</v>
      </c>
      <c r="L962">
        <v>0.26111299999999998</v>
      </c>
      <c r="M962">
        <v>0.26111299999999998</v>
      </c>
      <c r="N962">
        <v>0.26111299999999998</v>
      </c>
      <c r="O962">
        <v>0.26111299999999998</v>
      </c>
      <c r="P962">
        <v>0.26111299999999998</v>
      </c>
    </row>
    <row r="963" spans="1:16" x14ac:dyDescent="0.15">
      <c r="B963" s="1">
        <v>6.7731900000000001E-5</v>
      </c>
      <c r="C963">
        <v>2.7604700000000001E-3</v>
      </c>
      <c r="D963">
        <v>2.72149E-2</v>
      </c>
      <c r="E963">
        <v>0.128437</v>
      </c>
      <c r="F963">
        <v>0.20375399999999999</v>
      </c>
      <c r="G963">
        <v>0.282748</v>
      </c>
      <c r="H963">
        <v>0.30973899999999999</v>
      </c>
      <c r="I963">
        <v>0.29880600000000002</v>
      </c>
      <c r="J963">
        <v>0.26915</v>
      </c>
      <c r="K963">
        <v>0.23505999999999999</v>
      </c>
      <c r="L963">
        <v>0.23505999999999999</v>
      </c>
      <c r="M963">
        <v>0.23505999999999999</v>
      </c>
      <c r="N963">
        <v>0.23505999999999999</v>
      </c>
      <c r="O963">
        <v>0.23505999999999999</v>
      </c>
      <c r="P963">
        <v>0.23505999999999999</v>
      </c>
    </row>
    <row r="964" spans="1:16" x14ac:dyDescent="0.15">
      <c r="B964" s="1">
        <v>6.3670999999999994E-5</v>
      </c>
      <c r="C964">
        <v>2.5938799999999998E-3</v>
      </c>
      <c r="D964">
        <v>2.54658E-2</v>
      </c>
      <c r="E964">
        <v>0.111652</v>
      </c>
      <c r="F964">
        <v>0.247138</v>
      </c>
      <c r="G964">
        <v>0.301595</v>
      </c>
      <c r="H964">
        <v>0.28752299999999997</v>
      </c>
      <c r="I964">
        <v>0.27228000000000002</v>
      </c>
      <c r="J964">
        <v>0.25232599999999999</v>
      </c>
      <c r="K964">
        <v>0.22297</v>
      </c>
      <c r="L964">
        <v>0.22297</v>
      </c>
      <c r="M964">
        <v>0.22297</v>
      </c>
      <c r="N964">
        <v>0.22297</v>
      </c>
      <c r="O964">
        <v>0.22297</v>
      </c>
      <c r="P964">
        <v>0.22297</v>
      </c>
    </row>
    <row r="965" spans="1:16" x14ac:dyDescent="0.15">
      <c r="B965" s="1">
        <v>7.1191000000000003E-5</v>
      </c>
      <c r="C965">
        <v>2.9306100000000002E-3</v>
      </c>
      <c r="D965">
        <v>3.1563899999999999E-2</v>
      </c>
      <c r="E965">
        <v>0.12519</v>
      </c>
      <c r="F965">
        <v>0.26376899999999998</v>
      </c>
      <c r="G965">
        <v>0.35735099999999997</v>
      </c>
      <c r="H965">
        <v>0.33279799999999998</v>
      </c>
      <c r="I965">
        <v>0.31245699999999998</v>
      </c>
      <c r="J965">
        <v>0.28873599999999999</v>
      </c>
      <c r="K965">
        <v>0.26009900000000002</v>
      </c>
      <c r="L965">
        <v>0.26009900000000002</v>
      </c>
      <c r="M965">
        <v>0.26009900000000002</v>
      </c>
      <c r="N965">
        <v>0.26009900000000002</v>
      </c>
      <c r="O965">
        <v>0.26009900000000002</v>
      </c>
      <c r="P965">
        <v>0.26009900000000002</v>
      </c>
    </row>
    <row r="966" spans="1:16" x14ac:dyDescent="0.15">
      <c r="B966" s="1">
        <v>7.2119299999999999E-5</v>
      </c>
      <c r="C966">
        <v>2.95816E-3</v>
      </c>
      <c r="D966">
        <v>3.1651199999999997E-2</v>
      </c>
      <c r="E966">
        <v>0.12822900000000001</v>
      </c>
      <c r="F966">
        <v>0.26255099999999998</v>
      </c>
      <c r="G966">
        <v>0.39020100000000002</v>
      </c>
      <c r="H966">
        <v>0.35230899999999998</v>
      </c>
      <c r="I966">
        <v>0.32522699999999999</v>
      </c>
      <c r="J966">
        <v>0.30652099999999999</v>
      </c>
      <c r="K966">
        <v>0.28101300000000001</v>
      </c>
      <c r="L966">
        <v>0.28101300000000001</v>
      </c>
      <c r="M966">
        <v>0.28101300000000001</v>
      </c>
      <c r="N966">
        <v>0.28101300000000001</v>
      </c>
      <c r="O966">
        <v>0.28101300000000001</v>
      </c>
      <c r="P966">
        <v>0.28101300000000001</v>
      </c>
    </row>
    <row r="967" spans="1:16" x14ac:dyDescent="0.15">
      <c r="B967" s="1">
        <v>7.1428700000000003E-5</v>
      </c>
      <c r="C967">
        <v>2.8337800000000002E-3</v>
      </c>
      <c r="D967">
        <v>2.7570600000000001E-2</v>
      </c>
      <c r="E967">
        <v>0.129223</v>
      </c>
      <c r="F967">
        <v>0.25689499999999998</v>
      </c>
      <c r="G967">
        <v>0.40108899999999997</v>
      </c>
      <c r="H967">
        <v>0.37770199999999998</v>
      </c>
      <c r="I967">
        <v>0.34202500000000002</v>
      </c>
      <c r="J967">
        <v>0.33183600000000002</v>
      </c>
      <c r="K967">
        <v>0.30772300000000002</v>
      </c>
      <c r="L967">
        <v>0.30772300000000002</v>
      </c>
      <c r="M967">
        <v>0.30772300000000002</v>
      </c>
      <c r="N967">
        <v>0.30772300000000002</v>
      </c>
      <c r="O967">
        <v>0.30772300000000002</v>
      </c>
      <c r="P967">
        <v>0.30772300000000002</v>
      </c>
    </row>
    <row r="968" spans="1:16" x14ac:dyDescent="0.15">
      <c r="B968" s="1">
        <v>6.0143499999999998E-5</v>
      </c>
      <c r="C968">
        <v>2.3060200000000002E-3</v>
      </c>
      <c r="D968">
        <v>2.1754699999999998E-2</v>
      </c>
      <c r="E968">
        <v>0.11255999999999999</v>
      </c>
      <c r="F968">
        <v>0.210837</v>
      </c>
      <c r="G968">
        <v>0.32294200000000001</v>
      </c>
      <c r="H968">
        <v>0.325604</v>
      </c>
      <c r="I968">
        <v>0.31092199999999998</v>
      </c>
      <c r="J968">
        <v>0.30146200000000001</v>
      </c>
      <c r="K968">
        <v>0.29643700000000001</v>
      </c>
      <c r="L968">
        <v>0.29643700000000001</v>
      </c>
      <c r="M968">
        <v>0.29643700000000001</v>
      </c>
      <c r="N968">
        <v>0.29643700000000001</v>
      </c>
      <c r="O968">
        <v>0.29643700000000001</v>
      </c>
      <c r="P968">
        <v>0.29643700000000001</v>
      </c>
    </row>
    <row r="969" spans="1:16" x14ac:dyDescent="0.15">
      <c r="B969" s="1">
        <v>5.2317500000000002E-5</v>
      </c>
      <c r="C969">
        <v>2.0090099999999999E-3</v>
      </c>
      <c r="D969">
        <v>1.6120599999999999E-2</v>
      </c>
      <c r="E969">
        <v>0.11189300000000001</v>
      </c>
      <c r="F969">
        <v>0.19763800000000001</v>
      </c>
      <c r="G969">
        <v>0.27285799999999999</v>
      </c>
      <c r="H969">
        <v>0.28031699999999998</v>
      </c>
      <c r="I969">
        <v>0.27632200000000001</v>
      </c>
      <c r="J969">
        <v>0.26743800000000001</v>
      </c>
      <c r="K969">
        <v>0.25682500000000003</v>
      </c>
      <c r="L969">
        <v>0.25682500000000003</v>
      </c>
      <c r="M969">
        <v>0.25682500000000003</v>
      </c>
      <c r="N969">
        <v>0.25682500000000003</v>
      </c>
      <c r="O969">
        <v>0.25682500000000003</v>
      </c>
      <c r="P969">
        <v>0.25682500000000003</v>
      </c>
    </row>
    <row r="970" spans="1:16" x14ac:dyDescent="0.15">
      <c r="B970" s="1">
        <v>6.6790299999999996E-5</v>
      </c>
      <c r="C970">
        <v>2.6873700000000001E-3</v>
      </c>
      <c r="D970">
        <v>1.9225300000000001E-2</v>
      </c>
      <c r="E970">
        <v>0.107249</v>
      </c>
      <c r="F970">
        <v>0.29333500000000001</v>
      </c>
      <c r="G970">
        <v>0.380027</v>
      </c>
      <c r="H970">
        <v>0.37365999999999999</v>
      </c>
      <c r="I970">
        <v>0.36444199999999999</v>
      </c>
      <c r="J970">
        <v>0.35090700000000002</v>
      </c>
      <c r="K970">
        <v>0.336113</v>
      </c>
      <c r="L970">
        <v>0.336113</v>
      </c>
      <c r="M970">
        <v>0.336113</v>
      </c>
      <c r="N970">
        <v>0.336113</v>
      </c>
      <c r="O970">
        <v>0.336113</v>
      </c>
      <c r="P970">
        <v>0.336113</v>
      </c>
    </row>
    <row r="971" spans="1:16" x14ac:dyDescent="0.15">
      <c r="B971" s="1">
        <v>5.8440499999999997E-5</v>
      </c>
      <c r="C971">
        <v>2.52659E-3</v>
      </c>
      <c r="D971">
        <v>1.8573200000000002E-2</v>
      </c>
      <c r="E971">
        <v>0.10337</v>
      </c>
      <c r="F971">
        <v>0.18826200000000001</v>
      </c>
      <c r="G971">
        <v>0.31786700000000001</v>
      </c>
      <c r="H971">
        <v>0.33609499999999998</v>
      </c>
      <c r="I971">
        <v>0.32923000000000002</v>
      </c>
      <c r="J971">
        <v>0.31637700000000002</v>
      </c>
      <c r="K971">
        <v>0.305757</v>
      </c>
      <c r="L971">
        <v>0.305757</v>
      </c>
      <c r="M971">
        <v>0.305757</v>
      </c>
      <c r="N971">
        <v>0.305757</v>
      </c>
      <c r="O971">
        <v>0.305757</v>
      </c>
      <c r="P971">
        <v>0.305757</v>
      </c>
    </row>
    <row r="972" spans="1:16" x14ac:dyDescent="0.15">
      <c r="B972" s="1">
        <v>4.9805400000000003E-5</v>
      </c>
      <c r="C972">
        <v>2.2158500000000001E-3</v>
      </c>
      <c r="D972">
        <v>1.6237399999999999E-2</v>
      </c>
      <c r="E972">
        <v>8.7633900000000001E-2</v>
      </c>
      <c r="F972">
        <v>0.16672699999999999</v>
      </c>
      <c r="G972">
        <v>0.23313600000000001</v>
      </c>
      <c r="H972">
        <v>0.279229</v>
      </c>
      <c r="I972">
        <v>0.285408</v>
      </c>
      <c r="J972">
        <v>0.27925699999999998</v>
      </c>
      <c r="K972">
        <v>0.27739799999999998</v>
      </c>
      <c r="L972">
        <v>0.27739799999999998</v>
      </c>
      <c r="M972">
        <v>0.27739799999999998</v>
      </c>
      <c r="N972">
        <v>0.27739799999999998</v>
      </c>
      <c r="O972">
        <v>0.27739799999999998</v>
      </c>
      <c r="P972">
        <v>0.27739799999999998</v>
      </c>
    </row>
    <row r="973" spans="1:16" x14ac:dyDescent="0.15">
      <c r="B973" s="1">
        <v>4.85586E-5</v>
      </c>
      <c r="C973">
        <v>2.27714E-3</v>
      </c>
      <c r="D973">
        <v>1.54941E-2</v>
      </c>
      <c r="E973">
        <v>7.8811400000000004E-2</v>
      </c>
      <c r="F973">
        <v>0.165071</v>
      </c>
      <c r="G973">
        <v>0.220195</v>
      </c>
      <c r="H973">
        <v>0.30354799999999998</v>
      </c>
      <c r="I973">
        <v>0.27113999999999999</v>
      </c>
      <c r="J973">
        <v>0.27400799999999997</v>
      </c>
      <c r="K973">
        <v>0.272845</v>
      </c>
      <c r="L973">
        <v>0.272845</v>
      </c>
      <c r="M973">
        <v>0.272845</v>
      </c>
      <c r="N973">
        <v>0.272845</v>
      </c>
      <c r="O973">
        <v>0.272845</v>
      </c>
      <c r="P973">
        <v>0.272845</v>
      </c>
    </row>
    <row r="974" spans="1:16" x14ac:dyDescent="0.15">
      <c r="B974" s="1">
        <v>4.70413E-5</v>
      </c>
      <c r="C974">
        <v>2.2060399999999998E-3</v>
      </c>
      <c r="D974">
        <v>1.50096E-2</v>
      </c>
      <c r="E974">
        <v>7.6538499999999995E-2</v>
      </c>
      <c r="F974">
        <v>0.16108800000000001</v>
      </c>
      <c r="G974">
        <v>0.214032</v>
      </c>
      <c r="H974">
        <v>0.28309099999999998</v>
      </c>
      <c r="I974">
        <v>0.26685500000000001</v>
      </c>
      <c r="J974">
        <v>0.26654299999999997</v>
      </c>
      <c r="K974">
        <v>0.26562400000000003</v>
      </c>
      <c r="L974">
        <v>0.26562400000000003</v>
      </c>
      <c r="M974">
        <v>0.26562400000000003</v>
      </c>
      <c r="N974">
        <v>0.26562400000000003</v>
      </c>
      <c r="O974">
        <v>0.26562400000000003</v>
      </c>
      <c r="P974">
        <v>0.26562400000000003</v>
      </c>
    </row>
    <row r="975" spans="1:16" x14ac:dyDescent="0.15">
      <c r="A975">
        <v>1978</v>
      </c>
      <c r="B975">
        <v>1147.1500000000001</v>
      </c>
      <c r="C975">
        <v>3826.06</v>
      </c>
    </row>
    <row r="976" spans="1:16" x14ac:dyDescent="0.15">
      <c r="A976">
        <v>1979</v>
      </c>
      <c r="B976">
        <v>1573.65</v>
      </c>
      <c r="C976">
        <v>5004.17</v>
      </c>
    </row>
    <row r="977" spans="1:3" x14ac:dyDescent="0.15">
      <c r="A977">
        <v>1980</v>
      </c>
      <c r="B977">
        <v>2164.7600000000002</v>
      </c>
      <c r="C977">
        <v>7197.16</v>
      </c>
    </row>
    <row r="978" spans="1:3" x14ac:dyDescent="0.15">
      <c r="A978">
        <v>1981</v>
      </c>
      <c r="B978">
        <v>3352.69</v>
      </c>
      <c r="C978">
        <v>12584.4</v>
      </c>
    </row>
    <row r="979" spans="1:3" x14ac:dyDescent="0.15">
      <c r="A979">
        <v>1982</v>
      </c>
      <c r="B979">
        <v>4785.24</v>
      </c>
      <c r="C979">
        <v>14878.5</v>
      </c>
    </row>
    <row r="980" spans="1:3" x14ac:dyDescent="0.15">
      <c r="A980">
        <v>1983</v>
      </c>
      <c r="B980">
        <v>5844.22</v>
      </c>
      <c r="C980">
        <v>16687.2</v>
      </c>
    </row>
    <row r="981" spans="1:3" x14ac:dyDescent="0.15">
      <c r="A981">
        <v>1984</v>
      </c>
      <c r="B981">
        <v>6307.72</v>
      </c>
      <c r="C981">
        <v>16484.3</v>
      </c>
    </row>
    <row r="982" spans="1:3" x14ac:dyDescent="0.15">
      <c r="A982">
        <v>1985</v>
      </c>
      <c r="B982">
        <v>6477.25</v>
      </c>
      <c r="C982">
        <v>17170.599999999999</v>
      </c>
    </row>
    <row r="983" spans="1:3" x14ac:dyDescent="0.15">
      <c r="A983">
        <v>1986</v>
      </c>
      <c r="B983">
        <v>6353.62</v>
      </c>
      <c r="C983">
        <v>15763.7</v>
      </c>
    </row>
    <row r="984" spans="1:3" x14ac:dyDescent="0.15">
      <c r="A984">
        <v>1987</v>
      </c>
      <c r="B984">
        <v>5989</v>
      </c>
      <c r="C984">
        <v>14737.7</v>
      </c>
    </row>
    <row r="985" spans="1:3" x14ac:dyDescent="0.15">
      <c r="A985">
        <v>1988</v>
      </c>
      <c r="B985">
        <v>5466.45</v>
      </c>
      <c r="C985">
        <v>13062.1</v>
      </c>
    </row>
    <row r="986" spans="1:3" x14ac:dyDescent="0.15">
      <c r="A986">
        <v>1989</v>
      </c>
      <c r="B986">
        <v>4835.5600000000004</v>
      </c>
      <c r="C986">
        <v>11250.2</v>
      </c>
    </row>
    <row r="987" spans="1:3" x14ac:dyDescent="0.15">
      <c r="A987">
        <v>1990</v>
      </c>
      <c r="B987">
        <v>4145.53</v>
      </c>
      <c r="C987">
        <v>9520.85</v>
      </c>
    </row>
    <row r="988" spans="1:3" x14ac:dyDescent="0.15">
      <c r="A988">
        <v>1991</v>
      </c>
      <c r="B988">
        <v>3512.4</v>
      </c>
      <c r="C988">
        <v>8247.73</v>
      </c>
    </row>
    <row r="989" spans="1:3" x14ac:dyDescent="0.15">
      <c r="A989">
        <v>1992</v>
      </c>
      <c r="B989">
        <v>3658.56</v>
      </c>
      <c r="C989">
        <v>10951.1</v>
      </c>
    </row>
    <row r="990" spans="1:3" x14ac:dyDescent="0.15">
      <c r="A990">
        <v>1993</v>
      </c>
      <c r="B990">
        <v>4613.03</v>
      </c>
      <c r="C990">
        <v>13489.9</v>
      </c>
    </row>
    <row r="991" spans="1:3" x14ac:dyDescent="0.15">
      <c r="A991">
        <v>1994</v>
      </c>
      <c r="B991">
        <v>4663.2700000000004</v>
      </c>
      <c r="C991">
        <v>12907.4</v>
      </c>
    </row>
    <row r="992" spans="1:3" x14ac:dyDescent="0.15">
      <c r="A992">
        <v>1995</v>
      </c>
      <c r="B992">
        <v>4857.63</v>
      </c>
      <c r="C992">
        <v>14286.7</v>
      </c>
    </row>
    <row r="993" spans="1:3" x14ac:dyDescent="0.15">
      <c r="A993">
        <v>1996</v>
      </c>
      <c r="B993">
        <v>4973.51</v>
      </c>
      <c r="C993">
        <v>12995.4</v>
      </c>
    </row>
    <row r="994" spans="1:3" x14ac:dyDescent="0.15">
      <c r="A994">
        <v>1997</v>
      </c>
      <c r="B994">
        <v>4734.6099999999997</v>
      </c>
      <c r="C994">
        <v>11734</v>
      </c>
    </row>
    <row r="995" spans="1:3" x14ac:dyDescent="0.15">
      <c r="A995">
        <v>1998</v>
      </c>
      <c r="B995">
        <v>4552.4799999999996</v>
      </c>
      <c r="C995">
        <v>11817.5</v>
      </c>
    </row>
    <row r="996" spans="1:3" x14ac:dyDescent="0.15">
      <c r="A996">
        <v>1999</v>
      </c>
      <c r="B996">
        <v>4349.3999999999996</v>
      </c>
      <c r="C996">
        <v>12052.5</v>
      </c>
    </row>
    <row r="997" spans="1:3" x14ac:dyDescent="0.15">
      <c r="A997">
        <v>2000</v>
      </c>
      <c r="B997">
        <v>4361.3</v>
      </c>
      <c r="C997">
        <v>11387.8</v>
      </c>
    </row>
    <row r="998" spans="1:3" x14ac:dyDescent="0.15">
      <c r="A998">
        <v>2001</v>
      </c>
      <c r="B998">
        <v>4579.1899999999996</v>
      </c>
      <c r="C998">
        <v>11561.2</v>
      </c>
    </row>
    <row r="999" spans="1:3" x14ac:dyDescent="0.15">
      <c r="A999">
        <v>2002</v>
      </c>
      <c r="B999">
        <v>4512.68</v>
      </c>
      <c r="C999">
        <v>11992.8</v>
      </c>
    </row>
    <row r="1000" spans="1:3" x14ac:dyDescent="0.15">
      <c r="A1000">
        <v>2003</v>
      </c>
      <c r="B1000">
        <v>4662.63</v>
      </c>
      <c r="C1000">
        <v>13765.7</v>
      </c>
    </row>
    <row r="1001" spans="1:3" x14ac:dyDescent="0.15">
      <c r="A1001">
        <v>2004</v>
      </c>
      <c r="B1001">
        <v>4698.2299999999996</v>
      </c>
      <c r="C1001">
        <v>13051.9</v>
      </c>
    </row>
    <row r="1002" spans="1:3" x14ac:dyDescent="0.15">
      <c r="A1002">
        <v>2005</v>
      </c>
      <c r="B1002">
        <v>4606.6899999999996</v>
      </c>
      <c r="C1002">
        <v>11862.2</v>
      </c>
    </row>
    <row r="1003" spans="1:3" x14ac:dyDescent="0.15">
      <c r="A1003">
        <v>2006</v>
      </c>
      <c r="B1003">
        <v>4288.83</v>
      </c>
      <c r="C1003">
        <v>10392</v>
      </c>
    </row>
    <row r="1004" spans="1:3" x14ac:dyDescent="0.15">
      <c r="A1004">
        <v>2007</v>
      </c>
      <c r="B1004">
        <v>4274.78</v>
      </c>
      <c r="C1004">
        <v>10044.200000000001</v>
      </c>
    </row>
    <row r="1005" spans="1:3" x14ac:dyDescent="0.15">
      <c r="A1005">
        <v>2008</v>
      </c>
      <c r="B1005">
        <v>3668.62</v>
      </c>
      <c r="C1005">
        <v>8815.07</v>
      </c>
    </row>
    <row r="1006" spans="1:3" x14ac:dyDescent="0.15">
      <c r="A1006">
        <v>2009</v>
      </c>
      <c r="B1006">
        <v>4153.92</v>
      </c>
      <c r="C1006">
        <v>10768.1</v>
      </c>
    </row>
    <row r="1007" spans="1:3" x14ac:dyDescent="0.15">
      <c r="A1007">
        <v>2010</v>
      </c>
      <c r="B1007">
        <v>4082.37</v>
      </c>
      <c r="C1007">
        <v>10269.5</v>
      </c>
    </row>
    <row r="1008" spans="1:3" x14ac:dyDescent="0.15">
      <c r="A1008">
        <v>2011</v>
      </c>
      <c r="B1008">
        <v>4144.05</v>
      </c>
      <c r="C1008">
        <v>11966.9</v>
      </c>
    </row>
    <row r="1009" spans="1:16" x14ac:dyDescent="0.15">
      <c r="A1009">
        <v>2012</v>
      </c>
      <c r="B1009">
        <v>4365.04</v>
      </c>
      <c r="C1009">
        <v>11788.1</v>
      </c>
    </row>
    <row r="1010" spans="1:16" x14ac:dyDescent="0.15">
      <c r="A1010">
        <v>2013</v>
      </c>
      <c r="B1010">
        <v>4813.07</v>
      </c>
      <c r="C1010">
        <v>12196.6</v>
      </c>
    </row>
    <row r="1011" spans="1:16" x14ac:dyDescent="0.15">
      <c r="A1011">
        <v>2014</v>
      </c>
      <c r="B1011">
        <v>4344.7</v>
      </c>
      <c r="C1011">
        <v>10884</v>
      </c>
    </row>
    <row r="1012" spans="1:16" x14ac:dyDescent="0.15">
      <c r="A1012">
        <v>2015</v>
      </c>
      <c r="B1012">
        <v>4615.29</v>
      </c>
      <c r="C1012">
        <v>12281.8</v>
      </c>
    </row>
    <row r="1014" spans="1:16" x14ac:dyDescent="0.15">
      <c r="A1014" t="s">
        <v>524</v>
      </c>
      <c r="B1014">
        <v>22449.3</v>
      </c>
      <c r="C1014">
        <v>6922.76</v>
      </c>
      <c r="D1014">
        <v>6788.47</v>
      </c>
      <c r="E1014">
        <v>1451.6</v>
      </c>
      <c r="F1014">
        <v>1557.95</v>
      </c>
      <c r="G1014">
        <v>1697.66</v>
      </c>
      <c r="H1014">
        <v>3418.02</v>
      </c>
      <c r="I1014">
        <v>484.38600000000002</v>
      </c>
      <c r="J1014">
        <v>860.37400000000002</v>
      </c>
      <c r="K1014">
        <v>259.69900000000001</v>
      </c>
      <c r="L1014">
        <v>76.015600000000006</v>
      </c>
      <c r="M1014">
        <v>80.603999999999999</v>
      </c>
      <c r="N1014">
        <v>132.578</v>
      </c>
      <c r="O1014">
        <v>164.26499999999999</v>
      </c>
      <c r="P1014">
        <v>539.46</v>
      </c>
    </row>
    <row r="1016" spans="1:16" x14ac:dyDescent="0.15">
      <c r="A1016" t="s">
        <v>44</v>
      </c>
      <c r="B1016">
        <v>2.5182300000000001E-2</v>
      </c>
      <c r="C1016">
        <v>0.18132400000000001</v>
      </c>
      <c r="D1016">
        <v>0.35750999999999999</v>
      </c>
      <c r="E1016">
        <v>0.47778199999999998</v>
      </c>
      <c r="F1016">
        <v>0.43173800000000001</v>
      </c>
      <c r="G1016">
        <v>0.52295400000000003</v>
      </c>
      <c r="H1016">
        <v>0.64485700000000001</v>
      </c>
      <c r="I1016">
        <v>0.74681299999999995</v>
      </c>
      <c r="J1016">
        <v>0.97256500000000001</v>
      </c>
      <c r="K1016">
        <v>1.20614</v>
      </c>
      <c r="L1016">
        <v>1.34866</v>
      </c>
      <c r="M1016">
        <v>1.54261</v>
      </c>
      <c r="N1016">
        <v>1.7057800000000001</v>
      </c>
      <c r="O1016">
        <v>1.80236</v>
      </c>
      <c r="P1016">
        <v>1.9086399999999999</v>
      </c>
    </row>
    <row r="1018" spans="1:16" x14ac:dyDescent="0.15">
      <c r="A1018" t="s">
        <v>45</v>
      </c>
      <c r="B1018">
        <v>2.5182300000000001E-2</v>
      </c>
      <c r="C1018">
        <v>0.18132400000000001</v>
      </c>
      <c r="D1018">
        <v>0.32477200000000001</v>
      </c>
      <c r="E1018">
        <v>0.48869000000000001</v>
      </c>
      <c r="F1018">
        <v>0.64039699999999999</v>
      </c>
      <c r="G1018">
        <v>0.802929</v>
      </c>
      <c r="H1018">
        <v>0.96725700000000003</v>
      </c>
      <c r="I1018">
        <v>1.11609</v>
      </c>
      <c r="J1018">
        <v>1.2393000000000001</v>
      </c>
      <c r="K1018">
        <v>1.3763700000000001</v>
      </c>
      <c r="L1018">
        <v>1.4757899999999999</v>
      </c>
      <c r="M1018">
        <v>1.55152</v>
      </c>
      <c r="N1018">
        <v>1.65785</v>
      </c>
      <c r="O1018">
        <v>1.7515400000000001</v>
      </c>
      <c r="P1018">
        <v>1.8384499999999999</v>
      </c>
    </row>
    <row r="1020" spans="1:16" x14ac:dyDescent="0.15">
      <c r="B1020">
        <v>565.32500000000005</v>
      </c>
      <c r="C1020">
        <v>1255.26</v>
      </c>
      <c r="D1020">
        <v>2204.6999999999998</v>
      </c>
      <c r="E1020">
        <v>709.38199999999995</v>
      </c>
      <c r="F1020">
        <v>997.70299999999997</v>
      </c>
      <c r="G1020">
        <v>1363.1</v>
      </c>
      <c r="H1020">
        <v>3306.11</v>
      </c>
      <c r="I1020">
        <v>540.62</v>
      </c>
      <c r="J1020">
        <v>1066.26</v>
      </c>
      <c r="K1020">
        <v>357.44</v>
      </c>
      <c r="L1020">
        <v>112.18300000000001</v>
      </c>
      <c r="M1020">
        <v>125.059</v>
      </c>
      <c r="N1020">
        <v>219.79499999999999</v>
      </c>
      <c r="O1020">
        <v>287.71600000000001</v>
      </c>
      <c r="P1020">
        <v>991.77300000000002</v>
      </c>
    </row>
    <row r="1021" spans="1:16" x14ac:dyDescent="0.15">
      <c r="A1021" t="s">
        <v>983</v>
      </c>
      <c r="B1021" t="s">
        <v>1038</v>
      </c>
    </row>
    <row r="1022" spans="1:16" x14ac:dyDescent="0.15">
      <c r="A1022" t="s">
        <v>983</v>
      </c>
      <c r="B1022" t="s">
        <v>1039</v>
      </c>
    </row>
    <row r="1023" spans="1:16" x14ac:dyDescent="0.15">
      <c r="A1023" t="s">
        <v>998</v>
      </c>
      <c r="B1023" t="s">
        <v>1040</v>
      </c>
    </row>
    <row r="1024" spans="1:16" x14ac:dyDescent="0.15">
      <c r="A1024" t="s">
        <v>998</v>
      </c>
      <c r="B1024" t="s">
        <v>1041</v>
      </c>
    </row>
    <row r="1025" spans="1:1" x14ac:dyDescent="0.15">
      <c r="A1025" t="s">
        <v>1001</v>
      </c>
    </row>
    <row r="1026" spans="1:1" x14ac:dyDescent="0.15">
      <c r="A1026" t="s">
        <v>1002</v>
      </c>
    </row>
    <row r="1027" spans="1:1" x14ac:dyDescent="0.15">
      <c r="A1027" t="s">
        <v>1003</v>
      </c>
    </row>
    <row r="1028" spans="1:1" x14ac:dyDescent="0.15">
      <c r="A1028" t="s">
        <v>1004</v>
      </c>
    </row>
    <row r="1029" spans="1:1" x14ac:dyDescent="0.15">
      <c r="A1029" t="s">
        <v>1005</v>
      </c>
    </row>
    <row r="1030" spans="1:1" x14ac:dyDescent="0.15">
      <c r="A1030" t="s">
        <v>1006</v>
      </c>
    </row>
    <row r="1031" spans="1:1" x14ac:dyDescent="0.15">
      <c r="A1031" t="s">
        <v>1007</v>
      </c>
    </row>
    <row r="1032" spans="1:1" x14ac:dyDescent="0.15">
      <c r="A1032" t="s">
        <v>1008</v>
      </c>
    </row>
    <row r="1033" spans="1:1" x14ac:dyDescent="0.15">
      <c r="A1033" t="s">
        <v>984</v>
      </c>
    </row>
    <row r="1034" spans="1:1" x14ac:dyDescent="0.15">
      <c r="A1034" t="s">
        <v>985</v>
      </c>
    </row>
    <row r="1035" spans="1:1" x14ac:dyDescent="0.15">
      <c r="A1035" t="s">
        <v>1009</v>
      </c>
    </row>
    <row r="1036" spans="1:1" x14ac:dyDescent="0.15">
      <c r="A1036" t="s">
        <v>1010</v>
      </c>
    </row>
    <row r="1037" spans="1:1" x14ac:dyDescent="0.15">
      <c r="A1037" t="s">
        <v>1011</v>
      </c>
    </row>
    <row r="1038" spans="1:1" x14ac:dyDescent="0.15">
      <c r="A1038" t="s">
        <v>1012</v>
      </c>
    </row>
    <row r="1039" spans="1:1" x14ac:dyDescent="0.15">
      <c r="A1039" t="s">
        <v>1013</v>
      </c>
    </row>
    <row r="1040" spans="1:1" x14ac:dyDescent="0.15">
      <c r="A1040" t="s">
        <v>1014</v>
      </c>
    </row>
    <row r="1041" spans="1:11" x14ac:dyDescent="0.15">
      <c r="A1041" t="s">
        <v>1015</v>
      </c>
    </row>
    <row r="1042" spans="1:11" x14ac:dyDescent="0.15">
      <c r="A1042" t="s">
        <v>986</v>
      </c>
      <c r="B1042">
        <v>1637</v>
      </c>
      <c r="C1042">
        <v>1554</v>
      </c>
      <c r="D1042">
        <v>1001.77</v>
      </c>
      <c r="E1042">
        <v>951.68600000000004</v>
      </c>
      <c r="F1042">
        <v>904.10199999999998</v>
      </c>
      <c r="G1042">
        <v>858.89700000000005</v>
      </c>
      <c r="H1042">
        <v>815.952</v>
      </c>
      <c r="I1042">
        <v>775.154</v>
      </c>
      <c r="J1042">
        <v>736.39700000000005</v>
      </c>
      <c r="K1042">
        <v>699.577</v>
      </c>
    </row>
    <row r="1043" spans="1:11" x14ac:dyDescent="0.15">
      <c r="A1043" t="s">
        <v>155</v>
      </c>
      <c r="B1043" t="s">
        <v>706</v>
      </c>
      <c r="C1043" t="s">
        <v>707</v>
      </c>
      <c r="D1043" t="s">
        <v>708</v>
      </c>
      <c r="E1043" t="s">
        <v>709</v>
      </c>
      <c r="F1043" t="s">
        <v>710</v>
      </c>
      <c r="G1043" t="s">
        <v>711</v>
      </c>
      <c r="H1043" t="s">
        <v>712</v>
      </c>
      <c r="I1043" t="s">
        <v>713</v>
      </c>
    </row>
    <row r="1044" spans="1:11" x14ac:dyDescent="0.15">
      <c r="A1044" t="s">
        <v>999</v>
      </c>
    </row>
    <row r="1045" spans="1:11" x14ac:dyDescent="0.15">
      <c r="A1045" t="s">
        <v>1016</v>
      </c>
    </row>
    <row r="1046" spans="1:11" x14ac:dyDescent="0.15">
      <c r="A1046" t="s">
        <v>987</v>
      </c>
    </row>
    <row r="1047" spans="1:11" x14ac:dyDescent="0.15">
      <c r="A1047" t="s">
        <v>813</v>
      </c>
      <c r="B1047" t="s">
        <v>814</v>
      </c>
      <c r="C1047" t="s">
        <v>743</v>
      </c>
      <c r="D1047" t="s">
        <v>814</v>
      </c>
      <c r="E1047" t="s">
        <v>1042</v>
      </c>
    </row>
    <row r="1048" spans="1:11" x14ac:dyDescent="0.15">
      <c r="A1048" t="s">
        <v>813</v>
      </c>
      <c r="B1048" t="s">
        <v>814</v>
      </c>
      <c r="C1048" t="s">
        <v>744</v>
      </c>
      <c r="D1048" t="s">
        <v>814</v>
      </c>
      <c r="E1048" t="s">
        <v>1043</v>
      </c>
    </row>
    <row r="1049" spans="1:11" x14ac:dyDescent="0.15">
      <c r="A1049" t="s">
        <v>1017</v>
      </c>
    </row>
    <row r="1050" spans="1:11" x14ac:dyDescent="0.15">
      <c r="A1050" t="s">
        <v>988</v>
      </c>
    </row>
    <row r="1051" spans="1:11" x14ac:dyDescent="0.15">
      <c r="A1051" t="s">
        <v>815</v>
      </c>
      <c r="B1051" t="s">
        <v>814</v>
      </c>
      <c r="C1051" t="s">
        <v>743</v>
      </c>
      <c r="D1051" t="s">
        <v>814</v>
      </c>
      <c r="E1051" t="s">
        <v>1044</v>
      </c>
    </row>
    <row r="1052" spans="1:11" x14ac:dyDescent="0.15">
      <c r="A1052" t="s">
        <v>815</v>
      </c>
      <c r="B1052" t="s">
        <v>814</v>
      </c>
      <c r="C1052" t="s">
        <v>744</v>
      </c>
      <c r="D1052" t="s">
        <v>814</v>
      </c>
      <c r="E1052" t="s">
        <v>1045</v>
      </c>
    </row>
    <row r="1053" spans="1:11" x14ac:dyDescent="0.15">
      <c r="A1053" t="s">
        <v>1000</v>
      </c>
    </row>
    <row r="1054" spans="1:11" x14ac:dyDescent="0.15">
      <c r="A1054" t="s">
        <v>1018</v>
      </c>
    </row>
    <row r="1055" spans="1:11" x14ac:dyDescent="0.15">
      <c r="A1055" t="s">
        <v>987</v>
      </c>
    </row>
    <row r="1056" spans="1:11" x14ac:dyDescent="0.15">
      <c r="A1056" t="s">
        <v>813</v>
      </c>
      <c r="B1056" t="s">
        <v>814</v>
      </c>
      <c r="C1056" t="s">
        <v>743</v>
      </c>
      <c r="D1056" t="s">
        <v>814</v>
      </c>
      <c r="E1056" t="s">
        <v>1042</v>
      </c>
    </row>
    <row r="1057" spans="1:5" x14ac:dyDescent="0.15">
      <c r="A1057" t="s">
        <v>813</v>
      </c>
      <c r="B1057" t="s">
        <v>814</v>
      </c>
      <c r="C1057" t="s">
        <v>744</v>
      </c>
      <c r="D1057" t="s">
        <v>814</v>
      </c>
      <c r="E1057" t="s">
        <v>1043</v>
      </c>
    </row>
    <row r="1058" spans="1:5" x14ac:dyDescent="0.15">
      <c r="A1058" t="s">
        <v>1019</v>
      </c>
    </row>
    <row r="1059" spans="1:5" x14ac:dyDescent="0.15">
      <c r="A1059" t="s">
        <v>988</v>
      </c>
    </row>
    <row r="1060" spans="1:5" x14ac:dyDescent="0.15">
      <c r="A1060" t="s">
        <v>815</v>
      </c>
      <c r="B1060" t="s">
        <v>814</v>
      </c>
      <c r="C1060" t="s">
        <v>743</v>
      </c>
      <c r="D1060" t="s">
        <v>814</v>
      </c>
      <c r="E1060" t="s">
        <v>1046</v>
      </c>
    </row>
    <row r="1061" spans="1:5" x14ac:dyDescent="0.15">
      <c r="A1061" t="s">
        <v>815</v>
      </c>
      <c r="B1061" t="s">
        <v>814</v>
      </c>
      <c r="C1061" t="s">
        <v>744</v>
      </c>
      <c r="D1061" t="s">
        <v>814</v>
      </c>
      <c r="E1061" t="s">
        <v>1047</v>
      </c>
    </row>
    <row r="1062" spans="1:5" x14ac:dyDescent="0.15">
      <c r="A1062" t="s">
        <v>989</v>
      </c>
    </row>
    <row r="1063" spans="1:5" x14ac:dyDescent="0.15">
      <c r="A1063" t="s">
        <v>1020</v>
      </c>
    </row>
    <row r="1064" spans="1:5" x14ac:dyDescent="0.15">
      <c r="A1064" t="s">
        <v>987</v>
      </c>
    </row>
    <row r="1065" spans="1:5" x14ac:dyDescent="0.15">
      <c r="A1065" t="s">
        <v>813</v>
      </c>
      <c r="B1065" t="s">
        <v>814</v>
      </c>
      <c r="C1065" t="s">
        <v>743</v>
      </c>
      <c r="D1065" t="s">
        <v>814</v>
      </c>
      <c r="E1065" t="s">
        <v>1042</v>
      </c>
    </row>
    <row r="1066" spans="1:5" x14ac:dyDescent="0.15">
      <c r="A1066" t="s">
        <v>813</v>
      </c>
      <c r="B1066" t="s">
        <v>814</v>
      </c>
      <c r="C1066" t="s">
        <v>744</v>
      </c>
      <c r="D1066" t="s">
        <v>814</v>
      </c>
      <c r="E1066" t="s">
        <v>1043</v>
      </c>
    </row>
    <row r="1067" spans="1:5" x14ac:dyDescent="0.15">
      <c r="A1067" t="s">
        <v>1021</v>
      </c>
    </row>
    <row r="1068" spans="1:5" x14ac:dyDescent="0.15">
      <c r="A1068" t="s">
        <v>988</v>
      </c>
    </row>
    <row r="1069" spans="1:5" x14ac:dyDescent="0.15">
      <c r="A1069" t="s">
        <v>815</v>
      </c>
      <c r="B1069" t="s">
        <v>814</v>
      </c>
      <c r="C1069" t="s">
        <v>743</v>
      </c>
      <c r="D1069" t="s">
        <v>814</v>
      </c>
      <c r="E1069" t="s">
        <v>1048</v>
      </c>
    </row>
    <row r="1070" spans="1:5" x14ac:dyDescent="0.15">
      <c r="A1070" t="s">
        <v>815</v>
      </c>
      <c r="B1070" t="s">
        <v>814</v>
      </c>
      <c r="C1070" t="s">
        <v>744</v>
      </c>
      <c r="D1070" t="s">
        <v>814</v>
      </c>
      <c r="E1070" t="s">
        <v>1049</v>
      </c>
    </row>
    <row r="1071" spans="1:5" x14ac:dyDescent="0.15">
      <c r="A1071" t="s">
        <v>990</v>
      </c>
    </row>
    <row r="1072" spans="1:5" x14ac:dyDescent="0.15">
      <c r="A1072" t="s">
        <v>1022</v>
      </c>
    </row>
    <row r="1073" spans="1:5" x14ac:dyDescent="0.15">
      <c r="A1073" t="s">
        <v>987</v>
      </c>
    </row>
    <row r="1074" spans="1:5" x14ac:dyDescent="0.15">
      <c r="A1074" t="s">
        <v>813</v>
      </c>
      <c r="B1074" t="s">
        <v>814</v>
      </c>
      <c r="C1074" t="s">
        <v>743</v>
      </c>
      <c r="D1074" t="s">
        <v>814</v>
      </c>
      <c r="E1074" t="s">
        <v>1042</v>
      </c>
    </row>
    <row r="1075" spans="1:5" x14ac:dyDescent="0.15">
      <c r="A1075" t="s">
        <v>813</v>
      </c>
      <c r="B1075" t="s">
        <v>814</v>
      </c>
      <c r="C1075" t="s">
        <v>744</v>
      </c>
      <c r="D1075" t="s">
        <v>814</v>
      </c>
      <c r="E1075" t="s">
        <v>1043</v>
      </c>
    </row>
    <row r="1076" spans="1:5" x14ac:dyDescent="0.15">
      <c r="A1076" t="s">
        <v>1023</v>
      </c>
    </row>
    <row r="1077" spans="1:5" x14ac:dyDescent="0.15">
      <c r="A1077" t="s">
        <v>988</v>
      </c>
    </row>
    <row r="1078" spans="1:5" x14ac:dyDescent="0.15">
      <c r="A1078" t="s">
        <v>815</v>
      </c>
      <c r="B1078" t="s">
        <v>814</v>
      </c>
      <c r="C1078" t="s">
        <v>743</v>
      </c>
      <c r="D1078" t="s">
        <v>814</v>
      </c>
      <c r="E1078" t="s">
        <v>1050</v>
      </c>
    </row>
    <row r="1079" spans="1:5" x14ac:dyDescent="0.15">
      <c r="A1079" t="s">
        <v>815</v>
      </c>
      <c r="B1079" t="s">
        <v>814</v>
      </c>
      <c r="C1079" t="s">
        <v>744</v>
      </c>
      <c r="D1079" t="s">
        <v>814</v>
      </c>
      <c r="E1079" t="s">
        <v>1051</v>
      </c>
    </row>
    <row r="1080" spans="1:5" x14ac:dyDescent="0.15">
      <c r="A1080" t="s">
        <v>991</v>
      </c>
    </row>
    <row r="1081" spans="1:5" x14ac:dyDescent="0.15">
      <c r="A1081" t="s">
        <v>1024</v>
      </c>
    </row>
    <row r="1082" spans="1:5" x14ac:dyDescent="0.15">
      <c r="A1082" t="s">
        <v>987</v>
      </c>
    </row>
    <row r="1083" spans="1:5" x14ac:dyDescent="0.15">
      <c r="A1083" t="s">
        <v>813</v>
      </c>
      <c r="B1083" t="s">
        <v>814</v>
      </c>
      <c r="C1083" t="s">
        <v>743</v>
      </c>
      <c r="D1083" t="s">
        <v>814</v>
      </c>
      <c r="E1083" t="s">
        <v>1042</v>
      </c>
    </row>
    <row r="1084" spans="1:5" x14ac:dyDescent="0.15">
      <c r="A1084" t="s">
        <v>813</v>
      </c>
      <c r="B1084" t="s">
        <v>814</v>
      </c>
      <c r="C1084" t="s">
        <v>744</v>
      </c>
      <c r="D1084" t="s">
        <v>814</v>
      </c>
      <c r="E1084" t="s">
        <v>1043</v>
      </c>
    </row>
    <row r="1085" spans="1:5" x14ac:dyDescent="0.15">
      <c r="A1085" t="s">
        <v>1025</v>
      </c>
    </row>
    <row r="1086" spans="1:5" x14ac:dyDescent="0.15">
      <c r="A1086" t="s">
        <v>988</v>
      </c>
    </row>
    <row r="1087" spans="1:5" x14ac:dyDescent="0.15">
      <c r="A1087" t="s">
        <v>815</v>
      </c>
      <c r="B1087" t="s">
        <v>814</v>
      </c>
      <c r="C1087" t="s">
        <v>743</v>
      </c>
      <c r="D1087" t="s">
        <v>814</v>
      </c>
      <c r="E1087" t="s">
        <v>1052</v>
      </c>
    </row>
    <row r="1088" spans="1:5" x14ac:dyDescent="0.15">
      <c r="A1088" t="s">
        <v>815</v>
      </c>
      <c r="B1088" t="s">
        <v>814</v>
      </c>
      <c r="C1088" t="s">
        <v>744</v>
      </c>
      <c r="D1088" t="s">
        <v>814</v>
      </c>
      <c r="E1088" t="s">
        <v>1053</v>
      </c>
    </row>
    <row r="1089" spans="1:5" x14ac:dyDescent="0.15">
      <c r="A1089" t="s">
        <v>992</v>
      </c>
    </row>
    <row r="1090" spans="1:5" x14ac:dyDescent="0.15">
      <c r="A1090" t="s">
        <v>1026</v>
      </c>
    </row>
    <row r="1091" spans="1:5" x14ac:dyDescent="0.15">
      <c r="A1091" t="s">
        <v>987</v>
      </c>
    </row>
    <row r="1092" spans="1:5" x14ac:dyDescent="0.15">
      <c r="A1092" t="s">
        <v>813</v>
      </c>
      <c r="B1092" t="s">
        <v>814</v>
      </c>
      <c r="C1092" t="s">
        <v>743</v>
      </c>
      <c r="D1092" t="s">
        <v>814</v>
      </c>
      <c r="E1092" t="s">
        <v>1042</v>
      </c>
    </row>
    <row r="1093" spans="1:5" x14ac:dyDescent="0.15">
      <c r="A1093" t="s">
        <v>813</v>
      </c>
      <c r="B1093" t="s">
        <v>814</v>
      </c>
      <c r="C1093" t="s">
        <v>744</v>
      </c>
      <c r="D1093" t="s">
        <v>814</v>
      </c>
      <c r="E1093" t="s">
        <v>1043</v>
      </c>
    </row>
    <row r="1094" spans="1:5" x14ac:dyDescent="0.15">
      <c r="A1094" t="s">
        <v>1027</v>
      </c>
    </row>
    <row r="1095" spans="1:5" x14ac:dyDescent="0.15">
      <c r="A1095" t="s">
        <v>988</v>
      </c>
    </row>
    <row r="1096" spans="1:5" x14ac:dyDescent="0.15">
      <c r="A1096" t="s">
        <v>815</v>
      </c>
      <c r="B1096" t="s">
        <v>814</v>
      </c>
      <c r="C1096" t="s">
        <v>743</v>
      </c>
      <c r="D1096" t="s">
        <v>814</v>
      </c>
      <c r="E1096" t="s">
        <v>1054</v>
      </c>
    </row>
    <row r="1097" spans="1:5" x14ac:dyDescent="0.15">
      <c r="A1097" t="s">
        <v>815</v>
      </c>
      <c r="B1097" t="s">
        <v>814</v>
      </c>
      <c r="C1097" t="s">
        <v>744</v>
      </c>
      <c r="D1097" t="s">
        <v>814</v>
      </c>
      <c r="E1097" t="s">
        <v>1055</v>
      </c>
    </row>
    <row r="1098" spans="1:5" x14ac:dyDescent="0.15">
      <c r="A1098" t="s">
        <v>993</v>
      </c>
    </row>
    <row r="1099" spans="1:5" x14ac:dyDescent="0.15">
      <c r="A1099" t="s">
        <v>1028</v>
      </c>
    </row>
    <row r="1100" spans="1:5" x14ac:dyDescent="0.15">
      <c r="A1100" t="s">
        <v>987</v>
      </c>
    </row>
    <row r="1101" spans="1:5" x14ac:dyDescent="0.15">
      <c r="A1101" t="s">
        <v>813</v>
      </c>
      <c r="B1101" t="s">
        <v>814</v>
      </c>
      <c r="C1101" t="s">
        <v>743</v>
      </c>
      <c r="D1101" t="s">
        <v>814</v>
      </c>
      <c r="E1101" t="s">
        <v>1042</v>
      </c>
    </row>
    <row r="1102" spans="1:5" x14ac:dyDescent="0.15">
      <c r="A1102" t="s">
        <v>813</v>
      </c>
      <c r="B1102" t="s">
        <v>814</v>
      </c>
      <c r="C1102" t="s">
        <v>744</v>
      </c>
      <c r="D1102" t="s">
        <v>814</v>
      </c>
      <c r="E1102" t="s">
        <v>1043</v>
      </c>
    </row>
    <row r="1103" spans="1:5" x14ac:dyDescent="0.15">
      <c r="A1103" t="s">
        <v>1029</v>
      </c>
    </row>
    <row r="1104" spans="1:5" x14ac:dyDescent="0.15">
      <c r="A1104" t="s">
        <v>988</v>
      </c>
    </row>
    <row r="1105" spans="1:5" x14ac:dyDescent="0.15">
      <c r="A1105" t="s">
        <v>815</v>
      </c>
      <c r="B1105" t="s">
        <v>814</v>
      </c>
      <c r="C1105" t="s">
        <v>743</v>
      </c>
      <c r="D1105" t="s">
        <v>814</v>
      </c>
      <c r="E1105" t="s">
        <v>1056</v>
      </c>
    </row>
    <row r="1106" spans="1:5" x14ac:dyDescent="0.15">
      <c r="A1106" t="s">
        <v>815</v>
      </c>
      <c r="B1106" t="s">
        <v>814</v>
      </c>
      <c r="C1106" t="s">
        <v>744</v>
      </c>
      <c r="D1106" t="s">
        <v>814</v>
      </c>
      <c r="E1106" t="s">
        <v>1057</v>
      </c>
    </row>
    <row r="1107" spans="1:5" x14ac:dyDescent="0.15">
      <c r="A1107" t="s">
        <v>994</v>
      </c>
    </row>
    <row r="1108" spans="1:5" x14ac:dyDescent="0.15">
      <c r="A1108" t="s">
        <v>1030</v>
      </c>
    </row>
    <row r="1109" spans="1:5" x14ac:dyDescent="0.15">
      <c r="A1109" t="s">
        <v>987</v>
      </c>
    </row>
    <row r="1110" spans="1:5" x14ac:dyDescent="0.15">
      <c r="A1110" t="s">
        <v>813</v>
      </c>
      <c r="B1110" t="s">
        <v>814</v>
      </c>
      <c r="C1110" t="s">
        <v>743</v>
      </c>
      <c r="D1110" t="s">
        <v>814</v>
      </c>
      <c r="E1110" t="s">
        <v>1042</v>
      </c>
    </row>
    <row r="1111" spans="1:5" x14ac:dyDescent="0.15">
      <c r="A1111" t="s">
        <v>813</v>
      </c>
      <c r="B1111" t="s">
        <v>814</v>
      </c>
      <c r="C1111" t="s">
        <v>744</v>
      </c>
      <c r="D1111" t="s">
        <v>814</v>
      </c>
      <c r="E1111" t="s">
        <v>1043</v>
      </c>
    </row>
    <row r="1112" spans="1:5" x14ac:dyDescent="0.15">
      <c r="A1112" t="s">
        <v>1031</v>
      </c>
    </row>
    <row r="1113" spans="1:5" x14ac:dyDescent="0.15">
      <c r="A1113" t="s">
        <v>988</v>
      </c>
    </row>
    <row r="1114" spans="1:5" x14ac:dyDescent="0.15">
      <c r="A1114" t="s">
        <v>815</v>
      </c>
      <c r="B1114" t="s">
        <v>814</v>
      </c>
      <c r="C1114" t="s">
        <v>743</v>
      </c>
      <c r="D1114" t="s">
        <v>814</v>
      </c>
      <c r="E1114" t="s">
        <v>1058</v>
      </c>
    </row>
    <row r="1115" spans="1:5" x14ac:dyDescent="0.15">
      <c r="A1115" t="s">
        <v>815</v>
      </c>
      <c r="B1115" t="s">
        <v>814</v>
      </c>
      <c r="C1115" t="s">
        <v>744</v>
      </c>
      <c r="D1115" t="s">
        <v>814</v>
      </c>
      <c r="E1115" t="s">
        <v>1059</v>
      </c>
    </row>
    <row r="1116" spans="1:5" x14ac:dyDescent="0.15">
      <c r="A1116" t="s">
        <v>995</v>
      </c>
    </row>
    <row r="1117" spans="1:5" x14ac:dyDescent="0.15">
      <c r="A1117" t="s">
        <v>1032</v>
      </c>
    </row>
    <row r="1118" spans="1:5" x14ac:dyDescent="0.15">
      <c r="A1118" t="s">
        <v>987</v>
      </c>
    </row>
    <row r="1119" spans="1:5" x14ac:dyDescent="0.15">
      <c r="A1119" t="s">
        <v>813</v>
      </c>
      <c r="B1119" t="s">
        <v>814</v>
      </c>
      <c r="C1119" t="s">
        <v>743</v>
      </c>
      <c r="D1119" t="s">
        <v>814</v>
      </c>
      <c r="E1119" t="s">
        <v>1042</v>
      </c>
    </row>
    <row r="1120" spans="1:5" x14ac:dyDescent="0.15">
      <c r="A1120" t="s">
        <v>813</v>
      </c>
      <c r="B1120" t="s">
        <v>814</v>
      </c>
      <c r="C1120" t="s">
        <v>744</v>
      </c>
      <c r="D1120" t="s">
        <v>814</v>
      </c>
      <c r="E1120" t="s">
        <v>1043</v>
      </c>
    </row>
    <row r="1121" spans="1:9" x14ac:dyDescent="0.15">
      <c r="A1121" t="s">
        <v>1033</v>
      </c>
    </row>
    <row r="1122" spans="1:9" x14ac:dyDescent="0.15">
      <c r="A1122" t="s">
        <v>988</v>
      </c>
    </row>
    <row r="1123" spans="1:9" x14ac:dyDescent="0.15">
      <c r="A1123" t="s">
        <v>815</v>
      </c>
      <c r="B1123" t="s">
        <v>814</v>
      </c>
      <c r="C1123" t="s">
        <v>743</v>
      </c>
      <c r="D1123" t="s">
        <v>814</v>
      </c>
      <c r="E1123" t="s">
        <v>1060</v>
      </c>
    </row>
    <row r="1124" spans="1:9" x14ac:dyDescent="0.15">
      <c r="A1124" t="s">
        <v>815</v>
      </c>
      <c r="B1124" t="s">
        <v>814</v>
      </c>
      <c r="C1124" t="s">
        <v>744</v>
      </c>
      <c r="D1124" t="s">
        <v>814</v>
      </c>
      <c r="E1124" t="s">
        <v>1061</v>
      </c>
    </row>
    <row r="1125" spans="1:9" x14ac:dyDescent="0.15">
      <c r="A1125" t="s">
        <v>996</v>
      </c>
    </row>
    <row r="1126" spans="1:9" x14ac:dyDescent="0.15">
      <c r="A1126" t="s">
        <v>1034</v>
      </c>
    </row>
    <row r="1127" spans="1:9" x14ac:dyDescent="0.15">
      <c r="A1127" t="s">
        <v>987</v>
      </c>
    </row>
    <row r="1128" spans="1:9" x14ac:dyDescent="0.15">
      <c r="A1128" t="s">
        <v>813</v>
      </c>
      <c r="B1128" t="s">
        <v>814</v>
      </c>
      <c r="C1128" t="s">
        <v>743</v>
      </c>
      <c r="D1128" t="s">
        <v>814</v>
      </c>
      <c r="E1128" t="s">
        <v>1042</v>
      </c>
    </row>
    <row r="1129" spans="1:9" x14ac:dyDescent="0.15">
      <c r="A1129" t="s">
        <v>813</v>
      </c>
      <c r="B1129" t="s">
        <v>814</v>
      </c>
      <c r="C1129" t="s">
        <v>744</v>
      </c>
      <c r="D1129" t="s">
        <v>814</v>
      </c>
      <c r="E1129" t="s">
        <v>1043</v>
      </c>
    </row>
    <row r="1130" spans="1:9" x14ac:dyDescent="0.15">
      <c r="A1130" t="s">
        <v>1035</v>
      </c>
    </row>
    <row r="1131" spans="1:9" x14ac:dyDescent="0.15">
      <c r="A1131" t="s">
        <v>988</v>
      </c>
    </row>
    <row r="1132" spans="1:9" x14ac:dyDescent="0.15">
      <c r="A1132" t="s">
        <v>815</v>
      </c>
      <c r="B1132" t="s">
        <v>814</v>
      </c>
      <c r="C1132" t="s">
        <v>743</v>
      </c>
      <c r="D1132" t="s">
        <v>814</v>
      </c>
      <c r="E1132" t="s">
        <v>1062</v>
      </c>
    </row>
    <row r="1133" spans="1:9" x14ac:dyDescent="0.15">
      <c r="A1133" t="s">
        <v>815</v>
      </c>
      <c r="B1133" t="s">
        <v>814</v>
      </c>
      <c r="C1133" t="s">
        <v>744</v>
      </c>
      <c r="D1133" t="s">
        <v>814</v>
      </c>
      <c r="E1133" t="s">
        <v>1063</v>
      </c>
    </row>
    <row r="1135" spans="1:9" x14ac:dyDescent="0.15">
      <c r="A1135" t="s">
        <v>208</v>
      </c>
      <c r="B1135" t="s">
        <v>271</v>
      </c>
      <c r="C1135" t="s">
        <v>173</v>
      </c>
      <c r="D1135">
        <v>2015</v>
      </c>
      <c r="E1135" t="s">
        <v>714</v>
      </c>
      <c r="F1135" t="s">
        <v>715</v>
      </c>
      <c r="G1135" t="s">
        <v>716</v>
      </c>
      <c r="H1135" t="s">
        <v>717</v>
      </c>
      <c r="I1135" t="s">
        <v>718</v>
      </c>
    </row>
    <row r="1136" spans="1:9" x14ac:dyDescent="0.15">
      <c r="A1136">
        <v>2015</v>
      </c>
      <c r="B1136">
        <v>0.72618199999999999</v>
      </c>
      <c r="C1136">
        <v>0.100553</v>
      </c>
    </row>
    <row r="1137" spans="1:10" x14ac:dyDescent="0.15">
      <c r="A1137">
        <v>2016</v>
      </c>
      <c r="B1137">
        <v>0.76571900000000004</v>
      </c>
      <c r="C1137">
        <v>0.11000500000000001</v>
      </c>
    </row>
    <row r="1138" spans="1:10" x14ac:dyDescent="0.15">
      <c r="A1138">
        <v>2016</v>
      </c>
      <c r="B1138">
        <v>0.76187099999999996</v>
      </c>
      <c r="C1138">
        <v>0.109831</v>
      </c>
    </row>
    <row r="1139" spans="1:10" x14ac:dyDescent="0.15">
      <c r="A1139">
        <v>2015</v>
      </c>
      <c r="B1139">
        <v>0.47290599999999999</v>
      </c>
      <c r="C1139">
        <v>4.4556400000000003E-2</v>
      </c>
    </row>
    <row r="1140" spans="1:10" x14ac:dyDescent="0.15">
      <c r="A1140">
        <v>2016</v>
      </c>
      <c r="B1140">
        <v>0.49865300000000001</v>
      </c>
      <c r="C1140">
        <v>4.9695700000000002E-2</v>
      </c>
    </row>
    <row r="1141" spans="1:10" x14ac:dyDescent="0.15">
      <c r="A1141">
        <v>2016</v>
      </c>
      <c r="B1141">
        <v>0.496147</v>
      </c>
      <c r="C1141">
        <v>4.9758499999999997E-2</v>
      </c>
    </row>
    <row r="1142" spans="1:10" x14ac:dyDescent="0.15">
      <c r="B1142" t="s">
        <v>719</v>
      </c>
      <c r="C1142" t="s">
        <v>156</v>
      </c>
      <c r="D1142" t="s">
        <v>720</v>
      </c>
      <c r="E1142" s="23">
        <v>0.05</v>
      </c>
      <c r="F1142" t="s">
        <v>721</v>
      </c>
      <c r="G1142" t="s">
        <v>722</v>
      </c>
      <c r="H1142" t="s">
        <v>723</v>
      </c>
      <c r="I1142" t="s">
        <v>724</v>
      </c>
      <c r="J1142" t="s">
        <v>725</v>
      </c>
    </row>
    <row r="1143" spans="1:10" x14ac:dyDescent="0.15">
      <c r="A1143" t="s">
        <v>726</v>
      </c>
      <c r="B1143">
        <v>4146.05</v>
      </c>
    </row>
    <row r="1144" spans="1:10" x14ac:dyDescent="0.15">
      <c r="A1144" t="s">
        <v>727</v>
      </c>
      <c r="B1144">
        <v>4219.3500000000004</v>
      </c>
    </row>
    <row r="1145" spans="1:10" x14ac:dyDescent="0.15">
      <c r="A1145" t="s">
        <v>728</v>
      </c>
      <c r="B1145">
        <v>4292.6400000000003</v>
      </c>
    </row>
    <row r="1146" spans="1:10" x14ac:dyDescent="0.15">
      <c r="A1146" t="s">
        <v>650</v>
      </c>
      <c r="B1146" t="s">
        <v>729</v>
      </c>
      <c r="C1146" t="s">
        <v>730</v>
      </c>
      <c r="D1146" t="s">
        <v>731</v>
      </c>
    </row>
    <row r="1147" spans="1:10" x14ac:dyDescent="0.15">
      <c r="A1147" t="s">
        <v>726</v>
      </c>
      <c r="B1147">
        <v>4146.05</v>
      </c>
    </row>
    <row r="1148" spans="1:10" x14ac:dyDescent="0.15">
      <c r="A1148" t="s">
        <v>727</v>
      </c>
      <c r="B1148">
        <v>4219.3500000000004</v>
      </c>
    </row>
    <row r="1149" spans="1:10" x14ac:dyDescent="0.15">
      <c r="A1149" t="s">
        <v>728</v>
      </c>
      <c r="B1149">
        <v>4292.6400000000003</v>
      </c>
    </row>
    <row r="1150" spans="1:10" x14ac:dyDescent="0.15">
      <c r="A1150" t="s">
        <v>732</v>
      </c>
      <c r="B1150" t="s">
        <v>733</v>
      </c>
      <c r="C1150" t="s">
        <v>734</v>
      </c>
    </row>
    <row r="1151" spans="1:10" x14ac:dyDescent="0.15">
      <c r="A1151">
        <v>1637</v>
      </c>
      <c r="B1151">
        <v>6826.38</v>
      </c>
      <c r="C1151">
        <v>6761.46</v>
      </c>
    </row>
    <row r="1152" spans="1:10" x14ac:dyDescent="0.15">
      <c r="A1152">
        <v>1554</v>
      </c>
      <c r="B1152">
        <v>6826.38</v>
      </c>
      <c r="C1152">
        <v>6761.46</v>
      </c>
    </row>
    <row r="1153" spans="1:18" x14ac:dyDescent="0.15">
      <c r="A1153">
        <v>1001.77</v>
      </c>
      <c r="B1153">
        <v>6826.38</v>
      </c>
      <c r="C1153">
        <v>6761.46</v>
      </c>
    </row>
    <row r="1154" spans="1:18" x14ac:dyDescent="0.15">
      <c r="A1154">
        <v>951.68600000000004</v>
      </c>
      <c r="B1154">
        <v>6826.38</v>
      </c>
      <c r="C1154">
        <v>6761.46</v>
      </c>
    </row>
    <row r="1155" spans="1:18" x14ac:dyDescent="0.15">
      <c r="A1155">
        <v>904.10199999999998</v>
      </c>
      <c r="B1155">
        <v>6826.38</v>
      </c>
      <c r="C1155">
        <v>6761.46</v>
      </c>
    </row>
    <row r="1156" spans="1:18" x14ac:dyDescent="0.15">
      <c r="A1156">
        <v>858.89700000000005</v>
      </c>
      <c r="B1156">
        <v>6826.38</v>
      </c>
      <c r="C1156">
        <v>6761.46</v>
      </c>
    </row>
    <row r="1157" spans="1:18" x14ac:dyDescent="0.15">
      <c r="A1157">
        <v>815.952</v>
      </c>
      <c r="B1157">
        <v>6826.38</v>
      </c>
      <c r="C1157">
        <v>6761.46</v>
      </c>
    </row>
    <row r="1158" spans="1:18" x14ac:dyDescent="0.15">
      <c r="A1158">
        <v>775.154</v>
      </c>
      <c r="B1158">
        <v>6826.38</v>
      </c>
      <c r="C1158">
        <v>6761.46</v>
      </c>
    </row>
    <row r="1159" spans="1:18" x14ac:dyDescent="0.15">
      <c r="A1159">
        <v>736.39700000000005</v>
      </c>
      <c r="B1159">
        <v>6826.38</v>
      </c>
      <c r="C1159">
        <v>6761.46</v>
      </c>
    </row>
    <row r="1160" spans="1:18" x14ac:dyDescent="0.15">
      <c r="A1160">
        <v>699.577</v>
      </c>
      <c r="B1160">
        <v>6826.38</v>
      </c>
      <c r="C1160">
        <v>6761.46</v>
      </c>
    </row>
    <row r="1161" spans="1:18" x14ac:dyDescent="0.15">
      <c r="B1161" t="s">
        <v>735</v>
      </c>
      <c r="C1161" t="s">
        <v>736</v>
      </c>
      <c r="D1161" t="s">
        <v>737</v>
      </c>
      <c r="E1161" t="s">
        <v>161</v>
      </c>
      <c r="F1161" t="s">
        <v>738</v>
      </c>
      <c r="G1161" t="s">
        <v>739</v>
      </c>
      <c r="H1161" t="s">
        <v>740</v>
      </c>
      <c r="I1161" t="s">
        <v>159</v>
      </c>
      <c r="J1161" t="s">
        <v>741</v>
      </c>
    </row>
    <row r="1162" spans="1:18" x14ac:dyDescent="0.15">
      <c r="A1162" t="s">
        <v>742</v>
      </c>
      <c r="B1162" t="s">
        <v>743</v>
      </c>
      <c r="C1162" t="s">
        <v>744</v>
      </c>
    </row>
    <row r="1163" spans="1:18" x14ac:dyDescent="0.15">
      <c r="A1163">
        <v>0</v>
      </c>
      <c r="B1163">
        <v>0.62402899999999994</v>
      </c>
      <c r="C1163">
        <v>0.74076299999999995</v>
      </c>
      <c r="D1163">
        <v>1.9889899999999999E-4</v>
      </c>
      <c r="E1163">
        <v>8.6070000000000001E-3</v>
      </c>
      <c r="F1163">
        <v>6.2215199999999998E-2</v>
      </c>
      <c r="G1163">
        <v>0.34961399999999998</v>
      </c>
      <c r="H1163">
        <v>0.71589000000000003</v>
      </c>
      <c r="I1163">
        <v>1</v>
      </c>
      <c r="J1163">
        <v>1.1449499999999999</v>
      </c>
      <c r="K1163">
        <v>1.1051200000000001</v>
      </c>
      <c r="L1163">
        <v>1.0827100000000001</v>
      </c>
      <c r="M1163">
        <v>1.0595000000000001</v>
      </c>
      <c r="N1163">
        <v>1.0595000000000001</v>
      </c>
      <c r="O1163">
        <v>1.0595000000000001</v>
      </c>
      <c r="P1163">
        <v>1.0595000000000001</v>
      </c>
      <c r="Q1163">
        <v>1.0595000000000001</v>
      </c>
      <c r="R1163">
        <v>1.0595000000000001</v>
      </c>
    </row>
    <row r="1164" spans="1:18" x14ac:dyDescent="0.15">
      <c r="A1164">
        <v>-0.5</v>
      </c>
      <c r="B1164">
        <v>0.43399199999999999</v>
      </c>
      <c r="C1164">
        <v>0.51517800000000002</v>
      </c>
      <c r="D1164">
        <v>4.4029500000000001E-3</v>
      </c>
      <c r="E1164">
        <v>3.5411100000000001E-2</v>
      </c>
      <c r="F1164">
        <v>0.20591499999999999</v>
      </c>
      <c r="G1164">
        <v>0.532752</v>
      </c>
      <c r="H1164">
        <v>0.85794499999999996</v>
      </c>
      <c r="I1164">
        <v>1.07247</v>
      </c>
      <c r="J1164">
        <v>1.12503</v>
      </c>
      <c r="K1164">
        <v>1.0939099999999999</v>
      </c>
      <c r="L1164">
        <v>1.07111</v>
      </c>
      <c r="M1164">
        <v>1.0595000000000001</v>
      </c>
      <c r="N1164">
        <v>1.0595000000000001</v>
      </c>
      <c r="O1164">
        <v>1.0595000000000001</v>
      </c>
      <c r="P1164">
        <v>1.0595000000000001</v>
      </c>
      <c r="Q1164">
        <v>1.0595000000000001</v>
      </c>
      <c r="R1164">
        <v>1.0595000000000001</v>
      </c>
    </row>
    <row r="1165" spans="1:18" x14ac:dyDescent="0.15">
      <c r="A1165">
        <v>-1</v>
      </c>
      <c r="B1165">
        <v>0.344553</v>
      </c>
      <c r="C1165">
        <v>0.40900700000000001</v>
      </c>
      <c r="D1165">
        <v>8.6070000000000001E-3</v>
      </c>
      <c r="E1165">
        <v>6.2215199999999998E-2</v>
      </c>
      <c r="F1165">
        <v>0.34961399999999998</v>
      </c>
      <c r="G1165">
        <v>0.71589000000000003</v>
      </c>
      <c r="H1165">
        <v>1</v>
      </c>
      <c r="I1165">
        <v>1.1449499999999999</v>
      </c>
      <c r="J1165">
        <v>1.1051200000000001</v>
      </c>
      <c r="K1165">
        <v>1.0827100000000001</v>
      </c>
      <c r="L1165">
        <v>1.0595000000000001</v>
      </c>
      <c r="M1165">
        <v>1.0595000000000001</v>
      </c>
      <c r="N1165">
        <v>1.0595000000000001</v>
      </c>
      <c r="O1165">
        <v>1.0595000000000001</v>
      </c>
      <c r="P1165">
        <v>1.0595000000000001</v>
      </c>
      <c r="Q1165">
        <v>1.0595000000000001</v>
      </c>
      <c r="R1165">
        <v>1.0595000000000001</v>
      </c>
    </row>
    <row r="1166" spans="1:18" x14ac:dyDescent="0.15">
      <c r="A1166">
        <v>1</v>
      </c>
      <c r="B1166">
        <v>1.56942</v>
      </c>
      <c r="C1166">
        <v>1.8630100000000001</v>
      </c>
      <c r="D1166">
        <v>1.9889899999999999E-4</v>
      </c>
      <c r="E1166">
        <v>1.9889899999999999E-4</v>
      </c>
      <c r="F1166">
        <v>8.6070000000000001E-3</v>
      </c>
      <c r="G1166">
        <v>6.2215199999999998E-2</v>
      </c>
      <c r="H1166">
        <v>0.34961399999999998</v>
      </c>
      <c r="I1166">
        <v>0.71589000000000003</v>
      </c>
      <c r="J1166">
        <v>1</v>
      </c>
      <c r="K1166">
        <v>1.1449499999999999</v>
      </c>
      <c r="L1166">
        <v>1.1051200000000001</v>
      </c>
      <c r="M1166">
        <v>1.0827100000000001</v>
      </c>
      <c r="N1166">
        <v>1.0595000000000001</v>
      </c>
      <c r="O1166">
        <v>1.0595000000000001</v>
      </c>
      <c r="P1166">
        <v>1.0595000000000001</v>
      </c>
      <c r="Q1166">
        <v>1.0595000000000001</v>
      </c>
      <c r="R1166">
        <v>1.0595000000000001</v>
      </c>
    </row>
    <row r="1167" spans="1:18" x14ac:dyDescent="0.15">
      <c r="A1167">
        <v>0.5</v>
      </c>
      <c r="B1167">
        <v>0.88022199999999995</v>
      </c>
      <c r="C1167">
        <v>1.04488</v>
      </c>
      <c r="D1167">
        <v>1.9889899999999999E-4</v>
      </c>
      <c r="E1167">
        <v>4.4029500000000001E-3</v>
      </c>
      <c r="F1167">
        <v>3.5411100000000001E-2</v>
      </c>
      <c r="G1167">
        <v>0.20591499999999999</v>
      </c>
      <c r="H1167">
        <v>0.532752</v>
      </c>
      <c r="I1167">
        <v>0.85794499999999996</v>
      </c>
      <c r="J1167">
        <v>1.07247</v>
      </c>
      <c r="K1167">
        <v>1.12503</v>
      </c>
      <c r="L1167">
        <v>1.0939099999999999</v>
      </c>
      <c r="M1167">
        <v>1.07111</v>
      </c>
      <c r="N1167">
        <v>1.0595000000000001</v>
      </c>
      <c r="O1167">
        <v>1.0595000000000001</v>
      </c>
      <c r="P1167">
        <v>1.0595000000000001</v>
      </c>
      <c r="Q1167">
        <v>1.0595000000000001</v>
      </c>
      <c r="R1167">
        <v>1.0595000000000001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17"/>
  <sheetViews>
    <sheetView topLeftCell="A378" workbookViewId="0">
      <selection activeCell="F410" sqref="F410"/>
    </sheetView>
  </sheetViews>
  <sheetFormatPr baseColWidth="10" defaultColWidth="10.83203125" defaultRowHeight="13" x14ac:dyDescent="0.15"/>
  <cols>
    <col min="11" max="11" width="18.83203125" customWidth="1"/>
  </cols>
  <sheetData>
    <row r="1" spans="1:35" x14ac:dyDescent="0.15">
      <c r="J1" t="s">
        <v>180</v>
      </c>
      <c r="K1" t="s">
        <v>181</v>
      </c>
      <c r="L1" t="s">
        <v>182</v>
      </c>
      <c r="M1" t="s">
        <v>912</v>
      </c>
    </row>
    <row r="2" spans="1:35" x14ac:dyDescent="0.15">
      <c r="A2" s="31" t="s">
        <v>287</v>
      </c>
      <c r="B2" s="31"/>
      <c r="C2" s="31"/>
      <c r="D2" s="31"/>
      <c r="E2" s="31"/>
      <c r="F2" s="31"/>
      <c r="G2" s="31"/>
      <c r="H2" s="31"/>
      <c r="I2" s="31"/>
      <c r="J2" s="31">
        <v>1</v>
      </c>
      <c r="K2" s="31" t="s">
        <v>124</v>
      </c>
      <c r="L2" s="1">
        <v>9.9505999999999997</v>
      </c>
      <c r="M2" s="1">
        <v>0.10124</v>
      </c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</row>
    <row r="3" spans="1:35" x14ac:dyDescent="0.15">
      <c r="A3" s="31" t="s">
        <v>574</v>
      </c>
      <c r="B3" s="31"/>
      <c r="C3" s="31"/>
      <c r="D3" s="31"/>
      <c r="E3" s="31"/>
      <c r="F3" s="31"/>
      <c r="G3" s="31"/>
      <c r="H3" s="31"/>
      <c r="I3" s="31"/>
      <c r="J3" s="31">
        <v>2</v>
      </c>
      <c r="K3" s="31" t="s">
        <v>913</v>
      </c>
      <c r="L3" s="1">
        <v>4.5656999999999996</v>
      </c>
      <c r="M3" s="1">
        <v>0.68142000000000003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x14ac:dyDescent="0.15">
      <c r="A4" s="31"/>
      <c r="B4" s="31">
        <v>885</v>
      </c>
      <c r="C4" s="31" t="s">
        <v>43</v>
      </c>
      <c r="D4" s="31">
        <v>545.08000000000004</v>
      </c>
      <c r="E4" s="31">
        <v>158.85</v>
      </c>
      <c r="F4" s="31"/>
      <c r="G4" s="31"/>
      <c r="H4" s="31"/>
      <c r="I4" s="31"/>
      <c r="J4" s="31">
        <v>3</v>
      </c>
      <c r="K4" s="31" t="s">
        <v>184</v>
      </c>
      <c r="L4" s="1">
        <v>-1.4835</v>
      </c>
      <c r="M4" s="1">
        <v>8.3067000000000002E-2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</row>
    <row r="5" spans="1:35" x14ac:dyDescent="0.15">
      <c r="A5" s="31"/>
      <c r="B5" s="31">
        <v>886</v>
      </c>
      <c r="C5" s="31" t="s">
        <v>43</v>
      </c>
      <c r="D5" s="31">
        <v>664.08</v>
      </c>
      <c r="E5" s="31">
        <v>164.46</v>
      </c>
      <c r="F5" s="31"/>
      <c r="G5" s="31"/>
      <c r="H5" s="31"/>
      <c r="I5" s="31"/>
      <c r="J5" s="31">
        <v>4</v>
      </c>
      <c r="K5" s="31" t="s">
        <v>350</v>
      </c>
      <c r="L5" s="1">
        <v>0.36751</v>
      </c>
      <c r="M5" s="1">
        <v>7.7400999999999998E-2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</row>
    <row r="6" spans="1:35" x14ac:dyDescent="0.15">
      <c r="A6" s="31"/>
      <c r="B6" s="31">
        <v>887</v>
      </c>
      <c r="C6" s="31" t="s">
        <v>43</v>
      </c>
      <c r="D6" s="31">
        <v>794.27</v>
      </c>
      <c r="E6" s="31">
        <v>188.03</v>
      </c>
      <c r="F6" s="31"/>
      <c r="G6" s="31"/>
      <c r="H6" s="31"/>
      <c r="I6" s="31"/>
      <c r="J6" s="31">
        <v>5</v>
      </c>
      <c r="K6" s="31" t="s">
        <v>914</v>
      </c>
      <c r="L6" s="1">
        <v>-0.26477000000000001</v>
      </c>
      <c r="M6" s="1">
        <v>0.16320999999999999</v>
      </c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</row>
    <row r="7" spans="1:35" x14ac:dyDescent="0.15">
      <c r="A7" s="31"/>
      <c r="B7" s="31">
        <v>888</v>
      </c>
      <c r="C7" s="31" t="s">
        <v>43</v>
      </c>
      <c r="D7" s="31">
        <v>1014.8</v>
      </c>
      <c r="E7" s="31">
        <v>216.05</v>
      </c>
      <c r="F7" s="31"/>
      <c r="G7" s="31"/>
      <c r="H7" s="31"/>
      <c r="I7" s="31"/>
      <c r="J7" s="31">
        <v>6</v>
      </c>
      <c r="K7" s="31" t="s">
        <v>351</v>
      </c>
      <c r="L7" s="1">
        <v>-1.081</v>
      </c>
      <c r="M7" s="1">
        <v>0.11029</v>
      </c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</row>
    <row r="8" spans="1:35" x14ac:dyDescent="0.15">
      <c r="A8" s="31"/>
      <c r="B8" s="31">
        <v>889</v>
      </c>
      <c r="C8" s="31" t="s">
        <v>43</v>
      </c>
      <c r="D8" s="31">
        <v>1267.5</v>
      </c>
      <c r="E8" s="31">
        <v>262.04000000000002</v>
      </c>
      <c r="F8" s="31"/>
      <c r="G8" s="31"/>
      <c r="H8" s="31"/>
      <c r="I8" s="31"/>
      <c r="J8" s="31">
        <v>7</v>
      </c>
      <c r="K8" s="31" t="s">
        <v>290</v>
      </c>
      <c r="L8" s="1">
        <v>9.9103999999999992</v>
      </c>
      <c r="M8" s="1">
        <v>0.15429000000000001</v>
      </c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</row>
    <row r="9" spans="1:35" x14ac:dyDescent="0.15">
      <c r="A9" s="31"/>
      <c r="B9" s="31">
        <v>890</v>
      </c>
      <c r="C9" s="31" t="s">
        <v>43</v>
      </c>
      <c r="D9" s="31">
        <v>1559.4</v>
      </c>
      <c r="E9" s="31">
        <v>303.05</v>
      </c>
      <c r="F9" s="31"/>
      <c r="G9" s="31"/>
      <c r="H9" s="31"/>
      <c r="I9" s="31"/>
      <c r="J9" s="31">
        <v>8</v>
      </c>
      <c r="K9" s="31" t="s">
        <v>915</v>
      </c>
      <c r="L9" s="1">
        <v>0.67425000000000002</v>
      </c>
      <c r="M9" s="1">
        <v>6.8245E-2</v>
      </c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15">
      <c r="A10" s="31"/>
      <c r="B10" s="31">
        <v>891</v>
      </c>
      <c r="C10" s="31" t="s">
        <v>43</v>
      </c>
      <c r="D10" s="31">
        <v>1831.6</v>
      </c>
      <c r="E10" s="31">
        <v>332.1</v>
      </c>
      <c r="F10" s="31"/>
      <c r="G10" s="31"/>
      <c r="H10" s="31"/>
      <c r="I10" s="31"/>
      <c r="J10" s="31">
        <v>9</v>
      </c>
      <c r="K10" s="31" t="s">
        <v>916</v>
      </c>
      <c r="L10" s="1">
        <v>3.4549999999999997E-2</v>
      </c>
      <c r="M10" s="1">
        <v>0.18969</v>
      </c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1" spans="1:35" x14ac:dyDescent="0.15">
      <c r="A11" s="31"/>
      <c r="B11" s="31">
        <v>892</v>
      </c>
      <c r="C11" s="31" t="s">
        <v>43</v>
      </c>
      <c r="D11" s="31">
        <v>1942.5</v>
      </c>
      <c r="E11" s="31">
        <v>340.21</v>
      </c>
      <c r="F11" s="31"/>
      <c r="G11" s="31"/>
      <c r="H11" s="31"/>
      <c r="I11" s="31"/>
      <c r="J11" s="31">
        <v>10</v>
      </c>
      <c r="K11" s="31" t="s">
        <v>917</v>
      </c>
      <c r="L11" s="1">
        <v>-9.6805000000000003</v>
      </c>
      <c r="M11" s="1">
        <v>0.13322999999999999</v>
      </c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</row>
    <row r="12" spans="1:35" x14ac:dyDescent="0.15">
      <c r="A12" s="31"/>
      <c r="B12" s="31">
        <v>893</v>
      </c>
      <c r="C12" s="31" t="s">
        <v>43</v>
      </c>
      <c r="D12" s="31">
        <v>1836.1</v>
      </c>
      <c r="E12" s="31">
        <v>319.27999999999997</v>
      </c>
      <c r="F12" s="31"/>
      <c r="G12" s="31"/>
      <c r="H12" s="31"/>
      <c r="I12" s="31"/>
      <c r="J12" s="31">
        <v>11</v>
      </c>
      <c r="K12" s="31" t="s">
        <v>918</v>
      </c>
      <c r="L12" s="1">
        <v>3.6257999999999999</v>
      </c>
      <c r="M12" s="1">
        <v>0.72802</v>
      </c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</row>
    <row r="13" spans="1:35" x14ac:dyDescent="0.15">
      <c r="A13" s="31"/>
      <c r="B13" s="31">
        <v>894</v>
      </c>
      <c r="C13" s="31" t="s">
        <v>43</v>
      </c>
      <c r="D13" s="31">
        <v>1538.5</v>
      </c>
      <c r="E13" s="31">
        <v>289.22000000000003</v>
      </c>
      <c r="F13" s="31"/>
      <c r="G13" s="31"/>
      <c r="H13" s="31"/>
      <c r="I13" s="31"/>
      <c r="J13" s="31">
        <v>12</v>
      </c>
      <c r="K13" s="31" t="s">
        <v>918</v>
      </c>
      <c r="L13" s="1">
        <v>3.1676000000000002</v>
      </c>
      <c r="M13" s="1">
        <v>0.71994999999999998</v>
      </c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</row>
    <row r="14" spans="1:35" x14ac:dyDescent="0.15">
      <c r="A14" s="31"/>
      <c r="B14" s="31">
        <v>895</v>
      </c>
      <c r="C14" s="31" t="s">
        <v>43</v>
      </c>
      <c r="D14" s="31">
        <v>1158.5999999999999</v>
      </c>
      <c r="E14" s="31">
        <v>248.53</v>
      </c>
      <c r="F14" s="31"/>
      <c r="G14" s="31"/>
      <c r="H14" s="31"/>
      <c r="I14" s="31"/>
      <c r="J14" s="31">
        <v>13</v>
      </c>
      <c r="K14" s="31" t="s">
        <v>918</v>
      </c>
      <c r="L14" s="1">
        <v>1.5929</v>
      </c>
      <c r="M14" s="1">
        <v>0.86038999999999999</v>
      </c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</row>
    <row r="15" spans="1:35" x14ac:dyDescent="0.15">
      <c r="A15" s="31"/>
      <c r="B15" s="31">
        <v>896</v>
      </c>
      <c r="C15" s="31" t="s">
        <v>43</v>
      </c>
      <c r="D15" s="31">
        <v>980.86</v>
      </c>
      <c r="E15" s="31">
        <v>194.38</v>
      </c>
      <c r="F15" s="31"/>
      <c r="G15" s="31"/>
      <c r="H15" s="31"/>
      <c r="I15" s="31"/>
      <c r="J15" s="31">
        <v>14</v>
      </c>
      <c r="K15" s="31" t="s">
        <v>918</v>
      </c>
      <c r="L15" s="1">
        <v>0.79808000000000001</v>
      </c>
      <c r="M15" s="1">
        <v>0.96936999999999995</v>
      </c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</row>
    <row r="16" spans="1:35" x14ac:dyDescent="0.15">
      <c r="A16" s="31"/>
      <c r="B16" s="31">
        <v>897</v>
      </c>
      <c r="C16" s="31" t="s">
        <v>43</v>
      </c>
      <c r="D16" s="31">
        <v>976.89</v>
      </c>
      <c r="E16" s="31">
        <v>156.63</v>
      </c>
      <c r="F16" s="31"/>
      <c r="G16" s="31"/>
      <c r="H16" s="31"/>
      <c r="I16" s="31"/>
      <c r="J16" s="31">
        <v>15</v>
      </c>
      <c r="K16" s="31" t="s">
        <v>918</v>
      </c>
      <c r="L16" s="1">
        <v>1.2544</v>
      </c>
      <c r="M16" s="1">
        <v>0.84360999999999997</v>
      </c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</row>
    <row r="17" spans="1:35" x14ac:dyDescent="0.15">
      <c r="A17" s="31"/>
      <c r="B17" s="31">
        <v>898</v>
      </c>
      <c r="C17" s="31" t="s">
        <v>43</v>
      </c>
      <c r="D17" s="31">
        <v>1039.2</v>
      </c>
      <c r="E17" s="31">
        <v>139.43</v>
      </c>
      <c r="F17" s="31"/>
      <c r="G17" s="31"/>
      <c r="H17" s="31"/>
      <c r="I17" s="31"/>
      <c r="J17" s="31">
        <v>16</v>
      </c>
      <c r="K17" s="31" t="s">
        <v>918</v>
      </c>
      <c r="L17" s="1">
        <v>0.34742000000000001</v>
      </c>
      <c r="M17" s="1">
        <v>1.1000000000000001</v>
      </c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</row>
    <row r="18" spans="1:35" x14ac:dyDescent="0.15">
      <c r="A18" s="31"/>
      <c r="B18" s="31">
        <v>899</v>
      </c>
      <c r="C18" s="31" t="s">
        <v>43</v>
      </c>
      <c r="D18" s="31">
        <v>1095.3</v>
      </c>
      <c r="E18" s="31">
        <v>134.6</v>
      </c>
      <c r="F18" s="31"/>
      <c r="G18" s="31"/>
      <c r="H18" s="31"/>
      <c r="I18" s="31"/>
      <c r="J18" s="31">
        <v>17</v>
      </c>
      <c r="K18" s="31" t="s">
        <v>918</v>
      </c>
      <c r="L18" s="1">
        <v>-0.65403</v>
      </c>
      <c r="M18" s="1">
        <v>1.2784</v>
      </c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</row>
    <row r="19" spans="1:35" x14ac:dyDescent="0.15">
      <c r="A19" s="31"/>
      <c r="B19" s="31">
        <v>900</v>
      </c>
      <c r="C19" s="31" t="s">
        <v>43</v>
      </c>
      <c r="D19" s="31">
        <v>1100.7</v>
      </c>
      <c r="E19" s="31">
        <v>131.86000000000001</v>
      </c>
      <c r="F19" s="31"/>
      <c r="G19" s="31"/>
      <c r="H19" s="31"/>
      <c r="I19" s="31"/>
      <c r="J19" s="31">
        <v>18</v>
      </c>
      <c r="K19" s="31" t="s">
        <v>918</v>
      </c>
      <c r="L19" s="1">
        <v>-1.4440999999999999</v>
      </c>
      <c r="M19" s="1">
        <v>1.2287999999999999</v>
      </c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</row>
    <row r="20" spans="1:35" x14ac:dyDescent="0.15">
      <c r="A20" s="31"/>
      <c r="B20" s="31">
        <v>901</v>
      </c>
      <c r="C20" s="31" t="s">
        <v>43</v>
      </c>
      <c r="D20" s="31">
        <v>1251.5</v>
      </c>
      <c r="E20" s="31">
        <v>130.57</v>
      </c>
      <c r="F20" s="31"/>
      <c r="G20" s="31"/>
      <c r="H20" s="31"/>
      <c r="I20" s="31"/>
      <c r="J20" s="31">
        <v>19</v>
      </c>
      <c r="K20" s="31" t="s">
        <v>918</v>
      </c>
      <c r="L20" s="1">
        <v>-1.4187000000000001</v>
      </c>
      <c r="M20" s="1">
        <v>1.2342</v>
      </c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</row>
    <row r="21" spans="1:35" x14ac:dyDescent="0.15">
      <c r="A21" s="31"/>
      <c r="B21" s="31">
        <v>902</v>
      </c>
      <c r="C21" s="31" t="s">
        <v>43</v>
      </c>
      <c r="D21" s="31">
        <v>1985.8</v>
      </c>
      <c r="E21" s="31">
        <v>144.44999999999999</v>
      </c>
      <c r="F21" s="31"/>
      <c r="G21" s="31"/>
      <c r="H21" s="31"/>
      <c r="I21" s="31"/>
      <c r="J21" s="31">
        <v>20</v>
      </c>
      <c r="K21" s="31" t="s">
        <v>918</v>
      </c>
      <c r="L21" s="1">
        <v>-1.4209000000000001</v>
      </c>
      <c r="M21" s="1">
        <v>1.2345999999999999</v>
      </c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</row>
    <row r="22" spans="1:35" x14ac:dyDescent="0.15">
      <c r="A22" s="31"/>
      <c r="B22" s="31">
        <v>903</v>
      </c>
      <c r="C22" s="31" t="s">
        <v>43</v>
      </c>
      <c r="D22" s="31">
        <v>2946</v>
      </c>
      <c r="E22" s="31">
        <v>177.29</v>
      </c>
      <c r="F22" s="31"/>
      <c r="G22" s="31"/>
      <c r="H22" s="31"/>
      <c r="I22" s="31"/>
      <c r="J22" s="31">
        <v>21</v>
      </c>
      <c r="K22" s="31" t="s">
        <v>918</v>
      </c>
      <c r="L22" s="1">
        <v>-1.4274</v>
      </c>
      <c r="M22" s="1">
        <v>1.2361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</row>
    <row r="23" spans="1:35" x14ac:dyDescent="0.15">
      <c r="A23" s="31"/>
      <c r="B23" s="31">
        <v>904</v>
      </c>
      <c r="C23" s="31" t="s">
        <v>43</v>
      </c>
      <c r="D23" s="31">
        <v>3594.3</v>
      </c>
      <c r="E23" s="31">
        <v>199.29</v>
      </c>
      <c r="F23" s="31"/>
      <c r="G23" s="31"/>
      <c r="H23" s="31"/>
      <c r="I23" s="31"/>
      <c r="J23" s="31">
        <v>22</v>
      </c>
      <c r="K23" s="31" t="s">
        <v>918</v>
      </c>
      <c r="L23" s="1">
        <v>-1.4473</v>
      </c>
      <c r="M23" s="1">
        <v>1.2405999999999999</v>
      </c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</row>
    <row r="24" spans="1:35" x14ac:dyDescent="0.15">
      <c r="A24" s="31"/>
      <c r="B24" s="31">
        <v>905</v>
      </c>
      <c r="C24" s="31" t="s">
        <v>43</v>
      </c>
      <c r="D24" s="31">
        <v>3812.4</v>
      </c>
      <c r="E24" s="31">
        <v>203</v>
      </c>
      <c r="F24" s="31"/>
      <c r="G24" s="31"/>
      <c r="H24" s="31"/>
      <c r="I24" s="31"/>
      <c r="J24" s="31">
        <v>23</v>
      </c>
      <c r="K24" s="31" t="s">
        <v>918</v>
      </c>
      <c r="L24" s="1">
        <v>-1.4865999999999999</v>
      </c>
      <c r="M24" s="1">
        <v>1.2508999999999999</v>
      </c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</row>
    <row r="25" spans="1:35" x14ac:dyDescent="0.15">
      <c r="A25" s="31"/>
      <c r="B25" s="31">
        <v>906</v>
      </c>
      <c r="C25" s="31" t="s">
        <v>43</v>
      </c>
      <c r="D25" s="31">
        <v>4029.6</v>
      </c>
      <c r="E25" s="31">
        <v>196.62</v>
      </c>
      <c r="F25" s="31"/>
      <c r="G25" s="31"/>
      <c r="H25" s="31"/>
      <c r="I25" s="31"/>
      <c r="J25" s="31">
        <v>24</v>
      </c>
      <c r="K25" s="31" t="s">
        <v>918</v>
      </c>
      <c r="L25" s="1">
        <v>-1.4872000000000001</v>
      </c>
      <c r="M25" s="1">
        <v>1.2509999999999999</v>
      </c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</row>
    <row r="26" spans="1:35" x14ac:dyDescent="0.15">
      <c r="A26" s="31"/>
      <c r="B26" s="31">
        <v>907</v>
      </c>
      <c r="C26" s="31" t="s">
        <v>43</v>
      </c>
      <c r="D26" s="31">
        <v>4183.3</v>
      </c>
      <c r="E26" s="31">
        <v>189.2</v>
      </c>
      <c r="F26" s="31"/>
      <c r="G26" s="31"/>
      <c r="H26" s="31"/>
      <c r="I26" s="31"/>
      <c r="J26" s="31">
        <v>25</v>
      </c>
      <c r="K26" s="31" t="s">
        <v>206</v>
      </c>
      <c r="L26" s="1">
        <v>-1.3588</v>
      </c>
      <c r="M26" s="1">
        <v>0.34236</v>
      </c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</row>
    <row r="27" spans="1:35" x14ac:dyDescent="0.15">
      <c r="A27" s="31"/>
      <c r="B27" s="31">
        <v>908</v>
      </c>
      <c r="C27" s="31" t="s">
        <v>43</v>
      </c>
      <c r="D27" s="31">
        <v>4216.2</v>
      </c>
      <c r="E27" s="31">
        <v>178.8</v>
      </c>
      <c r="F27" s="31"/>
      <c r="G27" s="31"/>
      <c r="H27" s="31"/>
      <c r="I27" s="31"/>
      <c r="J27" s="31">
        <v>26</v>
      </c>
      <c r="K27" s="31" t="s">
        <v>206</v>
      </c>
      <c r="L27" s="1">
        <v>-1.6910999999999999E-2</v>
      </c>
      <c r="M27" s="1">
        <v>0.22889000000000001</v>
      </c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</row>
    <row r="28" spans="1:35" x14ac:dyDescent="0.15">
      <c r="A28" s="31"/>
      <c r="B28" s="31">
        <v>909</v>
      </c>
      <c r="C28" s="31" t="s">
        <v>43</v>
      </c>
      <c r="D28" s="31">
        <v>4129.6000000000004</v>
      </c>
      <c r="E28" s="31">
        <v>164.51</v>
      </c>
      <c r="F28" s="31"/>
      <c r="G28" s="31"/>
      <c r="H28" s="31"/>
      <c r="I28" s="31"/>
      <c r="J28" s="31">
        <v>27</v>
      </c>
      <c r="K28" s="31" t="s">
        <v>206</v>
      </c>
      <c r="L28" s="1">
        <v>-0.36453999999999998</v>
      </c>
      <c r="M28" s="1">
        <v>0.32414999999999999</v>
      </c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</row>
    <row r="29" spans="1:35" x14ac:dyDescent="0.15">
      <c r="A29" s="31"/>
      <c r="B29" s="31">
        <v>910</v>
      </c>
      <c r="C29" s="31" t="s">
        <v>43</v>
      </c>
      <c r="D29" s="31">
        <v>3668.5</v>
      </c>
      <c r="E29" s="31">
        <v>150.16999999999999</v>
      </c>
      <c r="F29" s="31"/>
      <c r="G29" s="31"/>
      <c r="H29" s="31"/>
      <c r="I29" s="31"/>
      <c r="J29" s="31">
        <v>28</v>
      </c>
      <c r="K29" s="31" t="s">
        <v>206</v>
      </c>
      <c r="L29" s="1">
        <v>0.31703999999999999</v>
      </c>
      <c r="M29" s="1">
        <v>0.25608999999999998</v>
      </c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</row>
    <row r="30" spans="1:35" x14ac:dyDescent="0.15">
      <c r="A30" s="31"/>
      <c r="B30" s="31">
        <v>911</v>
      </c>
      <c r="C30" s="31" t="s">
        <v>43</v>
      </c>
      <c r="D30" s="31">
        <v>2927.9</v>
      </c>
      <c r="E30" s="31">
        <v>132.56</v>
      </c>
      <c r="F30" s="31"/>
      <c r="G30" s="31"/>
      <c r="H30" s="31"/>
      <c r="I30" s="31"/>
      <c r="J30" s="31">
        <v>29</v>
      </c>
      <c r="K30" s="31" t="s">
        <v>206</v>
      </c>
      <c r="L30" s="1">
        <v>0.24304999999999999</v>
      </c>
      <c r="M30" s="1">
        <v>0.26587</v>
      </c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</row>
    <row r="31" spans="1:35" x14ac:dyDescent="0.15">
      <c r="A31" s="31"/>
      <c r="B31" s="31">
        <v>912</v>
      </c>
      <c r="C31" s="31" t="s">
        <v>43</v>
      </c>
      <c r="D31" s="31">
        <v>2179.4</v>
      </c>
      <c r="E31" s="31">
        <v>114.64</v>
      </c>
      <c r="F31" s="31"/>
      <c r="G31" s="31"/>
      <c r="H31" s="31"/>
      <c r="I31" s="31"/>
      <c r="J31" s="31">
        <v>30</v>
      </c>
      <c r="K31" s="31" t="s">
        <v>206</v>
      </c>
      <c r="L31" s="1">
        <v>0.33160000000000001</v>
      </c>
      <c r="M31" s="1">
        <v>0.25352000000000002</v>
      </c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</row>
    <row r="32" spans="1:35" x14ac:dyDescent="0.15">
      <c r="A32" s="31"/>
      <c r="B32" s="31">
        <v>913</v>
      </c>
      <c r="C32" s="31" t="s">
        <v>43</v>
      </c>
      <c r="D32" s="31">
        <v>2303.1</v>
      </c>
      <c r="E32" s="31">
        <v>106.28</v>
      </c>
      <c r="F32" s="31"/>
      <c r="G32" s="31"/>
      <c r="H32" s="31"/>
      <c r="I32" s="31"/>
      <c r="J32" s="31">
        <v>31</v>
      </c>
      <c r="K32" s="31" t="s">
        <v>206</v>
      </c>
      <c r="L32" s="1">
        <v>-3.9684999999999998E-2</v>
      </c>
      <c r="M32" s="1">
        <v>0.28739999999999999</v>
      </c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</row>
    <row r="33" spans="1:35" x14ac:dyDescent="0.15">
      <c r="A33" s="31"/>
      <c r="B33" s="31">
        <v>914</v>
      </c>
      <c r="C33" s="31" t="s">
        <v>43</v>
      </c>
      <c r="D33" s="31">
        <v>3202.4</v>
      </c>
      <c r="E33" s="31">
        <v>119.23</v>
      </c>
      <c r="F33" s="31"/>
      <c r="G33" s="31"/>
      <c r="H33" s="31"/>
      <c r="I33" s="31"/>
      <c r="J33" s="31">
        <v>32</v>
      </c>
      <c r="K33" s="31" t="s">
        <v>206</v>
      </c>
      <c r="L33" s="1">
        <v>-0.75705</v>
      </c>
      <c r="M33" s="1">
        <v>0.34216000000000002</v>
      </c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</row>
    <row r="34" spans="1:35" x14ac:dyDescent="0.15">
      <c r="A34" s="31"/>
      <c r="B34" s="31">
        <v>915</v>
      </c>
      <c r="C34" s="31" t="s">
        <v>43</v>
      </c>
      <c r="D34" s="31">
        <v>3522.5</v>
      </c>
      <c r="E34" s="31">
        <v>124.43</v>
      </c>
      <c r="F34" s="31"/>
      <c r="G34" s="31"/>
      <c r="H34" s="31"/>
      <c r="I34" s="31"/>
      <c r="J34" s="31">
        <v>33</v>
      </c>
      <c r="K34" s="31" t="s">
        <v>206</v>
      </c>
      <c r="L34" s="1">
        <v>-0.66337000000000002</v>
      </c>
      <c r="M34" s="1">
        <v>0.31420999999999999</v>
      </c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</row>
    <row r="35" spans="1:35" x14ac:dyDescent="0.15">
      <c r="A35" s="31"/>
      <c r="B35" s="31">
        <v>916</v>
      </c>
      <c r="C35" s="31" t="s">
        <v>43</v>
      </c>
      <c r="D35" s="31">
        <v>3749.1</v>
      </c>
      <c r="E35" s="31">
        <v>129.1</v>
      </c>
      <c r="F35" s="31"/>
      <c r="G35" s="31"/>
      <c r="H35" s="31"/>
      <c r="I35" s="31"/>
      <c r="J35" s="31">
        <v>34</v>
      </c>
      <c r="K35" s="31" t="s">
        <v>206</v>
      </c>
      <c r="L35" s="1">
        <v>0.31702000000000002</v>
      </c>
      <c r="M35" s="1">
        <v>0.18912999999999999</v>
      </c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</row>
    <row r="36" spans="1:35" x14ac:dyDescent="0.15">
      <c r="A36" s="31"/>
      <c r="B36" s="31">
        <v>917</v>
      </c>
      <c r="C36" s="31" t="s">
        <v>43</v>
      </c>
      <c r="D36" s="31">
        <v>3764.9</v>
      </c>
      <c r="E36" s="31">
        <v>133.97</v>
      </c>
      <c r="F36" s="31"/>
      <c r="G36" s="31"/>
      <c r="H36" s="31"/>
      <c r="I36" s="31"/>
      <c r="J36" s="31">
        <v>35</v>
      </c>
      <c r="K36" s="31" t="s">
        <v>206</v>
      </c>
      <c r="L36" s="1">
        <v>2.138E-2</v>
      </c>
      <c r="M36" s="1">
        <v>0.1961</v>
      </c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</row>
    <row r="37" spans="1:35" x14ac:dyDescent="0.15">
      <c r="A37" s="31"/>
      <c r="B37" s="31">
        <v>918</v>
      </c>
      <c r="C37" s="31" t="s">
        <v>43</v>
      </c>
      <c r="D37" s="31">
        <v>3564.7</v>
      </c>
      <c r="E37" s="31">
        <v>132.72999999999999</v>
      </c>
      <c r="F37" s="31"/>
      <c r="G37" s="31"/>
      <c r="H37" s="31"/>
      <c r="I37" s="31"/>
      <c r="J37" s="31">
        <v>36</v>
      </c>
      <c r="K37" s="31" t="s">
        <v>206</v>
      </c>
      <c r="L37" s="1">
        <v>-0.14226</v>
      </c>
      <c r="M37" s="1">
        <v>0.18173</v>
      </c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</row>
    <row r="38" spans="1:35" x14ac:dyDescent="0.15">
      <c r="A38" s="31"/>
      <c r="B38" s="31">
        <v>919</v>
      </c>
      <c r="C38" s="31" t="s">
        <v>43</v>
      </c>
      <c r="D38" s="31">
        <v>3317.4</v>
      </c>
      <c r="E38" s="31">
        <v>125.34</v>
      </c>
      <c r="F38" s="31"/>
      <c r="G38" s="31"/>
      <c r="H38" s="31"/>
      <c r="I38" s="31"/>
      <c r="J38" s="31">
        <v>37</v>
      </c>
      <c r="K38" s="31" t="s">
        <v>206</v>
      </c>
      <c r="L38" s="1">
        <v>-0.40401999999999999</v>
      </c>
      <c r="M38" s="1">
        <v>0.18126999999999999</v>
      </c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</row>
    <row r="39" spans="1:35" x14ac:dyDescent="0.15">
      <c r="A39" s="31"/>
      <c r="B39" s="31">
        <v>920</v>
      </c>
      <c r="C39" s="31" t="s">
        <v>43</v>
      </c>
      <c r="D39" s="31">
        <v>3317.8</v>
      </c>
      <c r="E39" s="31">
        <v>118.63</v>
      </c>
      <c r="F39" s="31"/>
      <c r="G39" s="31"/>
      <c r="H39" s="31"/>
      <c r="I39" s="31"/>
      <c r="J39" s="31">
        <v>38</v>
      </c>
      <c r="K39" s="31" t="s">
        <v>206</v>
      </c>
      <c r="L39" s="1">
        <v>-0.40472000000000002</v>
      </c>
      <c r="M39" s="1">
        <v>0.16250000000000001</v>
      </c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</row>
    <row r="40" spans="1:35" x14ac:dyDescent="0.15">
      <c r="A40" s="31"/>
      <c r="B40" s="31">
        <v>921</v>
      </c>
      <c r="C40" s="31" t="s">
        <v>43</v>
      </c>
      <c r="D40" s="31">
        <v>3345.5</v>
      </c>
      <c r="E40" s="31">
        <v>115.34</v>
      </c>
      <c r="F40" s="31"/>
      <c r="G40" s="31"/>
      <c r="H40" s="31"/>
      <c r="I40" s="31"/>
      <c r="J40" s="31">
        <v>39</v>
      </c>
      <c r="K40" s="31" t="s">
        <v>206</v>
      </c>
      <c r="L40" s="1">
        <v>0.25839000000000001</v>
      </c>
      <c r="M40" s="1">
        <v>0.13286999999999999</v>
      </c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</row>
    <row r="41" spans="1:35" x14ac:dyDescent="0.15">
      <c r="A41" s="31"/>
      <c r="B41" s="31">
        <v>922</v>
      </c>
      <c r="C41" s="31" t="s">
        <v>43</v>
      </c>
      <c r="D41" s="31">
        <v>3382.3</v>
      </c>
      <c r="E41" s="31">
        <v>120.58</v>
      </c>
      <c r="F41" s="31"/>
      <c r="G41" s="31"/>
      <c r="H41" s="31"/>
      <c r="I41" s="31"/>
      <c r="J41" s="31">
        <v>40</v>
      </c>
      <c r="K41" s="31" t="s">
        <v>206</v>
      </c>
      <c r="L41" s="1">
        <v>1.1657</v>
      </c>
      <c r="M41" s="1">
        <v>0.11881</v>
      </c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</row>
    <row r="42" spans="1:35" x14ac:dyDescent="0.15">
      <c r="A42" s="31"/>
      <c r="B42" s="31">
        <v>923</v>
      </c>
      <c r="C42" s="31" t="s">
        <v>43</v>
      </c>
      <c r="D42" s="31">
        <v>3215.9</v>
      </c>
      <c r="E42" s="31">
        <v>114.17</v>
      </c>
      <c r="F42" s="31"/>
      <c r="G42" s="31"/>
      <c r="H42" s="31"/>
      <c r="I42" s="31"/>
      <c r="J42" s="31">
        <v>41</v>
      </c>
      <c r="K42" s="31" t="s">
        <v>206</v>
      </c>
      <c r="L42" s="1">
        <v>0.24815000000000001</v>
      </c>
      <c r="M42" s="1">
        <v>0.12601000000000001</v>
      </c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</row>
    <row r="43" spans="1:35" x14ac:dyDescent="0.15">
      <c r="A43" s="31"/>
      <c r="B43" s="31">
        <v>924</v>
      </c>
      <c r="C43" s="31" t="s">
        <v>43</v>
      </c>
      <c r="D43" s="31">
        <v>3417.9</v>
      </c>
      <c r="E43" s="31">
        <v>110.7</v>
      </c>
      <c r="F43" s="31"/>
      <c r="G43" s="31"/>
      <c r="H43" s="31"/>
      <c r="I43" s="31"/>
      <c r="J43" s="31">
        <v>42</v>
      </c>
      <c r="K43" s="31" t="s">
        <v>206</v>
      </c>
      <c r="L43" s="1">
        <v>0.38361000000000001</v>
      </c>
      <c r="M43" s="1">
        <v>0.12573999999999999</v>
      </c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</row>
    <row r="44" spans="1:35" x14ac:dyDescent="0.15">
      <c r="A44" s="31"/>
      <c r="B44" s="31">
        <v>925</v>
      </c>
      <c r="C44" s="31" t="s">
        <v>43</v>
      </c>
      <c r="D44" s="31">
        <v>3520.4</v>
      </c>
      <c r="E44" s="31">
        <v>109.57</v>
      </c>
      <c r="F44" s="31"/>
      <c r="G44" s="31"/>
      <c r="H44" s="31"/>
      <c r="I44" s="31"/>
      <c r="J44" s="31">
        <v>43</v>
      </c>
      <c r="K44" s="31" t="s">
        <v>206</v>
      </c>
      <c r="L44" s="1">
        <v>-0.2762</v>
      </c>
      <c r="M44" s="1">
        <v>0.14657999999999999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</row>
    <row r="45" spans="1:35" x14ac:dyDescent="0.15">
      <c r="A45" s="31"/>
      <c r="B45" s="31">
        <v>926</v>
      </c>
      <c r="C45" s="31" t="s">
        <v>43</v>
      </c>
      <c r="D45" s="31">
        <v>3223</v>
      </c>
      <c r="E45" s="31">
        <v>104.64</v>
      </c>
      <c r="F45" s="31"/>
      <c r="G45" s="31"/>
      <c r="H45" s="31"/>
      <c r="I45" s="31"/>
      <c r="J45" s="31">
        <v>44</v>
      </c>
      <c r="K45" s="31" t="s">
        <v>206</v>
      </c>
      <c r="L45" s="1">
        <v>0.94035000000000002</v>
      </c>
      <c r="M45" s="1">
        <v>0.11339</v>
      </c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</row>
    <row r="46" spans="1:35" x14ac:dyDescent="0.15">
      <c r="A46" s="31"/>
      <c r="B46" s="31">
        <v>927</v>
      </c>
      <c r="C46" s="31" t="s">
        <v>43</v>
      </c>
      <c r="D46" s="31">
        <v>2651</v>
      </c>
      <c r="E46" s="31">
        <v>95.847999999999999</v>
      </c>
      <c r="F46" s="31"/>
      <c r="G46" s="31"/>
      <c r="H46" s="31"/>
      <c r="I46" s="31"/>
      <c r="J46" s="31">
        <v>45</v>
      </c>
      <c r="K46" s="31" t="s">
        <v>206</v>
      </c>
      <c r="L46" s="1">
        <v>-0.45405000000000001</v>
      </c>
      <c r="M46" s="1">
        <v>0.14735000000000001</v>
      </c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</row>
    <row r="47" spans="1:35" x14ac:dyDescent="0.15">
      <c r="A47" s="31"/>
      <c r="B47" s="31">
        <v>928</v>
      </c>
      <c r="C47" s="31" t="s">
        <v>43</v>
      </c>
      <c r="D47" s="31">
        <v>2215.1999999999998</v>
      </c>
      <c r="E47" s="31">
        <v>94.554000000000002</v>
      </c>
      <c r="F47" s="31"/>
      <c r="G47" s="31"/>
      <c r="H47" s="31"/>
      <c r="I47" s="31"/>
      <c r="J47" s="31">
        <v>46</v>
      </c>
      <c r="K47" s="31" t="s">
        <v>206</v>
      </c>
      <c r="L47" s="1">
        <v>0.52312999999999998</v>
      </c>
      <c r="M47" s="1">
        <v>0.11604</v>
      </c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</row>
    <row r="48" spans="1:35" x14ac:dyDescent="0.15">
      <c r="A48" s="31"/>
      <c r="B48" s="31">
        <v>929</v>
      </c>
      <c r="C48" s="31" t="s">
        <v>43</v>
      </c>
      <c r="D48" s="31">
        <v>1629.7</v>
      </c>
      <c r="E48" s="31">
        <v>81.932000000000002</v>
      </c>
      <c r="F48" s="31"/>
      <c r="G48" s="31"/>
      <c r="H48" s="31"/>
      <c r="I48" s="31"/>
      <c r="J48" s="31">
        <v>47</v>
      </c>
      <c r="K48" s="31" t="s">
        <v>206</v>
      </c>
      <c r="L48" s="1">
        <v>-0.36519000000000001</v>
      </c>
      <c r="M48" s="1">
        <v>0.13145000000000001</v>
      </c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</row>
    <row r="49" spans="1:35" x14ac:dyDescent="0.15">
      <c r="A49" s="31"/>
      <c r="B49" s="31">
        <v>930</v>
      </c>
      <c r="C49" s="31" t="s">
        <v>43</v>
      </c>
      <c r="D49" s="31">
        <v>1775.3</v>
      </c>
      <c r="E49" s="31">
        <v>95.245000000000005</v>
      </c>
      <c r="F49" s="31"/>
      <c r="G49" s="31"/>
      <c r="H49" s="31"/>
      <c r="I49" s="31"/>
      <c r="J49" s="31">
        <v>48</v>
      </c>
      <c r="K49" s="31" t="s">
        <v>206</v>
      </c>
      <c r="L49" s="1">
        <v>-0.9022</v>
      </c>
      <c r="M49" s="1">
        <v>0.14857999999999999</v>
      </c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</row>
    <row r="50" spans="1:35" x14ac:dyDescent="0.15">
      <c r="A50" s="31"/>
      <c r="B50" s="31">
        <v>931</v>
      </c>
      <c r="C50" s="31" t="s">
        <v>43</v>
      </c>
      <c r="D50" s="31">
        <v>2017.6</v>
      </c>
      <c r="E50" s="31">
        <v>113.53</v>
      </c>
      <c r="F50" s="31"/>
      <c r="G50" s="31"/>
      <c r="H50" s="31"/>
      <c r="I50" s="31"/>
      <c r="J50" s="31">
        <v>49</v>
      </c>
      <c r="K50" s="31" t="s">
        <v>206</v>
      </c>
      <c r="L50" s="1">
        <v>-1.3452</v>
      </c>
      <c r="M50" s="1">
        <v>0.1641</v>
      </c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</row>
    <row r="51" spans="1:35" x14ac:dyDescent="0.15">
      <c r="A51" s="31"/>
      <c r="B51" s="31">
        <v>932</v>
      </c>
      <c r="C51" s="31" t="s">
        <v>43</v>
      </c>
      <c r="D51" s="31">
        <v>2538.1</v>
      </c>
      <c r="E51" s="31">
        <v>162.08000000000001</v>
      </c>
      <c r="F51" s="31"/>
      <c r="G51" s="31"/>
      <c r="H51" s="31"/>
      <c r="I51" s="31"/>
      <c r="J51" s="31">
        <v>50</v>
      </c>
      <c r="K51" s="31" t="s">
        <v>206</v>
      </c>
      <c r="L51" s="1">
        <v>-0.70499999999999996</v>
      </c>
      <c r="M51" s="1">
        <v>0.1424</v>
      </c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</row>
    <row r="52" spans="1:35" x14ac:dyDescent="0.15">
      <c r="A52" s="31"/>
      <c r="B52" s="31">
        <v>933</v>
      </c>
      <c r="C52" s="31" t="s">
        <v>43</v>
      </c>
      <c r="D52" s="31">
        <v>3053</v>
      </c>
      <c r="E52" s="31">
        <v>235.34</v>
      </c>
      <c r="F52" s="31"/>
      <c r="G52" s="31"/>
      <c r="H52" s="31"/>
      <c r="I52" s="31"/>
      <c r="J52" s="31">
        <v>51</v>
      </c>
      <c r="K52" s="31" t="s">
        <v>206</v>
      </c>
      <c r="L52" s="1">
        <v>0.87402999999999997</v>
      </c>
      <c r="M52" s="1">
        <v>0.10664</v>
      </c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</row>
    <row r="53" spans="1:35" x14ac:dyDescent="0.15">
      <c r="A53" s="31"/>
      <c r="B53" s="31">
        <v>934</v>
      </c>
      <c r="C53" s="31" t="s">
        <v>43</v>
      </c>
      <c r="D53" s="31">
        <v>3490.3</v>
      </c>
      <c r="E53" s="31">
        <v>314.02</v>
      </c>
      <c r="F53" s="31"/>
      <c r="G53" s="31"/>
      <c r="H53" s="31"/>
      <c r="I53" s="31"/>
      <c r="J53" s="31">
        <v>52</v>
      </c>
      <c r="K53" s="31" t="s">
        <v>206</v>
      </c>
      <c r="L53" s="1">
        <v>0.19886999999999999</v>
      </c>
      <c r="M53" s="1">
        <v>0.11425</v>
      </c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</row>
    <row r="54" spans="1:35" x14ac:dyDescent="0.15">
      <c r="A54" s="31"/>
      <c r="B54" s="31">
        <v>935</v>
      </c>
      <c r="C54" s="31" t="s">
        <v>43</v>
      </c>
      <c r="D54" s="31">
        <v>3467.5</v>
      </c>
      <c r="E54" s="31">
        <v>361.57</v>
      </c>
      <c r="F54" s="31"/>
      <c r="G54" s="31"/>
      <c r="H54" s="31"/>
      <c r="I54" s="31"/>
      <c r="J54" s="31">
        <v>53</v>
      </c>
      <c r="K54" s="31" t="s">
        <v>206</v>
      </c>
      <c r="L54" s="1">
        <v>4.9037999999999998E-2</v>
      </c>
      <c r="M54" s="1">
        <v>0.11829000000000001</v>
      </c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</row>
    <row r="55" spans="1:35" x14ac:dyDescent="0.15">
      <c r="A55" s="31"/>
      <c r="B55" s="31">
        <v>936</v>
      </c>
      <c r="C55" s="31" t="s">
        <v>43</v>
      </c>
      <c r="D55" s="31">
        <v>3483.4</v>
      </c>
      <c r="E55" s="31">
        <v>397.65</v>
      </c>
      <c r="J55" s="31">
        <v>54</v>
      </c>
      <c r="K55" s="31" t="s">
        <v>206</v>
      </c>
      <c r="L55" s="1">
        <v>0.82023999999999997</v>
      </c>
      <c r="M55" s="1">
        <v>0.10791000000000001</v>
      </c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</row>
    <row r="56" spans="1:35" x14ac:dyDescent="0.15">
      <c r="A56" s="31"/>
      <c r="B56" s="31">
        <v>1444</v>
      </c>
      <c r="C56" s="31" t="s">
        <v>54</v>
      </c>
      <c r="D56" s="31">
        <v>3483.4</v>
      </c>
      <c r="E56" s="31">
        <v>397.65</v>
      </c>
      <c r="F56" s="31"/>
      <c r="G56" s="31"/>
      <c r="H56" s="31"/>
      <c r="I56" s="31"/>
      <c r="J56" s="31">
        <v>55</v>
      </c>
      <c r="K56" s="31" t="s">
        <v>206</v>
      </c>
      <c r="L56" s="1">
        <v>-0.35972999999999999</v>
      </c>
      <c r="M56" s="1">
        <v>0.12366000000000001</v>
      </c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</row>
    <row r="57" spans="1:35" x14ac:dyDescent="0.15">
      <c r="A57" s="31"/>
      <c r="B57" s="31">
        <v>1445</v>
      </c>
      <c r="C57" s="31" t="s">
        <v>54</v>
      </c>
      <c r="D57" s="31">
        <v>3695.8</v>
      </c>
      <c r="E57" s="31">
        <v>444.73</v>
      </c>
      <c r="F57" s="31"/>
      <c r="G57" s="31"/>
      <c r="H57" s="31"/>
      <c r="I57" s="31"/>
      <c r="J57" s="31">
        <v>56</v>
      </c>
      <c r="K57" s="31" t="s">
        <v>206</v>
      </c>
      <c r="L57" s="1">
        <v>-0.67305000000000004</v>
      </c>
      <c r="M57" s="1">
        <v>0.12687999999999999</v>
      </c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</row>
    <row r="58" spans="1:35" x14ac:dyDescent="0.15">
      <c r="A58" s="31"/>
      <c r="B58" s="31">
        <v>1446</v>
      </c>
      <c r="C58" s="31" t="s">
        <v>54</v>
      </c>
      <c r="D58" s="31">
        <v>4058.5</v>
      </c>
      <c r="E58" s="31">
        <v>504.6</v>
      </c>
      <c r="F58" s="31"/>
      <c r="G58" s="31"/>
      <c r="H58" s="31"/>
      <c r="I58" s="31"/>
      <c r="J58" s="31">
        <v>57</v>
      </c>
      <c r="K58" s="31" t="s">
        <v>206</v>
      </c>
      <c r="L58" s="1">
        <v>9.9289000000000002E-2</v>
      </c>
      <c r="M58" s="1">
        <v>0.11107</v>
      </c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</row>
    <row r="59" spans="1:35" x14ac:dyDescent="0.15">
      <c r="A59" s="31"/>
      <c r="B59" s="31">
        <v>1447</v>
      </c>
      <c r="C59" s="31" t="s">
        <v>54</v>
      </c>
      <c r="D59" s="31">
        <v>4302.5</v>
      </c>
      <c r="E59" s="31">
        <v>570.29999999999995</v>
      </c>
      <c r="F59" s="31"/>
      <c r="G59" s="31"/>
      <c r="H59" s="31"/>
      <c r="I59" s="31"/>
      <c r="J59" s="31">
        <v>58</v>
      </c>
      <c r="K59" s="31" t="s">
        <v>206</v>
      </c>
      <c r="L59" s="1">
        <v>0.40722000000000003</v>
      </c>
      <c r="M59" s="1">
        <v>0.108</v>
      </c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</row>
    <row r="60" spans="1:35" x14ac:dyDescent="0.15">
      <c r="A60" s="31"/>
      <c r="B60" s="31">
        <v>1448</v>
      </c>
      <c r="C60" s="31" t="s">
        <v>54</v>
      </c>
      <c r="D60" s="31">
        <v>4526.8</v>
      </c>
      <c r="E60" s="31">
        <v>760.43</v>
      </c>
      <c r="F60" s="31"/>
      <c r="G60" s="31"/>
      <c r="H60" s="31"/>
      <c r="I60" s="31"/>
      <c r="J60" s="31">
        <v>59</v>
      </c>
      <c r="K60" s="31" t="s">
        <v>206</v>
      </c>
      <c r="L60" s="1">
        <v>-0.28800999999999999</v>
      </c>
      <c r="M60" s="1">
        <v>0.11588</v>
      </c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</row>
    <row r="61" spans="1:35" x14ac:dyDescent="0.15">
      <c r="A61" s="31"/>
      <c r="B61" s="31">
        <v>1449</v>
      </c>
      <c r="C61" s="31" t="s">
        <v>54</v>
      </c>
      <c r="D61" s="31">
        <v>4705.5</v>
      </c>
      <c r="E61" s="31">
        <v>979.21</v>
      </c>
      <c r="F61" s="31"/>
      <c r="G61" s="31"/>
      <c r="H61" s="31"/>
      <c r="I61" s="31"/>
      <c r="J61" s="31">
        <v>60</v>
      </c>
      <c r="K61" s="31" t="s">
        <v>206</v>
      </c>
      <c r="L61" s="1">
        <v>-0.19670000000000001</v>
      </c>
      <c r="M61" s="1">
        <v>0.11430999999999999</v>
      </c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</row>
    <row r="62" spans="1:35" x14ac:dyDescent="0.15">
      <c r="A62" s="31"/>
      <c r="B62" s="31">
        <v>1450</v>
      </c>
      <c r="C62" s="31" t="s">
        <v>54</v>
      </c>
      <c r="D62" s="31">
        <v>3483.4</v>
      </c>
      <c r="E62" s="31">
        <v>397.65</v>
      </c>
      <c r="F62" s="31"/>
      <c r="G62" s="31"/>
      <c r="H62" s="31"/>
      <c r="I62" s="31"/>
      <c r="J62" s="31">
        <v>61</v>
      </c>
      <c r="K62" s="31" t="s">
        <v>206</v>
      </c>
      <c r="L62" s="1">
        <v>0.23655000000000001</v>
      </c>
      <c r="M62" s="1">
        <v>0.10913</v>
      </c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</row>
    <row r="63" spans="1:35" x14ac:dyDescent="0.15">
      <c r="A63" s="31"/>
      <c r="B63" s="31">
        <v>1451</v>
      </c>
      <c r="C63" s="31" t="s">
        <v>54</v>
      </c>
      <c r="D63" s="31">
        <v>3679.3</v>
      </c>
      <c r="E63" s="31">
        <v>444.87</v>
      </c>
      <c r="F63" s="31"/>
      <c r="G63" s="31"/>
      <c r="H63" s="31"/>
      <c r="I63" s="31"/>
      <c r="J63" s="31">
        <v>62</v>
      </c>
      <c r="K63" s="31" t="s">
        <v>206</v>
      </c>
      <c r="L63" s="1">
        <v>0.54022000000000003</v>
      </c>
      <c r="M63" s="1">
        <v>0.10594000000000001</v>
      </c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</row>
    <row r="64" spans="1:35" x14ac:dyDescent="0.15">
      <c r="A64" s="31"/>
      <c r="B64" s="31">
        <v>1452</v>
      </c>
      <c r="C64" s="31" t="s">
        <v>54</v>
      </c>
      <c r="D64" s="31">
        <v>3982.5</v>
      </c>
      <c r="E64" s="31">
        <v>505.08</v>
      </c>
      <c r="F64" s="31"/>
      <c r="G64" s="31"/>
      <c r="H64" s="31"/>
      <c r="I64" s="31"/>
      <c r="J64" s="31">
        <v>63</v>
      </c>
      <c r="K64" s="31" t="s">
        <v>206</v>
      </c>
      <c r="L64" s="1">
        <v>0.10345</v>
      </c>
      <c r="M64" s="1">
        <v>0.10884000000000001</v>
      </c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</row>
    <row r="65" spans="1:35" x14ac:dyDescent="0.15">
      <c r="A65" s="31"/>
      <c r="B65" s="31">
        <v>1453</v>
      </c>
      <c r="C65" s="31" t="s">
        <v>54</v>
      </c>
      <c r="D65" s="31">
        <v>4169.8999999999996</v>
      </c>
      <c r="E65" s="31">
        <v>569.87</v>
      </c>
      <c r="F65" s="31"/>
      <c r="G65" s="31"/>
      <c r="H65" s="31"/>
      <c r="I65" s="31"/>
      <c r="J65" s="31">
        <v>64</v>
      </c>
      <c r="K65" s="31" t="s">
        <v>206</v>
      </c>
      <c r="L65" s="1">
        <v>-0.40562999999999999</v>
      </c>
      <c r="M65" s="1">
        <v>0.11284</v>
      </c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</row>
    <row r="66" spans="1:35" x14ac:dyDescent="0.15">
      <c r="A66" s="31"/>
      <c r="B66" s="31">
        <v>1454</v>
      </c>
      <c r="C66" s="31" t="s">
        <v>54</v>
      </c>
      <c r="D66" s="31">
        <v>4347.6000000000004</v>
      </c>
      <c r="E66" s="31">
        <v>757.93</v>
      </c>
      <c r="F66" s="31"/>
      <c r="G66" s="31"/>
      <c r="H66" s="31"/>
      <c r="I66" s="31"/>
      <c r="J66" s="31">
        <v>65</v>
      </c>
      <c r="K66" s="31" t="s">
        <v>206</v>
      </c>
      <c r="L66" s="1">
        <v>-1.2083999999999999</v>
      </c>
      <c r="M66" s="1">
        <v>0.12701999999999999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</row>
    <row r="67" spans="1:35" x14ac:dyDescent="0.15">
      <c r="A67" s="31"/>
      <c r="B67" s="31">
        <v>1455</v>
      </c>
      <c r="C67" s="31" t="s">
        <v>54</v>
      </c>
      <c r="D67" s="31">
        <v>4492.8999999999996</v>
      </c>
      <c r="E67" s="31">
        <v>970.59</v>
      </c>
      <c r="F67" s="31"/>
      <c r="G67" s="31"/>
      <c r="H67" s="31"/>
      <c r="I67" s="31"/>
      <c r="J67" s="31">
        <v>66</v>
      </c>
      <c r="K67" s="31" t="s">
        <v>206</v>
      </c>
      <c r="L67" s="1">
        <v>-1.5946</v>
      </c>
      <c r="M67" s="1">
        <v>0.13893</v>
      </c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x14ac:dyDescent="0.15">
      <c r="A68" s="31"/>
      <c r="B68" s="31">
        <v>1456</v>
      </c>
      <c r="C68" s="31" t="s">
        <v>54</v>
      </c>
      <c r="D68" s="31">
        <v>3483.4</v>
      </c>
      <c r="E68" s="31">
        <v>397.65</v>
      </c>
      <c r="F68" s="31"/>
      <c r="G68" s="31"/>
      <c r="H68" s="31"/>
      <c r="I68" s="31"/>
      <c r="J68" s="31">
        <v>67</v>
      </c>
      <c r="K68" s="31" t="s">
        <v>206</v>
      </c>
      <c r="L68" s="1">
        <v>-0.65134999999999998</v>
      </c>
      <c r="M68" s="1">
        <v>0.11867</v>
      </c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</row>
    <row r="69" spans="1:35" x14ac:dyDescent="0.15">
      <c r="A69" s="31"/>
      <c r="B69" s="31">
        <v>1457</v>
      </c>
      <c r="C69" s="31" t="s">
        <v>54</v>
      </c>
      <c r="D69" s="31">
        <v>3662.6</v>
      </c>
      <c r="E69" s="31">
        <v>445.05</v>
      </c>
      <c r="F69" s="31"/>
      <c r="G69" s="31"/>
      <c r="H69" s="31"/>
      <c r="I69" s="31"/>
      <c r="J69" s="31">
        <v>68</v>
      </c>
      <c r="K69" s="31" t="s">
        <v>206</v>
      </c>
      <c r="L69" s="1">
        <v>0.19966</v>
      </c>
      <c r="M69" s="1">
        <v>0.11421000000000001</v>
      </c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</row>
    <row r="70" spans="1:35" x14ac:dyDescent="0.15">
      <c r="A70" s="31"/>
      <c r="B70" s="31">
        <v>1458</v>
      </c>
      <c r="C70" s="31" t="s">
        <v>54</v>
      </c>
      <c r="D70" s="31">
        <v>3907.1</v>
      </c>
      <c r="E70" s="31">
        <v>505.63</v>
      </c>
      <c r="F70" s="31"/>
      <c r="G70" s="31"/>
      <c r="H70" s="31"/>
      <c r="I70" s="31"/>
      <c r="J70" s="31">
        <v>69</v>
      </c>
      <c r="K70" s="31" t="s">
        <v>206</v>
      </c>
      <c r="L70" s="1">
        <v>-0.72387000000000001</v>
      </c>
      <c r="M70" s="1">
        <v>0.15035000000000001</v>
      </c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</row>
    <row r="71" spans="1:35" x14ac:dyDescent="0.15">
      <c r="A71" s="31"/>
      <c r="B71" s="31">
        <v>1459</v>
      </c>
      <c r="C71" s="31" t="s">
        <v>54</v>
      </c>
      <c r="D71" s="31">
        <v>4040.7</v>
      </c>
      <c r="E71" s="31">
        <v>569.38</v>
      </c>
      <c r="F71" s="31"/>
      <c r="G71" s="31"/>
      <c r="H71" s="31"/>
      <c r="I71" s="31"/>
      <c r="J71" s="31">
        <v>70</v>
      </c>
      <c r="K71" s="31" t="s">
        <v>206</v>
      </c>
      <c r="L71" s="1">
        <v>0.98531999999999997</v>
      </c>
      <c r="M71" s="1">
        <v>0.13139999999999999</v>
      </c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</row>
    <row r="72" spans="1:35" x14ac:dyDescent="0.15">
      <c r="A72" s="31"/>
      <c r="B72" s="31">
        <v>1460</v>
      </c>
      <c r="C72" s="31" t="s">
        <v>54</v>
      </c>
      <c r="D72" s="31">
        <v>4175.8</v>
      </c>
      <c r="E72" s="31">
        <v>755.24</v>
      </c>
      <c r="F72" s="31"/>
      <c r="G72" s="31"/>
      <c r="H72" s="31"/>
      <c r="I72" s="31"/>
      <c r="J72" s="31">
        <v>71</v>
      </c>
      <c r="K72" s="31" t="s">
        <v>206</v>
      </c>
      <c r="L72" s="1">
        <v>-2.0358000000000001E-2</v>
      </c>
      <c r="M72" s="1">
        <v>0.17907999999999999</v>
      </c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</row>
    <row r="73" spans="1:35" x14ac:dyDescent="0.15">
      <c r="A73" s="31"/>
      <c r="B73" s="31">
        <v>1461</v>
      </c>
      <c r="C73" s="31" t="s">
        <v>54</v>
      </c>
      <c r="D73" s="31">
        <v>4292.2</v>
      </c>
      <c r="E73" s="31">
        <v>961.8</v>
      </c>
      <c r="F73" s="31"/>
      <c r="G73" s="31"/>
      <c r="H73" s="31"/>
      <c r="I73" s="31"/>
      <c r="J73" s="31">
        <v>72</v>
      </c>
      <c r="K73" s="31" t="s">
        <v>206</v>
      </c>
      <c r="L73" s="1">
        <v>0.14507</v>
      </c>
      <c r="M73" s="1">
        <v>0.21178</v>
      </c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</row>
    <row r="74" spans="1:35" x14ac:dyDescent="0.15">
      <c r="A74" s="31"/>
      <c r="B74" s="31">
        <v>1462</v>
      </c>
      <c r="C74" s="31" t="s">
        <v>54</v>
      </c>
      <c r="D74" s="31">
        <v>3483.4</v>
      </c>
      <c r="E74" s="31">
        <v>397.65</v>
      </c>
      <c r="F74" s="31"/>
      <c r="G74" s="31"/>
      <c r="H74" s="31"/>
      <c r="I74" s="31"/>
      <c r="J74" s="31">
        <v>73</v>
      </c>
      <c r="K74" s="31" t="s">
        <v>206</v>
      </c>
      <c r="L74" s="1">
        <v>-0.14627000000000001</v>
      </c>
      <c r="M74" s="1">
        <v>0.17366999999999999</v>
      </c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</row>
    <row r="75" spans="1:35" x14ac:dyDescent="0.15">
      <c r="A75" s="31"/>
      <c r="B75" s="31">
        <v>1463</v>
      </c>
      <c r="C75" s="31" t="s">
        <v>54</v>
      </c>
      <c r="D75" s="31">
        <v>3645.7</v>
      </c>
      <c r="E75" s="31">
        <v>445.28</v>
      </c>
      <c r="F75" s="31"/>
      <c r="G75" s="31"/>
      <c r="H75" s="31"/>
      <c r="I75" s="31"/>
      <c r="J75" s="31">
        <v>74</v>
      </c>
      <c r="K75" s="31" t="s">
        <v>206</v>
      </c>
      <c r="L75" s="1">
        <v>0.39127000000000001</v>
      </c>
      <c r="M75" s="1">
        <v>0.17671000000000001</v>
      </c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</row>
    <row r="76" spans="1:35" x14ac:dyDescent="0.15">
      <c r="A76" s="31"/>
      <c r="B76" s="31">
        <v>1464</v>
      </c>
      <c r="C76" s="31" t="s">
        <v>54</v>
      </c>
      <c r="D76" s="31">
        <v>3832.3</v>
      </c>
      <c r="E76" s="31">
        <v>506.23</v>
      </c>
      <c r="F76" s="31"/>
      <c r="G76" s="31"/>
      <c r="H76" s="31"/>
      <c r="I76" s="31"/>
      <c r="J76" s="31">
        <v>75</v>
      </c>
      <c r="K76" s="31" t="s">
        <v>206</v>
      </c>
      <c r="L76" s="1">
        <v>0.12385</v>
      </c>
      <c r="M76" s="1">
        <v>0.18873000000000001</v>
      </c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</row>
    <row r="77" spans="1:35" x14ac:dyDescent="0.15">
      <c r="A77" s="31"/>
      <c r="B77" s="31">
        <v>1465</v>
      </c>
      <c r="C77" s="31" t="s">
        <v>54</v>
      </c>
      <c r="D77" s="31">
        <v>3914.7</v>
      </c>
      <c r="E77" s="31">
        <v>568.78</v>
      </c>
      <c r="F77" s="31"/>
      <c r="G77" s="31"/>
      <c r="H77" s="31"/>
      <c r="I77" s="31"/>
      <c r="J77" s="31">
        <v>76</v>
      </c>
      <c r="K77" s="31" t="s">
        <v>857</v>
      </c>
      <c r="L77" s="1">
        <v>0.31036999999999998</v>
      </c>
      <c r="M77" s="1">
        <v>0.17221</v>
      </c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</row>
    <row r="78" spans="1:35" x14ac:dyDescent="0.15">
      <c r="A78" s="31"/>
      <c r="B78" s="31">
        <v>1466</v>
      </c>
      <c r="C78" s="31" t="s">
        <v>54</v>
      </c>
      <c r="D78" s="31">
        <v>4011.3</v>
      </c>
      <c r="E78" s="31">
        <v>752.31</v>
      </c>
      <c r="F78" s="31"/>
      <c r="G78" s="31"/>
      <c r="H78" s="31"/>
      <c r="I78" s="31"/>
      <c r="J78" s="31">
        <v>77</v>
      </c>
      <c r="K78" s="31" t="s">
        <v>185</v>
      </c>
      <c r="L78" s="1">
        <v>-0.40693000000000001</v>
      </c>
      <c r="M78" s="1">
        <v>0.29725000000000001</v>
      </c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</row>
    <row r="79" spans="1:35" x14ac:dyDescent="0.15">
      <c r="A79" s="31"/>
      <c r="B79" s="31">
        <v>1467</v>
      </c>
      <c r="C79" s="31" t="s">
        <v>54</v>
      </c>
      <c r="D79" s="31">
        <v>4102.5</v>
      </c>
      <c r="E79" s="31">
        <v>952.77</v>
      </c>
      <c r="F79" s="31"/>
      <c r="G79" s="31"/>
      <c r="H79" s="31"/>
      <c r="I79" s="31"/>
      <c r="J79" s="31">
        <v>78</v>
      </c>
      <c r="K79" s="31" t="s">
        <v>185</v>
      </c>
      <c r="L79" s="1">
        <v>-0.57276000000000005</v>
      </c>
      <c r="M79" s="1">
        <v>0.21714</v>
      </c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</row>
    <row r="80" spans="1:35" x14ac:dyDescent="0.15">
      <c r="A80" s="31"/>
      <c r="B80" s="31">
        <v>1468</v>
      </c>
      <c r="C80" s="31" t="s">
        <v>54</v>
      </c>
      <c r="D80" s="31">
        <v>3483.4</v>
      </c>
      <c r="E80" s="31">
        <v>397.65</v>
      </c>
      <c r="F80" s="31"/>
      <c r="G80" s="31"/>
      <c r="H80" s="31"/>
      <c r="I80" s="31"/>
      <c r="J80" s="31">
        <v>79</v>
      </c>
      <c r="K80" s="31" t="s">
        <v>185</v>
      </c>
      <c r="L80" s="1">
        <v>-0.67495000000000005</v>
      </c>
      <c r="M80" s="1">
        <v>0.20598</v>
      </c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</row>
    <row r="81" spans="1:35" x14ac:dyDescent="0.15">
      <c r="A81" s="31"/>
      <c r="B81" s="31">
        <v>1469</v>
      </c>
      <c r="C81" s="31" t="s">
        <v>54</v>
      </c>
      <c r="D81" s="31">
        <v>3628.5</v>
      </c>
      <c r="E81" s="31">
        <v>445.55</v>
      </c>
      <c r="F81" s="31"/>
      <c r="G81" s="31"/>
      <c r="H81" s="31"/>
      <c r="I81" s="31"/>
      <c r="J81" s="31">
        <v>80</v>
      </c>
      <c r="K81" s="31" t="s">
        <v>185</v>
      </c>
      <c r="L81" s="1">
        <v>-0.16183</v>
      </c>
      <c r="M81" s="1">
        <v>0.20205999999999999</v>
      </c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</row>
    <row r="82" spans="1:35" x14ac:dyDescent="0.15">
      <c r="A82" s="31"/>
      <c r="B82" s="31">
        <v>1470</v>
      </c>
      <c r="C82" s="31" t="s">
        <v>54</v>
      </c>
      <c r="D82" s="31">
        <v>3758</v>
      </c>
      <c r="E82" s="31">
        <v>506.89</v>
      </c>
      <c r="F82" s="31"/>
      <c r="G82" s="31"/>
      <c r="H82" s="31"/>
      <c r="I82" s="31"/>
      <c r="J82" s="31">
        <v>81</v>
      </c>
      <c r="K82" s="31" t="s">
        <v>185</v>
      </c>
      <c r="L82" s="1">
        <v>-0.16528999999999999</v>
      </c>
      <c r="M82" s="1">
        <v>0.19438</v>
      </c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</row>
    <row r="83" spans="1:35" x14ac:dyDescent="0.15">
      <c r="A83" s="31"/>
      <c r="B83" s="31">
        <v>1471</v>
      </c>
      <c r="C83" s="31" t="s">
        <v>54</v>
      </c>
      <c r="D83" s="31">
        <v>3792</v>
      </c>
      <c r="E83" s="31">
        <v>568.03</v>
      </c>
      <c r="F83" s="31"/>
      <c r="G83" s="31"/>
      <c r="H83" s="31"/>
      <c r="I83" s="31"/>
      <c r="J83" s="31">
        <v>82</v>
      </c>
      <c r="K83" s="31" t="s">
        <v>185</v>
      </c>
      <c r="L83" s="1">
        <v>-0.21143999999999999</v>
      </c>
      <c r="M83" s="1">
        <v>0.21423</v>
      </c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</row>
    <row r="84" spans="1:35" x14ac:dyDescent="0.15">
      <c r="A84" s="31"/>
      <c r="B84" s="31">
        <v>1472</v>
      </c>
      <c r="C84" s="31" t="s">
        <v>54</v>
      </c>
      <c r="D84" s="31">
        <v>3853.8</v>
      </c>
      <c r="E84" s="31">
        <v>749.07</v>
      </c>
      <c r="F84" s="31"/>
      <c r="G84" s="31"/>
      <c r="H84" s="31"/>
      <c r="I84" s="31"/>
      <c r="J84" s="31">
        <v>83</v>
      </c>
      <c r="K84" s="31" t="s">
        <v>185</v>
      </c>
      <c r="L84" s="1">
        <v>0.22358</v>
      </c>
      <c r="M84" s="1">
        <v>0.21562999999999999</v>
      </c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</row>
    <row r="85" spans="1:35" x14ac:dyDescent="0.15">
      <c r="A85" s="31"/>
      <c r="B85" s="31">
        <v>1473</v>
      </c>
      <c r="C85" s="31" t="s">
        <v>54</v>
      </c>
      <c r="D85" s="31">
        <v>3923.5</v>
      </c>
      <c r="E85" s="31">
        <v>943.45</v>
      </c>
      <c r="F85" s="31"/>
      <c r="G85" s="31"/>
      <c r="H85" s="31"/>
      <c r="I85" s="31"/>
      <c r="J85" s="31">
        <v>84</v>
      </c>
      <c r="K85" s="31" t="s">
        <v>185</v>
      </c>
      <c r="L85" s="1">
        <v>0.61362000000000005</v>
      </c>
      <c r="M85" s="1">
        <v>0.21632999999999999</v>
      </c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</row>
    <row r="86" spans="1:35" x14ac:dyDescent="0.15">
      <c r="A86" s="31"/>
      <c r="B86" s="31">
        <v>1474</v>
      </c>
      <c r="C86" s="31" t="s">
        <v>54</v>
      </c>
      <c r="D86" s="31">
        <v>3483.4</v>
      </c>
      <c r="E86" s="31">
        <v>397.65</v>
      </c>
      <c r="F86" s="31"/>
      <c r="G86" s="31"/>
      <c r="H86" s="31"/>
      <c r="I86" s="31"/>
      <c r="J86" s="31">
        <v>85</v>
      </c>
      <c r="K86" s="31" t="s">
        <v>185</v>
      </c>
      <c r="L86" s="1">
        <v>0.67361000000000004</v>
      </c>
      <c r="M86" s="1">
        <v>0.21471999999999999</v>
      </c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</row>
    <row r="87" spans="1:35" x14ac:dyDescent="0.15">
      <c r="A87" s="31"/>
      <c r="B87" s="31">
        <v>1475</v>
      </c>
      <c r="C87" s="31" t="s">
        <v>54</v>
      </c>
      <c r="D87" s="31">
        <v>3611.1</v>
      </c>
      <c r="E87" s="31">
        <v>445.87</v>
      </c>
      <c r="F87" s="31"/>
      <c r="G87" s="31"/>
      <c r="H87" s="31"/>
      <c r="I87" s="31"/>
      <c r="J87" s="31">
        <v>86</v>
      </c>
      <c r="K87" s="31" t="s">
        <v>185</v>
      </c>
      <c r="L87" s="1">
        <v>0.82004999999999995</v>
      </c>
      <c r="M87" s="1">
        <v>0.21457000000000001</v>
      </c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</row>
    <row r="88" spans="1:35" x14ac:dyDescent="0.15">
      <c r="A88" s="31"/>
      <c r="B88" s="31">
        <v>1476</v>
      </c>
      <c r="C88" s="31" t="s">
        <v>54</v>
      </c>
      <c r="D88" s="31">
        <v>3684.2</v>
      </c>
      <c r="E88" s="31">
        <v>507.59</v>
      </c>
      <c r="F88" s="31"/>
      <c r="G88" s="31"/>
      <c r="H88" s="31"/>
      <c r="I88" s="31"/>
      <c r="J88" s="31">
        <v>87</v>
      </c>
      <c r="K88" s="31" t="s">
        <v>185</v>
      </c>
      <c r="L88" s="1">
        <v>0.80444000000000004</v>
      </c>
      <c r="M88" s="1">
        <v>0.21429000000000001</v>
      </c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</row>
    <row r="89" spans="1:35" x14ac:dyDescent="0.15">
      <c r="A89" s="31"/>
      <c r="B89" s="31">
        <v>1477</v>
      </c>
      <c r="C89" s="31" t="s">
        <v>54</v>
      </c>
      <c r="D89" s="31">
        <v>3672.6</v>
      </c>
      <c r="E89" s="31">
        <v>567.11</v>
      </c>
      <c r="F89" s="31"/>
      <c r="G89" s="31"/>
      <c r="H89" s="31"/>
      <c r="I89" s="31"/>
      <c r="J89" s="31">
        <v>88</v>
      </c>
      <c r="K89" s="31" t="s">
        <v>185</v>
      </c>
      <c r="L89" s="1">
        <v>0.65878000000000003</v>
      </c>
      <c r="M89" s="1">
        <v>0.20727999999999999</v>
      </c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</row>
    <row r="90" spans="1:35" x14ac:dyDescent="0.15">
      <c r="A90" s="31"/>
      <c r="B90" s="31">
        <v>1478</v>
      </c>
      <c r="C90" s="31" t="s">
        <v>54</v>
      </c>
      <c r="D90" s="31">
        <v>3703</v>
      </c>
      <c r="E90" s="31">
        <v>745.5</v>
      </c>
      <c r="F90" s="31"/>
      <c r="G90" s="31"/>
      <c r="H90" s="31"/>
      <c r="I90" s="31"/>
      <c r="J90" s="31">
        <v>89</v>
      </c>
      <c r="K90" s="31" t="s">
        <v>185</v>
      </c>
      <c r="L90" s="1">
        <v>0.51300999999999997</v>
      </c>
      <c r="M90" s="1">
        <v>0.19647999999999999</v>
      </c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</row>
    <row r="91" spans="1:35" x14ac:dyDescent="0.15">
      <c r="A91" s="31"/>
      <c r="B91" s="31">
        <v>1479</v>
      </c>
      <c r="C91" s="31" t="s">
        <v>54</v>
      </c>
      <c r="D91" s="31">
        <v>3754.6</v>
      </c>
      <c r="E91" s="31">
        <v>933.82</v>
      </c>
      <c r="F91" s="31"/>
      <c r="G91" s="31"/>
      <c r="H91" s="31"/>
      <c r="I91" s="31"/>
      <c r="J91" s="31">
        <v>90</v>
      </c>
      <c r="K91" s="31" t="s">
        <v>185</v>
      </c>
      <c r="L91" s="1">
        <v>0.31070999999999999</v>
      </c>
      <c r="M91" s="1">
        <v>0.23466000000000001</v>
      </c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</row>
    <row r="92" spans="1:35" x14ac:dyDescent="0.15">
      <c r="A92" s="31"/>
      <c r="B92" s="31">
        <v>1480</v>
      </c>
      <c r="C92" s="31" t="s">
        <v>54</v>
      </c>
      <c r="D92" s="31">
        <v>3483.4</v>
      </c>
      <c r="E92" s="31">
        <v>397.65</v>
      </c>
      <c r="F92" s="31"/>
      <c r="G92" s="31"/>
      <c r="H92" s="31"/>
      <c r="I92" s="31"/>
      <c r="J92" s="31">
        <v>91</v>
      </c>
      <c r="K92" s="31" t="s">
        <v>185</v>
      </c>
      <c r="L92" s="1">
        <v>0.34084999999999999</v>
      </c>
      <c r="M92" s="1">
        <v>0.25897999999999999</v>
      </c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</row>
    <row r="93" spans="1:35" x14ac:dyDescent="0.15">
      <c r="A93" s="31"/>
      <c r="B93" s="31">
        <v>1481</v>
      </c>
      <c r="C93" s="31" t="s">
        <v>54</v>
      </c>
      <c r="D93" s="31">
        <v>3593.5</v>
      </c>
      <c r="E93" s="31">
        <v>446.24</v>
      </c>
      <c r="F93" s="31"/>
      <c r="G93" s="31"/>
      <c r="H93" s="31"/>
      <c r="I93" s="31"/>
      <c r="J93" s="31">
        <v>92</v>
      </c>
      <c r="K93" s="31" t="s">
        <v>185</v>
      </c>
      <c r="L93" s="1">
        <v>0.37618000000000001</v>
      </c>
      <c r="M93" s="1">
        <v>0.25803999999999999</v>
      </c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</row>
    <row r="94" spans="1:35" x14ac:dyDescent="0.15">
      <c r="A94" s="31"/>
      <c r="B94" s="31">
        <v>1482</v>
      </c>
      <c r="C94" s="31" t="s">
        <v>54</v>
      </c>
      <c r="D94" s="31">
        <v>3610.9</v>
      </c>
      <c r="E94" s="31">
        <v>508.33</v>
      </c>
      <c r="F94" s="31"/>
      <c r="G94" s="31"/>
      <c r="H94" s="31"/>
      <c r="I94" s="31"/>
      <c r="J94" s="31">
        <v>93</v>
      </c>
      <c r="K94" s="31" t="s">
        <v>185</v>
      </c>
      <c r="L94" s="1">
        <v>0.33072000000000001</v>
      </c>
      <c r="M94" s="1">
        <v>0.22478000000000001</v>
      </c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</row>
    <row r="95" spans="1:35" x14ac:dyDescent="0.15">
      <c r="A95" s="31"/>
      <c r="B95" s="31">
        <v>1483</v>
      </c>
      <c r="C95" s="31" t="s">
        <v>54</v>
      </c>
      <c r="D95" s="31">
        <v>3556.3</v>
      </c>
      <c r="E95" s="31">
        <v>565.98</v>
      </c>
      <c r="F95" s="31"/>
      <c r="G95" s="31"/>
      <c r="H95" s="31"/>
      <c r="I95" s="31"/>
      <c r="J95" s="31">
        <v>94</v>
      </c>
      <c r="K95" s="31" t="s">
        <v>185</v>
      </c>
      <c r="L95" s="1">
        <v>0.10278</v>
      </c>
      <c r="M95" s="1">
        <v>0.31609999999999999</v>
      </c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</row>
    <row r="96" spans="1:35" x14ac:dyDescent="0.15">
      <c r="A96" s="31"/>
      <c r="B96" s="31">
        <v>1484</v>
      </c>
      <c r="C96" s="31" t="s">
        <v>54</v>
      </c>
      <c r="D96" s="31">
        <v>3558.9</v>
      </c>
      <c r="E96" s="31">
        <v>741.56</v>
      </c>
      <c r="F96" s="31"/>
      <c r="G96" s="31"/>
      <c r="H96" s="31"/>
      <c r="I96" s="31"/>
      <c r="J96" s="31">
        <v>95</v>
      </c>
      <c r="K96" s="31" t="s">
        <v>185</v>
      </c>
      <c r="L96" s="1">
        <v>-0.17849000000000001</v>
      </c>
      <c r="M96" s="1">
        <v>0.36258000000000001</v>
      </c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</row>
    <row r="97" spans="1:35" x14ac:dyDescent="0.15">
      <c r="A97" s="31"/>
      <c r="B97" s="31">
        <v>1485</v>
      </c>
      <c r="C97" s="31" t="s">
        <v>54</v>
      </c>
      <c r="D97" s="31">
        <v>3595.2</v>
      </c>
      <c r="E97" s="31">
        <v>923.87</v>
      </c>
      <c r="F97" s="31"/>
      <c r="G97" s="31"/>
      <c r="H97" s="31"/>
      <c r="I97" s="31"/>
      <c r="J97" s="31">
        <v>96</v>
      </c>
      <c r="K97" s="31" t="s">
        <v>185</v>
      </c>
      <c r="L97" s="1">
        <v>-0.18909000000000001</v>
      </c>
      <c r="M97" s="1">
        <v>0.37507000000000001</v>
      </c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</row>
    <row r="98" spans="1:35" x14ac:dyDescent="0.15">
      <c r="A98" s="31"/>
      <c r="B98" s="31">
        <v>1486</v>
      </c>
      <c r="C98" s="31" t="s">
        <v>54</v>
      </c>
      <c r="D98" s="31">
        <v>3483.4</v>
      </c>
      <c r="E98" s="31">
        <v>397.65</v>
      </c>
      <c r="F98" s="31"/>
      <c r="G98" s="31"/>
      <c r="H98" s="31"/>
      <c r="I98" s="31"/>
      <c r="J98" s="31">
        <v>97</v>
      </c>
      <c r="K98" s="31" t="s">
        <v>185</v>
      </c>
      <c r="L98" s="1">
        <v>-0.1653</v>
      </c>
      <c r="M98" s="1">
        <v>0.36925000000000002</v>
      </c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</row>
    <row r="99" spans="1:35" x14ac:dyDescent="0.15">
      <c r="A99" s="31"/>
      <c r="B99" s="31">
        <v>1487</v>
      </c>
      <c r="C99" s="31" t="s">
        <v>54</v>
      </c>
      <c r="D99" s="31">
        <v>3575.6</v>
      </c>
      <c r="E99" s="31">
        <v>446.67</v>
      </c>
      <c r="F99" s="31"/>
      <c r="G99" s="31"/>
      <c r="H99" s="31"/>
      <c r="I99" s="31"/>
      <c r="J99" s="31">
        <v>98</v>
      </c>
      <c r="K99" s="31" t="s">
        <v>185</v>
      </c>
      <c r="L99" s="1">
        <v>-0.13142000000000001</v>
      </c>
      <c r="M99" s="1">
        <v>0.37741000000000002</v>
      </c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</row>
    <row r="100" spans="1:35" x14ac:dyDescent="0.15">
      <c r="A100" s="31"/>
      <c r="B100" s="31">
        <v>1488</v>
      </c>
      <c r="C100" s="31" t="s">
        <v>54</v>
      </c>
      <c r="D100" s="31">
        <v>3538.3</v>
      </c>
      <c r="E100" s="31">
        <v>509.1</v>
      </c>
      <c r="F100" s="31"/>
      <c r="G100" s="31"/>
      <c r="H100" s="31"/>
      <c r="I100" s="31"/>
      <c r="J100" s="31">
        <v>99</v>
      </c>
      <c r="K100" s="31" t="s">
        <v>185</v>
      </c>
      <c r="L100" s="1">
        <v>-0.27317000000000002</v>
      </c>
      <c r="M100" s="1">
        <v>0.33284999999999998</v>
      </c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</row>
    <row r="101" spans="1:35" x14ac:dyDescent="0.15">
      <c r="A101" s="31"/>
      <c r="B101" s="31">
        <v>1489</v>
      </c>
      <c r="C101" s="31" t="s">
        <v>54</v>
      </c>
      <c r="D101" s="31">
        <v>3443.1</v>
      </c>
      <c r="E101" s="31">
        <v>564.63</v>
      </c>
      <c r="F101" s="31"/>
      <c r="G101" s="31"/>
      <c r="H101" s="31"/>
      <c r="I101" s="31"/>
      <c r="J101" s="31">
        <v>100</v>
      </c>
      <c r="K101" s="31" t="s">
        <v>185</v>
      </c>
      <c r="L101" s="1">
        <v>-0.58213999999999999</v>
      </c>
      <c r="M101" s="1">
        <v>0.30093999999999999</v>
      </c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</row>
    <row r="102" spans="1:35" x14ac:dyDescent="0.15">
      <c r="A102" s="31"/>
      <c r="B102" s="31">
        <v>1490</v>
      </c>
      <c r="C102" s="31" t="s">
        <v>54</v>
      </c>
      <c r="D102" s="31">
        <v>3421</v>
      </c>
      <c r="E102" s="31">
        <v>737.26</v>
      </c>
      <c r="F102" s="31"/>
      <c r="G102" s="31"/>
      <c r="H102" s="31"/>
      <c r="I102" s="31"/>
      <c r="J102" s="31">
        <v>101</v>
      </c>
      <c r="K102" s="31" t="s">
        <v>185</v>
      </c>
      <c r="L102" s="1">
        <v>-0.51158999999999999</v>
      </c>
      <c r="M102" s="1">
        <v>0.14743000000000001</v>
      </c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</row>
    <row r="103" spans="1:35" x14ac:dyDescent="0.15">
      <c r="A103" s="31"/>
      <c r="B103" s="31">
        <v>1491</v>
      </c>
      <c r="C103" s="31" t="s">
        <v>54</v>
      </c>
      <c r="D103" s="31">
        <v>3444.8</v>
      </c>
      <c r="E103" s="31">
        <v>913.6</v>
      </c>
      <c r="F103" s="31"/>
      <c r="G103" s="31"/>
      <c r="H103" s="31"/>
      <c r="I103" s="31"/>
      <c r="J103" s="31">
        <v>102</v>
      </c>
      <c r="K103" s="31" t="s">
        <v>185</v>
      </c>
      <c r="L103" s="1">
        <v>-0.45839000000000002</v>
      </c>
      <c r="M103" s="1">
        <v>0.13491</v>
      </c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</row>
    <row r="104" spans="1:35" x14ac:dyDescent="0.15">
      <c r="A104" s="31"/>
      <c r="B104" s="31">
        <v>1492</v>
      </c>
      <c r="C104" s="31" t="s">
        <v>54</v>
      </c>
      <c r="D104" s="31">
        <v>3483.4</v>
      </c>
      <c r="E104" s="31">
        <v>397.65</v>
      </c>
      <c r="F104" s="31"/>
      <c r="G104" s="31"/>
      <c r="H104" s="31"/>
      <c r="I104" s="31"/>
      <c r="J104" s="31">
        <v>103</v>
      </c>
      <c r="K104" s="31" t="s">
        <v>185</v>
      </c>
      <c r="L104" s="1">
        <v>-0.13872999999999999</v>
      </c>
      <c r="M104" s="1">
        <v>0.12239</v>
      </c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</row>
    <row r="105" spans="1:35" x14ac:dyDescent="0.15">
      <c r="A105" s="31"/>
      <c r="B105" s="31">
        <v>1493</v>
      </c>
      <c r="C105" s="31" t="s">
        <v>54</v>
      </c>
      <c r="D105" s="31">
        <v>3557.5</v>
      </c>
      <c r="E105" s="31">
        <v>447.16</v>
      </c>
      <c r="F105" s="31"/>
      <c r="G105" s="31"/>
      <c r="H105" s="31"/>
      <c r="I105" s="31"/>
      <c r="J105" s="31">
        <v>104</v>
      </c>
      <c r="K105" s="31" t="s">
        <v>185</v>
      </c>
      <c r="L105" s="1">
        <v>-4.1678000000000002E-3</v>
      </c>
      <c r="M105" s="1">
        <v>0.11372</v>
      </c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</row>
    <row r="106" spans="1:35" x14ac:dyDescent="0.15">
      <c r="A106" s="31"/>
      <c r="B106" s="31">
        <v>1494</v>
      </c>
      <c r="C106" s="31" t="s">
        <v>54</v>
      </c>
      <c r="D106" s="31">
        <v>3466.2</v>
      </c>
      <c r="E106" s="31">
        <v>509.88</v>
      </c>
      <c r="F106" s="31"/>
      <c r="G106" s="31"/>
      <c r="H106" s="31"/>
      <c r="I106" s="31"/>
      <c r="J106" s="31">
        <v>105</v>
      </c>
      <c r="K106" s="31" t="s">
        <v>185</v>
      </c>
      <c r="L106" s="1">
        <v>0.32363999999999998</v>
      </c>
      <c r="M106" s="1">
        <v>0.1181</v>
      </c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</row>
    <row r="107" spans="1:35" x14ac:dyDescent="0.15">
      <c r="A107" s="31"/>
      <c r="B107" s="31">
        <v>1495</v>
      </c>
      <c r="C107" s="31" t="s">
        <v>54</v>
      </c>
      <c r="D107" s="31">
        <v>3333.1</v>
      </c>
      <c r="E107" s="31">
        <v>563.03</v>
      </c>
      <c r="F107" s="31"/>
      <c r="G107" s="31"/>
      <c r="H107" s="31"/>
      <c r="I107" s="31"/>
      <c r="J107" s="31">
        <v>106</v>
      </c>
      <c r="K107" s="31" t="s">
        <v>185</v>
      </c>
      <c r="L107" s="1">
        <v>-0.1908</v>
      </c>
      <c r="M107" s="1">
        <v>0.13094</v>
      </c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</row>
    <row r="108" spans="1:35" x14ac:dyDescent="0.15">
      <c r="A108" s="31"/>
      <c r="B108" s="31">
        <v>1496</v>
      </c>
      <c r="C108" s="31" t="s">
        <v>54</v>
      </c>
      <c r="D108" s="31">
        <v>3289.3</v>
      </c>
      <c r="E108" s="31">
        <v>732.59</v>
      </c>
      <c r="F108" s="31"/>
      <c r="G108" s="31"/>
      <c r="H108" s="31"/>
      <c r="I108" s="31"/>
      <c r="J108" s="31">
        <v>107</v>
      </c>
      <c r="K108" s="31" t="s">
        <v>185</v>
      </c>
      <c r="L108" s="1">
        <v>-0.36102000000000001</v>
      </c>
      <c r="M108" s="1">
        <v>0.14835000000000001</v>
      </c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</row>
    <row r="109" spans="1:35" x14ac:dyDescent="0.15">
      <c r="A109" s="31"/>
      <c r="B109" s="31">
        <v>1497</v>
      </c>
      <c r="C109" s="31" t="s">
        <v>54</v>
      </c>
      <c r="D109" s="31">
        <v>3303</v>
      </c>
      <c r="E109" s="31">
        <v>903.04</v>
      </c>
      <c r="F109" s="31"/>
      <c r="G109" s="31"/>
      <c r="H109" s="31"/>
      <c r="I109" s="31"/>
      <c r="J109" s="31">
        <v>108</v>
      </c>
      <c r="K109" s="31" t="s">
        <v>185</v>
      </c>
      <c r="L109" s="1">
        <v>-0.28304000000000001</v>
      </c>
      <c r="M109" s="1">
        <v>0.14760000000000001</v>
      </c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</row>
    <row r="110" spans="1:35" x14ac:dyDescent="0.15">
      <c r="A110" s="31"/>
      <c r="B110" s="31">
        <v>1498</v>
      </c>
      <c r="C110" s="31" t="s">
        <v>54</v>
      </c>
      <c r="D110" s="31">
        <v>3483.4</v>
      </c>
      <c r="E110" s="31">
        <v>397.65</v>
      </c>
      <c r="F110" s="31"/>
      <c r="G110" s="31"/>
      <c r="H110" s="31"/>
      <c r="I110" s="31"/>
      <c r="J110" s="31">
        <v>109</v>
      </c>
      <c r="K110" s="31" t="s">
        <v>185</v>
      </c>
      <c r="L110" s="1">
        <v>-4.1354000000000002E-2</v>
      </c>
      <c r="M110" s="1">
        <v>0.14971999999999999</v>
      </c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</row>
    <row r="111" spans="1:35" x14ac:dyDescent="0.15">
      <c r="A111" s="31"/>
      <c r="B111" s="31">
        <v>1499</v>
      </c>
      <c r="C111" s="31" t="s">
        <v>54</v>
      </c>
      <c r="D111" s="31">
        <v>3539.1</v>
      </c>
      <c r="E111" s="31">
        <v>447.71</v>
      </c>
      <c r="F111" s="31"/>
      <c r="G111" s="31"/>
      <c r="H111" s="31"/>
      <c r="I111" s="31"/>
      <c r="J111" s="31">
        <v>110</v>
      </c>
      <c r="K111" s="31" t="s">
        <v>185</v>
      </c>
      <c r="L111" s="1">
        <v>-5.0507000000000003E-2</v>
      </c>
      <c r="M111" s="1">
        <v>0.18087</v>
      </c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</row>
    <row r="112" spans="1:35" x14ac:dyDescent="0.15">
      <c r="A112" s="31"/>
      <c r="B112" s="31">
        <v>1500</v>
      </c>
      <c r="C112" s="31" t="s">
        <v>54</v>
      </c>
      <c r="D112" s="31">
        <v>3394.6</v>
      </c>
      <c r="E112" s="31">
        <v>510.68</v>
      </c>
      <c r="F112" s="31"/>
      <c r="G112" s="31"/>
      <c r="H112" s="31"/>
      <c r="I112" s="31"/>
      <c r="J112" s="31">
        <v>111</v>
      </c>
      <c r="K112" s="31" t="s">
        <v>185</v>
      </c>
      <c r="L112" s="1">
        <v>-0.14079</v>
      </c>
      <c r="M112" s="1">
        <v>0.16066</v>
      </c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</row>
    <row r="113" spans="1:35" x14ac:dyDescent="0.15">
      <c r="A113" s="31"/>
      <c r="B113" s="31">
        <v>1501</v>
      </c>
      <c r="C113" s="31" t="s">
        <v>54</v>
      </c>
      <c r="D113" s="31">
        <v>3226.1</v>
      </c>
      <c r="E113" s="31">
        <v>561.16</v>
      </c>
      <c r="F113" s="31"/>
      <c r="G113" s="31"/>
      <c r="H113" s="31"/>
      <c r="I113" s="31"/>
      <c r="J113" s="31">
        <v>112</v>
      </c>
      <c r="K113" s="31" t="s">
        <v>185</v>
      </c>
      <c r="L113" s="1">
        <v>-0.50302999999999998</v>
      </c>
      <c r="M113" s="1">
        <v>0.12603</v>
      </c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</row>
    <row r="114" spans="1:35" x14ac:dyDescent="0.15">
      <c r="A114" s="31"/>
      <c r="B114" s="31">
        <v>1502</v>
      </c>
      <c r="C114" s="31" t="s">
        <v>54</v>
      </c>
      <c r="D114" s="31">
        <v>3163.5</v>
      </c>
      <c r="E114" s="31">
        <v>727.55</v>
      </c>
      <c r="F114" s="31"/>
      <c r="G114" s="31"/>
      <c r="H114" s="31"/>
      <c r="I114" s="31"/>
      <c r="J114" s="31">
        <v>113</v>
      </c>
      <c r="K114" s="31" t="s">
        <v>185</v>
      </c>
      <c r="L114" s="1">
        <v>-0.35583999999999999</v>
      </c>
      <c r="M114" s="1">
        <v>0.1186</v>
      </c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</row>
    <row r="115" spans="1:35" x14ac:dyDescent="0.15">
      <c r="A115" s="31"/>
      <c r="B115" s="31">
        <v>1503</v>
      </c>
      <c r="C115" s="31" t="s">
        <v>54</v>
      </c>
      <c r="D115" s="31">
        <v>3169.4</v>
      </c>
      <c r="E115" s="31">
        <v>892.22</v>
      </c>
      <c r="F115" s="31"/>
      <c r="G115" s="31"/>
      <c r="H115" s="31"/>
      <c r="I115" s="31"/>
      <c r="J115" s="31">
        <v>114</v>
      </c>
      <c r="K115" s="31" t="s">
        <v>185</v>
      </c>
      <c r="L115" s="1">
        <v>-0.19475000000000001</v>
      </c>
      <c r="M115" s="1">
        <v>0.11815000000000001</v>
      </c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</row>
    <row r="116" spans="1:35" x14ac:dyDescent="0.15">
      <c r="A116" s="31"/>
      <c r="B116" s="31">
        <v>1504</v>
      </c>
      <c r="C116" s="31" t="s">
        <v>54</v>
      </c>
      <c r="D116" s="31">
        <v>3483.4</v>
      </c>
      <c r="E116" s="31">
        <v>397.65</v>
      </c>
      <c r="F116" s="31"/>
      <c r="G116" s="31"/>
      <c r="H116" s="31"/>
      <c r="I116" s="31"/>
      <c r="J116" s="31">
        <v>115</v>
      </c>
      <c r="K116" s="31" t="s">
        <v>185</v>
      </c>
      <c r="L116" s="1">
        <v>-5.3690000000000002E-2</v>
      </c>
      <c r="M116" s="1">
        <v>0.10817</v>
      </c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</row>
    <row r="117" spans="1:35" x14ac:dyDescent="0.15">
      <c r="A117" s="31"/>
      <c r="B117" s="31">
        <v>1505</v>
      </c>
      <c r="C117" s="31" t="s">
        <v>54</v>
      </c>
      <c r="D117" s="31">
        <v>3520.5</v>
      </c>
      <c r="E117" s="31">
        <v>448.32</v>
      </c>
      <c r="F117" s="31"/>
      <c r="G117" s="31"/>
      <c r="H117" s="31"/>
      <c r="I117" s="31"/>
      <c r="J117" s="31">
        <v>116</v>
      </c>
      <c r="K117" s="31" t="s">
        <v>185</v>
      </c>
      <c r="L117" s="1">
        <v>-5.1961E-2</v>
      </c>
      <c r="M117" s="1">
        <v>0.11375</v>
      </c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</row>
    <row r="118" spans="1:35" x14ac:dyDescent="0.15">
      <c r="A118" s="31"/>
      <c r="B118" s="31">
        <v>1506</v>
      </c>
      <c r="C118" s="31" t="s">
        <v>54</v>
      </c>
      <c r="D118" s="31">
        <v>3323.7</v>
      </c>
      <c r="E118" s="31">
        <v>511.48</v>
      </c>
      <c r="F118" s="31"/>
      <c r="G118" s="31"/>
      <c r="H118" s="31"/>
      <c r="I118" s="31"/>
      <c r="J118" s="31">
        <v>117</v>
      </c>
      <c r="K118" s="31" t="s">
        <v>185</v>
      </c>
      <c r="L118" s="1">
        <v>-0.11694</v>
      </c>
      <c r="M118" s="1">
        <v>0.12634000000000001</v>
      </c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</row>
    <row r="119" spans="1:35" x14ac:dyDescent="0.15">
      <c r="A119" s="31"/>
      <c r="B119" s="31">
        <v>1507</v>
      </c>
      <c r="C119" s="31" t="s">
        <v>54</v>
      </c>
      <c r="D119" s="31">
        <v>3122.2</v>
      </c>
      <c r="E119" s="31">
        <v>559.02</v>
      </c>
      <c r="F119" s="31"/>
      <c r="G119" s="31"/>
      <c r="H119" s="31"/>
      <c r="I119" s="31"/>
      <c r="J119" s="31">
        <v>118</v>
      </c>
      <c r="K119" s="31" t="s">
        <v>185</v>
      </c>
      <c r="L119" s="1">
        <v>-0.22205</v>
      </c>
      <c r="M119" s="1">
        <v>0.12141</v>
      </c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</row>
    <row r="120" spans="1:35" x14ac:dyDescent="0.15">
      <c r="A120" s="31"/>
      <c r="B120" s="31">
        <v>1508</v>
      </c>
      <c r="C120" s="31" t="s">
        <v>54</v>
      </c>
      <c r="D120" s="31">
        <v>3043.4</v>
      </c>
      <c r="E120" s="31">
        <v>722.16</v>
      </c>
      <c r="F120" s="31"/>
      <c r="G120" s="31"/>
      <c r="H120" s="31"/>
      <c r="I120" s="31"/>
      <c r="J120" s="31">
        <v>119</v>
      </c>
      <c r="K120" s="31" t="s">
        <v>185</v>
      </c>
      <c r="L120" s="1">
        <v>-4.4828999999999997E-3</v>
      </c>
      <c r="M120" s="1">
        <v>0.11898</v>
      </c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</row>
    <row r="121" spans="1:35" x14ac:dyDescent="0.15">
      <c r="A121" s="31"/>
      <c r="B121" s="31">
        <v>1509</v>
      </c>
      <c r="C121" s="31" t="s">
        <v>54</v>
      </c>
      <c r="D121" s="31">
        <v>3043.4</v>
      </c>
      <c r="E121" s="31">
        <v>881.16</v>
      </c>
      <c r="F121" s="31"/>
      <c r="G121" s="31"/>
      <c r="H121" s="31"/>
      <c r="I121" s="31"/>
      <c r="J121" s="31">
        <v>120</v>
      </c>
      <c r="K121" s="31" t="s">
        <v>185</v>
      </c>
      <c r="L121" s="1">
        <v>5.2350000000000001E-2</v>
      </c>
      <c r="M121" s="1">
        <v>0.11323999999999999</v>
      </c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</row>
    <row r="122" spans="1:35" x14ac:dyDescent="0.15">
      <c r="A122" s="31"/>
      <c r="B122" s="31">
        <v>1510</v>
      </c>
      <c r="C122" s="31" t="s">
        <v>54</v>
      </c>
      <c r="D122" s="31">
        <v>3483.4</v>
      </c>
      <c r="E122" s="31">
        <v>397.65</v>
      </c>
      <c r="F122" s="31"/>
      <c r="G122" s="31"/>
      <c r="H122" s="31"/>
      <c r="I122" s="31"/>
      <c r="J122" s="31">
        <v>121</v>
      </c>
      <c r="K122" s="31" t="s">
        <v>185</v>
      </c>
      <c r="L122" s="1">
        <v>0.12955</v>
      </c>
      <c r="M122" s="1">
        <v>0.11071</v>
      </c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</row>
    <row r="123" spans="1:35" x14ac:dyDescent="0.15">
      <c r="A123" s="31"/>
      <c r="B123" s="31">
        <v>1511</v>
      </c>
      <c r="C123" s="31" t="s">
        <v>54</v>
      </c>
      <c r="D123" s="31">
        <v>3501.6</v>
      </c>
      <c r="E123" s="31">
        <v>449</v>
      </c>
      <c r="F123" s="31"/>
      <c r="G123" s="31"/>
      <c r="H123" s="31"/>
      <c r="I123" s="31"/>
      <c r="J123" s="31">
        <v>122</v>
      </c>
      <c r="K123" s="31" t="s">
        <v>185</v>
      </c>
      <c r="L123" s="1">
        <v>0.11872000000000001</v>
      </c>
      <c r="M123" s="1">
        <v>0.12589</v>
      </c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</row>
    <row r="124" spans="1:35" x14ac:dyDescent="0.15">
      <c r="A124" s="31"/>
      <c r="B124" s="31">
        <v>1512</v>
      </c>
      <c r="C124" s="31" t="s">
        <v>54</v>
      </c>
      <c r="D124" s="31">
        <v>3253.3</v>
      </c>
      <c r="E124" s="31">
        <v>512.27</v>
      </c>
      <c r="F124" s="31"/>
      <c r="G124" s="31"/>
      <c r="H124" s="31"/>
      <c r="I124" s="31"/>
      <c r="J124" s="31">
        <v>123</v>
      </c>
      <c r="K124" s="31" t="s">
        <v>185</v>
      </c>
      <c r="L124" s="1">
        <v>-7.3078000000000004E-2</v>
      </c>
      <c r="M124" s="1">
        <v>0.12548000000000001</v>
      </c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</row>
    <row r="125" spans="1:35" x14ac:dyDescent="0.15">
      <c r="A125" s="31"/>
      <c r="B125" s="31">
        <v>1513</v>
      </c>
      <c r="C125" s="31" t="s">
        <v>54</v>
      </c>
      <c r="D125" s="31">
        <v>3021.2</v>
      </c>
      <c r="E125" s="31">
        <v>556.59</v>
      </c>
      <c r="F125" s="31"/>
      <c r="G125" s="31"/>
      <c r="H125" s="31"/>
      <c r="I125" s="31"/>
      <c r="J125" s="31">
        <v>124</v>
      </c>
      <c r="K125" s="31" t="s">
        <v>185</v>
      </c>
      <c r="L125" s="1">
        <v>0.27879999999999999</v>
      </c>
      <c r="M125" s="1">
        <v>0.13841000000000001</v>
      </c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</row>
    <row r="126" spans="1:35" x14ac:dyDescent="0.15">
      <c r="A126" s="31"/>
      <c r="B126" s="31">
        <v>1514</v>
      </c>
      <c r="C126" s="31" t="s">
        <v>54</v>
      </c>
      <c r="D126" s="31">
        <v>2928.8</v>
      </c>
      <c r="E126" s="31">
        <v>716.44</v>
      </c>
      <c r="F126" s="31"/>
      <c r="G126" s="31"/>
      <c r="H126" s="31"/>
      <c r="I126" s="31"/>
      <c r="J126" s="31">
        <v>125</v>
      </c>
      <c r="K126" s="31" t="s">
        <v>185</v>
      </c>
      <c r="L126" s="1">
        <v>0.28154000000000001</v>
      </c>
      <c r="M126" s="1">
        <v>0.17304</v>
      </c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</row>
    <row r="127" spans="1:35" x14ac:dyDescent="0.15">
      <c r="A127" s="31"/>
      <c r="B127" s="31">
        <v>1515</v>
      </c>
      <c r="C127" s="31" t="s">
        <v>54</v>
      </c>
      <c r="D127" s="31">
        <v>2924.6</v>
      </c>
      <c r="E127" s="31">
        <v>869.9</v>
      </c>
      <c r="F127" s="31"/>
      <c r="G127" s="31"/>
      <c r="H127" s="31"/>
      <c r="I127" s="31"/>
      <c r="J127" s="31">
        <v>126</v>
      </c>
      <c r="K127" s="31" t="s">
        <v>185</v>
      </c>
      <c r="L127" s="1">
        <v>0.34692000000000001</v>
      </c>
      <c r="M127" s="1">
        <v>0.26973999999999998</v>
      </c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</row>
    <row r="128" spans="1:35" x14ac:dyDescent="0.15">
      <c r="A128" s="31"/>
      <c r="B128" s="31">
        <v>1516</v>
      </c>
      <c r="C128" s="31" t="s">
        <v>54</v>
      </c>
      <c r="D128" s="31">
        <v>3483.4</v>
      </c>
      <c r="E128" s="31">
        <v>397.65</v>
      </c>
      <c r="F128" s="31"/>
      <c r="G128" s="31"/>
      <c r="H128" s="31"/>
      <c r="I128" s="31"/>
      <c r="J128" s="31">
        <v>127</v>
      </c>
      <c r="K128" s="31" t="s">
        <v>185</v>
      </c>
      <c r="L128" s="1">
        <v>0.16919000000000001</v>
      </c>
      <c r="M128" s="1">
        <v>0.36348000000000003</v>
      </c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</row>
    <row r="129" spans="1:35" x14ac:dyDescent="0.15">
      <c r="A129" s="31"/>
      <c r="B129" s="31">
        <v>1517</v>
      </c>
      <c r="C129" s="31" t="s">
        <v>54</v>
      </c>
      <c r="D129" s="31">
        <v>3482.3</v>
      </c>
      <c r="E129" s="31">
        <v>449.76</v>
      </c>
      <c r="F129" s="31"/>
      <c r="G129" s="31"/>
      <c r="H129" s="31"/>
      <c r="I129" s="31"/>
      <c r="J129" s="31">
        <v>128</v>
      </c>
      <c r="K129" s="31" t="s">
        <v>919</v>
      </c>
      <c r="L129" s="1">
        <v>-6.9523000000000001E-2</v>
      </c>
      <c r="M129" s="1">
        <v>0.70628000000000002</v>
      </c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</row>
    <row r="130" spans="1:35" x14ac:dyDescent="0.15">
      <c r="A130" s="31"/>
      <c r="B130" s="31">
        <v>1518</v>
      </c>
      <c r="C130" s="31" t="s">
        <v>54</v>
      </c>
      <c r="D130" s="31">
        <v>3183.5</v>
      </c>
      <c r="E130" s="31">
        <v>513.05999999999995</v>
      </c>
      <c r="F130" s="31"/>
      <c r="G130" s="31"/>
      <c r="H130" s="31"/>
      <c r="I130" s="31"/>
      <c r="J130" s="31">
        <v>129</v>
      </c>
      <c r="K130" s="31" t="s">
        <v>919</v>
      </c>
      <c r="L130" s="1">
        <v>-6.4539000000000003E-4</v>
      </c>
      <c r="M130" s="1">
        <v>0.61175000000000002</v>
      </c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</row>
    <row r="131" spans="1:35" x14ac:dyDescent="0.15">
      <c r="A131" s="31"/>
      <c r="B131" s="31">
        <v>1519</v>
      </c>
      <c r="C131" s="31" t="s">
        <v>54</v>
      </c>
      <c r="D131" s="31">
        <v>2923.2</v>
      </c>
      <c r="E131" s="31">
        <v>553.86</v>
      </c>
      <c r="F131" s="31"/>
      <c r="G131" s="31"/>
      <c r="H131" s="31"/>
      <c r="I131" s="31"/>
      <c r="J131" s="31">
        <v>130</v>
      </c>
      <c r="K131" s="31" t="s">
        <v>919</v>
      </c>
      <c r="L131" s="1">
        <v>0.3165</v>
      </c>
      <c r="M131" s="1">
        <v>0.57130999999999998</v>
      </c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</row>
    <row r="132" spans="1:35" x14ac:dyDescent="0.15">
      <c r="A132" s="31"/>
      <c r="B132" s="31">
        <v>1520</v>
      </c>
      <c r="C132" s="31" t="s">
        <v>54</v>
      </c>
      <c r="D132" s="31">
        <v>2819.5</v>
      </c>
      <c r="E132" s="31">
        <v>710.4</v>
      </c>
      <c r="F132" s="31"/>
      <c r="G132" s="31"/>
      <c r="H132" s="31"/>
      <c r="I132" s="31"/>
      <c r="J132" s="31">
        <v>131</v>
      </c>
      <c r="K132" s="31" t="s">
        <v>919</v>
      </c>
      <c r="L132" s="1">
        <v>0.10657</v>
      </c>
      <c r="M132" s="1">
        <v>0.58579999999999999</v>
      </c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</row>
    <row r="133" spans="1:35" x14ac:dyDescent="0.15">
      <c r="A133" s="31"/>
      <c r="B133" s="31">
        <v>1521</v>
      </c>
      <c r="C133" s="31" t="s">
        <v>54</v>
      </c>
      <c r="D133" s="31">
        <v>2812.6</v>
      </c>
      <c r="E133" s="31">
        <v>858.47</v>
      </c>
      <c r="F133" s="31"/>
      <c r="G133" s="31"/>
      <c r="H133" s="31"/>
      <c r="I133" s="31"/>
      <c r="J133" s="31">
        <v>132</v>
      </c>
      <c r="K133" s="31" t="s">
        <v>919</v>
      </c>
      <c r="L133" s="1">
        <v>2.4275E-3</v>
      </c>
      <c r="M133" s="1">
        <v>0.38173000000000001</v>
      </c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</row>
    <row r="134" spans="1:35" x14ac:dyDescent="0.15">
      <c r="A134" s="31"/>
      <c r="B134" s="31">
        <v>1522</v>
      </c>
      <c r="C134" s="31" t="s">
        <v>54</v>
      </c>
      <c r="D134" s="31">
        <v>3483.4</v>
      </c>
      <c r="E134" s="31">
        <v>397.65</v>
      </c>
      <c r="F134" s="31"/>
      <c r="G134" s="31"/>
      <c r="H134" s="31"/>
      <c r="I134" s="31"/>
      <c r="J134" s="31">
        <v>133</v>
      </c>
      <c r="K134" s="31" t="s">
        <v>919</v>
      </c>
      <c r="L134" s="1">
        <v>-5.9979999999999999E-2</v>
      </c>
      <c r="M134" s="1">
        <v>0.34705000000000003</v>
      </c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</row>
    <row r="135" spans="1:35" x14ac:dyDescent="0.15">
      <c r="A135" s="31"/>
      <c r="B135" s="31">
        <v>1523</v>
      </c>
      <c r="C135" s="31" t="s">
        <v>54</v>
      </c>
      <c r="D135" s="31">
        <v>3462.8</v>
      </c>
      <c r="E135" s="31">
        <v>450.6</v>
      </c>
      <c r="F135" s="31"/>
      <c r="G135" s="31"/>
      <c r="H135" s="31"/>
      <c r="I135" s="31"/>
      <c r="J135" s="31">
        <v>134</v>
      </c>
      <c r="K135" s="31" t="s">
        <v>919</v>
      </c>
      <c r="L135" s="1">
        <v>-7.7107999999999996E-2</v>
      </c>
      <c r="M135" s="1">
        <v>0.3342</v>
      </c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</row>
    <row r="136" spans="1:35" x14ac:dyDescent="0.15">
      <c r="A136" s="31"/>
      <c r="B136" s="31">
        <v>1524</v>
      </c>
      <c r="C136" s="31" t="s">
        <v>54</v>
      </c>
      <c r="D136" s="31">
        <v>3114.3</v>
      </c>
      <c r="E136" s="31">
        <v>513.82000000000005</v>
      </c>
      <c r="F136" s="31"/>
      <c r="G136" s="31"/>
      <c r="H136" s="31"/>
      <c r="I136" s="31"/>
      <c r="J136" s="31">
        <v>135</v>
      </c>
      <c r="K136" s="31" t="s">
        <v>919</v>
      </c>
      <c r="L136" s="1">
        <v>-7.5459999999999999E-2</v>
      </c>
      <c r="M136" s="1">
        <v>0.33450999999999997</v>
      </c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</row>
    <row r="137" spans="1:35" x14ac:dyDescent="0.15">
      <c r="A137" s="31"/>
      <c r="B137" s="31">
        <v>1525</v>
      </c>
      <c r="C137" s="31" t="s">
        <v>54</v>
      </c>
      <c r="D137" s="31">
        <v>2828.1</v>
      </c>
      <c r="E137" s="31">
        <v>550.85</v>
      </c>
      <c r="F137" s="31"/>
      <c r="G137" s="31"/>
      <c r="H137" s="31"/>
      <c r="I137" s="31"/>
      <c r="J137" s="31">
        <v>136</v>
      </c>
      <c r="K137" s="31" t="s">
        <v>919</v>
      </c>
      <c r="L137" s="1">
        <v>-7.1754999999999999E-2</v>
      </c>
      <c r="M137" s="1">
        <v>0.34726000000000001</v>
      </c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</row>
    <row r="138" spans="1:35" x14ac:dyDescent="0.15">
      <c r="A138" s="31"/>
      <c r="B138" s="31">
        <v>1526</v>
      </c>
      <c r="C138" s="31" t="s">
        <v>54</v>
      </c>
      <c r="D138" s="31">
        <v>2715.3</v>
      </c>
      <c r="E138" s="31">
        <v>704.08</v>
      </c>
      <c r="F138" s="31"/>
      <c r="G138" s="31"/>
      <c r="H138" s="31"/>
      <c r="I138" s="31"/>
      <c r="J138" s="31">
        <v>137</v>
      </c>
      <c r="K138" s="31" t="s">
        <v>919</v>
      </c>
      <c r="L138" s="1">
        <v>-7.1027000000000007E-2</v>
      </c>
      <c r="M138" s="1">
        <v>0.38192999999999999</v>
      </c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</row>
    <row r="139" spans="1:35" x14ac:dyDescent="0.15">
      <c r="A139" s="31"/>
      <c r="B139" s="31">
        <v>1527</v>
      </c>
      <c r="C139" s="31" t="s">
        <v>54</v>
      </c>
      <c r="D139" s="31">
        <v>2707</v>
      </c>
      <c r="E139" s="31">
        <v>846.93</v>
      </c>
      <c r="F139" s="31"/>
      <c r="G139" s="31"/>
      <c r="H139" s="31"/>
      <c r="I139" s="31"/>
      <c r="J139" s="31">
        <v>138</v>
      </c>
      <c r="K139" s="31" t="s">
        <v>919</v>
      </c>
      <c r="L139" s="1">
        <v>1.6027E-2</v>
      </c>
      <c r="M139" s="1">
        <v>0.66644000000000003</v>
      </c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</row>
    <row r="140" spans="1:35" x14ac:dyDescent="0.15">
      <c r="A140" s="31"/>
      <c r="B140" s="31">
        <v>1528</v>
      </c>
      <c r="C140" s="31" t="s">
        <v>54</v>
      </c>
      <c r="D140" s="31">
        <v>3483.4</v>
      </c>
      <c r="E140" s="31">
        <v>397.65</v>
      </c>
      <c r="F140" s="31"/>
      <c r="G140" s="31"/>
      <c r="H140" s="31"/>
      <c r="I140" s="31"/>
      <c r="J140" s="31">
        <v>139</v>
      </c>
      <c r="K140" s="31" t="s">
        <v>919</v>
      </c>
      <c r="L140" s="1">
        <v>0.25988</v>
      </c>
      <c r="M140" s="1">
        <v>0.5847</v>
      </c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</row>
    <row r="141" spans="1:35" x14ac:dyDescent="0.15">
      <c r="A141" s="31"/>
      <c r="B141" s="31">
        <v>1529</v>
      </c>
      <c r="C141" s="31" t="s">
        <v>54</v>
      </c>
      <c r="D141" s="31">
        <v>3443</v>
      </c>
      <c r="E141" s="31">
        <v>451.52</v>
      </c>
      <c r="F141" s="31"/>
      <c r="G141" s="31"/>
      <c r="H141" s="31"/>
      <c r="I141" s="31"/>
      <c r="J141" s="31">
        <v>140</v>
      </c>
      <c r="K141" s="31" t="s">
        <v>919</v>
      </c>
      <c r="L141" s="1">
        <v>0.14194000000000001</v>
      </c>
      <c r="M141" s="1">
        <v>0.55022000000000004</v>
      </c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</row>
    <row r="142" spans="1:35" x14ac:dyDescent="0.15">
      <c r="A142" s="31"/>
      <c r="B142" s="31">
        <v>1530</v>
      </c>
      <c r="C142" s="31" t="s">
        <v>54</v>
      </c>
      <c r="D142" s="31">
        <v>3045.8</v>
      </c>
      <c r="E142" s="31">
        <v>514.54999999999995</v>
      </c>
      <c r="F142" s="31"/>
      <c r="G142" s="31"/>
      <c r="H142" s="31"/>
      <c r="I142" s="31"/>
      <c r="J142" s="31">
        <v>141</v>
      </c>
      <c r="K142" s="31" t="s">
        <v>919</v>
      </c>
      <c r="L142" s="1">
        <v>-7.7023999999999995E-2</v>
      </c>
      <c r="M142" s="1">
        <v>0.36014000000000002</v>
      </c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</row>
    <row r="143" spans="1:35" x14ac:dyDescent="0.15">
      <c r="A143" s="31"/>
      <c r="B143" s="31">
        <v>1531</v>
      </c>
      <c r="C143" s="31" t="s">
        <v>54</v>
      </c>
      <c r="D143" s="31">
        <v>2735.8</v>
      </c>
      <c r="E143" s="31">
        <v>547.53</v>
      </c>
      <c r="F143" s="31"/>
      <c r="G143" s="31"/>
      <c r="H143" s="31"/>
      <c r="I143" s="31"/>
      <c r="J143" s="31">
        <v>142</v>
      </c>
      <c r="K143" s="31" t="s">
        <v>919</v>
      </c>
      <c r="L143" s="1">
        <v>-6.1145999999999999E-2</v>
      </c>
      <c r="M143" s="1">
        <v>0.33067000000000002</v>
      </c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</row>
    <row r="144" spans="1:35" x14ac:dyDescent="0.15">
      <c r="A144" s="31"/>
      <c r="B144" s="31">
        <v>1532</v>
      </c>
      <c r="C144" s="31" t="s">
        <v>54</v>
      </c>
      <c r="D144" s="31">
        <v>2616</v>
      </c>
      <c r="E144" s="31">
        <v>697.51</v>
      </c>
      <c r="F144" s="31"/>
      <c r="G144" s="31"/>
      <c r="H144" s="31"/>
      <c r="I144" s="31"/>
      <c r="J144" s="31">
        <v>143</v>
      </c>
      <c r="K144" s="31" t="s">
        <v>919</v>
      </c>
      <c r="L144" s="1">
        <v>-6.6137000000000001E-2</v>
      </c>
      <c r="M144" s="1">
        <v>0.32280999999999999</v>
      </c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</row>
    <row r="145" spans="1:35" x14ac:dyDescent="0.15">
      <c r="A145" s="31"/>
      <c r="B145" s="31">
        <v>1533</v>
      </c>
      <c r="C145" s="31" t="s">
        <v>54</v>
      </c>
      <c r="D145" s="31">
        <v>2607.5</v>
      </c>
      <c r="E145" s="31">
        <v>835.3</v>
      </c>
      <c r="F145" s="31"/>
      <c r="G145" s="31"/>
      <c r="H145" s="31"/>
      <c r="I145" s="31"/>
      <c r="J145" s="31">
        <v>144</v>
      </c>
      <c r="K145" s="31" t="s">
        <v>919</v>
      </c>
      <c r="L145" s="1">
        <v>-6.1829000000000002E-2</v>
      </c>
      <c r="M145" s="1">
        <v>0.32002000000000003</v>
      </c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</row>
    <row r="146" spans="1:35" x14ac:dyDescent="0.15">
      <c r="A146" s="31"/>
      <c r="B146" s="31">
        <v>1534</v>
      </c>
      <c r="C146" s="31" t="s">
        <v>54</v>
      </c>
      <c r="D146" s="31">
        <v>3483.4</v>
      </c>
      <c r="E146" s="31">
        <v>397.65</v>
      </c>
      <c r="F146" s="31"/>
      <c r="G146" s="31"/>
      <c r="H146" s="31"/>
      <c r="I146" s="31"/>
      <c r="J146" s="31">
        <v>145</v>
      </c>
      <c r="K146" s="31" t="s">
        <v>919</v>
      </c>
      <c r="L146" s="1">
        <v>-5.9735000000000003E-2</v>
      </c>
      <c r="M146" s="1">
        <v>0.32174000000000003</v>
      </c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</row>
    <row r="147" spans="1:35" x14ac:dyDescent="0.15">
      <c r="A147" s="31"/>
      <c r="B147" s="31">
        <v>1535</v>
      </c>
      <c r="C147" s="31" t="s">
        <v>54</v>
      </c>
      <c r="D147" s="31">
        <v>3422.9</v>
      </c>
      <c r="E147" s="31">
        <v>452.53</v>
      </c>
      <c r="F147" s="31"/>
      <c r="G147" s="31"/>
      <c r="H147" s="31"/>
      <c r="I147" s="31"/>
      <c r="J147" s="31">
        <v>146</v>
      </c>
      <c r="K147" s="31" t="s">
        <v>919</v>
      </c>
      <c r="L147" s="1">
        <v>-5.1322E-2</v>
      </c>
      <c r="M147" s="1">
        <v>0.33174999999999999</v>
      </c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</row>
    <row r="148" spans="1:35" x14ac:dyDescent="0.15">
      <c r="A148" s="31"/>
      <c r="B148" s="31">
        <v>1536</v>
      </c>
      <c r="C148" s="31" t="s">
        <v>54</v>
      </c>
      <c r="D148" s="31">
        <v>2977.8</v>
      </c>
      <c r="E148" s="31">
        <v>515.24</v>
      </c>
      <c r="F148" s="31"/>
      <c r="G148" s="31"/>
      <c r="H148" s="31"/>
      <c r="I148" s="31"/>
      <c r="J148" s="31">
        <v>147</v>
      </c>
      <c r="K148" s="31" t="s">
        <v>919</v>
      </c>
      <c r="L148" s="1">
        <v>-4.0654000000000003E-2</v>
      </c>
      <c r="M148" s="1">
        <v>0.36015999999999998</v>
      </c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</row>
    <row r="149" spans="1:35" x14ac:dyDescent="0.15">
      <c r="A149" s="31"/>
      <c r="B149" s="31">
        <v>1537</v>
      </c>
      <c r="C149" s="31" t="s">
        <v>54</v>
      </c>
      <c r="D149" s="31">
        <v>2646.3</v>
      </c>
      <c r="E149" s="31">
        <v>543.91999999999996</v>
      </c>
      <c r="F149" s="31"/>
      <c r="G149" s="31"/>
      <c r="H149" s="31"/>
      <c r="I149" s="31"/>
      <c r="J149" s="31">
        <v>148</v>
      </c>
      <c r="K149" s="31" t="s">
        <v>919</v>
      </c>
      <c r="L149" s="1">
        <v>-2.1021999999999999E-2</v>
      </c>
      <c r="M149" s="1">
        <v>0.66637000000000002</v>
      </c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</row>
    <row r="150" spans="1:35" x14ac:dyDescent="0.15">
      <c r="A150" s="31"/>
      <c r="B150" s="31">
        <v>1538</v>
      </c>
      <c r="C150" s="31" t="s">
        <v>54</v>
      </c>
      <c r="D150" s="31">
        <v>2521.4</v>
      </c>
      <c r="E150" s="31">
        <v>690.7</v>
      </c>
      <c r="F150" s="31"/>
      <c r="G150" s="31"/>
      <c r="H150" s="31"/>
      <c r="I150" s="31"/>
      <c r="J150" s="31">
        <v>149</v>
      </c>
      <c r="K150" s="31" t="s">
        <v>919</v>
      </c>
      <c r="L150" s="1">
        <v>0.16081000000000001</v>
      </c>
      <c r="M150" s="1">
        <v>0.57828999999999997</v>
      </c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</row>
    <row r="151" spans="1:35" x14ac:dyDescent="0.15">
      <c r="A151" s="31"/>
      <c r="B151" s="31">
        <v>1539</v>
      </c>
      <c r="C151" s="31" t="s">
        <v>54</v>
      </c>
      <c r="D151" s="31">
        <v>2513.6</v>
      </c>
      <c r="E151" s="31">
        <v>823.62</v>
      </c>
      <c r="F151" s="31"/>
      <c r="G151" s="31"/>
      <c r="H151" s="31"/>
      <c r="I151" s="31"/>
      <c r="J151" s="31">
        <v>150</v>
      </c>
      <c r="K151" s="31" t="s">
        <v>919</v>
      </c>
      <c r="L151" s="1">
        <v>0.52727999999999997</v>
      </c>
      <c r="M151" s="1">
        <v>0.52070000000000005</v>
      </c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</row>
    <row r="152" spans="1:35" x14ac:dyDescent="0.15">
      <c r="A152" s="31"/>
      <c r="B152" s="31">
        <v>1540</v>
      </c>
      <c r="C152" s="31" t="s">
        <v>54</v>
      </c>
      <c r="D152" s="31">
        <v>3483.4</v>
      </c>
      <c r="E152" s="31">
        <v>397.65</v>
      </c>
      <c r="F152" s="31"/>
      <c r="G152" s="31"/>
      <c r="H152" s="31"/>
      <c r="I152" s="31"/>
      <c r="J152" s="31">
        <v>151</v>
      </c>
      <c r="K152" s="31" t="s">
        <v>919</v>
      </c>
      <c r="L152" s="1">
        <v>-0.21182999999999999</v>
      </c>
      <c r="M152" s="1">
        <v>0.36585000000000001</v>
      </c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</row>
    <row r="153" spans="1:35" x14ac:dyDescent="0.15">
      <c r="A153" s="31"/>
      <c r="B153" s="31">
        <v>1541</v>
      </c>
      <c r="C153" s="31" t="s">
        <v>54</v>
      </c>
      <c r="D153" s="31">
        <v>3402.5</v>
      </c>
      <c r="E153" s="31">
        <v>453.64</v>
      </c>
      <c r="F153" s="31"/>
      <c r="G153" s="31"/>
      <c r="H153" s="31"/>
      <c r="I153" s="31"/>
      <c r="J153" s="31">
        <v>152</v>
      </c>
      <c r="K153" s="31" t="s">
        <v>919</v>
      </c>
      <c r="L153" s="1">
        <v>-0.17266000000000001</v>
      </c>
      <c r="M153" s="1">
        <v>0.33057999999999998</v>
      </c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</row>
    <row r="154" spans="1:35" x14ac:dyDescent="0.15">
      <c r="A154" s="31"/>
      <c r="B154" s="31">
        <v>1542</v>
      </c>
      <c r="C154" s="31" t="s">
        <v>54</v>
      </c>
      <c r="D154" s="31">
        <v>2910.5</v>
      </c>
      <c r="E154" s="31">
        <v>515.89</v>
      </c>
      <c r="F154" s="31"/>
      <c r="G154" s="31"/>
      <c r="H154" s="31"/>
      <c r="I154" s="31"/>
      <c r="J154" s="31">
        <v>153</v>
      </c>
      <c r="K154" s="31" t="s">
        <v>919</v>
      </c>
      <c r="L154" s="1">
        <v>-0.13256000000000001</v>
      </c>
      <c r="M154" s="1">
        <v>0.32006000000000001</v>
      </c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</row>
    <row r="155" spans="1:35" x14ac:dyDescent="0.15">
      <c r="A155" s="31"/>
      <c r="B155" s="31">
        <v>1543</v>
      </c>
      <c r="C155" s="31" t="s">
        <v>54</v>
      </c>
      <c r="D155" s="31">
        <v>2559.6</v>
      </c>
      <c r="E155" s="31">
        <v>540.01</v>
      </c>
      <c r="F155" s="31"/>
      <c r="G155" s="31"/>
      <c r="H155" s="31"/>
      <c r="I155" s="31"/>
      <c r="J155" s="31">
        <v>154</v>
      </c>
      <c r="K155" s="31" t="s">
        <v>919</v>
      </c>
      <c r="L155" s="1">
        <v>-8.6028999999999994E-2</v>
      </c>
      <c r="M155" s="1">
        <v>0.31907999999999997</v>
      </c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</row>
    <row r="156" spans="1:35" x14ac:dyDescent="0.15">
      <c r="A156" s="31"/>
      <c r="B156" s="31">
        <v>1544</v>
      </c>
      <c r="C156" s="31" t="s">
        <v>54</v>
      </c>
      <c r="D156" s="31">
        <v>2431.3000000000002</v>
      </c>
      <c r="E156" s="31">
        <v>683.7</v>
      </c>
      <c r="F156" s="31"/>
      <c r="G156" s="31"/>
      <c r="H156" s="31"/>
      <c r="I156" s="31"/>
      <c r="J156" s="31">
        <v>155</v>
      </c>
      <c r="K156" s="31" t="s">
        <v>919</v>
      </c>
      <c r="L156" s="1">
        <v>-4.8173000000000001E-2</v>
      </c>
      <c r="M156" s="1">
        <v>0.31979999999999997</v>
      </c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</row>
    <row r="157" spans="1:35" x14ac:dyDescent="0.15">
      <c r="A157" s="31"/>
      <c r="B157" s="31">
        <v>1545</v>
      </c>
      <c r="C157" s="31" t="s">
        <v>54</v>
      </c>
      <c r="D157" s="31">
        <v>2425</v>
      </c>
      <c r="E157" s="31">
        <v>811.92</v>
      </c>
      <c r="F157" s="31"/>
      <c r="G157" s="31"/>
      <c r="H157" s="31"/>
      <c r="I157" s="31"/>
      <c r="J157" s="31">
        <v>156</v>
      </c>
      <c r="K157" s="31" t="s">
        <v>919</v>
      </c>
      <c r="L157" s="1">
        <v>-2.1309999999999999E-2</v>
      </c>
      <c r="M157" s="1">
        <v>0.32795000000000002</v>
      </c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</row>
    <row r="158" spans="1:35" x14ac:dyDescent="0.15">
      <c r="A158" s="31"/>
      <c r="B158" s="31">
        <v>1546</v>
      </c>
      <c r="C158" s="31" t="s">
        <v>54</v>
      </c>
      <c r="D158" s="31">
        <v>3483.4</v>
      </c>
      <c r="E158" s="31">
        <v>397.65</v>
      </c>
      <c r="F158" s="31"/>
      <c r="G158" s="31"/>
      <c r="H158" s="31"/>
      <c r="I158" s="31"/>
      <c r="J158" s="31">
        <v>157</v>
      </c>
      <c r="K158" s="31" t="s">
        <v>919</v>
      </c>
      <c r="L158" s="1">
        <v>5.489E-3</v>
      </c>
      <c r="M158" s="1">
        <v>0.35471999999999998</v>
      </c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</row>
    <row r="159" spans="1:35" x14ac:dyDescent="0.15">
      <c r="A159" s="31"/>
      <c r="B159" s="31">
        <v>1547</v>
      </c>
      <c r="C159" s="31" t="s">
        <v>54</v>
      </c>
      <c r="D159" s="31">
        <v>3381.7</v>
      </c>
      <c r="E159" s="31">
        <v>454.85</v>
      </c>
      <c r="F159" s="31"/>
      <c r="G159" s="31"/>
      <c r="H159" s="31"/>
      <c r="I159" s="31"/>
      <c r="J159" s="31">
        <v>158</v>
      </c>
      <c r="K159" s="31" t="s">
        <v>919</v>
      </c>
      <c r="L159" s="1">
        <v>7.7160000000000006E-2</v>
      </c>
      <c r="M159" s="1">
        <v>0.68206</v>
      </c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</row>
    <row r="160" spans="1:35" x14ac:dyDescent="0.15">
      <c r="A160" s="31"/>
      <c r="B160" s="31">
        <v>1548</v>
      </c>
      <c r="C160" s="31" t="s">
        <v>54</v>
      </c>
      <c r="D160" s="31">
        <v>2843.8</v>
      </c>
      <c r="E160" s="31">
        <v>516.48</v>
      </c>
      <c r="F160" s="31"/>
      <c r="G160" s="31"/>
      <c r="H160" s="31"/>
      <c r="I160" s="31"/>
      <c r="J160" s="31">
        <v>159</v>
      </c>
      <c r="K160" s="31" t="s">
        <v>919</v>
      </c>
      <c r="L160" s="1">
        <v>0.1124</v>
      </c>
      <c r="M160" s="1">
        <v>0.57672999999999996</v>
      </c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</row>
    <row r="161" spans="1:35" x14ac:dyDescent="0.15">
      <c r="A161" s="31"/>
      <c r="B161" s="31">
        <v>1549</v>
      </c>
      <c r="C161" s="31" t="s">
        <v>54</v>
      </c>
      <c r="D161" s="31">
        <v>2475.5</v>
      </c>
      <c r="E161" s="31">
        <v>535.80999999999995</v>
      </c>
      <c r="F161" s="31"/>
      <c r="G161" s="31"/>
      <c r="H161" s="31"/>
      <c r="I161" s="31"/>
      <c r="J161" s="31">
        <v>160</v>
      </c>
      <c r="K161" s="31" t="s">
        <v>919</v>
      </c>
      <c r="L161" s="1">
        <v>-0.24342</v>
      </c>
      <c r="M161" s="1">
        <v>0.50370000000000004</v>
      </c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</row>
    <row r="162" spans="1:35" x14ac:dyDescent="0.15">
      <c r="A162" s="31"/>
      <c r="B162" s="31">
        <v>1550</v>
      </c>
      <c r="C162" s="31" t="s">
        <v>54</v>
      </c>
      <c r="D162" s="31">
        <v>2345.5</v>
      </c>
      <c r="E162" s="31">
        <v>676.54</v>
      </c>
      <c r="F162" s="31"/>
      <c r="G162" s="31"/>
      <c r="H162" s="31"/>
      <c r="I162" s="31"/>
      <c r="J162" s="31">
        <v>161</v>
      </c>
      <c r="K162" s="31" t="s">
        <v>919</v>
      </c>
      <c r="L162" s="1">
        <v>0.1007</v>
      </c>
      <c r="M162" s="1">
        <v>0.36477999999999999</v>
      </c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</row>
    <row r="163" spans="1:35" x14ac:dyDescent="0.15">
      <c r="A163" s="31"/>
      <c r="B163" s="31">
        <v>1551</v>
      </c>
      <c r="C163" s="31" t="s">
        <v>54</v>
      </c>
      <c r="D163" s="31">
        <v>2341.4</v>
      </c>
      <c r="E163" s="31">
        <v>800.24</v>
      </c>
      <c r="F163" s="31"/>
      <c r="G163" s="31"/>
      <c r="H163" s="31"/>
      <c r="I163" s="31"/>
      <c r="J163" s="31">
        <v>162</v>
      </c>
      <c r="K163" s="31" t="s">
        <v>919</v>
      </c>
      <c r="L163" s="1">
        <v>4.4156000000000001E-2</v>
      </c>
      <c r="M163" s="1">
        <v>0.33354</v>
      </c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</row>
    <row r="164" spans="1:35" x14ac:dyDescent="0.15">
      <c r="A164" s="31"/>
      <c r="B164" s="31">
        <v>1552</v>
      </c>
      <c r="C164" s="31" t="s">
        <v>54</v>
      </c>
      <c r="D164" s="31">
        <v>3483.4</v>
      </c>
      <c r="E164" s="31">
        <v>397.65</v>
      </c>
      <c r="F164" s="31"/>
      <c r="G164" s="31"/>
      <c r="H164" s="31"/>
      <c r="I164" s="31"/>
      <c r="J164" s="31">
        <v>163</v>
      </c>
      <c r="K164" s="31" t="s">
        <v>919</v>
      </c>
      <c r="L164" s="1">
        <v>1.3823999999999999E-2</v>
      </c>
      <c r="M164" s="1">
        <v>0.32024000000000002</v>
      </c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</row>
    <row r="165" spans="1:35" x14ac:dyDescent="0.15">
      <c r="A165" s="31"/>
      <c r="B165" s="31">
        <v>1553</v>
      </c>
      <c r="C165" s="31" t="s">
        <v>54</v>
      </c>
      <c r="D165" s="31">
        <v>3360.6</v>
      </c>
      <c r="E165" s="31">
        <v>456.16</v>
      </c>
      <c r="F165" s="31"/>
      <c r="G165" s="31"/>
      <c r="H165" s="31"/>
      <c r="I165" s="31"/>
      <c r="J165" s="31">
        <v>164</v>
      </c>
      <c r="K165" s="31" t="s">
        <v>919</v>
      </c>
      <c r="L165" s="1">
        <v>-9.6288999999999993E-3</v>
      </c>
      <c r="M165" s="1">
        <v>0.31907999999999997</v>
      </c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</row>
    <row r="166" spans="1:35" x14ac:dyDescent="0.15">
      <c r="A166" s="31"/>
      <c r="B166" s="31">
        <v>1554</v>
      </c>
      <c r="C166" s="31" t="s">
        <v>54</v>
      </c>
      <c r="D166" s="31">
        <v>2777.7</v>
      </c>
      <c r="E166" s="31">
        <v>517.01</v>
      </c>
      <c r="F166" s="31"/>
      <c r="G166" s="31"/>
      <c r="H166" s="31"/>
      <c r="I166" s="31"/>
      <c r="J166" s="31">
        <v>165</v>
      </c>
      <c r="K166" s="31" t="s">
        <v>919</v>
      </c>
      <c r="L166" s="1">
        <v>-2.3736E-2</v>
      </c>
      <c r="M166" s="1">
        <v>0.31980999999999998</v>
      </c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</row>
    <row r="167" spans="1:35" x14ac:dyDescent="0.15">
      <c r="A167" s="31"/>
      <c r="B167" s="31">
        <v>1555</v>
      </c>
      <c r="C167" s="31" t="s">
        <v>54</v>
      </c>
      <c r="D167" s="31">
        <v>2394.1999999999998</v>
      </c>
      <c r="E167" s="31">
        <v>531.34</v>
      </c>
      <c r="F167" s="31"/>
      <c r="G167" s="31"/>
      <c r="H167" s="31"/>
      <c r="I167" s="31"/>
      <c r="J167" s="31">
        <v>166</v>
      </c>
      <c r="K167" s="31" t="s">
        <v>919</v>
      </c>
      <c r="L167" s="1">
        <v>-2.9493999999999999E-2</v>
      </c>
      <c r="M167" s="1">
        <v>0.32665</v>
      </c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</row>
    <row r="168" spans="1:35" x14ac:dyDescent="0.15">
      <c r="A168" s="31"/>
      <c r="B168" s="31">
        <v>1556</v>
      </c>
      <c r="C168" s="31" t="s">
        <v>54</v>
      </c>
      <c r="D168" s="31">
        <v>2263.9</v>
      </c>
      <c r="E168" s="31">
        <v>669.24</v>
      </c>
      <c r="F168" s="31"/>
      <c r="G168" s="31"/>
      <c r="H168" s="31"/>
      <c r="I168" s="31"/>
      <c r="J168" s="31">
        <v>167</v>
      </c>
      <c r="K168" s="31" t="s">
        <v>919</v>
      </c>
      <c r="L168" s="1">
        <v>-4.1954999999999999E-2</v>
      </c>
      <c r="M168" s="1">
        <v>0.35219</v>
      </c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</row>
    <row r="169" spans="1:35" x14ac:dyDescent="0.15">
      <c r="A169" s="31"/>
      <c r="B169" s="31">
        <v>1557</v>
      </c>
      <c r="C169" s="31" t="s">
        <v>54</v>
      </c>
      <c r="D169" s="31">
        <v>2262.4</v>
      </c>
      <c r="E169" s="31">
        <v>788.6</v>
      </c>
      <c r="F169" s="31"/>
      <c r="G169" s="31"/>
      <c r="H169" s="31"/>
      <c r="I169" s="31"/>
      <c r="J169" s="31">
        <v>168</v>
      </c>
      <c r="K169" s="31" t="s">
        <v>919</v>
      </c>
      <c r="L169" s="1">
        <v>3.3706E-2</v>
      </c>
      <c r="M169" s="1">
        <v>0.68230999999999997</v>
      </c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</row>
    <row r="170" spans="1:35" x14ac:dyDescent="0.15">
      <c r="A170" s="31"/>
      <c r="B170" s="31">
        <v>1558</v>
      </c>
      <c r="C170" s="31" t="s">
        <v>54</v>
      </c>
      <c r="D170" s="31">
        <v>3483.4</v>
      </c>
      <c r="E170" s="31">
        <v>397.65</v>
      </c>
      <c r="F170" s="31"/>
      <c r="G170" s="31"/>
      <c r="H170" s="31"/>
      <c r="I170" s="31"/>
      <c r="J170" s="31">
        <v>169</v>
      </c>
      <c r="K170" s="31" t="s">
        <v>919</v>
      </c>
      <c r="L170" s="1">
        <v>6.5074999999999994E-2</v>
      </c>
      <c r="M170" s="1">
        <v>0.55762</v>
      </c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</row>
    <row r="171" spans="1:35" x14ac:dyDescent="0.15">
      <c r="A171" s="31"/>
      <c r="B171" s="31">
        <v>1559</v>
      </c>
      <c r="C171" s="31" t="s">
        <v>54</v>
      </c>
      <c r="D171" s="31">
        <v>3339.2</v>
      </c>
      <c r="E171" s="31">
        <v>457.6</v>
      </c>
      <c r="F171" s="31"/>
      <c r="G171" s="31"/>
      <c r="H171" s="31"/>
      <c r="I171" s="31"/>
      <c r="J171" s="31">
        <v>170</v>
      </c>
      <c r="K171" s="31" t="s">
        <v>919</v>
      </c>
      <c r="L171" s="1">
        <v>0.38296999999999998</v>
      </c>
      <c r="M171" s="1">
        <v>0.50053999999999998</v>
      </c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</row>
    <row r="172" spans="1:35" x14ac:dyDescent="0.15">
      <c r="A172" s="31"/>
      <c r="B172" s="31">
        <v>1560</v>
      </c>
      <c r="C172" s="31" t="s">
        <v>54</v>
      </c>
      <c r="D172" s="31">
        <v>2712.3</v>
      </c>
      <c r="E172" s="31">
        <v>517.47</v>
      </c>
      <c r="F172" s="31"/>
      <c r="G172" s="31"/>
      <c r="H172" s="31"/>
      <c r="I172" s="31"/>
      <c r="J172" s="31">
        <v>171</v>
      </c>
      <c r="K172" s="31" t="s">
        <v>919</v>
      </c>
      <c r="L172" s="1">
        <v>-0.13128000000000001</v>
      </c>
      <c r="M172" s="1">
        <v>0.36209999999999998</v>
      </c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</row>
    <row r="173" spans="1:35" x14ac:dyDescent="0.15">
      <c r="A173" s="31"/>
      <c r="B173" s="31">
        <v>1561</v>
      </c>
      <c r="C173" s="31" t="s">
        <v>54</v>
      </c>
      <c r="D173" s="31">
        <v>2315.4</v>
      </c>
      <c r="E173" s="31">
        <v>526.59</v>
      </c>
      <c r="F173" s="31"/>
      <c r="G173" s="31"/>
      <c r="H173" s="31"/>
      <c r="I173" s="31"/>
      <c r="J173" s="31">
        <v>172</v>
      </c>
      <c r="K173" s="31" t="s">
        <v>919</v>
      </c>
      <c r="L173" s="1">
        <v>-0.11964</v>
      </c>
      <c r="M173" s="1">
        <v>0.33050000000000002</v>
      </c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</row>
    <row r="174" spans="1:35" x14ac:dyDescent="0.15">
      <c r="A174" s="31"/>
      <c r="B174" s="31">
        <v>1562</v>
      </c>
      <c r="C174" s="31" t="s">
        <v>54</v>
      </c>
      <c r="D174" s="31">
        <v>2186.3000000000002</v>
      </c>
      <c r="E174" s="31">
        <v>661.83</v>
      </c>
      <c r="F174" s="31"/>
      <c r="G174" s="31"/>
      <c r="H174" s="31"/>
      <c r="I174" s="31"/>
      <c r="J174" s="31">
        <v>173</v>
      </c>
      <c r="K174" s="31" t="s">
        <v>919</v>
      </c>
      <c r="L174" s="1">
        <v>-0.10675999999999999</v>
      </c>
      <c r="M174" s="1">
        <v>0.32101000000000002</v>
      </c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</row>
    <row r="175" spans="1:35" x14ac:dyDescent="0.15">
      <c r="A175" s="31"/>
      <c r="B175" s="31">
        <v>1563</v>
      </c>
      <c r="C175" s="31" t="s">
        <v>54</v>
      </c>
      <c r="D175" s="31">
        <v>2187.6999999999998</v>
      </c>
      <c r="E175" s="31">
        <v>777.03</v>
      </c>
      <c r="F175" s="31"/>
      <c r="G175" s="31"/>
      <c r="H175" s="31"/>
      <c r="I175" s="31"/>
      <c r="J175" s="31">
        <v>174</v>
      </c>
      <c r="K175" s="31" t="s">
        <v>919</v>
      </c>
      <c r="L175" s="1">
        <v>-8.0806000000000003E-2</v>
      </c>
      <c r="M175" s="1">
        <v>0.32605000000000001</v>
      </c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</row>
    <row r="176" spans="1:35" x14ac:dyDescent="0.15">
      <c r="A176" s="31"/>
      <c r="B176" s="31">
        <v>1</v>
      </c>
      <c r="C176" s="31" t="s">
        <v>124</v>
      </c>
      <c r="D176" s="27">
        <v>9.8293999999999997</v>
      </c>
      <c r="E176" s="1">
        <v>9.9786E-2</v>
      </c>
      <c r="F176" s="31"/>
      <c r="G176" s="31"/>
      <c r="H176" s="31"/>
      <c r="I176" s="31"/>
      <c r="J176" s="31">
        <v>175</v>
      </c>
      <c r="K176" s="31" t="s">
        <v>919</v>
      </c>
      <c r="L176" s="1">
        <v>-5.6940999999999999E-2</v>
      </c>
      <c r="M176" s="1">
        <v>0.34151999999999999</v>
      </c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</row>
    <row r="177" spans="1:35" x14ac:dyDescent="0.15">
      <c r="A177" s="31"/>
      <c r="B177" s="31">
        <v>3</v>
      </c>
      <c r="C177" s="31" t="s">
        <v>184</v>
      </c>
      <c r="D177" s="27">
        <v>-1.4613</v>
      </c>
      <c r="E177" s="1">
        <v>8.4219000000000002E-2</v>
      </c>
      <c r="F177" s="31"/>
      <c r="G177" s="31"/>
      <c r="H177" s="31"/>
      <c r="I177" s="31"/>
      <c r="J177" s="31">
        <v>176</v>
      </c>
      <c r="K177" s="31" t="s">
        <v>919</v>
      </c>
      <c r="L177" s="1">
        <v>-3.7638999999999999E-2</v>
      </c>
      <c r="M177" s="1">
        <v>0.37622</v>
      </c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</row>
    <row r="178" spans="1:35" x14ac:dyDescent="0.15">
      <c r="A178" s="31"/>
      <c r="B178" s="31">
        <v>25</v>
      </c>
      <c r="C178" s="31" t="s">
        <v>206</v>
      </c>
      <c r="D178" s="27">
        <v>-1.2686999999999999</v>
      </c>
      <c r="E178" s="1">
        <v>0.34642000000000001</v>
      </c>
      <c r="F178" s="31"/>
      <c r="G178" s="31"/>
      <c r="H178" s="31"/>
      <c r="I178" s="31"/>
      <c r="J178" s="31">
        <v>177</v>
      </c>
      <c r="K178" s="31" t="s">
        <v>919</v>
      </c>
      <c r="L178" s="1">
        <v>5.1310000000000001E-2</v>
      </c>
      <c r="M178" s="1">
        <v>0.46111999999999997</v>
      </c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</row>
    <row r="179" spans="1:35" x14ac:dyDescent="0.15">
      <c r="A179" s="31"/>
      <c r="B179" s="31">
        <v>26</v>
      </c>
      <c r="C179" s="31" t="s">
        <v>206</v>
      </c>
      <c r="D179" s="27">
        <v>9.3048000000000006E-2</v>
      </c>
      <c r="E179" s="1">
        <v>0.22881000000000001</v>
      </c>
      <c r="F179" s="31"/>
      <c r="G179" s="31"/>
      <c r="H179" s="31"/>
      <c r="I179" s="31"/>
      <c r="J179" s="31">
        <v>178</v>
      </c>
      <c r="K179" s="31" t="s">
        <v>919</v>
      </c>
      <c r="L179" s="1">
        <v>2.3900000000000001E-2</v>
      </c>
      <c r="M179" s="1">
        <v>0.69130999999999998</v>
      </c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</row>
    <row r="180" spans="1:35" x14ac:dyDescent="0.15">
      <c r="A180" s="31"/>
      <c r="B180" s="31">
        <v>27</v>
      </c>
      <c r="C180" s="31" t="s">
        <v>206</v>
      </c>
      <c r="D180" s="27">
        <v>-0.26077</v>
      </c>
      <c r="E180" s="1">
        <v>0.32755000000000001</v>
      </c>
      <c r="F180" s="31"/>
      <c r="G180" s="31"/>
      <c r="H180" s="31"/>
      <c r="I180" s="31"/>
      <c r="J180" s="31">
        <v>179</v>
      </c>
      <c r="K180" s="31" t="s">
        <v>919</v>
      </c>
      <c r="L180" s="1">
        <v>0.40237000000000001</v>
      </c>
      <c r="M180" s="1">
        <v>0.56133999999999995</v>
      </c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</row>
    <row r="181" spans="1:35" x14ac:dyDescent="0.15">
      <c r="A181" s="31"/>
      <c r="B181" s="31">
        <v>28</v>
      </c>
      <c r="C181" s="31" t="s">
        <v>206</v>
      </c>
      <c r="D181" s="27">
        <v>0.43490000000000001</v>
      </c>
      <c r="E181" s="1">
        <v>0.25685999999999998</v>
      </c>
      <c r="F181" s="31"/>
      <c r="G181" s="31"/>
      <c r="H181" s="31"/>
      <c r="I181" s="31"/>
      <c r="J181" s="31">
        <v>180</v>
      </c>
      <c r="K181" s="31" t="s">
        <v>919</v>
      </c>
      <c r="L181" s="1">
        <v>2.5479999999999999E-2</v>
      </c>
      <c r="M181" s="1">
        <v>0.45111000000000001</v>
      </c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</row>
    <row r="182" spans="1:35" x14ac:dyDescent="0.15">
      <c r="A182" s="31"/>
      <c r="B182" s="31">
        <v>29</v>
      </c>
      <c r="C182" s="31" t="s">
        <v>206</v>
      </c>
      <c r="D182" s="27">
        <v>0.36173</v>
      </c>
      <c r="E182" s="1">
        <v>0.26694000000000001</v>
      </c>
      <c r="F182" s="31"/>
      <c r="G182" s="31"/>
      <c r="H182" s="31"/>
      <c r="I182" s="31"/>
      <c r="J182" s="31">
        <v>181</v>
      </c>
      <c r="K182" s="31" t="s">
        <v>919</v>
      </c>
      <c r="L182" s="1">
        <v>-0.25048999999999999</v>
      </c>
      <c r="M182" s="1">
        <v>0.37019999999999997</v>
      </c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</row>
    <row r="183" spans="1:35" x14ac:dyDescent="0.15">
      <c r="A183" s="31"/>
      <c r="B183" s="31">
        <v>30</v>
      </c>
      <c r="C183" s="31" t="s">
        <v>206</v>
      </c>
      <c r="D183" s="27">
        <v>0.45480999999999999</v>
      </c>
      <c r="E183" s="1">
        <v>0.25385999999999997</v>
      </c>
      <c r="F183" s="31"/>
      <c r="G183" s="31"/>
      <c r="H183" s="31"/>
      <c r="I183" s="31"/>
      <c r="J183" s="31">
        <v>182</v>
      </c>
      <c r="K183" s="31" t="s">
        <v>919</v>
      </c>
      <c r="L183" s="1">
        <v>-0.22816</v>
      </c>
      <c r="M183" s="1">
        <v>0.34555000000000002</v>
      </c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</row>
    <row r="184" spans="1:35" x14ac:dyDescent="0.15">
      <c r="A184" s="31"/>
      <c r="B184" s="31">
        <v>31</v>
      </c>
      <c r="C184" s="31" t="s">
        <v>206</v>
      </c>
      <c r="D184" s="27">
        <v>7.9922000000000007E-2</v>
      </c>
      <c r="E184" s="1">
        <v>0.28910999999999998</v>
      </c>
      <c r="F184" s="31"/>
      <c r="G184" s="31"/>
      <c r="H184" s="31"/>
      <c r="I184" s="31"/>
      <c r="J184" s="31">
        <v>183</v>
      </c>
      <c r="K184" s="31" t="s">
        <v>919</v>
      </c>
      <c r="L184" s="1">
        <v>-0.20993000000000001</v>
      </c>
      <c r="M184" s="1">
        <v>0.36243999999999998</v>
      </c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</row>
    <row r="185" spans="1:35" x14ac:dyDescent="0.15">
      <c r="A185" s="31"/>
      <c r="B185" s="31">
        <v>32</v>
      </c>
      <c r="C185" s="31" t="s">
        <v>206</v>
      </c>
      <c r="D185" s="27">
        <v>-0.65190999999999999</v>
      </c>
      <c r="E185" s="1">
        <v>0.34806999999999999</v>
      </c>
      <c r="F185" s="31"/>
      <c r="G185" s="31"/>
      <c r="H185" s="31"/>
      <c r="I185" s="31"/>
      <c r="J185" s="31">
        <v>184</v>
      </c>
      <c r="K185" s="31" t="s">
        <v>919</v>
      </c>
      <c r="L185" s="1">
        <v>-4.7292000000000001E-2</v>
      </c>
      <c r="M185" s="1">
        <v>0.38884000000000002</v>
      </c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</row>
    <row r="186" spans="1:35" x14ac:dyDescent="0.15">
      <c r="A186" s="31"/>
      <c r="B186" s="31">
        <v>33</v>
      </c>
      <c r="C186" s="31" t="s">
        <v>206</v>
      </c>
      <c r="D186" s="27">
        <v>-0.55279</v>
      </c>
      <c r="E186" s="1">
        <v>0.31841999999999998</v>
      </c>
      <c r="F186" s="31"/>
      <c r="G186" s="31"/>
      <c r="H186" s="31"/>
      <c r="I186" s="31"/>
      <c r="J186" s="31">
        <v>185</v>
      </c>
      <c r="K186" s="31" t="s">
        <v>919</v>
      </c>
      <c r="L186" s="1">
        <v>-4.1766999999999999E-2</v>
      </c>
      <c r="M186" s="1">
        <v>0.37829000000000002</v>
      </c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</row>
    <row r="187" spans="1:35" x14ac:dyDescent="0.15">
      <c r="A187" s="31"/>
      <c r="B187" s="31">
        <v>34</v>
      </c>
      <c r="C187" s="31" t="s">
        <v>206</v>
      </c>
      <c r="D187" s="27">
        <v>0.44336999999999999</v>
      </c>
      <c r="E187" s="1">
        <v>0.18859000000000001</v>
      </c>
      <c r="F187" s="31"/>
      <c r="G187" s="31"/>
      <c r="H187" s="31"/>
      <c r="I187" s="31"/>
      <c r="J187" s="31">
        <v>186</v>
      </c>
      <c r="K187" s="31" t="s">
        <v>919</v>
      </c>
      <c r="L187" s="1">
        <v>-3.8268999999999997E-2</v>
      </c>
      <c r="M187" s="1">
        <v>0.41006999999999999</v>
      </c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</row>
    <row r="188" spans="1:35" x14ac:dyDescent="0.15">
      <c r="A188" s="31"/>
      <c r="B188" s="31">
        <v>35</v>
      </c>
      <c r="C188" s="31" t="s">
        <v>206</v>
      </c>
      <c r="D188" s="27">
        <v>0.1431</v>
      </c>
      <c r="E188" s="1">
        <v>0.19564999999999999</v>
      </c>
      <c r="F188" s="31"/>
      <c r="G188" s="31"/>
      <c r="H188" s="31"/>
      <c r="I188" s="31"/>
      <c r="J188" s="31">
        <v>187</v>
      </c>
      <c r="K188" s="31" t="s">
        <v>919</v>
      </c>
      <c r="L188" s="1">
        <v>0.36415999999999998</v>
      </c>
      <c r="M188" s="1">
        <v>0.46627000000000002</v>
      </c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</row>
    <row r="189" spans="1:35" x14ac:dyDescent="0.15">
      <c r="A189" s="31"/>
      <c r="B189" s="31">
        <v>36</v>
      </c>
      <c r="C189" s="31" t="s">
        <v>206</v>
      </c>
      <c r="D189" s="27">
        <v>-2.3636999999999998E-2</v>
      </c>
      <c r="E189" s="1">
        <v>0.18107999999999999</v>
      </c>
      <c r="F189" s="31"/>
      <c r="G189" s="31"/>
      <c r="H189" s="31"/>
      <c r="I189" s="31"/>
      <c r="J189" s="31">
        <v>188</v>
      </c>
      <c r="K189" s="31" t="s">
        <v>919</v>
      </c>
      <c r="L189" s="1">
        <v>-4.3721000000000003E-2</v>
      </c>
      <c r="M189" s="1">
        <v>0.68371999999999999</v>
      </c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</row>
    <row r="190" spans="1:35" x14ac:dyDescent="0.15">
      <c r="A190" s="31"/>
      <c r="B190" s="31">
        <v>37</v>
      </c>
      <c r="C190" s="31" t="s">
        <v>206</v>
      </c>
      <c r="D190" s="27">
        <v>-0.28878999999999999</v>
      </c>
      <c r="E190" s="1">
        <v>0.18059</v>
      </c>
      <c r="F190" s="31"/>
      <c r="G190" s="31"/>
      <c r="H190" s="31"/>
      <c r="I190" s="31"/>
      <c r="J190" s="31">
        <v>189</v>
      </c>
      <c r="K190" s="31" t="s">
        <v>919</v>
      </c>
      <c r="L190" s="1">
        <v>-0.1789</v>
      </c>
      <c r="M190" s="1">
        <v>0.56489999999999996</v>
      </c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</row>
    <row r="191" spans="1:35" x14ac:dyDescent="0.15">
      <c r="A191" s="31"/>
      <c r="B191" s="31">
        <v>38</v>
      </c>
      <c r="C191" s="31" t="s">
        <v>206</v>
      </c>
      <c r="D191" s="27">
        <v>-0.29282999999999998</v>
      </c>
      <c r="E191" s="1">
        <v>0.16158</v>
      </c>
      <c r="F191" s="31"/>
      <c r="G191" s="31"/>
      <c r="H191" s="31"/>
      <c r="I191" s="31"/>
      <c r="J191" s="31">
        <v>190</v>
      </c>
      <c r="K191" s="31" t="s">
        <v>919</v>
      </c>
      <c r="L191" s="1">
        <v>-0.13546</v>
      </c>
      <c r="M191" s="1">
        <v>0.45513999999999999</v>
      </c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</row>
    <row r="192" spans="1:35" x14ac:dyDescent="0.15">
      <c r="A192" s="31"/>
      <c r="B192" s="31">
        <v>39</v>
      </c>
      <c r="C192" s="31" t="s">
        <v>206</v>
      </c>
      <c r="D192" s="27">
        <v>0.36614000000000002</v>
      </c>
      <c r="E192" s="1">
        <v>0.13142999999999999</v>
      </c>
      <c r="F192" s="31"/>
      <c r="G192" s="31"/>
      <c r="H192" s="31"/>
      <c r="I192" s="31"/>
      <c r="J192" s="31">
        <v>191</v>
      </c>
      <c r="K192" s="31" t="s">
        <v>919</v>
      </c>
      <c r="L192" s="1">
        <v>1.1679E-2</v>
      </c>
      <c r="M192" s="1">
        <v>0.45390999999999998</v>
      </c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</row>
    <row r="193" spans="1:35" x14ac:dyDescent="0.15">
      <c r="A193" s="31"/>
      <c r="B193" s="31">
        <v>40</v>
      </c>
      <c r="C193" s="31" t="s">
        <v>206</v>
      </c>
      <c r="D193" s="27">
        <v>1.2592000000000001</v>
      </c>
      <c r="E193" s="1">
        <v>0.12118</v>
      </c>
      <c r="F193" s="31"/>
      <c r="G193" s="31"/>
      <c r="H193" s="31"/>
      <c r="I193" s="31"/>
      <c r="J193" s="31">
        <v>192</v>
      </c>
      <c r="K193" s="31" t="s">
        <v>919</v>
      </c>
      <c r="L193" s="1">
        <v>0.12973999999999999</v>
      </c>
      <c r="M193" s="1">
        <v>0.37973000000000001</v>
      </c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</row>
    <row r="194" spans="1:35" x14ac:dyDescent="0.15">
      <c r="A194" s="31"/>
      <c r="B194" s="31">
        <v>41</v>
      </c>
      <c r="C194" s="31" t="s">
        <v>206</v>
      </c>
      <c r="D194" s="27">
        <v>0.34288000000000002</v>
      </c>
      <c r="E194" s="1">
        <v>0.12504999999999999</v>
      </c>
      <c r="F194" s="31"/>
      <c r="G194" s="31"/>
      <c r="H194" s="31"/>
      <c r="I194" s="31"/>
      <c r="J194" s="31">
        <v>193</v>
      </c>
      <c r="K194" s="31" t="s">
        <v>919</v>
      </c>
      <c r="L194" s="1">
        <v>0.12709999999999999</v>
      </c>
      <c r="M194" s="1">
        <v>0.38096000000000002</v>
      </c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</row>
    <row r="195" spans="1:35" x14ac:dyDescent="0.15">
      <c r="A195" s="31"/>
      <c r="B195" s="31">
        <v>42</v>
      </c>
      <c r="C195" s="31" t="s">
        <v>206</v>
      </c>
      <c r="D195" s="27">
        <v>0.46717999999999998</v>
      </c>
      <c r="E195" s="1">
        <v>0.12528</v>
      </c>
      <c r="F195" s="31"/>
      <c r="G195" s="31"/>
      <c r="H195" s="31"/>
      <c r="I195" s="31"/>
      <c r="J195" s="31">
        <v>194</v>
      </c>
      <c r="K195" s="31" t="s">
        <v>919</v>
      </c>
      <c r="L195" s="1">
        <v>-3.5367000000000003E-2</v>
      </c>
      <c r="M195" s="1">
        <v>0.45379999999999998</v>
      </c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</row>
    <row r="196" spans="1:35" x14ac:dyDescent="0.15">
      <c r="A196" s="31"/>
      <c r="B196" s="31">
        <v>43</v>
      </c>
      <c r="C196" s="31" t="s">
        <v>206</v>
      </c>
      <c r="D196" s="27">
        <v>-0.17888999999999999</v>
      </c>
      <c r="E196" s="1">
        <v>0.14557</v>
      </c>
      <c r="F196" s="31"/>
      <c r="G196" s="31"/>
      <c r="H196" s="31"/>
      <c r="I196" s="31"/>
      <c r="J196" s="31">
        <v>195</v>
      </c>
      <c r="K196" s="31" t="s">
        <v>919</v>
      </c>
      <c r="L196" s="1">
        <v>-2.5635999999999999E-2</v>
      </c>
      <c r="M196" s="1">
        <v>0.55835000000000001</v>
      </c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</row>
    <row r="197" spans="1:35" x14ac:dyDescent="0.15">
      <c r="A197" s="31"/>
      <c r="B197" s="31">
        <v>44</v>
      </c>
      <c r="C197" s="31" t="s">
        <v>206</v>
      </c>
      <c r="D197" s="27">
        <v>1.0367999999999999</v>
      </c>
      <c r="E197" s="1">
        <v>0.11239</v>
      </c>
      <c r="F197" s="31"/>
      <c r="G197" s="31"/>
      <c r="H197" s="31"/>
      <c r="I197" s="31"/>
      <c r="J197" s="31">
        <v>196</v>
      </c>
      <c r="K197" s="31" t="s">
        <v>919</v>
      </c>
      <c r="L197" s="1">
        <v>-1.8603000000000001E-2</v>
      </c>
      <c r="M197" s="1">
        <v>0.59418000000000004</v>
      </c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</row>
    <row r="198" spans="1:35" x14ac:dyDescent="0.15">
      <c r="A198" s="31"/>
      <c r="B198" s="31">
        <v>45</v>
      </c>
      <c r="C198" s="31" t="s">
        <v>206</v>
      </c>
      <c r="D198" s="27">
        <v>-0.35632999999999998</v>
      </c>
      <c r="E198" s="1">
        <v>0.14691000000000001</v>
      </c>
      <c r="F198" s="31"/>
      <c r="G198" s="31"/>
      <c r="H198" s="31"/>
      <c r="I198" s="31"/>
      <c r="J198" s="31">
        <v>197</v>
      </c>
      <c r="K198" s="31" t="s">
        <v>919</v>
      </c>
      <c r="L198" s="1">
        <v>0.16916999999999999</v>
      </c>
      <c r="M198" s="1">
        <v>0.42942999999999998</v>
      </c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</row>
    <row r="199" spans="1:35" x14ac:dyDescent="0.15">
      <c r="A199" s="31"/>
      <c r="B199" s="31">
        <v>46</v>
      </c>
      <c r="C199" s="31" t="s">
        <v>206</v>
      </c>
      <c r="D199" s="27">
        <v>0.64142999999999994</v>
      </c>
      <c r="E199" s="1">
        <v>0.11465</v>
      </c>
      <c r="F199" s="31"/>
      <c r="G199" s="31"/>
      <c r="H199" s="31"/>
      <c r="I199" s="31"/>
      <c r="J199" s="31">
        <v>198</v>
      </c>
      <c r="K199" s="31" t="s">
        <v>919</v>
      </c>
      <c r="L199" s="1">
        <v>-8.1469E-2</v>
      </c>
      <c r="M199" s="1">
        <v>0.68662999999999996</v>
      </c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</row>
    <row r="200" spans="1:35" x14ac:dyDescent="0.15">
      <c r="A200" s="31"/>
      <c r="B200" s="31">
        <v>47</v>
      </c>
      <c r="C200" s="31" t="s">
        <v>206</v>
      </c>
      <c r="D200" s="27">
        <v>-0.24907000000000001</v>
      </c>
      <c r="E200" s="1">
        <v>0.13025999999999999</v>
      </c>
      <c r="F200" s="31"/>
      <c r="G200" s="31"/>
      <c r="H200" s="31"/>
      <c r="I200" s="31"/>
      <c r="J200" s="31">
        <v>199</v>
      </c>
      <c r="K200" s="31" t="s">
        <v>919</v>
      </c>
      <c r="L200" s="1">
        <v>0.38640000000000002</v>
      </c>
      <c r="M200" s="1">
        <v>0.59201000000000004</v>
      </c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</row>
    <row r="201" spans="1:35" x14ac:dyDescent="0.15">
      <c r="A201" s="31"/>
      <c r="B201" s="31">
        <v>48</v>
      </c>
      <c r="C201" s="31" t="s">
        <v>206</v>
      </c>
      <c r="D201" s="27">
        <v>-0.78512000000000004</v>
      </c>
      <c r="E201" s="1">
        <v>0.14721000000000001</v>
      </c>
      <c r="F201" s="31"/>
      <c r="G201" s="31"/>
      <c r="H201" s="31"/>
      <c r="I201" s="31"/>
      <c r="J201" s="31">
        <v>200</v>
      </c>
      <c r="K201" s="31" t="s">
        <v>919</v>
      </c>
      <c r="L201" s="1">
        <v>0.13489999999999999</v>
      </c>
      <c r="M201" s="1">
        <v>0.50119000000000002</v>
      </c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</row>
    <row r="202" spans="1:35" x14ac:dyDescent="0.15">
      <c r="A202" s="31"/>
      <c r="B202" s="31">
        <v>49</v>
      </c>
      <c r="C202" s="31" t="s">
        <v>206</v>
      </c>
      <c r="D202" s="27">
        <v>-1.2214</v>
      </c>
      <c r="E202" s="1">
        <v>0.1618</v>
      </c>
      <c r="F202" s="31"/>
      <c r="G202" s="31"/>
      <c r="H202" s="31"/>
      <c r="I202" s="31"/>
      <c r="J202" s="31">
        <v>201</v>
      </c>
      <c r="K202" s="31" t="s">
        <v>919</v>
      </c>
      <c r="L202" s="1">
        <v>3.6244999999999999E-2</v>
      </c>
      <c r="M202" s="1">
        <v>0.46628999999999998</v>
      </c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</row>
    <row r="203" spans="1:35" x14ac:dyDescent="0.15">
      <c r="A203" s="31"/>
      <c r="B203" s="31">
        <v>50</v>
      </c>
      <c r="C203" s="31" t="s">
        <v>206</v>
      </c>
      <c r="D203" s="27">
        <v>-0.58633999999999997</v>
      </c>
      <c r="E203" s="1">
        <v>0.14097000000000001</v>
      </c>
      <c r="F203" s="31"/>
      <c r="G203" s="31"/>
      <c r="H203" s="31"/>
      <c r="I203" s="31"/>
      <c r="J203" s="31">
        <v>202</v>
      </c>
      <c r="K203" s="31" t="s">
        <v>919</v>
      </c>
      <c r="L203" s="1">
        <v>-7.4586E-2</v>
      </c>
      <c r="M203" s="1">
        <v>0.37313000000000002</v>
      </c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</row>
    <row r="204" spans="1:35" x14ac:dyDescent="0.15">
      <c r="A204" s="31"/>
      <c r="B204" s="31">
        <v>51</v>
      </c>
      <c r="C204" s="31" t="s">
        <v>206</v>
      </c>
      <c r="D204" s="27">
        <v>0.99251999999999996</v>
      </c>
      <c r="E204" s="1">
        <v>0.10532999999999999</v>
      </c>
      <c r="F204" s="31"/>
      <c r="G204" s="31"/>
      <c r="H204" s="31"/>
      <c r="I204" s="31"/>
      <c r="J204" s="31">
        <v>203</v>
      </c>
      <c r="K204" s="31" t="s">
        <v>919</v>
      </c>
      <c r="L204" s="1">
        <v>-5.8673999999999997E-2</v>
      </c>
      <c r="M204" s="1">
        <v>0.35338000000000003</v>
      </c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</row>
    <row r="205" spans="1:35" x14ac:dyDescent="0.15">
      <c r="A205" s="31"/>
      <c r="B205" s="31">
        <v>52</v>
      </c>
      <c r="C205" s="31" t="s">
        <v>206</v>
      </c>
      <c r="D205" s="27">
        <v>0.31896000000000002</v>
      </c>
      <c r="E205" s="1">
        <v>0.11289</v>
      </c>
      <c r="F205" s="31"/>
      <c r="G205" s="31"/>
      <c r="H205" s="31"/>
      <c r="I205" s="31"/>
      <c r="J205" s="31">
        <v>204</v>
      </c>
      <c r="K205" s="31" t="s">
        <v>919</v>
      </c>
      <c r="L205" s="1">
        <v>-5.1574000000000002E-2</v>
      </c>
      <c r="M205" s="1">
        <v>0.37635000000000002</v>
      </c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</row>
    <row r="206" spans="1:35" x14ac:dyDescent="0.15">
      <c r="A206" s="31"/>
      <c r="B206" s="31">
        <v>53</v>
      </c>
      <c r="C206" s="31" t="s">
        <v>206</v>
      </c>
      <c r="D206" s="27">
        <v>0.17088999999999999</v>
      </c>
      <c r="E206" s="1">
        <v>0.11709</v>
      </c>
      <c r="F206" s="31"/>
      <c r="G206" s="31"/>
      <c r="H206" s="31"/>
      <c r="I206" s="31"/>
      <c r="J206" s="31">
        <v>205</v>
      </c>
      <c r="K206" s="31" t="s">
        <v>919</v>
      </c>
      <c r="L206" s="1">
        <v>-6.3988000000000003E-2</v>
      </c>
      <c r="M206" s="1">
        <v>0.55971000000000004</v>
      </c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</row>
    <row r="207" spans="1:35" x14ac:dyDescent="0.15">
      <c r="A207" s="31"/>
      <c r="B207" s="31">
        <v>54</v>
      </c>
      <c r="C207" s="31" t="s">
        <v>206</v>
      </c>
      <c r="D207" s="27">
        <v>0.94423000000000001</v>
      </c>
      <c r="E207" s="1">
        <v>0.10667</v>
      </c>
      <c r="F207" s="31"/>
      <c r="G207" s="31"/>
      <c r="H207" s="31"/>
      <c r="I207" s="31"/>
      <c r="J207" s="31">
        <v>206</v>
      </c>
      <c r="K207" s="31" t="s">
        <v>919</v>
      </c>
      <c r="L207" s="1">
        <v>-1.1472E-2</v>
      </c>
      <c r="M207" s="1">
        <v>0.60260999999999998</v>
      </c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</row>
    <row r="208" spans="1:35" x14ac:dyDescent="0.15">
      <c r="A208" s="31"/>
      <c r="B208" s="31">
        <v>55</v>
      </c>
      <c r="C208" s="31" t="s">
        <v>206</v>
      </c>
      <c r="D208" s="27">
        <v>-0.22974</v>
      </c>
      <c r="E208" s="1">
        <v>0.12243999999999999</v>
      </c>
      <c r="F208" s="31"/>
      <c r="G208" s="31"/>
      <c r="H208" s="31"/>
      <c r="I208" s="31"/>
      <c r="J208" s="31">
        <v>207</v>
      </c>
      <c r="K208" s="31" t="s">
        <v>919</v>
      </c>
      <c r="L208" s="1">
        <v>-0.21578</v>
      </c>
      <c r="M208" s="1">
        <v>0.42893999999999999</v>
      </c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</row>
    <row r="209" spans="1:35" x14ac:dyDescent="0.15">
      <c r="A209" s="31"/>
      <c r="B209" s="31">
        <v>56</v>
      </c>
      <c r="C209" s="31" t="s">
        <v>206</v>
      </c>
      <c r="D209" s="27">
        <v>-0.54366000000000003</v>
      </c>
      <c r="E209" s="1">
        <v>0.12573000000000001</v>
      </c>
      <c r="F209" s="31"/>
      <c r="G209" s="31"/>
      <c r="H209" s="31"/>
      <c r="I209" s="31"/>
      <c r="J209" s="31">
        <v>208</v>
      </c>
      <c r="K209" s="31" t="s">
        <v>919</v>
      </c>
      <c r="L209" s="1">
        <v>-0.10761</v>
      </c>
      <c r="M209" s="1">
        <v>0.69093000000000004</v>
      </c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</row>
    <row r="210" spans="1:35" x14ac:dyDescent="0.15">
      <c r="A210" s="31"/>
      <c r="B210" s="31">
        <v>57</v>
      </c>
      <c r="C210" s="31" t="s">
        <v>206</v>
      </c>
      <c r="D210" s="27">
        <v>0.22156999999999999</v>
      </c>
      <c r="E210" s="1">
        <v>0.10981</v>
      </c>
      <c r="F210" s="31"/>
      <c r="G210" s="31"/>
      <c r="H210" s="31"/>
      <c r="I210" s="31"/>
      <c r="J210" s="31">
        <v>209</v>
      </c>
      <c r="K210" s="31" t="s">
        <v>919</v>
      </c>
      <c r="L210" s="1">
        <v>1.2383999999999999E-2</v>
      </c>
      <c r="M210" s="1">
        <v>0.59802999999999995</v>
      </c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</row>
    <row r="211" spans="1:35" x14ac:dyDescent="0.15">
      <c r="A211" s="31"/>
      <c r="B211" s="31">
        <v>58</v>
      </c>
      <c r="C211" s="31" t="s">
        <v>206</v>
      </c>
      <c r="D211" s="27">
        <v>0.52634999999999998</v>
      </c>
      <c r="E211" s="1">
        <v>0.10662000000000001</v>
      </c>
      <c r="F211" s="31"/>
      <c r="G211" s="31"/>
      <c r="H211" s="31"/>
      <c r="I211" s="31"/>
      <c r="J211" s="31">
        <v>210</v>
      </c>
      <c r="K211" s="31" t="s">
        <v>919</v>
      </c>
      <c r="L211" s="1">
        <v>-7.7571000000000001E-2</v>
      </c>
      <c r="M211" s="1">
        <v>0.52303999999999995</v>
      </c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</row>
    <row r="212" spans="1:35" x14ac:dyDescent="0.15">
      <c r="A212" s="31"/>
      <c r="B212" s="31">
        <v>59</v>
      </c>
      <c r="C212" s="31" t="s">
        <v>206</v>
      </c>
      <c r="D212" s="27">
        <v>-0.16816</v>
      </c>
      <c r="E212" s="1">
        <v>0.11464000000000001</v>
      </c>
      <c r="F212" s="31"/>
      <c r="G212" s="31"/>
      <c r="H212" s="31"/>
      <c r="I212" s="31"/>
      <c r="J212" s="31">
        <v>211</v>
      </c>
      <c r="K212" s="31" t="s">
        <v>919</v>
      </c>
      <c r="L212" s="1">
        <v>5.6583000000000001E-2</v>
      </c>
      <c r="M212" s="1">
        <v>0.36348999999999998</v>
      </c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</row>
    <row r="213" spans="1:35" x14ac:dyDescent="0.15">
      <c r="A213" s="31"/>
      <c r="B213" s="31">
        <v>60</v>
      </c>
      <c r="C213" s="31" t="s">
        <v>206</v>
      </c>
      <c r="D213" s="27">
        <v>-7.8769000000000006E-2</v>
      </c>
      <c r="E213" s="1">
        <v>0.11307</v>
      </c>
      <c r="F213" s="31"/>
      <c r="G213" s="31"/>
      <c r="H213" s="31"/>
      <c r="I213" s="31"/>
      <c r="J213" s="31">
        <v>212</v>
      </c>
      <c r="K213" s="31" t="s">
        <v>919</v>
      </c>
      <c r="L213" s="1">
        <v>6.7518999999999996E-2</v>
      </c>
      <c r="M213" s="1">
        <v>0.32973999999999998</v>
      </c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</row>
    <row r="214" spans="1:35" x14ac:dyDescent="0.15">
      <c r="A214" s="31"/>
      <c r="B214" s="31">
        <v>61</v>
      </c>
      <c r="C214" s="31" t="s">
        <v>206</v>
      </c>
      <c r="D214" s="27">
        <v>0.35025000000000001</v>
      </c>
      <c r="E214" s="1">
        <v>0.10768</v>
      </c>
      <c r="F214" s="31"/>
      <c r="G214" s="31"/>
      <c r="H214" s="31"/>
      <c r="I214" s="31"/>
      <c r="J214" s="31">
        <v>213</v>
      </c>
      <c r="K214" s="31" t="s">
        <v>919</v>
      </c>
      <c r="L214" s="1">
        <v>7.6425999999999994E-2</v>
      </c>
      <c r="M214" s="1">
        <v>0.32589000000000001</v>
      </c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</row>
    <row r="215" spans="1:35" x14ac:dyDescent="0.15">
      <c r="A215" s="31"/>
      <c r="B215" s="31">
        <v>62</v>
      </c>
      <c r="C215" s="31" t="s">
        <v>206</v>
      </c>
      <c r="D215" s="27">
        <v>0.65585000000000004</v>
      </c>
      <c r="E215" s="1">
        <v>0.1045</v>
      </c>
      <c r="F215" s="31"/>
      <c r="G215" s="31"/>
      <c r="H215" s="31"/>
      <c r="I215" s="31"/>
      <c r="J215" s="31">
        <v>214</v>
      </c>
      <c r="K215" s="31" t="s">
        <v>919</v>
      </c>
      <c r="L215" s="1">
        <v>6.8570000000000006E-2</v>
      </c>
      <c r="M215" s="1">
        <v>0.34057999999999999</v>
      </c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</row>
    <row r="216" spans="1:35" x14ac:dyDescent="0.15">
      <c r="A216" s="31"/>
      <c r="B216" s="31">
        <v>63</v>
      </c>
      <c r="C216" s="31" t="s">
        <v>206</v>
      </c>
      <c r="D216" s="27">
        <v>0.21831999999999999</v>
      </c>
      <c r="E216" s="1">
        <v>0.10736</v>
      </c>
      <c r="F216" s="31"/>
      <c r="G216" s="31"/>
      <c r="H216" s="31"/>
      <c r="I216" s="31"/>
      <c r="J216" s="31">
        <v>215</v>
      </c>
      <c r="K216" s="31" t="s">
        <v>919</v>
      </c>
      <c r="L216" s="1">
        <v>6.8139000000000005E-2</v>
      </c>
      <c r="M216" s="1">
        <v>0.38030999999999998</v>
      </c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</row>
    <row r="217" spans="1:35" x14ac:dyDescent="0.15">
      <c r="A217" s="31"/>
      <c r="B217" s="31">
        <v>64</v>
      </c>
      <c r="C217" s="31" t="s">
        <v>206</v>
      </c>
      <c r="D217" s="27">
        <v>-0.29304999999999998</v>
      </c>
      <c r="E217" s="1">
        <v>0.11143</v>
      </c>
      <c r="F217" s="31"/>
      <c r="G217" s="31"/>
      <c r="H217" s="31"/>
      <c r="I217" s="31"/>
      <c r="J217" s="31">
        <v>216</v>
      </c>
      <c r="K217" s="31" t="s">
        <v>919</v>
      </c>
      <c r="L217" s="1">
        <v>9.3995999999999993E-3</v>
      </c>
      <c r="M217" s="1">
        <v>0.59872999999999998</v>
      </c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</row>
    <row r="218" spans="1:35" x14ac:dyDescent="0.15">
      <c r="A218" s="31"/>
      <c r="B218" s="31">
        <v>65</v>
      </c>
      <c r="C218" s="31" t="s">
        <v>206</v>
      </c>
      <c r="D218" s="27">
        <v>-1.1028</v>
      </c>
      <c r="E218" s="1">
        <v>0.12584000000000001</v>
      </c>
      <c r="F218" s="31"/>
      <c r="G218" s="31"/>
      <c r="H218" s="31"/>
      <c r="I218" s="31"/>
      <c r="J218" s="31">
        <v>217</v>
      </c>
      <c r="K218" s="31" t="s">
        <v>919</v>
      </c>
      <c r="L218" s="1">
        <v>-0.17383999999999999</v>
      </c>
      <c r="M218" s="1">
        <v>0.43747000000000003</v>
      </c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</row>
    <row r="219" spans="1:35" x14ac:dyDescent="0.15">
      <c r="A219" s="31"/>
      <c r="B219" s="31">
        <v>66</v>
      </c>
      <c r="C219" s="31" t="s">
        <v>206</v>
      </c>
      <c r="D219" s="27">
        <v>-1.4950000000000001</v>
      </c>
      <c r="E219" s="1">
        <v>0.13839000000000001</v>
      </c>
      <c r="F219" s="31"/>
      <c r="G219" s="31"/>
      <c r="H219" s="31"/>
      <c r="I219" s="31"/>
      <c r="J219" s="31">
        <v>218</v>
      </c>
      <c r="K219" s="31" t="s">
        <v>919</v>
      </c>
      <c r="L219" s="1">
        <v>-6.6961000000000007E-2</v>
      </c>
      <c r="M219" s="1">
        <v>0.67281999999999997</v>
      </c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</row>
    <row r="220" spans="1:35" x14ac:dyDescent="0.15">
      <c r="A220" s="31"/>
      <c r="B220" s="31">
        <v>67</v>
      </c>
      <c r="C220" s="31" t="s">
        <v>206</v>
      </c>
      <c r="D220" s="27">
        <v>-0.56374999999999997</v>
      </c>
      <c r="E220" s="1">
        <v>0.11877</v>
      </c>
      <c r="F220" s="31"/>
      <c r="G220" s="31"/>
      <c r="H220" s="31"/>
      <c r="I220" s="31"/>
      <c r="J220" s="31">
        <v>219</v>
      </c>
      <c r="K220" s="31" t="s">
        <v>919</v>
      </c>
      <c r="L220" s="1">
        <v>0.24726999999999999</v>
      </c>
      <c r="M220" s="1">
        <v>0.53103</v>
      </c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</row>
    <row r="221" spans="1:35" x14ac:dyDescent="0.15">
      <c r="A221" s="31"/>
      <c r="B221" s="31">
        <v>68</v>
      </c>
      <c r="C221" s="31" t="s">
        <v>206</v>
      </c>
      <c r="D221" s="27">
        <v>0.29220000000000002</v>
      </c>
      <c r="E221" s="1">
        <v>0.11661000000000001</v>
      </c>
      <c r="F221" s="31"/>
      <c r="G221" s="31"/>
      <c r="H221" s="31"/>
      <c r="I221" s="31"/>
      <c r="J221" s="31">
        <v>220</v>
      </c>
      <c r="K221" s="31" t="s">
        <v>919</v>
      </c>
      <c r="L221" s="1">
        <v>0.15393999999999999</v>
      </c>
      <c r="M221" s="1">
        <v>0.47905999999999999</v>
      </c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</row>
    <row r="222" spans="1:35" x14ac:dyDescent="0.15">
      <c r="A222" s="31"/>
      <c r="B222" s="31">
        <v>69</v>
      </c>
      <c r="C222" s="31" t="s">
        <v>206</v>
      </c>
      <c r="D222" s="27">
        <v>-0.74770000000000003</v>
      </c>
      <c r="E222" s="1">
        <v>0.16331000000000001</v>
      </c>
      <c r="F222" s="31"/>
      <c r="G222" s="31"/>
      <c r="H222" s="31"/>
      <c r="I222" s="31"/>
      <c r="J222" s="31">
        <v>221</v>
      </c>
      <c r="K222" s="31" t="s">
        <v>919</v>
      </c>
      <c r="L222" s="1">
        <v>-1.5800999999999999E-2</v>
      </c>
      <c r="M222" s="1">
        <v>0.35416999999999998</v>
      </c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</row>
    <row r="223" spans="1:35" x14ac:dyDescent="0.15">
      <c r="A223" s="31"/>
      <c r="B223" s="31">
        <v>70</v>
      </c>
      <c r="C223" s="31" t="s">
        <v>206</v>
      </c>
      <c r="D223" s="27">
        <v>0.93318999999999996</v>
      </c>
      <c r="E223" s="1">
        <v>0.15121999999999999</v>
      </c>
      <c r="F223" s="31"/>
      <c r="G223" s="31"/>
      <c r="H223" s="31"/>
      <c r="I223" s="31"/>
      <c r="J223" s="31">
        <v>222</v>
      </c>
      <c r="K223" s="31" t="s">
        <v>919</v>
      </c>
      <c r="L223" s="1">
        <v>-2.4076E-2</v>
      </c>
      <c r="M223" s="1">
        <v>0.32862999999999998</v>
      </c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</row>
    <row r="224" spans="1:35" x14ac:dyDescent="0.15">
      <c r="A224" s="31"/>
      <c r="B224" s="31">
        <v>71</v>
      </c>
      <c r="C224" s="31" t="s">
        <v>206</v>
      </c>
      <c r="D224" s="27">
        <v>0.10517</v>
      </c>
      <c r="E224" s="1">
        <v>0.20871999999999999</v>
      </c>
      <c r="F224" s="31"/>
      <c r="G224" s="31"/>
      <c r="H224" s="31"/>
      <c r="I224" s="31"/>
      <c r="J224" s="31">
        <v>223</v>
      </c>
      <c r="K224" s="31" t="s">
        <v>919</v>
      </c>
      <c r="L224" s="1">
        <v>-3.0178E-2</v>
      </c>
      <c r="M224" s="1">
        <v>0.33200000000000002</v>
      </c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</row>
    <row r="225" spans="1:35" x14ac:dyDescent="0.15">
      <c r="A225" s="31"/>
      <c r="B225" s="31">
        <v>72</v>
      </c>
      <c r="C225" s="31" t="s">
        <v>206</v>
      </c>
      <c r="D225" s="27">
        <v>4.7077000000000001E-2</v>
      </c>
      <c r="E225" s="1">
        <v>0.15917000000000001</v>
      </c>
      <c r="F225" s="31"/>
      <c r="G225" s="31"/>
      <c r="H225" s="31"/>
      <c r="I225" s="31"/>
      <c r="J225" s="31">
        <v>224</v>
      </c>
      <c r="K225" s="31" t="s">
        <v>919</v>
      </c>
      <c r="L225" s="1">
        <v>-2.3924000000000001E-2</v>
      </c>
      <c r="M225" s="1">
        <v>0.36315999999999998</v>
      </c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</row>
    <row r="226" spans="1:35" x14ac:dyDescent="0.15">
      <c r="A226" s="31"/>
      <c r="B226" s="31">
        <v>73</v>
      </c>
      <c r="C226" s="31" t="s">
        <v>206</v>
      </c>
      <c r="D226" s="27">
        <v>-3.7270999999999999E-2</v>
      </c>
      <c r="E226" s="1">
        <v>0.18687000000000001</v>
      </c>
      <c r="F226" s="31"/>
      <c r="G226" s="31"/>
      <c r="H226" s="31"/>
      <c r="I226" s="31"/>
      <c r="J226" s="31">
        <v>225</v>
      </c>
      <c r="K226" s="31" t="s">
        <v>919</v>
      </c>
      <c r="L226" s="1">
        <v>-1.0593999999999999E-2</v>
      </c>
      <c r="M226" s="1">
        <v>0.52866000000000002</v>
      </c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</row>
    <row r="227" spans="1:35" x14ac:dyDescent="0.15">
      <c r="A227" s="31"/>
      <c r="B227" s="31"/>
      <c r="C227" s="31"/>
      <c r="D227" s="27"/>
      <c r="E227" s="1"/>
      <c r="F227" s="31"/>
      <c r="G227" s="31"/>
      <c r="H227" s="31"/>
      <c r="I227" s="31"/>
      <c r="J227" s="31">
        <v>226</v>
      </c>
      <c r="K227" s="31" t="s">
        <v>919</v>
      </c>
      <c r="L227" s="1">
        <v>-5.2364000000000004E-3</v>
      </c>
      <c r="M227" s="1">
        <v>0.54688999999999999</v>
      </c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</row>
    <row r="228" spans="1:35" x14ac:dyDescent="0.15">
      <c r="A228" s="31"/>
      <c r="B228" s="31">
        <v>74</v>
      </c>
      <c r="C228" s="31" t="s">
        <v>206</v>
      </c>
      <c r="D228" s="27">
        <v>-2.6462999999999999E-3</v>
      </c>
      <c r="E228" s="1">
        <v>0.19542000000000001</v>
      </c>
      <c r="F228" s="31"/>
      <c r="G228" s="31"/>
      <c r="H228" s="31"/>
      <c r="I228" s="31"/>
      <c r="J228" s="31">
        <v>227</v>
      </c>
      <c r="K228" s="31" t="s">
        <v>919</v>
      </c>
      <c r="L228" s="1">
        <v>-0.22444</v>
      </c>
      <c r="M228" s="1">
        <v>0.45767999999999998</v>
      </c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</row>
    <row r="229" spans="1:35" x14ac:dyDescent="0.15">
      <c r="A229" s="31"/>
      <c r="B229" s="31">
        <v>76</v>
      </c>
      <c r="C229" s="31" t="s">
        <v>185</v>
      </c>
      <c r="D229" s="27">
        <v>-0.41335</v>
      </c>
      <c r="E229" s="1">
        <v>0.29698000000000002</v>
      </c>
      <c r="F229" s="31"/>
      <c r="G229" s="31"/>
      <c r="H229" s="31"/>
      <c r="I229" s="31"/>
      <c r="J229" s="31">
        <v>228</v>
      </c>
      <c r="K229" s="31" t="s">
        <v>919</v>
      </c>
      <c r="L229" s="1">
        <v>-9.4434000000000004E-2</v>
      </c>
      <c r="M229" s="1">
        <v>0.67286999999999997</v>
      </c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</row>
    <row r="230" spans="1:35" x14ac:dyDescent="0.15">
      <c r="A230" s="31"/>
      <c r="B230" s="31">
        <v>77</v>
      </c>
      <c r="C230" s="31" t="s">
        <v>185</v>
      </c>
      <c r="D230" s="27">
        <v>-0.57767999999999997</v>
      </c>
      <c r="E230" s="1">
        <v>0.21690000000000001</v>
      </c>
      <c r="F230" s="31"/>
      <c r="G230" s="31"/>
      <c r="H230" s="31"/>
      <c r="I230" s="31"/>
      <c r="J230" s="31">
        <v>229</v>
      </c>
      <c r="K230" s="31" t="s">
        <v>919</v>
      </c>
      <c r="L230" s="1">
        <v>-0.53144999999999998</v>
      </c>
      <c r="M230" s="1">
        <v>0.49814000000000003</v>
      </c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</row>
    <row r="231" spans="1:35" x14ac:dyDescent="0.15">
      <c r="A231" s="31"/>
      <c r="B231" s="31">
        <v>78</v>
      </c>
      <c r="C231" s="31" t="s">
        <v>185</v>
      </c>
      <c r="D231" s="27">
        <v>-0.67913000000000001</v>
      </c>
      <c r="E231" s="1">
        <v>0.20596</v>
      </c>
      <c r="F231" s="31"/>
      <c r="G231" s="31"/>
      <c r="H231" s="31"/>
      <c r="I231" s="31"/>
      <c r="J231" s="31">
        <v>230</v>
      </c>
      <c r="K231" s="31" t="s">
        <v>919</v>
      </c>
      <c r="L231" s="1">
        <v>0.16722999999999999</v>
      </c>
      <c r="M231" s="1">
        <v>0.35869000000000001</v>
      </c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</row>
    <row r="232" spans="1:35" x14ac:dyDescent="0.15">
      <c r="A232" s="31"/>
      <c r="B232" s="31">
        <v>79</v>
      </c>
      <c r="C232" s="31" t="s">
        <v>185</v>
      </c>
      <c r="D232" s="27">
        <v>-0.16281000000000001</v>
      </c>
      <c r="E232" s="1">
        <v>0.20247999999999999</v>
      </c>
      <c r="F232" s="31"/>
      <c r="G232" s="31"/>
      <c r="H232" s="31"/>
      <c r="I232" s="31"/>
      <c r="J232" s="31">
        <v>231</v>
      </c>
      <c r="K232" s="31" t="s">
        <v>919</v>
      </c>
      <c r="L232" s="1">
        <v>0.10127</v>
      </c>
      <c r="M232" s="1">
        <v>0.32846999999999998</v>
      </c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</row>
    <row r="233" spans="1:35" x14ac:dyDescent="0.15">
      <c r="A233" s="31"/>
      <c r="B233" s="31">
        <v>80</v>
      </c>
      <c r="C233" s="31" t="s">
        <v>185</v>
      </c>
      <c r="D233" s="27">
        <v>-0.16603000000000001</v>
      </c>
      <c r="E233" s="1">
        <v>0.19475000000000001</v>
      </c>
      <c r="F233" s="31"/>
      <c r="G233" s="31"/>
      <c r="H233" s="31"/>
      <c r="I233" s="31"/>
      <c r="J233" s="31">
        <v>232</v>
      </c>
      <c r="K233" s="31" t="s">
        <v>919</v>
      </c>
      <c r="L233" s="1">
        <v>6.7505999999999997E-2</v>
      </c>
      <c r="M233" s="1">
        <v>0.32194</v>
      </c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</row>
    <row r="234" spans="1:35" x14ac:dyDescent="0.15">
      <c r="A234" s="31"/>
      <c r="B234" s="31">
        <v>81</v>
      </c>
      <c r="C234" s="31" t="s">
        <v>185</v>
      </c>
      <c r="D234" s="27">
        <v>-0.21243999999999999</v>
      </c>
      <c r="E234" s="1">
        <v>0.21443000000000001</v>
      </c>
      <c r="F234" s="31"/>
      <c r="G234" s="31"/>
      <c r="H234" s="31"/>
      <c r="I234" s="31"/>
      <c r="J234" s="31">
        <v>233</v>
      </c>
      <c r="K234" s="31" t="s">
        <v>919</v>
      </c>
      <c r="L234" s="1">
        <v>5.7396999999999997E-2</v>
      </c>
      <c r="M234" s="1">
        <v>0.33045000000000002</v>
      </c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</row>
    <row r="235" spans="1:35" x14ac:dyDescent="0.15">
      <c r="A235" s="31"/>
      <c r="B235" s="31">
        <v>82</v>
      </c>
      <c r="C235" s="31" t="s">
        <v>185</v>
      </c>
      <c r="D235" s="27">
        <v>0.22145000000000001</v>
      </c>
      <c r="E235" s="1">
        <v>0.21551999999999999</v>
      </c>
      <c r="F235" s="31"/>
      <c r="G235" s="31"/>
      <c r="H235" s="31"/>
      <c r="I235" s="31"/>
      <c r="J235" s="31">
        <v>234</v>
      </c>
      <c r="K235" s="31" t="s">
        <v>919</v>
      </c>
      <c r="L235" s="1">
        <v>4.8266000000000003E-2</v>
      </c>
      <c r="M235" s="1">
        <v>0.36135</v>
      </c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</row>
    <row r="236" spans="1:35" x14ac:dyDescent="0.15">
      <c r="A236" s="31"/>
      <c r="B236" s="31">
        <v>83</v>
      </c>
      <c r="C236" s="31" t="s">
        <v>185</v>
      </c>
      <c r="D236" s="27">
        <v>0.61212999999999995</v>
      </c>
      <c r="E236" s="1">
        <v>0.2162</v>
      </c>
      <c r="F236" s="31"/>
      <c r="G236" s="31"/>
      <c r="H236" s="31"/>
      <c r="I236" s="31"/>
      <c r="J236" s="31">
        <v>235</v>
      </c>
      <c r="K236" s="31" t="s">
        <v>919</v>
      </c>
      <c r="L236" s="1">
        <v>3.5233E-2</v>
      </c>
      <c r="M236" s="1">
        <v>0.52830999999999995</v>
      </c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</row>
    <row r="237" spans="1:35" x14ac:dyDescent="0.15">
      <c r="A237" s="31"/>
      <c r="B237" s="31">
        <v>84</v>
      </c>
      <c r="C237" s="31" t="s">
        <v>185</v>
      </c>
      <c r="D237" s="27">
        <v>0.67147999999999997</v>
      </c>
      <c r="E237" s="1">
        <v>0.21485000000000001</v>
      </c>
      <c r="F237" s="31"/>
      <c r="G237" s="31"/>
      <c r="H237" s="31"/>
      <c r="I237" s="31"/>
      <c r="J237" s="31">
        <v>236</v>
      </c>
      <c r="K237" s="31" t="s">
        <v>919</v>
      </c>
      <c r="L237" s="1">
        <v>2.9607000000000001E-2</v>
      </c>
      <c r="M237" s="1">
        <v>0.54623999999999995</v>
      </c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</row>
    <row r="238" spans="1:35" x14ac:dyDescent="0.15">
      <c r="A238" s="31"/>
      <c r="B238" s="31">
        <v>85</v>
      </c>
      <c r="C238" s="31" t="s">
        <v>185</v>
      </c>
      <c r="D238" s="27">
        <v>0.81952999999999998</v>
      </c>
      <c r="E238" s="1">
        <v>0.21476000000000001</v>
      </c>
      <c r="F238" s="31"/>
      <c r="G238" s="31"/>
      <c r="H238" s="31"/>
      <c r="I238" s="31"/>
      <c r="J238" s="31">
        <v>237</v>
      </c>
      <c r="K238" s="31" t="s">
        <v>919</v>
      </c>
      <c r="L238" s="1">
        <v>0.11938</v>
      </c>
      <c r="M238" s="1">
        <v>0.47158</v>
      </c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</row>
    <row r="239" spans="1:35" x14ac:dyDescent="0.15">
      <c r="A239" s="31"/>
      <c r="B239" s="31">
        <v>86</v>
      </c>
      <c r="C239" s="31" t="s">
        <v>185</v>
      </c>
      <c r="D239" s="27">
        <v>0.80508999999999997</v>
      </c>
      <c r="E239" s="1">
        <v>0.21506</v>
      </c>
      <c r="F239" s="31"/>
      <c r="G239" s="31"/>
      <c r="H239" s="31"/>
      <c r="I239" s="31"/>
      <c r="J239" s="31">
        <v>238</v>
      </c>
      <c r="K239" s="31" t="s">
        <v>919</v>
      </c>
      <c r="L239" s="1">
        <v>-8.9841000000000004E-2</v>
      </c>
      <c r="M239" s="1">
        <v>0.66957999999999995</v>
      </c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</row>
    <row r="240" spans="1:35" x14ac:dyDescent="0.15">
      <c r="A240" s="31"/>
      <c r="B240" s="31">
        <v>87</v>
      </c>
      <c r="C240" s="31" t="s">
        <v>185</v>
      </c>
      <c r="D240" s="27">
        <v>0.65749999999999997</v>
      </c>
      <c r="E240" s="1">
        <v>0.20760999999999999</v>
      </c>
      <c r="F240" s="31"/>
      <c r="G240" s="31"/>
      <c r="H240" s="31"/>
      <c r="I240" s="31"/>
      <c r="J240" s="31">
        <v>239</v>
      </c>
      <c r="K240" s="31" t="s">
        <v>919</v>
      </c>
      <c r="L240" s="1">
        <v>-3.2922E-2</v>
      </c>
      <c r="M240" s="1">
        <v>0.51887000000000005</v>
      </c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</row>
    <row r="241" spans="1:35" x14ac:dyDescent="0.15">
      <c r="A241" s="31"/>
      <c r="B241" s="31">
        <v>88</v>
      </c>
      <c r="C241" s="31" t="s">
        <v>185</v>
      </c>
      <c r="D241" s="27">
        <v>0.51036000000000004</v>
      </c>
      <c r="E241" s="1">
        <v>0.19667999999999999</v>
      </c>
      <c r="F241" s="31"/>
      <c r="G241" s="31"/>
      <c r="H241" s="31"/>
      <c r="I241" s="31"/>
      <c r="J241" s="31">
        <v>240</v>
      </c>
      <c r="K241" s="31" t="s">
        <v>919</v>
      </c>
      <c r="L241" s="1">
        <v>-0.19902</v>
      </c>
      <c r="M241" s="1">
        <v>0.40416999999999997</v>
      </c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</row>
    <row r="242" spans="1:35" x14ac:dyDescent="0.15">
      <c r="A242" s="31"/>
      <c r="B242" s="31">
        <v>89</v>
      </c>
      <c r="C242" s="31" t="s">
        <v>185</v>
      </c>
      <c r="D242" s="27">
        <v>0.30418000000000001</v>
      </c>
      <c r="E242" s="1">
        <v>0.23561000000000001</v>
      </c>
      <c r="F242" s="31"/>
      <c r="G242" s="31"/>
      <c r="H242" s="31"/>
      <c r="I242" s="31"/>
      <c r="J242" s="31">
        <v>241</v>
      </c>
      <c r="K242" s="31" t="s">
        <v>919</v>
      </c>
      <c r="L242" s="1">
        <v>7.9699999999999993E-2</v>
      </c>
      <c r="M242" s="1">
        <v>0.34527999999999998</v>
      </c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</row>
    <row r="243" spans="1:35" x14ac:dyDescent="0.15">
      <c r="A243" s="31"/>
      <c r="B243" s="31">
        <v>90</v>
      </c>
      <c r="C243" s="31" t="s">
        <v>185</v>
      </c>
      <c r="D243" s="27">
        <v>0.33550000000000002</v>
      </c>
      <c r="E243" s="1">
        <v>0.26027</v>
      </c>
      <c r="F243" s="31"/>
      <c r="G243" s="31"/>
      <c r="H243" s="31"/>
      <c r="I243" s="31"/>
      <c r="J243" s="31">
        <v>242</v>
      </c>
      <c r="K243" s="31" t="s">
        <v>919</v>
      </c>
      <c r="L243" s="1">
        <v>7.3996000000000006E-2</v>
      </c>
      <c r="M243" s="1">
        <v>0.32572000000000001</v>
      </c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</row>
    <row r="244" spans="1:35" x14ac:dyDescent="0.15">
      <c r="A244" s="31"/>
      <c r="B244" s="31">
        <v>91</v>
      </c>
      <c r="C244" s="31" t="s">
        <v>185</v>
      </c>
      <c r="D244" s="27">
        <v>0.37119000000000002</v>
      </c>
      <c r="E244" s="1">
        <v>0.25902999999999998</v>
      </c>
      <c r="F244" s="31"/>
      <c r="G244" s="31"/>
      <c r="H244" s="31"/>
      <c r="I244" s="31"/>
      <c r="J244" s="31">
        <v>243</v>
      </c>
      <c r="K244" s="31" t="s">
        <v>919</v>
      </c>
      <c r="L244" s="1">
        <v>6.5877000000000005E-2</v>
      </c>
      <c r="M244" s="1">
        <v>0.32139000000000001</v>
      </c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</row>
    <row r="245" spans="1:35" x14ac:dyDescent="0.15">
      <c r="A245" s="31"/>
      <c r="B245" s="31">
        <v>92</v>
      </c>
      <c r="C245" s="31" t="s">
        <v>185</v>
      </c>
      <c r="D245" s="27">
        <v>0.32795999999999997</v>
      </c>
      <c r="E245" s="1">
        <v>0.22509999999999999</v>
      </c>
      <c r="F245" s="31"/>
      <c r="G245" s="31"/>
      <c r="H245" s="31"/>
      <c r="I245" s="31"/>
      <c r="J245" s="31">
        <v>244</v>
      </c>
      <c r="K245" s="31" t="s">
        <v>919</v>
      </c>
      <c r="L245" s="1">
        <v>5.7410999999999997E-2</v>
      </c>
      <c r="M245" s="1">
        <v>0.32623999999999997</v>
      </c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</row>
    <row r="246" spans="1:35" x14ac:dyDescent="0.15">
      <c r="A246" s="31"/>
      <c r="B246" s="31">
        <v>93</v>
      </c>
      <c r="C246" s="31" t="s">
        <v>185</v>
      </c>
      <c r="D246" s="27">
        <v>0.10399</v>
      </c>
      <c r="E246" s="1">
        <v>0.31622</v>
      </c>
      <c r="F246" s="31"/>
      <c r="G246" s="31"/>
      <c r="H246" s="31"/>
      <c r="I246" s="31"/>
      <c r="J246" s="31">
        <v>245</v>
      </c>
      <c r="K246" s="31" t="s">
        <v>919</v>
      </c>
      <c r="L246" s="1">
        <v>5.0331000000000001E-2</v>
      </c>
      <c r="M246" s="1">
        <v>0.34517999999999999</v>
      </c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</row>
    <row r="247" spans="1:35" x14ac:dyDescent="0.15">
      <c r="A247" s="31"/>
      <c r="B247" s="31">
        <v>94</v>
      </c>
      <c r="C247" s="31" t="s">
        <v>185</v>
      </c>
      <c r="D247" s="27">
        <v>-0.17324999999999999</v>
      </c>
      <c r="E247" s="1">
        <v>0.36257</v>
      </c>
      <c r="F247" s="31"/>
      <c r="G247" s="31"/>
      <c r="H247" s="31"/>
      <c r="I247" s="31"/>
      <c r="J247" s="31">
        <v>246</v>
      </c>
      <c r="K247" s="31" t="s">
        <v>919</v>
      </c>
      <c r="L247" s="1">
        <v>4.6233999999999997E-2</v>
      </c>
      <c r="M247" s="1">
        <v>0.38869999999999999</v>
      </c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</row>
    <row r="248" spans="1:35" x14ac:dyDescent="0.15">
      <c r="A248" s="31"/>
      <c r="B248" s="31">
        <v>95</v>
      </c>
      <c r="C248" s="31" t="s">
        <v>185</v>
      </c>
      <c r="D248" s="27">
        <v>-0.18076999999999999</v>
      </c>
      <c r="E248" s="1">
        <v>0.37522</v>
      </c>
      <c r="F248" s="31"/>
      <c r="G248" s="31"/>
      <c r="H248" s="31"/>
      <c r="I248" s="31"/>
      <c r="J248" s="31">
        <v>247</v>
      </c>
      <c r="K248" s="31" t="s">
        <v>919</v>
      </c>
      <c r="L248" s="1">
        <v>-5.1769000000000003E-2</v>
      </c>
      <c r="M248" s="1">
        <v>0.47659000000000001</v>
      </c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</row>
    <row r="249" spans="1:35" x14ac:dyDescent="0.15">
      <c r="A249" s="31"/>
      <c r="B249" s="31">
        <v>96</v>
      </c>
      <c r="C249" s="31" t="s">
        <v>185</v>
      </c>
      <c r="D249" s="27">
        <v>-0.15329999999999999</v>
      </c>
      <c r="E249" s="1">
        <v>0.36976999999999999</v>
      </c>
      <c r="F249" s="31"/>
      <c r="G249" s="31"/>
      <c r="H249" s="31"/>
      <c r="I249" s="31"/>
      <c r="J249" s="31">
        <v>248</v>
      </c>
      <c r="K249" s="31" t="s">
        <v>919</v>
      </c>
      <c r="L249" s="1">
        <v>-3.7657000000000003E-2</v>
      </c>
      <c r="M249" s="1">
        <v>0.66222000000000003</v>
      </c>
      <c r="N249" s="31"/>
      <c r="O249" s="31"/>
      <c r="P249" s="31"/>
      <c r="Q249" s="31"/>
      <c r="R249" s="31">
        <v>807</v>
      </c>
      <c r="S249" s="31" t="s">
        <v>43</v>
      </c>
      <c r="T249" s="31">
        <v>556.01</v>
      </c>
      <c r="U249" s="31">
        <v>143.47999999999999</v>
      </c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</row>
    <row r="250" spans="1:35" x14ac:dyDescent="0.15">
      <c r="A250" s="31"/>
      <c r="B250" s="31">
        <v>97</v>
      </c>
      <c r="C250" s="31" t="s">
        <v>185</v>
      </c>
      <c r="D250" s="27">
        <v>-0.11656</v>
      </c>
      <c r="E250" s="1">
        <v>0.37794</v>
      </c>
      <c r="F250" s="31"/>
      <c r="G250" s="31"/>
      <c r="H250" s="31"/>
      <c r="I250" s="31"/>
      <c r="J250" s="31">
        <v>249</v>
      </c>
      <c r="K250" s="31" t="s">
        <v>919</v>
      </c>
      <c r="L250" s="1">
        <v>0.32546999999999998</v>
      </c>
      <c r="M250" s="1">
        <v>0.54459000000000002</v>
      </c>
      <c r="N250" s="31"/>
      <c r="O250" s="31"/>
      <c r="P250" s="31"/>
      <c r="Q250" s="31"/>
      <c r="R250" s="31">
        <v>808</v>
      </c>
      <c r="S250" s="31" t="s">
        <v>43</v>
      </c>
      <c r="T250" s="31">
        <v>636.02</v>
      </c>
      <c r="U250" s="31">
        <v>137.31</v>
      </c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</row>
    <row r="251" spans="1:35" x14ac:dyDescent="0.15">
      <c r="A251" s="31"/>
      <c r="B251" s="31">
        <v>98</v>
      </c>
      <c r="C251" s="31" t="s">
        <v>185</v>
      </c>
      <c r="D251" s="27">
        <v>-0.25459999999999999</v>
      </c>
      <c r="E251" s="1">
        <v>0.33490999999999999</v>
      </c>
      <c r="F251" s="31"/>
      <c r="G251" s="31"/>
      <c r="H251" s="31"/>
      <c r="I251" s="31"/>
      <c r="J251" s="31">
        <v>250</v>
      </c>
      <c r="K251" s="31" t="s">
        <v>919</v>
      </c>
      <c r="L251" s="1">
        <v>-0.12622</v>
      </c>
      <c r="M251" s="1">
        <v>0.47361999999999999</v>
      </c>
      <c r="N251" s="31"/>
      <c r="O251" s="31"/>
      <c r="P251" s="31"/>
      <c r="Q251" s="31"/>
      <c r="R251" s="31">
        <v>809</v>
      </c>
      <c r="S251" s="31" t="s">
        <v>43</v>
      </c>
      <c r="T251" s="31">
        <v>718.6</v>
      </c>
      <c r="U251" s="31">
        <v>144.80000000000001</v>
      </c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</row>
    <row r="252" spans="1:35" x14ac:dyDescent="0.15">
      <c r="A252" s="31"/>
      <c r="B252" s="31">
        <v>99</v>
      </c>
      <c r="C252" s="31" t="s">
        <v>185</v>
      </c>
      <c r="D252" s="27">
        <v>-0.56218999999999997</v>
      </c>
      <c r="E252" s="1">
        <v>0.30309000000000003</v>
      </c>
      <c r="F252" s="31"/>
      <c r="G252" s="31"/>
      <c r="H252" s="31"/>
      <c r="I252" s="31"/>
      <c r="J252" s="31">
        <v>251</v>
      </c>
      <c r="K252" s="31" t="s">
        <v>919</v>
      </c>
      <c r="L252" s="1">
        <v>-0.10995000000000001</v>
      </c>
      <c r="M252" s="1">
        <v>0.45284000000000002</v>
      </c>
      <c r="N252" s="31"/>
      <c r="O252" s="31"/>
      <c r="P252" s="31"/>
      <c r="Q252" s="31"/>
      <c r="R252" s="31">
        <v>810</v>
      </c>
      <c r="S252" s="31" t="s">
        <v>43</v>
      </c>
      <c r="T252" s="31">
        <v>891.78</v>
      </c>
      <c r="U252" s="31">
        <v>159.97</v>
      </c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</row>
    <row r="253" spans="1:35" x14ac:dyDescent="0.15">
      <c r="A253" s="31"/>
      <c r="B253" s="31">
        <v>100</v>
      </c>
      <c r="C253" s="31" t="s">
        <v>185</v>
      </c>
      <c r="D253" s="27">
        <v>-0.49657000000000001</v>
      </c>
      <c r="E253" s="1">
        <v>0.15026</v>
      </c>
      <c r="F253" s="31"/>
      <c r="G253" s="31"/>
      <c r="H253" s="31"/>
      <c r="I253" s="31"/>
      <c r="J253" s="31">
        <v>252</v>
      </c>
      <c r="K253" s="31" t="s">
        <v>919</v>
      </c>
      <c r="L253" s="1">
        <v>-1.4288E-2</v>
      </c>
      <c r="M253" s="1">
        <v>0.35909000000000002</v>
      </c>
      <c r="N253" s="31"/>
      <c r="O253" s="31"/>
      <c r="P253" s="31"/>
      <c r="Q253" s="31"/>
      <c r="R253" s="31">
        <v>811</v>
      </c>
      <c r="S253" s="31" t="s">
        <v>43</v>
      </c>
      <c r="T253" s="31">
        <v>1093.3</v>
      </c>
      <c r="U253" s="31">
        <v>194.2</v>
      </c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</row>
    <row r="254" spans="1:35" x14ac:dyDescent="0.15">
      <c r="A254" s="31"/>
      <c r="B254" s="31">
        <v>101</v>
      </c>
      <c r="C254" s="31" t="s">
        <v>185</v>
      </c>
      <c r="D254" s="27">
        <v>-0.45038</v>
      </c>
      <c r="E254" s="1">
        <v>0.13704</v>
      </c>
      <c r="F254" s="31"/>
      <c r="G254" s="31"/>
      <c r="H254" s="31"/>
      <c r="I254" s="31"/>
      <c r="J254" s="31">
        <v>253</v>
      </c>
      <c r="K254" s="31" t="s">
        <v>919</v>
      </c>
      <c r="L254" s="1">
        <v>-3.3752000000000001E-3</v>
      </c>
      <c r="M254" s="1">
        <v>0.33454</v>
      </c>
      <c r="N254" s="31"/>
      <c r="O254" s="31"/>
      <c r="P254" s="31"/>
      <c r="Q254" s="31"/>
      <c r="R254" s="31">
        <v>812</v>
      </c>
      <c r="S254" s="31" t="s">
        <v>43</v>
      </c>
      <c r="T254" s="31">
        <v>1316</v>
      </c>
      <c r="U254" s="31">
        <v>227.88</v>
      </c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</row>
    <row r="255" spans="1:35" x14ac:dyDescent="0.15">
      <c r="A255" s="31"/>
      <c r="B255" s="31">
        <v>102</v>
      </c>
      <c r="C255" s="31" t="s">
        <v>185</v>
      </c>
      <c r="D255" s="27">
        <v>-0.13657</v>
      </c>
      <c r="E255" s="1">
        <v>0.12447999999999999</v>
      </c>
      <c r="F255" s="31"/>
      <c r="G255" s="31"/>
      <c r="H255" s="31"/>
      <c r="I255" s="31"/>
      <c r="J255" s="31">
        <v>254</v>
      </c>
      <c r="K255" s="31" t="s">
        <v>919</v>
      </c>
      <c r="L255" s="1">
        <v>3.5682999999999999E-3</v>
      </c>
      <c r="M255" s="1">
        <v>0.33065</v>
      </c>
      <c r="N255" s="31"/>
      <c r="O255" s="31"/>
      <c r="P255" s="31"/>
      <c r="Q255" s="31"/>
      <c r="R255" s="31">
        <v>813</v>
      </c>
      <c r="S255" s="31" t="s">
        <v>43</v>
      </c>
      <c r="T255" s="31">
        <v>1508.9</v>
      </c>
      <c r="U255" s="31">
        <v>255.12</v>
      </c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</row>
    <row r="256" spans="1:35" x14ac:dyDescent="0.15">
      <c r="A256" s="31"/>
      <c r="B256" s="31">
        <v>103</v>
      </c>
      <c r="C256" s="31" t="s">
        <v>185</v>
      </c>
      <c r="D256" s="27">
        <v>6.4784999999999999E-3</v>
      </c>
      <c r="E256" s="1">
        <v>0.11592</v>
      </c>
      <c r="F256" s="31"/>
      <c r="G256" s="31"/>
      <c r="H256" s="31"/>
      <c r="I256" s="31"/>
      <c r="J256" s="31">
        <v>255</v>
      </c>
      <c r="K256" s="31" t="s">
        <v>919</v>
      </c>
      <c r="L256" s="1">
        <v>5.5678999999999998E-3</v>
      </c>
      <c r="M256" s="1">
        <v>0.34300000000000003</v>
      </c>
      <c r="N256" s="31"/>
      <c r="O256" s="31"/>
      <c r="P256" s="31"/>
      <c r="Q256" s="31"/>
      <c r="R256" s="31">
        <v>814</v>
      </c>
      <c r="S256" s="31" t="s">
        <v>43</v>
      </c>
      <c r="T256" s="31">
        <v>1581.6</v>
      </c>
      <c r="U256" s="31">
        <v>264.42</v>
      </c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</row>
    <row r="257" spans="1:35" x14ac:dyDescent="0.15">
      <c r="A257" s="31"/>
      <c r="B257" s="31">
        <v>104</v>
      </c>
      <c r="C257" s="31" t="s">
        <v>185</v>
      </c>
      <c r="D257" s="27">
        <v>0.34118999999999999</v>
      </c>
      <c r="E257" s="1">
        <v>0.12157</v>
      </c>
      <c r="F257" s="31"/>
      <c r="G257" s="31"/>
      <c r="H257" s="31"/>
      <c r="I257" s="31"/>
      <c r="J257" s="31">
        <v>256</v>
      </c>
      <c r="K257" s="31" t="s">
        <v>919</v>
      </c>
      <c r="L257" s="1">
        <v>3.8964999999999998E-3</v>
      </c>
      <c r="M257" s="1">
        <v>0.37911</v>
      </c>
      <c r="N257" s="31"/>
      <c r="O257" s="31"/>
      <c r="P257" s="31"/>
      <c r="Q257" s="31"/>
      <c r="R257" s="31">
        <v>815</v>
      </c>
      <c r="S257" s="31" t="s">
        <v>43</v>
      </c>
      <c r="T257" s="31">
        <v>1514.5</v>
      </c>
      <c r="U257" s="31">
        <v>249.34</v>
      </c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</row>
    <row r="258" spans="1:35" x14ac:dyDescent="0.15">
      <c r="A258" s="31"/>
      <c r="B258" s="31">
        <v>105</v>
      </c>
      <c r="C258" s="31" t="s">
        <v>185</v>
      </c>
      <c r="D258" s="27">
        <v>-0.17519000000000001</v>
      </c>
      <c r="E258" s="1">
        <v>0.13583000000000001</v>
      </c>
      <c r="F258" s="31"/>
      <c r="G258" s="31"/>
      <c r="H258" s="31"/>
      <c r="I258" s="31"/>
      <c r="J258" s="31">
        <v>257</v>
      </c>
      <c r="K258" s="31" t="s">
        <v>919</v>
      </c>
      <c r="L258" s="1">
        <v>-4.7009000000000002E-2</v>
      </c>
      <c r="M258" s="1">
        <v>0.52190000000000003</v>
      </c>
      <c r="N258" s="31"/>
      <c r="O258" s="31"/>
      <c r="P258" s="31"/>
      <c r="Q258" s="31"/>
      <c r="R258" s="31">
        <v>816</v>
      </c>
      <c r="S258" s="31" t="s">
        <v>43</v>
      </c>
      <c r="T258" s="31">
        <v>1300.9000000000001</v>
      </c>
      <c r="U258" s="31">
        <v>225.56</v>
      </c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</row>
    <row r="259" spans="1:35" x14ac:dyDescent="0.15">
      <c r="A259" s="31"/>
      <c r="B259" s="31">
        <v>106</v>
      </c>
      <c r="C259" s="31" t="s">
        <v>185</v>
      </c>
      <c r="D259" s="27">
        <v>-0.36015000000000003</v>
      </c>
      <c r="E259" s="1">
        <v>0.15112</v>
      </c>
      <c r="F259" s="31"/>
      <c r="G259" s="31"/>
      <c r="H259" s="31"/>
      <c r="I259" s="31"/>
      <c r="J259" s="31">
        <v>258</v>
      </c>
      <c r="K259" s="31" t="s">
        <v>919</v>
      </c>
      <c r="L259" s="1">
        <v>-6.5504000000000007E-2</v>
      </c>
      <c r="M259" s="1">
        <v>0.66468000000000005</v>
      </c>
      <c r="N259" s="31"/>
      <c r="O259" s="31"/>
      <c r="P259" s="31"/>
      <c r="Q259" s="31"/>
      <c r="R259" s="31">
        <v>817</v>
      </c>
      <c r="S259" s="31" t="s">
        <v>43</v>
      </c>
      <c r="T259" s="31">
        <v>989.28</v>
      </c>
      <c r="U259" s="31">
        <v>195.77</v>
      </c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</row>
    <row r="260" spans="1:35" x14ac:dyDescent="0.15">
      <c r="A260" s="31"/>
      <c r="B260" s="31">
        <v>107</v>
      </c>
      <c r="C260" s="31" t="s">
        <v>185</v>
      </c>
      <c r="D260" s="27">
        <v>-0.28355000000000002</v>
      </c>
      <c r="E260" s="1">
        <v>0.15039</v>
      </c>
      <c r="F260" s="31"/>
      <c r="G260" s="31"/>
      <c r="H260" s="31"/>
      <c r="I260" s="31"/>
      <c r="J260" s="31">
        <v>259</v>
      </c>
      <c r="K260" s="31" t="s">
        <v>919</v>
      </c>
      <c r="L260" s="1">
        <v>-0.10695</v>
      </c>
      <c r="M260" s="1">
        <v>0.52815999999999996</v>
      </c>
      <c r="N260" s="31"/>
      <c r="O260" s="31"/>
      <c r="P260" s="31"/>
      <c r="Q260" s="31"/>
      <c r="R260" s="31">
        <v>818</v>
      </c>
      <c r="S260" s="31" t="s">
        <v>43</v>
      </c>
      <c r="T260" s="31">
        <v>857.31</v>
      </c>
      <c r="U260" s="31">
        <v>151.09</v>
      </c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</row>
    <row r="261" spans="1:35" x14ac:dyDescent="0.15">
      <c r="A261" s="31"/>
      <c r="B261" s="31">
        <v>108</v>
      </c>
      <c r="C261" s="31" t="s">
        <v>185</v>
      </c>
      <c r="D261" s="27">
        <v>-3.7546000000000003E-2</v>
      </c>
      <c r="E261" s="1">
        <v>0.15271000000000001</v>
      </c>
      <c r="F261" s="31"/>
      <c r="G261" s="31"/>
      <c r="H261" s="31"/>
      <c r="I261" s="31"/>
      <c r="J261" s="31">
        <v>260</v>
      </c>
      <c r="K261" s="31" t="s">
        <v>919</v>
      </c>
      <c r="L261" s="1">
        <v>7.5968999999999995E-2</v>
      </c>
      <c r="M261" s="1">
        <v>0.45577000000000001</v>
      </c>
      <c r="N261" s="31"/>
      <c r="O261" s="31"/>
      <c r="P261" s="31"/>
      <c r="Q261" s="31"/>
      <c r="R261" s="31">
        <v>819</v>
      </c>
      <c r="S261" s="31" t="s">
        <v>43</v>
      </c>
      <c r="T261" s="31">
        <v>897.09</v>
      </c>
      <c r="U261" s="31">
        <v>122.91</v>
      </c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</row>
    <row r="262" spans="1:35" x14ac:dyDescent="0.15">
      <c r="A262" s="31"/>
      <c r="B262" s="31">
        <v>109</v>
      </c>
      <c r="C262" s="31" t="s">
        <v>185</v>
      </c>
      <c r="D262" s="27">
        <v>-4.1903999999999997E-2</v>
      </c>
      <c r="E262" s="1">
        <v>0.18526000000000001</v>
      </c>
      <c r="F262" s="31"/>
      <c r="G262" s="31"/>
      <c r="H262" s="31"/>
      <c r="I262" s="31"/>
      <c r="J262" s="31">
        <v>261</v>
      </c>
      <c r="K262" s="31" t="s">
        <v>919</v>
      </c>
      <c r="L262" s="1">
        <v>7.9621999999999991E-3</v>
      </c>
      <c r="M262" s="1">
        <v>0.47198000000000001</v>
      </c>
      <c r="N262" s="31"/>
      <c r="O262" s="31"/>
      <c r="P262" s="31"/>
      <c r="Q262" s="31"/>
      <c r="R262" s="31">
        <v>820</v>
      </c>
      <c r="S262" s="31" t="s">
        <v>43</v>
      </c>
      <c r="T262" s="31">
        <v>955.61</v>
      </c>
      <c r="U262" s="31">
        <v>112.19</v>
      </c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</row>
    <row r="263" spans="1:35" x14ac:dyDescent="0.15">
      <c r="A263" s="31"/>
      <c r="B263" s="31">
        <v>110</v>
      </c>
      <c r="C263" s="31" t="s">
        <v>185</v>
      </c>
      <c r="D263" s="27">
        <v>-0.14237</v>
      </c>
      <c r="E263" s="1">
        <v>0.16336999999999999</v>
      </c>
      <c r="F263" s="31"/>
      <c r="G263" s="31"/>
      <c r="H263" s="31"/>
      <c r="I263" s="31"/>
      <c r="J263" s="31">
        <v>262</v>
      </c>
      <c r="K263" s="31" t="s">
        <v>919</v>
      </c>
      <c r="L263" s="1">
        <v>-2.1139999999999999E-2</v>
      </c>
      <c r="M263" s="1">
        <v>0.38405</v>
      </c>
      <c r="N263" s="31"/>
      <c r="O263" s="31"/>
      <c r="P263" s="31"/>
      <c r="Q263" s="31"/>
      <c r="R263" s="31">
        <v>821</v>
      </c>
      <c r="S263" s="31" t="s">
        <v>43</v>
      </c>
      <c r="T263" s="31">
        <v>989.7</v>
      </c>
      <c r="U263" s="31">
        <v>110.82</v>
      </c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</row>
    <row r="264" spans="1:35" x14ac:dyDescent="0.15">
      <c r="A264" s="31"/>
      <c r="B264" s="31">
        <v>111</v>
      </c>
      <c r="C264" s="31" t="s">
        <v>185</v>
      </c>
      <c r="D264" s="27">
        <v>-0.51102000000000003</v>
      </c>
      <c r="E264" s="1">
        <v>0.12783</v>
      </c>
      <c r="F264" s="31"/>
      <c r="G264" s="31"/>
      <c r="H264" s="31"/>
      <c r="I264" s="31"/>
      <c r="J264" s="31">
        <v>263</v>
      </c>
      <c r="K264" s="31" t="s">
        <v>919</v>
      </c>
      <c r="L264" s="1">
        <v>-2.878E-2</v>
      </c>
      <c r="M264" s="1">
        <v>0.37653999999999999</v>
      </c>
      <c r="N264" s="31"/>
      <c r="O264" s="31"/>
      <c r="P264" s="31"/>
      <c r="Q264" s="31"/>
      <c r="R264" s="31">
        <v>822</v>
      </c>
      <c r="S264" s="31" t="s">
        <v>43</v>
      </c>
      <c r="T264" s="31">
        <v>1000.2</v>
      </c>
      <c r="U264" s="31">
        <v>111.65</v>
      </c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</row>
    <row r="265" spans="1:35" x14ac:dyDescent="0.15">
      <c r="A265" s="31"/>
      <c r="B265" s="31">
        <v>112</v>
      </c>
      <c r="C265" s="31" t="s">
        <v>185</v>
      </c>
      <c r="D265" s="27">
        <v>-0.36832999999999999</v>
      </c>
      <c r="E265" s="1">
        <v>0.12005</v>
      </c>
      <c r="F265" s="31"/>
      <c r="G265" s="31"/>
      <c r="H265" s="31"/>
      <c r="I265" s="31"/>
      <c r="J265" s="31">
        <v>264</v>
      </c>
      <c r="K265" s="31" t="s">
        <v>919</v>
      </c>
      <c r="L265" s="1">
        <v>1.7007999999999999E-2</v>
      </c>
      <c r="M265" s="1">
        <v>0.52170000000000005</v>
      </c>
      <c r="N265" s="31"/>
      <c r="O265" s="31"/>
      <c r="P265" s="31"/>
      <c r="Q265" s="31"/>
      <c r="R265" s="31">
        <v>823</v>
      </c>
      <c r="S265" s="31" t="s">
        <v>43</v>
      </c>
      <c r="T265" s="31">
        <v>1179.2</v>
      </c>
      <c r="U265" s="31">
        <v>114.45</v>
      </c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</row>
    <row r="266" spans="1:35" x14ac:dyDescent="0.15">
      <c r="A266" s="31"/>
      <c r="B266" s="31">
        <v>113</v>
      </c>
      <c r="C266" s="31" t="s">
        <v>185</v>
      </c>
      <c r="D266" s="27">
        <v>-0.21093999999999999</v>
      </c>
      <c r="E266" s="1">
        <v>0.11917</v>
      </c>
      <c r="F266" s="31"/>
      <c r="G266" s="31"/>
      <c r="H266" s="31"/>
      <c r="I266" s="31"/>
      <c r="J266" s="31">
        <v>265</v>
      </c>
      <c r="K266" s="31" t="s">
        <v>919</v>
      </c>
      <c r="L266" s="1">
        <v>3.8649000000000003E-2</v>
      </c>
      <c r="M266" s="1">
        <v>0.39123000000000002</v>
      </c>
      <c r="N266" s="31"/>
      <c r="O266" s="31"/>
      <c r="P266" s="31"/>
      <c r="Q266" s="31"/>
      <c r="R266" s="31">
        <v>824</v>
      </c>
      <c r="S266" s="31" t="s">
        <v>43</v>
      </c>
      <c r="T266" s="31">
        <v>1940.4</v>
      </c>
      <c r="U266" s="31">
        <v>132.06</v>
      </c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</row>
    <row r="267" spans="1:35" x14ac:dyDescent="0.15">
      <c r="A267" s="31"/>
      <c r="B267" s="31">
        <v>114</v>
      </c>
      <c r="C267" s="31" t="s">
        <v>185</v>
      </c>
      <c r="D267" s="27">
        <v>-6.8848999999999994E-2</v>
      </c>
      <c r="E267" s="1">
        <v>0.1089</v>
      </c>
      <c r="F267" s="31"/>
      <c r="G267" s="31"/>
      <c r="H267" s="31"/>
      <c r="I267" s="31"/>
      <c r="J267" s="31">
        <v>266</v>
      </c>
      <c r="K267" s="31" t="s">
        <v>919</v>
      </c>
      <c r="L267" s="1">
        <v>4.1966999999999997E-2</v>
      </c>
      <c r="M267" s="1">
        <v>0.37507000000000001</v>
      </c>
      <c r="N267" s="31"/>
      <c r="O267" s="31"/>
      <c r="P267" s="31"/>
      <c r="Q267" s="31"/>
      <c r="R267" s="31">
        <v>825</v>
      </c>
      <c r="S267" s="31" t="s">
        <v>43</v>
      </c>
      <c r="T267" s="31">
        <v>2914.9</v>
      </c>
      <c r="U267" s="31">
        <v>167.77</v>
      </c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</row>
    <row r="268" spans="1:35" x14ac:dyDescent="0.15">
      <c r="A268" s="31"/>
      <c r="B268" s="31">
        <v>115</v>
      </c>
      <c r="C268" s="31" t="s">
        <v>185</v>
      </c>
      <c r="D268" s="27">
        <v>-6.4016000000000003E-2</v>
      </c>
      <c r="E268" s="1">
        <v>0.1143</v>
      </c>
      <c r="F268" s="31"/>
      <c r="G268" s="31"/>
      <c r="H268" s="31"/>
      <c r="I268" s="31"/>
      <c r="J268" s="31">
        <v>267</v>
      </c>
      <c r="K268" s="31" t="s">
        <v>919</v>
      </c>
      <c r="L268" s="1">
        <v>4.0821999999999997E-2</v>
      </c>
      <c r="M268" s="1">
        <v>0.40159</v>
      </c>
      <c r="N268" s="31"/>
      <c r="O268" s="31"/>
      <c r="P268" s="31"/>
      <c r="Q268" s="31"/>
      <c r="R268" s="31">
        <v>826</v>
      </c>
      <c r="S268" s="31" t="s">
        <v>43</v>
      </c>
      <c r="T268" s="31">
        <v>3582.4</v>
      </c>
      <c r="U268" s="31">
        <v>191.75</v>
      </c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</row>
    <row r="269" spans="1:35" x14ac:dyDescent="0.15">
      <c r="A269" s="31"/>
      <c r="B269" s="31">
        <v>116</v>
      </c>
      <c r="C269" s="31" t="s">
        <v>185</v>
      </c>
      <c r="D269" s="27">
        <v>-0.12517</v>
      </c>
      <c r="E269" s="1">
        <v>0.12670000000000001</v>
      </c>
      <c r="F269" s="31"/>
      <c r="G269" s="31"/>
      <c r="H269" s="31"/>
      <c r="I269" s="31"/>
      <c r="J269" s="31">
        <v>268</v>
      </c>
      <c r="K269" s="31" t="s">
        <v>919</v>
      </c>
      <c r="L269" s="1">
        <v>-6.7319000000000004E-2</v>
      </c>
      <c r="M269" s="1">
        <v>0.64015999999999995</v>
      </c>
      <c r="N269" s="31"/>
      <c r="O269" s="31"/>
      <c r="P269" s="31"/>
      <c r="Q269" s="31"/>
      <c r="R269" s="31">
        <v>827</v>
      </c>
      <c r="S269" s="31" t="s">
        <v>43</v>
      </c>
      <c r="T269" s="31">
        <v>3822.5</v>
      </c>
      <c r="U269" s="31">
        <v>196.83</v>
      </c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</row>
    <row r="270" spans="1:35" x14ac:dyDescent="0.15">
      <c r="A270" s="31"/>
      <c r="B270" s="31">
        <v>117</v>
      </c>
      <c r="C270" s="31" t="s">
        <v>185</v>
      </c>
      <c r="D270" s="27">
        <v>-0.22727</v>
      </c>
      <c r="E270" s="1">
        <v>0.122</v>
      </c>
      <c r="F270" s="31"/>
      <c r="G270" s="31"/>
      <c r="H270" s="31"/>
      <c r="I270" s="31"/>
      <c r="J270" s="31">
        <v>269</v>
      </c>
      <c r="K270" s="31" t="s">
        <v>919</v>
      </c>
      <c r="L270" s="1">
        <v>-0.50448999999999999</v>
      </c>
      <c r="M270" s="1">
        <v>0.43752999999999997</v>
      </c>
      <c r="N270" s="31"/>
      <c r="O270" s="31"/>
      <c r="P270" s="31"/>
      <c r="Q270" s="31"/>
      <c r="R270" s="31">
        <v>828</v>
      </c>
      <c r="S270" s="31" t="s">
        <v>43</v>
      </c>
      <c r="T270" s="31">
        <v>4070.8</v>
      </c>
      <c r="U270" s="31">
        <v>190.99</v>
      </c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</row>
    <row r="271" spans="1:35" x14ac:dyDescent="0.15">
      <c r="A271" s="31"/>
      <c r="B271" s="31">
        <v>118</v>
      </c>
      <c r="C271" s="31" t="s">
        <v>185</v>
      </c>
      <c r="D271" s="27">
        <v>-5.7662E-3</v>
      </c>
      <c r="E271" s="1">
        <v>0.1197</v>
      </c>
      <c r="F271" s="31"/>
      <c r="G271" s="31"/>
      <c r="H271" s="31"/>
      <c r="I271" s="31"/>
      <c r="J271" s="31">
        <v>270</v>
      </c>
      <c r="K271" s="31" t="s">
        <v>919</v>
      </c>
      <c r="L271" s="1">
        <v>-0.11237999999999999</v>
      </c>
      <c r="M271" s="1">
        <v>0.41020000000000001</v>
      </c>
      <c r="N271" s="31"/>
      <c r="O271" s="31"/>
      <c r="P271" s="31"/>
      <c r="Q271" s="31"/>
      <c r="R271" s="31">
        <v>829</v>
      </c>
      <c r="S271" s="31" t="s">
        <v>43</v>
      </c>
      <c r="T271" s="31">
        <v>4250.8999999999996</v>
      </c>
      <c r="U271" s="31">
        <v>183.34</v>
      </c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</row>
    <row r="272" spans="1:35" x14ac:dyDescent="0.15">
      <c r="A272" s="31"/>
      <c r="B272" s="31">
        <v>119</v>
      </c>
      <c r="C272" s="31" t="s">
        <v>185</v>
      </c>
      <c r="D272" s="27">
        <v>5.5912000000000003E-2</v>
      </c>
      <c r="E272" s="1">
        <v>0.11422</v>
      </c>
      <c r="F272" s="31"/>
      <c r="G272" s="31"/>
      <c r="H272" s="31"/>
      <c r="I272" s="31"/>
      <c r="J272" s="31">
        <v>271</v>
      </c>
      <c r="K272" s="31" t="s">
        <v>919</v>
      </c>
      <c r="L272" s="1">
        <v>-7.2173000000000001E-2</v>
      </c>
      <c r="M272" s="1">
        <v>0.43225999999999998</v>
      </c>
      <c r="N272" s="31"/>
      <c r="O272" s="31"/>
      <c r="P272" s="31"/>
      <c r="Q272" s="31"/>
      <c r="R272" s="31">
        <v>830</v>
      </c>
      <c r="S272" s="31" t="s">
        <v>43</v>
      </c>
      <c r="T272" s="31">
        <v>4307.3999999999996</v>
      </c>
      <c r="U272" s="31">
        <v>172.44</v>
      </c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</row>
    <row r="273" spans="1:35" x14ac:dyDescent="0.15">
      <c r="A273" s="31"/>
      <c r="B273" s="31">
        <v>120</v>
      </c>
      <c r="C273" s="31" t="s">
        <v>185</v>
      </c>
      <c r="D273" s="27">
        <v>0.14022999999999999</v>
      </c>
      <c r="E273" s="1">
        <v>0.11226</v>
      </c>
      <c r="F273" s="31"/>
      <c r="G273" s="31"/>
      <c r="H273" s="31"/>
      <c r="I273" s="31"/>
      <c r="J273" s="31">
        <v>272</v>
      </c>
      <c r="K273" s="31" t="s">
        <v>919</v>
      </c>
      <c r="L273" s="1">
        <v>0.1399</v>
      </c>
      <c r="M273" s="1">
        <v>0.37319999999999998</v>
      </c>
      <c r="N273" s="31"/>
      <c r="O273" s="31"/>
      <c r="P273" s="31"/>
      <c r="Q273" s="31"/>
      <c r="R273" s="31">
        <v>831</v>
      </c>
      <c r="S273" s="31" t="s">
        <v>43</v>
      </c>
      <c r="T273" s="31">
        <v>4224.2</v>
      </c>
      <c r="U273" s="31">
        <v>158.19999999999999</v>
      </c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</row>
    <row r="274" spans="1:35" x14ac:dyDescent="0.15">
      <c r="A274" s="31"/>
      <c r="B274" s="31">
        <v>121</v>
      </c>
      <c r="C274" s="31" t="s">
        <v>185</v>
      </c>
      <c r="D274" s="27">
        <v>0.14204</v>
      </c>
      <c r="E274" s="1">
        <v>0.12936</v>
      </c>
      <c r="F274" s="31"/>
      <c r="G274" s="31"/>
      <c r="H274" s="31"/>
      <c r="I274" s="31"/>
      <c r="J274" s="31">
        <v>273</v>
      </c>
      <c r="K274" s="31" t="s">
        <v>919</v>
      </c>
      <c r="L274" s="1">
        <v>0.15898000000000001</v>
      </c>
      <c r="M274" s="1">
        <v>0.36810999999999999</v>
      </c>
      <c r="N274" s="31"/>
      <c r="O274" s="31"/>
      <c r="P274" s="31"/>
      <c r="Q274" s="31"/>
      <c r="R274" s="31">
        <v>832</v>
      </c>
      <c r="S274" s="31" t="s">
        <v>43</v>
      </c>
      <c r="T274" s="31">
        <v>3762</v>
      </c>
      <c r="U274" s="31">
        <v>143.79</v>
      </c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</row>
    <row r="275" spans="1:35" x14ac:dyDescent="0.15">
      <c r="A275" s="31"/>
      <c r="B275" s="31">
        <v>122</v>
      </c>
      <c r="C275" s="31" t="s">
        <v>185</v>
      </c>
      <c r="D275" s="27">
        <v>-3.7775000000000003E-2</v>
      </c>
      <c r="E275" s="1">
        <v>0.13094</v>
      </c>
      <c r="F275" s="31"/>
      <c r="G275" s="31"/>
      <c r="H275" s="31"/>
      <c r="I275" s="31"/>
      <c r="J275" s="31">
        <v>274</v>
      </c>
      <c r="K275" s="31" t="s">
        <v>919</v>
      </c>
      <c r="L275" s="1">
        <v>9.8157999999999995E-2</v>
      </c>
      <c r="M275" s="1">
        <v>0.52515999999999996</v>
      </c>
      <c r="N275" s="31"/>
      <c r="O275" s="31"/>
      <c r="P275" s="31"/>
      <c r="Q275" s="31"/>
      <c r="R275" s="31">
        <v>833</v>
      </c>
      <c r="S275" s="31" t="s">
        <v>43</v>
      </c>
      <c r="T275" s="31">
        <v>3021.8</v>
      </c>
      <c r="U275" s="31">
        <v>125.91</v>
      </c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</row>
    <row r="276" spans="1:35" x14ac:dyDescent="0.15">
      <c r="A276" s="31"/>
      <c r="B276" s="31">
        <v>123</v>
      </c>
      <c r="C276" s="31" t="s">
        <v>185</v>
      </c>
      <c r="D276" s="27">
        <v>0.34065000000000001</v>
      </c>
      <c r="E276" s="1">
        <v>0.14782999999999999</v>
      </c>
      <c r="F276" s="31"/>
      <c r="G276" s="31"/>
      <c r="H276" s="31"/>
      <c r="I276" s="31"/>
      <c r="J276" s="31">
        <v>275</v>
      </c>
      <c r="K276" s="31" t="s">
        <v>919</v>
      </c>
      <c r="L276" s="1">
        <v>0.11935999999999999</v>
      </c>
      <c r="M276" s="1">
        <v>0.40700999999999998</v>
      </c>
      <c r="N276" s="31"/>
      <c r="O276" s="31"/>
      <c r="P276" s="31"/>
      <c r="Q276" s="31"/>
      <c r="R276" s="31">
        <v>834</v>
      </c>
      <c r="S276" s="31" t="s">
        <v>43</v>
      </c>
      <c r="T276" s="31">
        <v>2275.3000000000002</v>
      </c>
      <c r="U276" s="31">
        <v>107.76</v>
      </c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</row>
    <row r="277" spans="1:35" x14ac:dyDescent="0.15">
      <c r="A277" s="31"/>
      <c r="B277" s="31">
        <v>124</v>
      </c>
      <c r="C277" s="31" t="s">
        <v>185</v>
      </c>
      <c r="D277" s="27">
        <v>0.37653999999999999</v>
      </c>
      <c r="E277" s="1">
        <v>0.19225999999999999</v>
      </c>
      <c r="F277" s="31"/>
      <c r="G277" s="31"/>
      <c r="H277" s="31"/>
      <c r="I277" s="31"/>
      <c r="J277" s="31">
        <v>276</v>
      </c>
      <c r="K277" s="31" t="s">
        <v>919</v>
      </c>
      <c r="L277" s="1">
        <v>0.11996999999999999</v>
      </c>
      <c r="M277" s="1">
        <v>0.38168000000000002</v>
      </c>
      <c r="N277" s="31"/>
      <c r="O277" s="31"/>
      <c r="P277" s="31"/>
      <c r="Q277" s="31"/>
      <c r="R277" s="31">
        <v>835</v>
      </c>
      <c r="S277" s="31" t="s">
        <v>43</v>
      </c>
      <c r="T277" s="31">
        <v>2411.6999999999998</v>
      </c>
      <c r="U277" s="31">
        <v>103.32</v>
      </c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</row>
    <row r="278" spans="1:35" x14ac:dyDescent="0.15">
      <c r="A278" s="31"/>
      <c r="B278" s="31">
        <v>125</v>
      </c>
      <c r="C278" s="31" t="s">
        <v>185</v>
      </c>
      <c r="D278" s="27">
        <v>0.25211</v>
      </c>
      <c r="E278" s="1">
        <v>0.36270999999999998</v>
      </c>
      <c r="F278" s="31"/>
      <c r="G278" s="31"/>
      <c r="H278" s="31"/>
      <c r="I278" s="31"/>
      <c r="J278" s="31">
        <v>277</v>
      </c>
      <c r="K278" s="31" t="s">
        <v>919</v>
      </c>
      <c r="L278" s="1">
        <v>0.12</v>
      </c>
      <c r="M278" s="1">
        <v>0.40387000000000001</v>
      </c>
      <c r="N278" s="31"/>
      <c r="O278" s="31"/>
      <c r="P278" s="31"/>
      <c r="Q278" s="31"/>
      <c r="R278" s="31">
        <v>836</v>
      </c>
      <c r="S278" s="31" t="s">
        <v>43</v>
      </c>
      <c r="T278" s="31">
        <v>3345.6</v>
      </c>
      <c r="U278" s="31">
        <v>125.38</v>
      </c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</row>
    <row r="279" spans="1:35" x14ac:dyDescent="0.15">
      <c r="A279" s="31"/>
      <c r="B279" s="31"/>
      <c r="C279" s="31"/>
      <c r="D279" s="27"/>
      <c r="E279" s="1"/>
      <c r="F279" s="31"/>
      <c r="G279" s="31"/>
      <c r="H279" s="31"/>
      <c r="I279" s="31"/>
      <c r="J279" s="31">
        <v>278</v>
      </c>
      <c r="K279" s="31" t="s">
        <v>919</v>
      </c>
      <c r="L279" s="1">
        <v>-0.28566000000000003</v>
      </c>
      <c r="M279" s="1">
        <v>0.63590999999999998</v>
      </c>
      <c r="N279" s="31"/>
      <c r="O279" s="31"/>
      <c r="P279" s="31"/>
      <c r="Q279" s="31"/>
      <c r="R279" s="31">
        <v>837</v>
      </c>
      <c r="S279" s="31" t="s">
        <v>43</v>
      </c>
      <c r="T279" s="31">
        <v>3684.2</v>
      </c>
      <c r="U279" s="31">
        <v>134.11000000000001</v>
      </c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</row>
    <row r="280" spans="1:35" x14ac:dyDescent="0.15">
      <c r="A280" s="31"/>
      <c r="B280" s="31">
        <v>4</v>
      </c>
      <c r="C280" s="229" t="s">
        <v>350</v>
      </c>
      <c r="D280" s="27">
        <v>0.39066000000000001</v>
      </c>
      <c r="E280" s="1">
        <v>8.1223000000000004E-2</v>
      </c>
      <c r="F280" s="31"/>
      <c r="G280" s="31"/>
      <c r="H280" s="31"/>
      <c r="I280" s="31"/>
      <c r="J280" s="31">
        <v>279</v>
      </c>
      <c r="K280" s="31" t="s">
        <v>919</v>
      </c>
      <c r="L280" s="1">
        <v>-0.71526000000000001</v>
      </c>
      <c r="M280" s="1">
        <v>0.4199</v>
      </c>
      <c r="N280" s="31"/>
      <c r="O280" s="31"/>
      <c r="P280" s="31"/>
      <c r="Q280" s="31"/>
      <c r="R280" s="31">
        <v>838</v>
      </c>
      <c r="S280" s="31" t="s">
        <v>43</v>
      </c>
      <c r="T280" s="31">
        <v>3892.2</v>
      </c>
      <c r="U280" s="31">
        <v>136.96</v>
      </c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</row>
    <row r="281" spans="1:35" x14ac:dyDescent="0.15">
      <c r="A281" s="31"/>
      <c r="B281" s="31">
        <v>6</v>
      </c>
      <c r="C281" s="31" t="s">
        <v>351</v>
      </c>
      <c r="D281" s="27">
        <v>-1.0304</v>
      </c>
      <c r="E281" s="1">
        <v>9.1783000000000003E-2</v>
      </c>
      <c r="F281" s="31"/>
      <c r="G281" s="31"/>
      <c r="H281" s="31"/>
      <c r="I281" s="31"/>
      <c r="J281" s="31">
        <v>280</v>
      </c>
      <c r="K281" s="31" t="s">
        <v>919</v>
      </c>
      <c r="L281" s="1">
        <v>-0.33500999999999997</v>
      </c>
      <c r="M281" s="1">
        <v>0.39649000000000001</v>
      </c>
      <c r="N281" s="31"/>
      <c r="O281" s="31"/>
      <c r="P281" s="31"/>
      <c r="Q281" s="31"/>
      <c r="R281" s="31">
        <v>839</v>
      </c>
      <c r="S281" s="31" t="s">
        <v>43</v>
      </c>
      <c r="T281" s="31">
        <v>3871.8</v>
      </c>
      <c r="U281" s="31">
        <v>138.22999999999999</v>
      </c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</row>
    <row r="282" spans="1:35" x14ac:dyDescent="0.15">
      <c r="A282" s="31"/>
      <c r="B282" s="31">
        <v>1177</v>
      </c>
      <c r="C282" s="31" t="s">
        <v>186</v>
      </c>
      <c r="D282" s="27">
        <v>2244.9</v>
      </c>
      <c r="E282" s="1">
        <v>401.56</v>
      </c>
      <c r="F282" s="31"/>
      <c r="G282" s="31"/>
      <c r="H282" s="31"/>
      <c r="I282" s="31"/>
      <c r="J282" s="31">
        <v>281</v>
      </c>
      <c r="K282" s="31" t="s">
        <v>919</v>
      </c>
      <c r="L282" s="1">
        <v>0.20499999999999999</v>
      </c>
      <c r="M282" s="1">
        <v>0.43436000000000002</v>
      </c>
      <c r="N282" s="31"/>
      <c r="O282" s="31"/>
      <c r="P282" s="31"/>
      <c r="Q282" s="31"/>
      <c r="R282" s="31">
        <v>840</v>
      </c>
      <c r="S282" s="31" t="s">
        <v>43</v>
      </c>
      <c r="T282" s="31">
        <v>3620.9</v>
      </c>
      <c r="U282" s="31">
        <v>134.47999999999999</v>
      </c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</row>
    <row r="283" spans="1:35" x14ac:dyDescent="0.15">
      <c r="A283" s="31"/>
      <c r="B283" s="31">
        <v>1178</v>
      </c>
      <c r="C283" s="31" t="s">
        <v>187</v>
      </c>
      <c r="D283" s="27">
        <v>5.9927999999999999</v>
      </c>
      <c r="E283" s="1">
        <v>1.6466000000000001</v>
      </c>
      <c r="F283" s="31"/>
      <c r="G283" s="31"/>
      <c r="H283" s="31"/>
      <c r="I283" s="31"/>
      <c r="J283" s="31">
        <v>282</v>
      </c>
      <c r="K283" s="31" t="s">
        <v>919</v>
      </c>
      <c r="L283" s="1">
        <v>0.15794</v>
      </c>
      <c r="M283" s="1">
        <v>0.43008999999999997</v>
      </c>
      <c r="N283" s="31"/>
      <c r="O283" s="31"/>
      <c r="P283" s="31"/>
      <c r="Q283" s="31"/>
      <c r="R283" s="31">
        <v>841</v>
      </c>
      <c r="S283" s="31" t="s">
        <v>43</v>
      </c>
      <c r="T283" s="31">
        <v>3349.7</v>
      </c>
      <c r="U283" s="31">
        <v>125.81</v>
      </c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</row>
    <row r="284" spans="1:35" x14ac:dyDescent="0.15">
      <c r="A284" s="31"/>
      <c r="B284" s="31">
        <v>1178</v>
      </c>
      <c r="C284" s="31" t="s">
        <v>187</v>
      </c>
      <c r="D284" s="27">
        <v>5.9927999999999999</v>
      </c>
      <c r="E284" s="1">
        <v>1.6466000000000001</v>
      </c>
      <c r="F284" s="31"/>
      <c r="G284" s="31"/>
      <c r="H284" s="31"/>
      <c r="I284" s="31"/>
      <c r="J284" s="31">
        <v>283</v>
      </c>
      <c r="K284" s="31" t="s">
        <v>919</v>
      </c>
      <c r="L284" s="1">
        <v>0.22286</v>
      </c>
      <c r="M284" s="1">
        <v>0.36542000000000002</v>
      </c>
      <c r="N284" s="31"/>
      <c r="O284" s="31"/>
      <c r="P284" s="31"/>
      <c r="Q284" s="31"/>
      <c r="R284" s="31">
        <v>842</v>
      </c>
      <c r="S284" s="31" t="s">
        <v>43</v>
      </c>
      <c r="T284" s="31">
        <v>3363.2</v>
      </c>
      <c r="U284" s="31">
        <v>118.95</v>
      </c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</row>
    <row r="285" spans="1:35" x14ac:dyDescent="0.15">
      <c r="A285" s="31"/>
      <c r="B285" s="31">
        <v>1180</v>
      </c>
      <c r="C285" s="31" t="s">
        <v>188</v>
      </c>
      <c r="D285" s="27">
        <v>2649.5</v>
      </c>
      <c r="E285" s="1">
        <v>316.79000000000002</v>
      </c>
      <c r="F285" s="31"/>
      <c r="G285" s="31"/>
      <c r="H285" s="31"/>
      <c r="I285" s="31"/>
      <c r="J285" s="1">
        <v>284</v>
      </c>
      <c r="K285" s="1" t="s">
        <v>919</v>
      </c>
      <c r="L285" s="1">
        <v>0.22475000000000001</v>
      </c>
      <c r="M285" s="1">
        <v>0.36906</v>
      </c>
      <c r="N285" s="31"/>
      <c r="O285" s="31"/>
      <c r="P285" s="31"/>
      <c r="Q285" s="31"/>
      <c r="R285" s="31">
        <v>843</v>
      </c>
      <c r="S285" s="31" t="s">
        <v>43</v>
      </c>
      <c r="T285" s="31">
        <v>3419.8</v>
      </c>
      <c r="U285" s="31">
        <v>116.75</v>
      </c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</row>
    <row r="286" spans="1:35" x14ac:dyDescent="0.15">
      <c r="A286" s="31"/>
      <c r="B286" s="31">
        <v>1964</v>
      </c>
      <c r="C286" s="31" t="s">
        <v>254</v>
      </c>
      <c r="D286" s="31">
        <f t="shared" ref="D286:D317" si="0">L1151</f>
        <v>1868.9</v>
      </c>
      <c r="E286" s="31">
        <f t="shared" ref="E286:E317" si="1">M1151</f>
        <v>443.49</v>
      </c>
      <c r="F286" s="31"/>
      <c r="G286" s="31"/>
      <c r="H286" s="31">
        <v>1150</v>
      </c>
      <c r="I286" s="31"/>
      <c r="J286" s="1">
        <v>285</v>
      </c>
      <c r="K286" s="1" t="s">
        <v>919</v>
      </c>
      <c r="L286" s="1">
        <v>0.17582</v>
      </c>
      <c r="M286" s="1">
        <v>0.39305000000000001</v>
      </c>
      <c r="N286" s="31"/>
      <c r="O286" s="31"/>
      <c r="P286" s="31"/>
      <c r="Q286" s="31"/>
      <c r="R286" s="31">
        <v>844</v>
      </c>
      <c r="S286" s="31" t="s">
        <v>43</v>
      </c>
      <c r="T286" s="31">
        <v>3465</v>
      </c>
      <c r="U286" s="31">
        <v>121.95</v>
      </c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</row>
    <row r="287" spans="1:35" x14ac:dyDescent="0.15">
      <c r="A287" s="31"/>
      <c r="B287" s="31">
        <v>1965</v>
      </c>
      <c r="C287" s="31" t="s">
        <v>254</v>
      </c>
      <c r="D287" s="31">
        <f t="shared" si="0"/>
        <v>2323.6999999999998</v>
      </c>
      <c r="E287" s="31">
        <f t="shared" si="1"/>
        <v>511.99</v>
      </c>
      <c r="F287" s="31"/>
      <c r="G287" s="31"/>
      <c r="H287" s="31">
        <v>1151</v>
      </c>
      <c r="I287" s="31"/>
      <c r="J287" s="1">
        <v>286</v>
      </c>
      <c r="K287" s="1" t="s">
        <v>919</v>
      </c>
      <c r="L287" s="1">
        <v>0.17287</v>
      </c>
      <c r="M287" s="1">
        <v>0.37787999999999999</v>
      </c>
      <c r="N287" s="31"/>
      <c r="O287" s="31"/>
      <c r="P287" s="31"/>
      <c r="Q287" s="31"/>
      <c r="R287" s="31">
        <v>845</v>
      </c>
      <c r="S287" s="31" t="s">
        <v>43</v>
      </c>
      <c r="T287" s="31">
        <v>3275.4</v>
      </c>
      <c r="U287" s="31">
        <v>115.42</v>
      </c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</row>
    <row r="288" spans="1:35" x14ac:dyDescent="0.15">
      <c r="A288" s="31"/>
      <c r="B288" s="31">
        <v>1966</v>
      </c>
      <c r="C288" s="31" t="s">
        <v>254</v>
      </c>
      <c r="D288" s="31">
        <f t="shared" si="0"/>
        <v>2562.9</v>
      </c>
      <c r="E288" s="31">
        <f t="shared" si="1"/>
        <v>555.11</v>
      </c>
      <c r="F288" s="31"/>
      <c r="G288" s="31"/>
      <c r="H288" s="31">
        <v>1152</v>
      </c>
      <c r="I288" s="31"/>
      <c r="J288" s="1">
        <v>287</v>
      </c>
      <c r="K288" s="1" t="s">
        <v>919</v>
      </c>
      <c r="L288" s="1">
        <v>0.17669000000000001</v>
      </c>
      <c r="M288" s="1">
        <v>0.40494000000000002</v>
      </c>
      <c r="N288" s="31"/>
      <c r="O288" s="31"/>
      <c r="P288" s="31"/>
      <c r="Q288" s="31"/>
      <c r="R288" s="31">
        <v>846</v>
      </c>
      <c r="S288" s="31" t="s">
        <v>43</v>
      </c>
      <c r="T288" s="31">
        <v>3448.8</v>
      </c>
      <c r="U288" s="31">
        <v>112.18</v>
      </c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</row>
    <row r="289" spans="1:35" x14ac:dyDescent="0.15">
      <c r="A289" s="31"/>
      <c r="B289" s="31">
        <v>1967</v>
      </c>
      <c r="C289" s="31" t="s">
        <v>254</v>
      </c>
      <c r="D289" s="31">
        <f t="shared" si="0"/>
        <v>3888.1</v>
      </c>
      <c r="E289" s="31">
        <f t="shared" si="1"/>
        <v>723.67</v>
      </c>
      <c r="F289" s="31"/>
      <c r="G289" s="31"/>
      <c r="H289" s="31">
        <v>1153</v>
      </c>
      <c r="I289" s="31"/>
      <c r="J289" s="1">
        <v>288</v>
      </c>
      <c r="K289" s="1" t="s">
        <v>919</v>
      </c>
      <c r="L289" s="1">
        <v>-0.23150999999999999</v>
      </c>
      <c r="M289" s="1">
        <v>0.64370000000000005</v>
      </c>
      <c r="N289" s="31"/>
      <c r="O289" s="31"/>
      <c r="P289" s="31"/>
      <c r="Q289" s="31"/>
      <c r="R289" s="31">
        <v>847</v>
      </c>
      <c r="S289" s="31" t="s">
        <v>43</v>
      </c>
      <c r="T289" s="31">
        <v>3545.6</v>
      </c>
      <c r="U289" s="31">
        <v>111.68</v>
      </c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</row>
    <row r="290" spans="1:35" x14ac:dyDescent="0.15">
      <c r="A290" s="31"/>
      <c r="B290" s="31">
        <v>1968</v>
      </c>
      <c r="C290" s="31" t="s">
        <v>254</v>
      </c>
      <c r="D290" s="31">
        <f t="shared" si="0"/>
        <v>4495</v>
      </c>
      <c r="E290" s="31">
        <f t="shared" si="1"/>
        <v>830.51</v>
      </c>
      <c r="F290" s="31"/>
      <c r="G290" s="31"/>
      <c r="H290" s="31">
        <v>1154</v>
      </c>
      <c r="I290" s="31"/>
      <c r="J290" s="1">
        <v>289</v>
      </c>
      <c r="K290" s="1" t="s">
        <v>919</v>
      </c>
      <c r="L290" s="1">
        <v>-0.40888999999999998</v>
      </c>
      <c r="M290" s="1">
        <v>0.49521999999999999</v>
      </c>
      <c r="N290" s="31"/>
      <c r="O290" s="31"/>
      <c r="P290" s="31"/>
      <c r="Q290" s="31"/>
      <c r="R290" s="31">
        <v>848</v>
      </c>
      <c r="S290" s="31" t="s">
        <v>43</v>
      </c>
      <c r="T290" s="31">
        <v>3255.7</v>
      </c>
      <c r="U290" s="31">
        <v>107.16</v>
      </c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</row>
    <row r="291" spans="1:35" x14ac:dyDescent="0.15">
      <c r="A291" s="31"/>
      <c r="B291" s="31">
        <v>1969</v>
      </c>
      <c r="C291" s="31" t="s">
        <v>254</v>
      </c>
      <c r="D291" s="31">
        <f t="shared" si="0"/>
        <v>5690</v>
      </c>
      <c r="E291" s="31">
        <f t="shared" si="1"/>
        <v>936.78</v>
      </c>
      <c r="F291" s="31"/>
      <c r="G291" s="31"/>
      <c r="H291" s="31">
        <v>1155</v>
      </c>
      <c r="I291" s="31"/>
      <c r="J291" s="1">
        <v>290</v>
      </c>
      <c r="K291" s="1" t="s">
        <v>919</v>
      </c>
      <c r="L291" s="1">
        <v>-0.31695000000000001</v>
      </c>
      <c r="M291" s="1">
        <v>0.38146999999999998</v>
      </c>
      <c r="N291" s="31"/>
      <c r="O291" s="31"/>
      <c r="P291" s="31"/>
      <c r="Q291" s="31"/>
      <c r="R291" s="31">
        <v>849</v>
      </c>
      <c r="S291" s="31" t="s">
        <v>43</v>
      </c>
      <c r="T291" s="31">
        <v>2683.4</v>
      </c>
      <c r="U291" s="31">
        <v>98.122</v>
      </c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</row>
    <row r="292" spans="1:35" x14ac:dyDescent="0.15">
      <c r="A292" s="31"/>
      <c r="B292" s="31">
        <v>1970</v>
      </c>
      <c r="C292" s="31" t="s">
        <v>254</v>
      </c>
      <c r="D292" s="31">
        <f t="shared" si="0"/>
        <v>6423.9</v>
      </c>
      <c r="E292" s="31">
        <f t="shared" si="1"/>
        <v>975.33</v>
      </c>
      <c r="F292" s="31"/>
      <c r="G292" s="31"/>
      <c r="H292" s="31">
        <v>1156</v>
      </c>
      <c r="I292" s="31"/>
      <c r="J292" s="1">
        <v>291</v>
      </c>
      <c r="K292" s="1" t="s">
        <v>919</v>
      </c>
      <c r="L292" s="1">
        <v>-5.4073999999999997E-2</v>
      </c>
      <c r="M292" s="1">
        <v>0.41388999999999998</v>
      </c>
      <c r="N292" s="31"/>
      <c r="O292" s="31"/>
      <c r="P292" s="31"/>
      <c r="Q292" s="31"/>
      <c r="R292" s="31">
        <v>850</v>
      </c>
      <c r="S292" s="31" t="s">
        <v>43</v>
      </c>
      <c r="T292" s="31">
        <v>2249.8000000000002</v>
      </c>
      <c r="U292" s="31">
        <v>96.625</v>
      </c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</row>
    <row r="293" spans="1:35" x14ac:dyDescent="0.15">
      <c r="A293" s="31"/>
      <c r="B293" s="31">
        <v>1971</v>
      </c>
      <c r="C293" s="31" t="s">
        <v>254</v>
      </c>
      <c r="D293" s="31">
        <f t="shared" si="0"/>
        <v>6858.4</v>
      </c>
      <c r="E293" s="31">
        <f t="shared" si="1"/>
        <v>932.93</v>
      </c>
      <c r="F293" s="31"/>
      <c r="G293" s="31"/>
      <c r="H293" s="31">
        <v>1157</v>
      </c>
      <c r="I293" s="31"/>
      <c r="J293" s="1">
        <v>292</v>
      </c>
      <c r="K293" s="1" t="s">
        <v>919</v>
      </c>
      <c r="L293" s="1">
        <v>0.19317999999999999</v>
      </c>
      <c r="M293" s="1">
        <v>0.42546</v>
      </c>
      <c r="N293" s="31"/>
      <c r="O293" s="31"/>
      <c r="P293" s="31"/>
      <c r="Q293" s="31"/>
      <c r="R293" s="31">
        <v>851</v>
      </c>
      <c r="S293" s="31" t="s">
        <v>43</v>
      </c>
      <c r="T293" s="31">
        <v>1675.6</v>
      </c>
      <c r="U293" s="31">
        <v>84.082999999999998</v>
      </c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</row>
    <row r="294" spans="1:35" x14ac:dyDescent="0.15">
      <c r="A294" s="31"/>
      <c r="B294" s="31">
        <v>1972</v>
      </c>
      <c r="C294" s="31" t="s">
        <v>254</v>
      </c>
      <c r="D294" s="31">
        <f t="shared" si="0"/>
        <v>6430.6</v>
      </c>
      <c r="E294" s="31">
        <f t="shared" si="1"/>
        <v>831.53</v>
      </c>
      <c r="F294" s="31"/>
      <c r="G294" s="31"/>
      <c r="H294" s="31">
        <v>1158</v>
      </c>
      <c r="I294" s="31"/>
      <c r="J294" s="1">
        <v>293</v>
      </c>
      <c r="K294" s="1" t="s">
        <v>919</v>
      </c>
      <c r="L294" s="1">
        <v>0.12590000000000001</v>
      </c>
      <c r="M294" s="1">
        <v>0.34941</v>
      </c>
      <c r="N294" s="31"/>
      <c r="O294" s="31"/>
      <c r="P294" s="31"/>
      <c r="Q294" s="31"/>
      <c r="R294" s="31">
        <v>852</v>
      </c>
      <c r="S294" s="31" t="s">
        <v>43</v>
      </c>
      <c r="T294" s="31">
        <v>1874.9</v>
      </c>
      <c r="U294" s="31">
        <v>100.85</v>
      </c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</row>
    <row r="295" spans="1:35" x14ac:dyDescent="0.15">
      <c r="A295" s="31"/>
      <c r="B295" s="31">
        <v>1973</v>
      </c>
      <c r="C295" s="31" t="s">
        <v>254</v>
      </c>
      <c r="D295" s="31">
        <f t="shared" si="0"/>
        <v>5161.2</v>
      </c>
      <c r="E295" s="31">
        <f t="shared" si="1"/>
        <v>733.88</v>
      </c>
      <c r="F295" s="31"/>
      <c r="G295" s="31"/>
      <c r="H295" s="31">
        <v>1159</v>
      </c>
      <c r="I295" s="31"/>
      <c r="J295" s="1">
        <v>294</v>
      </c>
      <c r="K295" s="1" t="s">
        <v>919</v>
      </c>
      <c r="L295" s="1">
        <v>0.13883999999999999</v>
      </c>
      <c r="M295" s="1">
        <v>0.33006000000000002</v>
      </c>
      <c r="N295" s="31"/>
      <c r="O295" s="31"/>
      <c r="P295" s="31"/>
      <c r="Q295" s="31"/>
      <c r="R295" s="31">
        <v>853</v>
      </c>
      <c r="S295" s="31" t="s">
        <v>43</v>
      </c>
      <c r="T295" s="31">
        <v>2146.6</v>
      </c>
      <c r="U295" s="31">
        <v>118.96</v>
      </c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</row>
    <row r="296" spans="1:35" x14ac:dyDescent="0.15">
      <c r="A296" s="31"/>
      <c r="B296" s="31">
        <v>1974</v>
      </c>
      <c r="C296" s="31" t="s">
        <v>254</v>
      </c>
      <c r="D296" s="31">
        <f t="shared" si="0"/>
        <v>3845.8</v>
      </c>
      <c r="E296" s="31">
        <f t="shared" si="1"/>
        <v>636.17999999999995</v>
      </c>
      <c r="F296" s="31"/>
      <c r="G296" s="31"/>
      <c r="H296" s="31">
        <v>1160</v>
      </c>
      <c r="I296" s="31"/>
      <c r="J296" s="1">
        <v>295</v>
      </c>
      <c r="K296" s="1" t="s">
        <v>919</v>
      </c>
      <c r="L296" s="1">
        <v>0.14799999999999999</v>
      </c>
      <c r="M296" s="1">
        <v>0.34156999999999998</v>
      </c>
      <c r="N296" s="31"/>
      <c r="O296" s="31"/>
      <c r="P296" s="31"/>
      <c r="Q296" s="31"/>
      <c r="R296" s="31">
        <v>854</v>
      </c>
      <c r="S296" s="31" t="s">
        <v>43</v>
      </c>
      <c r="T296" s="31">
        <v>2669.2</v>
      </c>
      <c r="U296" s="31">
        <v>154.41999999999999</v>
      </c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</row>
    <row r="297" spans="1:35" x14ac:dyDescent="0.15">
      <c r="A297" s="31"/>
      <c r="B297" s="31">
        <v>1975</v>
      </c>
      <c r="C297" s="31" t="s">
        <v>254</v>
      </c>
      <c r="D297" s="31">
        <f t="shared" si="0"/>
        <v>3868.4</v>
      </c>
      <c r="E297" s="31">
        <f t="shared" si="1"/>
        <v>498.71</v>
      </c>
      <c r="F297" s="31"/>
      <c r="G297" s="31"/>
      <c r="H297" s="31">
        <v>1161</v>
      </c>
      <c r="I297" s="31"/>
      <c r="J297" s="1">
        <v>296</v>
      </c>
      <c r="K297" s="1" t="s">
        <v>919</v>
      </c>
      <c r="L297" s="1">
        <v>0.15176000000000001</v>
      </c>
      <c r="M297" s="1">
        <v>0.38068000000000002</v>
      </c>
      <c r="N297" s="31"/>
      <c r="O297" s="31"/>
      <c r="P297" s="31"/>
      <c r="Q297" s="31"/>
      <c r="R297" s="31">
        <v>855</v>
      </c>
      <c r="S297" s="31" t="s">
        <v>43</v>
      </c>
      <c r="T297" s="31">
        <v>3179.3</v>
      </c>
      <c r="U297" s="31">
        <v>207.5</v>
      </c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</row>
    <row r="298" spans="1:35" x14ac:dyDescent="0.15">
      <c r="A298" s="31"/>
      <c r="B298" s="31">
        <v>1976</v>
      </c>
      <c r="C298" s="31" t="s">
        <v>254</v>
      </c>
      <c r="D298" s="31">
        <f t="shared" si="0"/>
        <v>3871.5</v>
      </c>
      <c r="E298" s="31">
        <f t="shared" si="1"/>
        <v>420.58</v>
      </c>
      <c r="F298" s="31"/>
      <c r="G298" s="31"/>
      <c r="H298" s="31">
        <v>1162</v>
      </c>
      <c r="I298" s="31"/>
      <c r="J298" s="1">
        <v>297</v>
      </c>
      <c r="K298" s="1" t="s">
        <v>919</v>
      </c>
      <c r="L298" s="1">
        <v>0.25374999999999998</v>
      </c>
      <c r="M298" s="1">
        <v>0.56615000000000004</v>
      </c>
      <c r="N298" s="31"/>
      <c r="O298" s="31"/>
      <c r="P298" s="31"/>
      <c r="Q298" s="31"/>
      <c r="R298" s="31">
        <v>856</v>
      </c>
      <c r="S298" s="31" t="s">
        <v>43</v>
      </c>
      <c r="T298" s="31">
        <v>3658.3</v>
      </c>
      <c r="U298" s="31">
        <v>273.36</v>
      </c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</row>
    <row r="299" spans="1:35" x14ac:dyDescent="0.15">
      <c r="A299" s="31"/>
      <c r="B299" s="31">
        <v>1977</v>
      </c>
      <c r="C299" s="31" t="s">
        <v>254</v>
      </c>
      <c r="D299" s="31">
        <f t="shared" si="0"/>
        <v>3939.3</v>
      </c>
      <c r="E299" s="31">
        <f t="shared" si="1"/>
        <v>383.92</v>
      </c>
      <c r="F299" s="31"/>
      <c r="G299" s="31"/>
      <c r="H299" s="31">
        <v>1163</v>
      </c>
      <c r="I299" s="31"/>
      <c r="J299" s="1">
        <v>298</v>
      </c>
      <c r="K299" s="1" t="s">
        <v>919</v>
      </c>
      <c r="L299" s="1">
        <v>-0.11909</v>
      </c>
      <c r="M299" s="1">
        <v>0.67015999999999998</v>
      </c>
      <c r="N299" s="31"/>
      <c r="O299" s="31"/>
      <c r="P299" s="31"/>
      <c r="Q299" s="31"/>
      <c r="R299" s="31">
        <v>857</v>
      </c>
      <c r="S299" s="31" t="s">
        <v>43</v>
      </c>
      <c r="T299" s="31">
        <v>3621.8</v>
      </c>
      <c r="U299" s="31">
        <v>312.02999999999997</v>
      </c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</row>
    <row r="300" spans="1:35" x14ac:dyDescent="0.15">
      <c r="A300" s="31"/>
      <c r="B300" s="31">
        <v>1978</v>
      </c>
      <c r="C300" s="31" t="s">
        <v>254</v>
      </c>
      <c r="D300" s="31">
        <f t="shared" si="0"/>
        <v>3888.3</v>
      </c>
      <c r="E300" s="31">
        <f t="shared" si="1"/>
        <v>366.95</v>
      </c>
      <c r="F300" s="31"/>
      <c r="G300" s="31"/>
      <c r="H300" s="31">
        <v>1164</v>
      </c>
      <c r="I300" s="31"/>
      <c r="J300" s="1">
        <v>299</v>
      </c>
      <c r="K300" s="1" t="s">
        <v>919</v>
      </c>
      <c r="L300" s="1">
        <v>-0.27928999999999998</v>
      </c>
      <c r="M300" s="1">
        <v>0.53929000000000005</v>
      </c>
      <c r="N300" s="31"/>
      <c r="O300" s="31"/>
      <c r="P300" s="31"/>
      <c r="Q300" s="31"/>
      <c r="R300" s="31">
        <v>858</v>
      </c>
      <c r="S300" s="31" t="s">
        <v>43</v>
      </c>
      <c r="T300" s="31">
        <v>2815</v>
      </c>
      <c r="U300" s="31">
        <v>275.91000000000003</v>
      </c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</row>
    <row r="301" spans="1:35" x14ac:dyDescent="0.15">
      <c r="A301" s="31"/>
      <c r="B301" s="31">
        <v>1979</v>
      </c>
      <c r="C301" s="31" t="s">
        <v>254</v>
      </c>
      <c r="D301" s="31">
        <f t="shared" si="0"/>
        <v>3859.2</v>
      </c>
      <c r="E301" s="31">
        <f t="shared" si="1"/>
        <v>357.13</v>
      </c>
      <c r="F301" s="31"/>
      <c r="G301" s="31"/>
      <c r="H301" s="31">
        <v>1165</v>
      </c>
      <c r="I301" s="31"/>
      <c r="J301" s="1">
        <v>300</v>
      </c>
      <c r="K301" s="1" t="s">
        <v>919</v>
      </c>
      <c r="L301" s="1">
        <v>-0.39251000000000003</v>
      </c>
      <c r="M301" s="1">
        <v>0.43214000000000002</v>
      </c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</row>
    <row r="302" spans="1:35" x14ac:dyDescent="0.15">
      <c r="A302" s="31"/>
      <c r="B302" s="31">
        <v>1980</v>
      </c>
      <c r="C302" s="31" t="s">
        <v>254</v>
      </c>
      <c r="D302" s="31">
        <f t="shared" si="0"/>
        <v>4887.3</v>
      </c>
      <c r="E302" s="31">
        <f t="shared" si="1"/>
        <v>382.46</v>
      </c>
      <c r="F302" s="31"/>
      <c r="G302" s="31"/>
      <c r="H302" s="31">
        <v>1166</v>
      </c>
      <c r="I302" s="31"/>
      <c r="J302" s="1">
        <v>301</v>
      </c>
      <c r="K302" s="1" t="s">
        <v>919</v>
      </c>
      <c r="L302" s="1">
        <v>-5.5062E-2</v>
      </c>
      <c r="M302" s="1">
        <v>0.39168999999999998</v>
      </c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</row>
    <row r="303" spans="1:35" x14ac:dyDescent="0.15">
      <c r="A303" s="31"/>
      <c r="B303" s="31">
        <v>1981</v>
      </c>
      <c r="C303" s="31" t="s">
        <v>254</v>
      </c>
      <c r="D303" s="31">
        <f t="shared" si="0"/>
        <v>9054.2999999999993</v>
      </c>
      <c r="E303" s="31">
        <f t="shared" si="1"/>
        <v>498.11</v>
      </c>
      <c r="F303" s="31"/>
      <c r="G303" s="31"/>
      <c r="H303" s="31">
        <v>1167</v>
      </c>
      <c r="I303" s="31"/>
      <c r="J303" s="1">
        <v>302</v>
      </c>
      <c r="K303" s="1" t="s">
        <v>919</v>
      </c>
      <c r="L303" s="1">
        <v>3.4414E-2</v>
      </c>
      <c r="M303" s="1">
        <v>0.40298</v>
      </c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</row>
    <row r="304" spans="1:35" x14ac:dyDescent="0.15">
      <c r="A304" s="31"/>
      <c r="B304" s="31">
        <v>1982</v>
      </c>
      <c r="C304" s="31" t="s">
        <v>254</v>
      </c>
      <c r="D304" s="31">
        <f t="shared" si="0"/>
        <v>10289</v>
      </c>
      <c r="E304" s="31">
        <f t="shared" si="1"/>
        <v>533.91</v>
      </c>
      <c r="F304" s="31"/>
      <c r="G304" s="31"/>
      <c r="H304" s="31">
        <v>1168</v>
      </c>
      <c r="I304" s="31"/>
      <c r="J304" s="1">
        <v>303</v>
      </c>
      <c r="K304" s="1" t="s">
        <v>919</v>
      </c>
      <c r="L304" s="1">
        <v>9.9794999999999995E-2</v>
      </c>
      <c r="M304" s="1">
        <v>0.39794000000000002</v>
      </c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</row>
    <row r="305" spans="1:35" x14ac:dyDescent="0.15">
      <c r="A305" s="31"/>
      <c r="B305" s="31">
        <v>1983</v>
      </c>
      <c r="C305" s="31" t="s">
        <v>254</v>
      </c>
      <c r="D305" s="31">
        <f t="shared" si="0"/>
        <v>11383</v>
      </c>
      <c r="E305" s="31">
        <f t="shared" si="1"/>
        <v>548.78</v>
      </c>
      <c r="F305" s="31"/>
      <c r="G305" s="31"/>
      <c r="H305" s="31">
        <v>1169</v>
      </c>
      <c r="I305" s="31"/>
      <c r="J305" s="1">
        <v>304</v>
      </c>
      <c r="K305" s="1" t="s">
        <v>919</v>
      </c>
      <c r="L305" s="1">
        <v>0.10143000000000001</v>
      </c>
      <c r="M305" s="1">
        <v>0.40167000000000003</v>
      </c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</row>
    <row r="306" spans="1:35" x14ac:dyDescent="0.15">
      <c r="A306" s="31"/>
      <c r="B306" s="31">
        <v>1984</v>
      </c>
      <c r="C306" s="31" t="s">
        <v>254</v>
      </c>
      <c r="D306" s="31">
        <f t="shared" si="0"/>
        <v>11040</v>
      </c>
      <c r="E306" s="31">
        <f t="shared" si="1"/>
        <v>527.41</v>
      </c>
      <c r="F306" s="31"/>
      <c r="G306" s="31"/>
      <c r="H306" s="31">
        <v>1170</v>
      </c>
      <c r="I306" s="31"/>
      <c r="J306" s="1">
        <v>305</v>
      </c>
      <c r="K306" s="1" t="s">
        <v>919</v>
      </c>
      <c r="L306" s="1">
        <v>0.14208999999999999</v>
      </c>
      <c r="M306" s="1">
        <v>0.58335000000000004</v>
      </c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</row>
    <row r="307" spans="1:35" x14ac:dyDescent="0.15">
      <c r="A307" s="31"/>
      <c r="B307" s="31">
        <v>1985</v>
      </c>
      <c r="C307" s="31" t="s">
        <v>254</v>
      </c>
      <c r="D307" s="31">
        <f t="shared" si="0"/>
        <v>12951</v>
      </c>
      <c r="E307" s="31">
        <f t="shared" si="1"/>
        <v>522.98</v>
      </c>
      <c r="F307" s="31"/>
      <c r="G307" s="31"/>
      <c r="H307" s="31">
        <v>1171</v>
      </c>
      <c r="I307" s="31"/>
      <c r="J307" s="1">
        <v>306</v>
      </c>
      <c r="K307" s="1" t="s">
        <v>919</v>
      </c>
      <c r="L307" s="1">
        <v>0.16161</v>
      </c>
      <c r="M307" s="1">
        <v>0.61777000000000004</v>
      </c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</row>
    <row r="308" spans="1:35" x14ac:dyDescent="0.15">
      <c r="A308" s="31"/>
      <c r="B308" s="31">
        <v>1986</v>
      </c>
      <c r="C308" s="31" t="s">
        <v>254</v>
      </c>
      <c r="D308" s="31">
        <f t="shared" si="0"/>
        <v>12019</v>
      </c>
      <c r="E308" s="31">
        <f t="shared" si="1"/>
        <v>486.69</v>
      </c>
      <c r="F308" s="31"/>
      <c r="G308" s="31"/>
      <c r="H308" s="31">
        <v>1172</v>
      </c>
      <c r="I308" s="31"/>
      <c r="J308" s="1">
        <v>307</v>
      </c>
      <c r="K308" s="1" t="s">
        <v>919</v>
      </c>
      <c r="L308" s="1">
        <v>0.30660999999999999</v>
      </c>
      <c r="M308" s="1">
        <v>0.59282999999999997</v>
      </c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</row>
    <row r="309" spans="1:35" x14ac:dyDescent="0.15">
      <c r="A309" s="31"/>
      <c r="B309" s="31">
        <v>1987</v>
      </c>
      <c r="C309" s="31" t="s">
        <v>254</v>
      </c>
      <c r="D309" s="31">
        <f t="shared" si="0"/>
        <v>12334</v>
      </c>
      <c r="E309" s="31">
        <f t="shared" si="1"/>
        <v>451.88</v>
      </c>
      <c r="F309" s="31"/>
      <c r="G309" s="31"/>
      <c r="H309" s="31">
        <v>1173</v>
      </c>
      <c r="I309" s="31"/>
      <c r="J309" s="1">
        <v>308</v>
      </c>
      <c r="K309" s="1" t="s">
        <v>919</v>
      </c>
      <c r="L309" s="1">
        <v>-0.12525</v>
      </c>
      <c r="M309" s="1">
        <v>0.67054000000000002</v>
      </c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</row>
    <row r="310" spans="1:35" x14ac:dyDescent="0.15">
      <c r="A310" s="31"/>
      <c r="B310" s="31">
        <v>1988</v>
      </c>
      <c r="C310" s="31" t="s">
        <v>254</v>
      </c>
      <c r="D310" s="31">
        <f t="shared" si="0"/>
        <v>11536</v>
      </c>
      <c r="E310" s="31">
        <f t="shared" si="1"/>
        <v>411.79</v>
      </c>
      <c r="F310" s="31"/>
      <c r="G310" s="31"/>
      <c r="H310" s="31">
        <v>1174</v>
      </c>
      <c r="I310" s="31"/>
      <c r="J310" s="1">
        <v>309</v>
      </c>
      <c r="K310" s="1" t="s">
        <v>919</v>
      </c>
      <c r="L310" s="1">
        <v>0.13557</v>
      </c>
      <c r="M310" s="1">
        <v>0.62072000000000005</v>
      </c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</row>
    <row r="311" spans="1:35" x14ac:dyDescent="0.15">
      <c r="A311" s="31"/>
      <c r="B311" s="31">
        <v>1989</v>
      </c>
      <c r="C311" s="31" t="s">
        <v>254</v>
      </c>
      <c r="D311" s="31">
        <f t="shared" si="0"/>
        <v>9699.9</v>
      </c>
      <c r="E311" s="31">
        <f t="shared" si="1"/>
        <v>366.29</v>
      </c>
      <c r="F311" s="31"/>
      <c r="G311" s="31"/>
      <c r="H311" s="31">
        <v>1175</v>
      </c>
      <c r="I311" s="31"/>
      <c r="J311" s="1">
        <v>310</v>
      </c>
      <c r="K311" s="1" t="s">
        <v>919</v>
      </c>
      <c r="L311" s="1">
        <v>-4.4724E-2</v>
      </c>
      <c r="M311" s="1">
        <v>0.46973999999999999</v>
      </c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</row>
    <row r="312" spans="1:35" x14ac:dyDescent="0.15">
      <c r="A312" s="31"/>
      <c r="B312" s="31">
        <v>1990</v>
      </c>
      <c r="C312" s="31" t="s">
        <v>254</v>
      </c>
      <c r="D312" s="31">
        <f t="shared" si="0"/>
        <v>7700.5</v>
      </c>
      <c r="E312" s="31">
        <f t="shared" si="1"/>
        <v>320.76</v>
      </c>
      <c r="F312" s="31"/>
      <c r="G312" s="31"/>
      <c r="H312" s="31">
        <v>1176</v>
      </c>
      <c r="I312" s="31"/>
      <c r="J312" s="1">
        <v>311</v>
      </c>
      <c r="K312" s="1" t="s">
        <v>919</v>
      </c>
      <c r="L312" s="1">
        <v>-0.16011</v>
      </c>
      <c r="M312" s="1">
        <v>0.40171000000000001</v>
      </c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</row>
    <row r="313" spans="1:35" x14ac:dyDescent="0.15">
      <c r="A313" s="31"/>
      <c r="B313" s="31">
        <v>1991</v>
      </c>
      <c r="C313" s="31" t="s">
        <v>254</v>
      </c>
      <c r="D313" s="31">
        <f t="shared" si="0"/>
        <v>6063.2</v>
      </c>
      <c r="E313" s="31">
        <f t="shared" si="1"/>
        <v>281.62</v>
      </c>
      <c r="F313" s="31"/>
      <c r="G313" s="31"/>
      <c r="H313" s="31">
        <v>1177</v>
      </c>
      <c r="I313" s="31"/>
      <c r="J313" s="1">
        <v>312</v>
      </c>
      <c r="K313" s="1" t="s">
        <v>919</v>
      </c>
      <c r="L313" s="1">
        <v>-0.22925999999999999</v>
      </c>
      <c r="M313" s="1">
        <v>0.40790999999999999</v>
      </c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</row>
    <row r="314" spans="1:35" x14ac:dyDescent="0.15">
      <c r="A314" s="31"/>
      <c r="B314" s="31">
        <v>1992</v>
      </c>
      <c r="C314" s="31" t="s">
        <v>254</v>
      </c>
      <c r="D314" s="31">
        <f t="shared" si="0"/>
        <v>9472.2000000000007</v>
      </c>
      <c r="E314" s="31">
        <f t="shared" si="1"/>
        <v>318.35000000000002</v>
      </c>
      <c r="F314" s="31"/>
      <c r="G314" s="31"/>
      <c r="H314" s="31">
        <v>1178</v>
      </c>
      <c r="I314" s="31"/>
      <c r="J314" s="1">
        <v>313</v>
      </c>
      <c r="K314" s="1" t="s">
        <v>919</v>
      </c>
      <c r="L314" s="1">
        <v>3.2043000000000002E-2</v>
      </c>
      <c r="M314" s="1">
        <v>0.40628999999999998</v>
      </c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</row>
    <row r="315" spans="1:35" x14ac:dyDescent="0.15">
      <c r="A315" s="31"/>
      <c r="B315" s="31">
        <v>1993</v>
      </c>
      <c r="C315" s="31" t="s">
        <v>254</v>
      </c>
      <c r="D315" s="31">
        <f t="shared" si="0"/>
        <v>11712</v>
      </c>
      <c r="E315" s="31">
        <f t="shared" si="1"/>
        <v>373.44</v>
      </c>
      <c r="F315" s="31"/>
      <c r="G315" s="31"/>
      <c r="H315" s="31">
        <v>1179</v>
      </c>
      <c r="I315" s="31"/>
      <c r="J315" s="1">
        <v>314</v>
      </c>
      <c r="K315" s="1" t="s">
        <v>919</v>
      </c>
      <c r="L315" s="1">
        <v>3.6603999999999998E-2</v>
      </c>
      <c r="M315" s="1">
        <v>0.41559000000000001</v>
      </c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</row>
    <row r="316" spans="1:35" x14ac:dyDescent="0.15">
      <c r="A316" s="31"/>
      <c r="B316" s="31">
        <v>1994</v>
      </c>
      <c r="C316" s="31" t="s">
        <v>254</v>
      </c>
      <c r="D316" s="31">
        <f t="shared" si="0"/>
        <v>11418</v>
      </c>
      <c r="E316" s="31">
        <f t="shared" si="1"/>
        <v>370.59</v>
      </c>
      <c r="F316" s="31"/>
      <c r="G316" s="31"/>
      <c r="H316" s="31">
        <v>1180</v>
      </c>
      <c r="I316" s="31"/>
      <c r="J316" s="1">
        <v>315</v>
      </c>
      <c r="K316" s="1" t="s">
        <v>919</v>
      </c>
      <c r="L316" s="1">
        <v>3.1009999999999999E-2</v>
      </c>
      <c r="M316" s="1">
        <v>0.60087000000000002</v>
      </c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</row>
    <row r="317" spans="1:35" x14ac:dyDescent="0.15">
      <c r="A317" s="31"/>
      <c r="B317" s="31">
        <v>1995</v>
      </c>
      <c r="C317" s="31" t="s">
        <v>254</v>
      </c>
      <c r="D317" s="31">
        <f t="shared" si="0"/>
        <v>13177</v>
      </c>
      <c r="E317" s="31">
        <f t="shared" si="1"/>
        <v>411.45</v>
      </c>
      <c r="F317" s="31"/>
      <c r="G317" s="31"/>
      <c r="H317" s="31">
        <v>1181</v>
      </c>
      <c r="I317" s="31"/>
      <c r="J317" s="1">
        <v>316</v>
      </c>
      <c r="K317" s="1" t="s">
        <v>919</v>
      </c>
      <c r="L317" s="1">
        <v>0.10331</v>
      </c>
      <c r="M317" s="1">
        <v>0.62836999999999998</v>
      </c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</row>
    <row r="318" spans="1:35" x14ac:dyDescent="0.15">
      <c r="A318" s="31"/>
      <c r="B318" s="31">
        <v>1996</v>
      </c>
      <c r="C318" s="31" t="s">
        <v>254</v>
      </c>
      <c r="D318" s="31">
        <f t="shared" ref="C318:D340" si="2">L1183</f>
        <v>11358</v>
      </c>
      <c r="E318" s="31">
        <f t="shared" ref="E318:E338" si="3">M1183</f>
        <v>373.27</v>
      </c>
      <c r="F318" s="31"/>
      <c r="G318" s="31"/>
      <c r="H318" s="31">
        <v>1182</v>
      </c>
      <c r="I318" s="31"/>
      <c r="J318" s="1">
        <v>317</v>
      </c>
      <c r="K318" s="1" t="s">
        <v>919</v>
      </c>
      <c r="L318" s="1">
        <v>0.22081000000000001</v>
      </c>
      <c r="M318" s="1">
        <v>0.59528999999999999</v>
      </c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</row>
    <row r="319" spans="1:35" x14ac:dyDescent="0.15">
      <c r="A319" s="31"/>
      <c r="B319" s="31">
        <v>1997</v>
      </c>
      <c r="C319" s="31" t="s">
        <v>254</v>
      </c>
      <c r="D319" s="31">
        <f t="shared" si="2"/>
        <v>9940</v>
      </c>
      <c r="E319" s="31">
        <f t="shared" si="3"/>
        <v>343.76</v>
      </c>
      <c r="F319" s="31"/>
      <c r="G319" s="31"/>
      <c r="H319" s="31">
        <v>1183</v>
      </c>
      <c r="I319" s="31"/>
      <c r="J319" s="1">
        <v>318</v>
      </c>
      <c r="K319" s="1" t="s">
        <v>919</v>
      </c>
      <c r="L319" s="1">
        <v>-0.11466</v>
      </c>
      <c r="M319" s="1">
        <v>0.68078000000000005</v>
      </c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</row>
    <row r="320" spans="1:35" x14ac:dyDescent="0.15">
      <c r="A320" s="31"/>
      <c r="B320" s="31">
        <v>1998</v>
      </c>
      <c r="C320" s="31" t="s">
        <v>254</v>
      </c>
      <c r="D320" s="31">
        <f t="shared" si="2"/>
        <v>9989.7999999999993</v>
      </c>
      <c r="E320" s="31">
        <f t="shared" si="3"/>
        <v>337.21</v>
      </c>
      <c r="F320" s="31"/>
      <c r="G320" s="31"/>
      <c r="H320" s="31">
        <v>1184</v>
      </c>
      <c r="I320" s="31"/>
      <c r="J320" s="1">
        <v>319</v>
      </c>
      <c r="K320" s="1" t="s">
        <v>919</v>
      </c>
      <c r="L320" s="1">
        <v>-0.15619</v>
      </c>
      <c r="M320" s="1">
        <v>0.62100999999999995</v>
      </c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</row>
    <row r="321" spans="1:35" x14ac:dyDescent="0.15">
      <c r="A321" s="31"/>
      <c r="B321" s="31">
        <v>1999</v>
      </c>
      <c r="C321" s="31" t="s">
        <v>254</v>
      </c>
      <c r="D321" s="31">
        <f t="shared" si="2"/>
        <v>10853</v>
      </c>
      <c r="E321" s="31">
        <f t="shared" si="3"/>
        <v>337.01</v>
      </c>
      <c r="F321" s="31"/>
      <c r="G321" s="31"/>
      <c r="H321" s="31">
        <v>1185</v>
      </c>
      <c r="I321" s="31"/>
      <c r="J321" s="1">
        <v>320</v>
      </c>
      <c r="K321" s="1" t="s">
        <v>919</v>
      </c>
      <c r="L321" s="1">
        <v>3.2433999999999998E-2</v>
      </c>
      <c r="M321" s="1">
        <v>0.49530999999999997</v>
      </c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</row>
    <row r="322" spans="1:35" x14ac:dyDescent="0.15">
      <c r="A322" s="31"/>
      <c r="B322" s="31">
        <v>2000</v>
      </c>
      <c r="C322" s="31" t="s">
        <v>254</v>
      </c>
      <c r="D322" s="31">
        <f t="shared" si="2"/>
        <v>10068</v>
      </c>
      <c r="E322" s="31">
        <f t="shared" si="3"/>
        <v>314.02</v>
      </c>
      <c r="F322" s="31"/>
      <c r="G322" s="31"/>
      <c r="H322" s="31">
        <v>1186</v>
      </c>
      <c r="I322" s="31"/>
      <c r="J322" s="1">
        <v>321</v>
      </c>
      <c r="K322" s="1" t="s">
        <v>919</v>
      </c>
      <c r="L322" s="1">
        <v>-3.9605000000000001E-2</v>
      </c>
      <c r="M322" s="1">
        <v>0.42101</v>
      </c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</row>
    <row r="323" spans="1:35" x14ac:dyDescent="0.15">
      <c r="A323" s="31"/>
      <c r="B323" s="31">
        <v>2001</v>
      </c>
      <c r="C323" s="31" t="s">
        <v>254</v>
      </c>
      <c r="D323" s="31">
        <f t="shared" si="2"/>
        <v>9854</v>
      </c>
      <c r="E323" s="31">
        <f t="shared" si="3"/>
        <v>314.87</v>
      </c>
      <c r="F323" s="31"/>
      <c r="G323" s="31"/>
      <c r="H323" s="31">
        <v>1187</v>
      </c>
      <c r="I323" s="31"/>
      <c r="J323" s="1">
        <v>322</v>
      </c>
      <c r="K323" s="1" t="s">
        <v>919</v>
      </c>
      <c r="L323" s="1">
        <v>0.22273999999999999</v>
      </c>
      <c r="M323" s="1">
        <v>0.37267</v>
      </c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</row>
    <row r="324" spans="1:35" x14ac:dyDescent="0.15">
      <c r="A324" s="31"/>
      <c r="B324" s="31">
        <v>2002</v>
      </c>
      <c r="C324" s="31" t="s">
        <v>254</v>
      </c>
      <c r="D324" s="31">
        <f t="shared" si="2"/>
        <v>10276</v>
      </c>
      <c r="E324" s="31">
        <f t="shared" si="3"/>
        <v>316.69</v>
      </c>
      <c r="F324" s="31"/>
      <c r="G324" s="31"/>
      <c r="H324" s="31">
        <v>1188</v>
      </c>
      <c r="I324" s="31"/>
      <c r="J324" s="1">
        <v>323</v>
      </c>
      <c r="K324" s="1" t="s">
        <v>919</v>
      </c>
      <c r="L324" s="1">
        <v>-0.12861</v>
      </c>
      <c r="M324" s="1">
        <v>0.38468000000000002</v>
      </c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</row>
    <row r="325" spans="1:35" x14ac:dyDescent="0.15">
      <c r="A325" s="31"/>
      <c r="B325" s="31">
        <v>2003</v>
      </c>
      <c r="C325" s="31" t="s">
        <v>254</v>
      </c>
      <c r="D325" s="31">
        <f t="shared" si="2"/>
        <v>12365</v>
      </c>
      <c r="E325" s="31">
        <f t="shared" si="3"/>
        <v>342.95</v>
      </c>
      <c r="F325" s="31"/>
      <c r="G325" s="31"/>
      <c r="H325" s="31">
        <v>1189</v>
      </c>
      <c r="I325" s="31"/>
      <c r="J325" s="1">
        <v>324</v>
      </c>
      <c r="K325" s="1" t="s">
        <v>919</v>
      </c>
      <c r="L325" s="1">
        <v>1.4256E-2</v>
      </c>
      <c r="M325" s="1">
        <v>0.45737</v>
      </c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</row>
    <row r="326" spans="1:35" x14ac:dyDescent="0.15">
      <c r="A326" s="31"/>
      <c r="B326" s="31">
        <v>2004</v>
      </c>
      <c r="C326" s="31" t="s">
        <v>254</v>
      </c>
      <c r="D326" s="31">
        <f t="shared" si="2"/>
        <v>11591</v>
      </c>
      <c r="E326" s="31">
        <f t="shared" si="3"/>
        <v>322.27999999999997</v>
      </c>
      <c r="F326" s="31"/>
      <c r="G326" s="31"/>
      <c r="H326" s="31">
        <v>1190</v>
      </c>
      <c r="I326" s="31"/>
      <c r="J326" s="1">
        <v>325</v>
      </c>
      <c r="K326" s="1" t="s">
        <v>919</v>
      </c>
      <c r="L326" s="1">
        <v>2.7796999999999999E-2</v>
      </c>
      <c r="M326" s="1">
        <v>0.60238999999999998</v>
      </c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</row>
    <row r="327" spans="1:35" x14ac:dyDescent="0.15">
      <c r="A327" s="31"/>
      <c r="B327" s="31">
        <v>2005</v>
      </c>
      <c r="C327" s="31" t="s">
        <v>254</v>
      </c>
      <c r="D327" s="31">
        <f t="shared" si="2"/>
        <v>9705.2000000000007</v>
      </c>
      <c r="E327" s="31">
        <f t="shared" si="3"/>
        <v>287.52999999999997</v>
      </c>
      <c r="F327" s="31"/>
      <c r="G327" s="31"/>
      <c r="H327" s="31">
        <v>1191</v>
      </c>
      <c r="I327" s="31"/>
      <c r="J327" s="1">
        <v>326</v>
      </c>
      <c r="K327" s="1" t="s">
        <v>919</v>
      </c>
      <c r="L327" s="1">
        <v>4.0871999999999999E-2</v>
      </c>
      <c r="M327" s="1">
        <v>0.63341999999999998</v>
      </c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</row>
    <row r="328" spans="1:35" x14ac:dyDescent="0.15">
      <c r="A328" s="31"/>
      <c r="B328" s="31">
        <v>2006</v>
      </c>
      <c r="C328" s="31" t="s">
        <v>254</v>
      </c>
      <c r="D328" s="31">
        <f t="shared" si="2"/>
        <v>7445.9</v>
      </c>
      <c r="E328" s="31">
        <f t="shared" si="3"/>
        <v>247.67</v>
      </c>
      <c r="F328" s="31"/>
      <c r="G328" s="31"/>
      <c r="H328" s="31">
        <v>1192</v>
      </c>
      <c r="I328" s="31"/>
      <c r="J328" s="1">
        <v>327</v>
      </c>
      <c r="K328" s="1" t="s">
        <v>919</v>
      </c>
      <c r="L328" s="1">
        <v>0.10095999999999999</v>
      </c>
      <c r="M328" s="1">
        <v>0.58704000000000001</v>
      </c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</row>
    <row r="329" spans="1:35" x14ac:dyDescent="0.15">
      <c r="A329" s="31"/>
      <c r="B329" s="31">
        <v>2007</v>
      </c>
      <c r="C329" s="31" t="s">
        <v>254</v>
      </c>
      <c r="D329" s="31">
        <f t="shared" si="2"/>
        <v>6045.3</v>
      </c>
      <c r="E329" s="31">
        <f t="shared" si="3"/>
        <v>236.01</v>
      </c>
      <c r="F329" s="31"/>
      <c r="G329" s="31"/>
      <c r="H329" s="31">
        <v>1193</v>
      </c>
      <c r="I329" s="31"/>
      <c r="J329" s="1">
        <v>328</v>
      </c>
      <c r="K329" s="1" t="s">
        <v>919</v>
      </c>
      <c r="L329" s="1">
        <v>-0.11601</v>
      </c>
      <c r="M329" s="1">
        <v>0.68113000000000001</v>
      </c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</row>
    <row r="330" spans="1:35" x14ac:dyDescent="0.15">
      <c r="A330" s="31"/>
      <c r="B330" s="31">
        <v>2008</v>
      </c>
      <c r="C330" s="31" t="s">
        <v>254</v>
      </c>
      <c r="D330" s="31">
        <f t="shared" si="2"/>
        <v>4848.8</v>
      </c>
      <c r="E330" s="31">
        <f t="shared" si="3"/>
        <v>215.09</v>
      </c>
      <c r="F330" s="31"/>
      <c r="G330" s="31"/>
      <c r="H330" s="31">
        <v>1194</v>
      </c>
      <c r="I330" s="31"/>
      <c r="J330" s="1">
        <v>329</v>
      </c>
      <c r="K330" s="1" t="s">
        <v>919</v>
      </c>
      <c r="L330" s="1">
        <v>0.30206</v>
      </c>
      <c r="M330" s="1">
        <v>0.61589000000000005</v>
      </c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</row>
    <row r="331" spans="1:35" x14ac:dyDescent="0.15">
      <c r="A331" s="31"/>
      <c r="B331" s="31">
        <v>2009</v>
      </c>
      <c r="C331" s="31" t="s">
        <v>254</v>
      </c>
      <c r="D331" s="31">
        <f t="shared" si="2"/>
        <v>6331.1</v>
      </c>
      <c r="E331" s="31">
        <f t="shared" si="3"/>
        <v>297.02999999999997</v>
      </c>
      <c r="F331" s="31"/>
      <c r="G331" s="31"/>
      <c r="H331" s="31">
        <v>1195</v>
      </c>
      <c r="I331" s="31"/>
      <c r="J331" s="1">
        <v>330</v>
      </c>
      <c r="K331" s="1" t="s">
        <v>919</v>
      </c>
      <c r="L331" s="1">
        <v>0.1545</v>
      </c>
      <c r="M331" s="1">
        <v>0.48215999999999998</v>
      </c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</row>
    <row r="332" spans="1:35" x14ac:dyDescent="0.15">
      <c r="A332" s="31"/>
      <c r="B332" s="31">
        <v>2010</v>
      </c>
      <c r="C332" s="31" t="s">
        <v>254</v>
      </c>
      <c r="D332" s="31">
        <f t="shared" si="2"/>
        <v>6680.3</v>
      </c>
      <c r="E332" s="31">
        <f t="shared" si="3"/>
        <v>366.02</v>
      </c>
      <c r="F332" s="31"/>
      <c r="G332" s="31"/>
      <c r="H332" s="31">
        <v>1196</v>
      </c>
      <c r="I332" s="31"/>
      <c r="J332" s="1">
        <v>331</v>
      </c>
      <c r="K332" s="1" t="s">
        <v>919</v>
      </c>
      <c r="L332" s="1">
        <v>-0.29807</v>
      </c>
      <c r="M332" s="1">
        <v>0.44148999999999999</v>
      </c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</row>
    <row r="333" spans="1:35" x14ac:dyDescent="0.15">
      <c r="A333" s="31"/>
      <c r="B333" s="31">
        <v>2011</v>
      </c>
      <c r="C333" s="31" t="s">
        <v>254</v>
      </c>
      <c r="D333" s="31">
        <f t="shared" si="2"/>
        <v>10053</v>
      </c>
      <c r="E333" s="31">
        <f t="shared" si="3"/>
        <v>656.7</v>
      </c>
      <c r="F333" s="31"/>
      <c r="G333" s="31"/>
      <c r="H333" s="31">
        <v>1197</v>
      </c>
      <c r="I333" s="31"/>
      <c r="J333" s="1">
        <v>332</v>
      </c>
      <c r="K333" s="1" t="s">
        <v>919</v>
      </c>
      <c r="L333" s="1">
        <v>-0.32729999999999998</v>
      </c>
      <c r="M333" s="1">
        <v>0.39217000000000002</v>
      </c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</row>
    <row r="334" spans="1:35" x14ac:dyDescent="0.15">
      <c r="A334" s="31"/>
      <c r="B334" s="31">
        <v>2012</v>
      </c>
      <c r="C334" s="31" t="s">
        <v>254</v>
      </c>
      <c r="D334" s="31">
        <f t="shared" si="2"/>
        <v>10164</v>
      </c>
      <c r="E334" s="31">
        <f t="shared" si="3"/>
        <v>769.38</v>
      </c>
      <c r="F334" s="31"/>
      <c r="G334" s="31"/>
      <c r="H334" s="31">
        <v>1198</v>
      </c>
      <c r="I334" s="31"/>
      <c r="J334" s="1">
        <v>333</v>
      </c>
      <c r="K334" s="1" t="s">
        <v>919</v>
      </c>
      <c r="L334" s="1">
        <v>0.19078999999999999</v>
      </c>
      <c r="M334" s="1">
        <v>0.36587999999999998</v>
      </c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</row>
    <row r="335" spans="1:35" x14ac:dyDescent="0.15">
      <c r="A335" s="31"/>
      <c r="B335" s="31">
        <v>2013</v>
      </c>
      <c r="C335" s="31" t="s">
        <v>254</v>
      </c>
      <c r="D335" s="31">
        <f t="shared" si="2"/>
        <v>10337</v>
      </c>
      <c r="E335" s="31">
        <f t="shared" si="3"/>
        <v>897.27</v>
      </c>
      <c r="F335" s="31"/>
      <c r="G335" s="31"/>
      <c r="H335" s="31">
        <v>1199</v>
      </c>
      <c r="I335" s="31"/>
      <c r="J335" s="1">
        <v>334</v>
      </c>
      <c r="K335" s="1" t="s">
        <v>919</v>
      </c>
      <c r="L335" s="1">
        <v>-3.4513E-3</v>
      </c>
      <c r="M335" s="1">
        <v>0.44230999999999998</v>
      </c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</row>
    <row r="336" spans="1:35" x14ac:dyDescent="0.15">
      <c r="A336" s="31"/>
      <c r="B336" s="31">
        <v>2014</v>
      </c>
      <c r="C336" s="31" t="s">
        <v>254</v>
      </c>
      <c r="D336" s="31">
        <f t="shared" si="2"/>
        <v>9804.9</v>
      </c>
      <c r="E336" s="31">
        <f t="shared" si="3"/>
        <v>980.31</v>
      </c>
      <c r="F336" s="31"/>
      <c r="G336" s="31"/>
      <c r="H336" s="31">
        <v>1200</v>
      </c>
      <c r="I336" s="31"/>
      <c r="J336" s="1">
        <v>335</v>
      </c>
      <c r="K336" s="1" t="s">
        <v>919</v>
      </c>
      <c r="L336" s="1">
        <v>3.8850000000000003E-2</v>
      </c>
      <c r="M336" s="1">
        <v>0.58338000000000001</v>
      </c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</row>
    <row r="337" spans="1:35" x14ac:dyDescent="0.15">
      <c r="A337" s="31"/>
      <c r="B337" s="31">
        <v>2015</v>
      </c>
      <c r="C337" s="31" t="str">
        <f t="shared" si="2"/>
        <v>age_3_plus_biom</v>
      </c>
      <c r="D337" s="31">
        <f t="shared" si="2"/>
        <v>10970</v>
      </c>
      <c r="E337" s="31">
        <f t="shared" si="3"/>
        <v>1159</v>
      </c>
      <c r="F337" s="31"/>
      <c r="G337" s="31"/>
      <c r="H337" s="31">
        <v>1201</v>
      </c>
      <c r="I337" s="31"/>
      <c r="J337" s="1">
        <v>336</v>
      </c>
      <c r="K337" s="1" t="s">
        <v>919</v>
      </c>
      <c r="L337" s="1">
        <v>1.6034E-2</v>
      </c>
      <c r="M337" s="1">
        <v>0.63093999999999995</v>
      </c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</row>
    <row r="338" spans="1:35" x14ac:dyDescent="0.15">
      <c r="A338" s="31"/>
      <c r="B338" s="31"/>
      <c r="C338" s="31" t="str">
        <f t="shared" si="2"/>
        <v>age_3_plus_biom</v>
      </c>
      <c r="D338" s="31">
        <f t="shared" si="2"/>
        <v>11292</v>
      </c>
      <c r="E338" s="31">
        <f t="shared" si="3"/>
        <v>1311.6</v>
      </c>
      <c r="F338" s="31"/>
      <c r="G338" s="31"/>
      <c r="H338" s="31">
        <v>1202</v>
      </c>
      <c r="I338" s="31"/>
      <c r="J338" s="31">
        <v>337</v>
      </c>
      <c r="K338" s="31" t="s">
        <v>919</v>
      </c>
      <c r="L338" s="1">
        <v>4.2598999999999998E-2</v>
      </c>
      <c r="M338" s="1">
        <v>0.58794000000000002</v>
      </c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</row>
    <row r="339" spans="1:35" x14ac:dyDescent="0.15">
      <c r="C339" s="31" t="str">
        <f t="shared" si="2"/>
        <v>age_3_plus_biom</v>
      </c>
      <c r="J339" s="31">
        <v>338</v>
      </c>
      <c r="K339" s="31" t="s">
        <v>919</v>
      </c>
      <c r="L339" s="1">
        <v>-0.11259</v>
      </c>
      <c r="M339" s="1">
        <v>0.68386000000000002</v>
      </c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</row>
    <row r="340" spans="1:35" x14ac:dyDescent="0.15">
      <c r="C340" s="31" t="str">
        <f t="shared" si="2"/>
        <v>ABC_biom</v>
      </c>
      <c r="J340" s="31">
        <v>339</v>
      </c>
      <c r="K340" s="31" t="s">
        <v>919</v>
      </c>
      <c r="L340" s="1">
        <v>0.1366</v>
      </c>
      <c r="M340" s="1">
        <v>0.61338000000000004</v>
      </c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</row>
    <row r="341" spans="1:35" x14ac:dyDescent="0.15">
      <c r="A341" s="31"/>
      <c r="B341" s="31">
        <v>1303</v>
      </c>
      <c r="C341" s="31" t="s">
        <v>207</v>
      </c>
      <c r="D341" s="27">
        <f t="shared" ref="D341:D360" si="4">L1227</f>
        <v>17455</v>
      </c>
      <c r="E341" s="1">
        <f t="shared" ref="E341:E360" si="5">M1227</f>
        <v>3602</v>
      </c>
      <c r="F341" s="31"/>
      <c r="G341" s="31"/>
      <c r="H341" s="31"/>
      <c r="I341" s="31"/>
      <c r="J341" s="31">
        <v>340</v>
      </c>
      <c r="K341" s="31" t="s">
        <v>919</v>
      </c>
      <c r="L341" s="1">
        <v>-3.1539999999999999E-2</v>
      </c>
      <c r="M341" s="1">
        <v>0.49138999999999999</v>
      </c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</row>
    <row r="342" spans="1:35" x14ac:dyDescent="0.15">
      <c r="A342" s="31"/>
      <c r="B342" s="31">
        <v>1304</v>
      </c>
      <c r="C342" s="31" t="s">
        <v>207</v>
      </c>
      <c r="D342" s="27">
        <f t="shared" si="4"/>
        <v>21668</v>
      </c>
      <c r="E342" s="1">
        <f t="shared" si="5"/>
        <v>4181.1000000000004</v>
      </c>
      <c r="F342" s="31"/>
      <c r="G342" s="31"/>
      <c r="H342" s="31"/>
      <c r="I342" s="31"/>
      <c r="J342" s="31">
        <v>341</v>
      </c>
      <c r="K342" s="31" t="s">
        <v>919</v>
      </c>
      <c r="L342" s="1">
        <v>0.31108999999999998</v>
      </c>
      <c r="M342" s="1">
        <v>0.42492000000000002</v>
      </c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</row>
    <row r="343" spans="1:35" x14ac:dyDescent="0.15">
      <c r="A343" s="31"/>
      <c r="B343" s="31">
        <v>1305</v>
      </c>
      <c r="C343" s="31" t="s">
        <v>207</v>
      </c>
      <c r="D343" s="27">
        <f t="shared" si="4"/>
        <v>24702</v>
      </c>
      <c r="E343" s="1">
        <f t="shared" si="5"/>
        <v>4455</v>
      </c>
      <c r="F343" s="31"/>
      <c r="G343" s="31"/>
      <c r="H343" s="31"/>
      <c r="I343" s="31"/>
      <c r="J343" s="31">
        <v>342</v>
      </c>
      <c r="K343" s="31" t="s">
        <v>919</v>
      </c>
      <c r="L343" s="1">
        <v>-4.4755999999999997E-2</v>
      </c>
      <c r="M343" s="1">
        <v>0.44405</v>
      </c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</row>
    <row r="344" spans="1:35" x14ac:dyDescent="0.15">
      <c r="A344" s="31"/>
      <c r="B344" s="31">
        <v>1306</v>
      </c>
      <c r="C344" s="31" t="s">
        <v>207</v>
      </c>
      <c r="D344" s="27">
        <f t="shared" si="4"/>
        <v>26770</v>
      </c>
      <c r="E344" s="1">
        <f t="shared" si="5"/>
        <v>4516.3</v>
      </c>
      <c r="F344" s="31"/>
      <c r="G344" s="31"/>
      <c r="H344" s="31"/>
      <c r="I344" s="31"/>
      <c r="J344" s="31">
        <v>343</v>
      </c>
      <c r="K344" s="31" t="s">
        <v>919</v>
      </c>
      <c r="L344" s="1">
        <v>-2.9352E-2</v>
      </c>
      <c r="M344" s="1">
        <v>0.39329999999999998</v>
      </c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</row>
    <row r="345" spans="1:35" x14ac:dyDescent="0.15">
      <c r="A345" s="31"/>
      <c r="B345" s="31">
        <v>1307</v>
      </c>
      <c r="C345" s="31" t="s">
        <v>207</v>
      </c>
      <c r="D345" s="27">
        <f t="shared" si="4"/>
        <v>28053</v>
      </c>
      <c r="E345" s="1">
        <f t="shared" si="5"/>
        <v>4438.8999999999996</v>
      </c>
      <c r="F345" s="31"/>
      <c r="G345" s="31"/>
      <c r="H345" s="31"/>
      <c r="I345" s="31"/>
      <c r="J345" s="31">
        <v>344</v>
      </c>
      <c r="K345" s="31" t="s">
        <v>919</v>
      </c>
      <c r="L345" s="1">
        <v>4.2935000000000001E-2</v>
      </c>
      <c r="M345" s="1">
        <v>0.38030000000000003</v>
      </c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</row>
    <row r="346" spans="1:35" x14ac:dyDescent="0.15">
      <c r="A346" s="31"/>
      <c r="B346" s="31">
        <v>1308</v>
      </c>
      <c r="C346" s="31" t="s">
        <v>207</v>
      </c>
      <c r="D346" s="27">
        <f t="shared" si="4"/>
        <v>28701</v>
      </c>
      <c r="E346" s="1">
        <f t="shared" si="5"/>
        <v>4281.8999999999996</v>
      </c>
      <c r="F346" s="31"/>
      <c r="G346" s="31"/>
      <c r="H346" s="31"/>
      <c r="I346" s="31"/>
      <c r="J346" s="31">
        <v>345</v>
      </c>
      <c r="K346" s="31" t="s">
        <v>919</v>
      </c>
      <c r="L346" s="1">
        <v>-0.14959</v>
      </c>
      <c r="M346" s="1">
        <v>0.50490999999999997</v>
      </c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</row>
    <row r="347" spans="1:35" x14ac:dyDescent="0.15">
      <c r="A347" s="31"/>
      <c r="B347" s="31">
        <v>1309</v>
      </c>
      <c r="C347" s="31" t="s">
        <v>207</v>
      </c>
      <c r="D347" s="27">
        <f t="shared" si="4"/>
        <v>28842</v>
      </c>
      <c r="E347" s="1">
        <f t="shared" si="5"/>
        <v>4091.1</v>
      </c>
      <c r="F347" s="31"/>
      <c r="G347" s="31"/>
      <c r="H347" s="31"/>
      <c r="I347" s="31"/>
      <c r="J347" s="31">
        <v>346</v>
      </c>
      <c r="K347" s="31" t="s">
        <v>919</v>
      </c>
      <c r="L347" s="1">
        <v>-2.1538999999999999E-2</v>
      </c>
      <c r="M347" s="1">
        <v>0.61826000000000003</v>
      </c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</row>
    <row r="348" spans="1:35" x14ac:dyDescent="0.15">
      <c r="A348" s="31"/>
      <c r="B348" s="31">
        <v>1310</v>
      </c>
      <c r="C348" s="31" t="s">
        <v>207</v>
      </c>
      <c r="D348" s="27">
        <f t="shared" si="4"/>
        <v>28583</v>
      </c>
      <c r="E348" s="1">
        <f t="shared" si="5"/>
        <v>3900.8</v>
      </c>
      <c r="F348" s="31"/>
      <c r="G348" s="31"/>
      <c r="H348" s="31"/>
      <c r="I348" s="31"/>
      <c r="J348" s="31">
        <v>347</v>
      </c>
      <c r="K348" s="31" t="s">
        <v>919</v>
      </c>
      <c r="L348" s="1">
        <v>-0.10126</v>
      </c>
      <c r="M348" s="1">
        <v>0.57325999999999999</v>
      </c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</row>
    <row r="349" spans="1:35" x14ac:dyDescent="0.15">
      <c r="A349" s="31"/>
      <c r="B349" s="31">
        <v>1311</v>
      </c>
      <c r="C349" s="31" t="s">
        <v>207</v>
      </c>
      <c r="D349" s="27">
        <f t="shared" si="4"/>
        <v>28012</v>
      </c>
      <c r="E349" s="1">
        <f t="shared" si="5"/>
        <v>3734.4</v>
      </c>
      <c r="F349" s="31"/>
      <c r="G349" s="31"/>
      <c r="H349" s="31"/>
      <c r="I349" s="31"/>
      <c r="J349" s="31">
        <v>348</v>
      </c>
      <c r="K349" s="31" t="s">
        <v>919</v>
      </c>
      <c r="L349" s="1">
        <v>-0.11576</v>
      </c>
      <c r="M349" s="1">
        <v>0.68378000000000005</v>
      </c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</row>
    <row r="350" spans="1:35" x14ac:dyDescent="0.15">
      <c r="A350" s="31"/>
      <c r="B350" s="31">
        <v>1312</v>
      </c>
      <c r="C350" s="31" t="s">
        <v>207</v>
      </c>
      <c r="D350" s="27">
        <f t="shared" si="4"/>
        <v>27203</v>
      </c>
      <c r="E350" s="1">
        <f t="shared" si="5"/>
        <v>3605.1</v>
      </c>
      <c r="F350" s="31"/>
      <c r="G350" s="31"/>
      <c r="H350" s="31"/>
      <c r="I350" s="31"/>
      <c r="J350" s="31">
        <v>349</v>
      </c>
      <c r="K350" s="31" t="s">
        <v>919</v>
      </c>
      <c r="L350" s="1">
        <v>-1.3519999999999999E-3</v>
      </c>
      <c r="M350" s="1">
        <v>0.60845000000000005</v>
      </c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</row>
    <row r="351" spans="1:35" x14ac:dyDescent="0.15">
      <c r="A351" s="31"/>
      <c r="B351" s="31">
        <v>1313</v>
      </c>
      <c r="C351" s="31" t="s">
        <v>207</v>
      </c>
      <c r="D351" s="27">
        <f t="shared" si="4"/>
        <v>26218</v>
      </c>
      <c r="E351" s="1">
        <f t="shared" si="5"/>
        <v>3517.1</v>
      </c>
      <c r="F351" s="31"/>
      <c r="G351" s="31"/>
      <c r="H351" s="31"/>
      <c r="I351" s="31"/>
      <c r="J351" s="31">
        <v>350</v>
      </c>
      <c r="K351" s="31" t="s">
        <v>919</v>
      </c>
      <c r="L351" s="1">
        <v>-2.4493000000000001E-2</v>
      </c>
      <c r="M351" s="1">
        <v>0.49004999999999999</v>
      </c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</row>
    <row r="352" spans="1:35" x14ac:dyDescent="0.15">
      <c r="A352" s="31"/>
      <c r="B352" s="31">
        <v>1314</v>
      </c>
      <c r="C352" s="31" t="s">
        <v>207</v>
      </c>
      <c r="D352" s="27">
        <f t="shared" si="4"/>
        <v>25107</v>
      </c>
      <c r="E352" s="1">
        <f t="shared" si="5"/>
        <v>3467.2</v>
      </c>
      <c r="F352" s="31"/>
      <c r="G352" s="31"/>
      <c r="H352" s="31"/>
      <c r="I352" s="31"/>
      <c r="J352" s="31">
        <v>351</v>
      </c>
      <c r="K352" s="31" t="s">
        <v>919</v>
      </c>
      <c r="L352" s="1">
        <v>-0.22015999999999999</v>
      </c>
      <c r="M352" s="1">
        <v>0.43234</v>
      </c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</row>
    <row r="353" spans="1:35" x14ac:dyDescent="0.15">
      <c r="A353" s="31"/>
      <c r="B353" s="31">
        <v>1315</v>
      </c>
      <c r="C353" s="31" t="s">
        <v>207</v>
      </c>
      <c r="D353" s="27">
        <f t="shared" si="4"/>
        <v>23911</v>
      </c>
      <c r="E353" s="1">
        <f t="shared" si="5"/>
        <v>3447.6</v>
      </c>
      <c r="F353" s="31"/>
      <c r="G353" s="31"/>
      <c r="H353" s="31"/>
      <c r="I353" s="31"/>
      <c r="J353" s="31">
        <v>352</v>
      </c>
      <c r="K353" s="31" t="s">
        <v>919</v>
      </c>
      <c r="L353" s="1">
        <v>-2.3976999999999998E-2</v>
      </c>
      <c r="M353" s="1">
        <v>0.43237999999999999</v>
      </c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</row>
    <row r="354" spans="1:35" x14ac:dyDescent="0.15">
      <c r="A354" s="31"/>
      <c r="B354" s="31">
        <v>1316</v>
      </c>
      <c r="C354" s="31" t="s">
        <v>207</v>
      </c>
      <c r="D354" s="27">
        <f t="shared" si="4"/>
        <v>22664</v>
      </c>
      <c r="E354" s="1">
        <f t="shared" si="5"/>
        <v>3448.3</v>
      </c>
      <c r="F354" s="31"/>
      <c r="G354" s="31"/>
      <c r="H354" s="31"/>
      <c r="I354" s="31"/>
      <c r="J354" s="31">
        <v>353</v>
      </c>
      <c r="K354" s="31" t="s">
        <v>919</v>
      </c>
      <c r="L354" s="1">
        <v>-9.3508999999999995E-2</v>
      </c>
      <c r="M354" s="1">
        <v>0.39768999999999999</v>
      </c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</row>
    <row r="355" spans="1:35" x14ac:dyDescent="0.15">
      <c r="A355" s="31"/>
      <c r="B355" s="31">
        <v>1317</v>
      </c>
      <c r="C355" s="31" t="s">
        <v>207</v>
      </c>
      <c r="D355" s="27">
        <f t="shared" si="4"/>
        <v>21393</v>
      </c>
      <c r="E355" s="1">
        <f t="shared" si="5"/>
        <v>3459.5</v>
      </c>
      <c r="F355" s="31"/>
      <c r="G355" s="31"/>
      <c r="H355" s="31"/>
      <c r="I355" s="31"/>
      <c r="J355" s="31">
        <v>354</v>
      </c>
      <c r="K355" s="31" t="s">
        <v>919</v>
      </c>
      <c r="L355" s="1">
        <v>-0.11885</v>
      </c>
      <c r="M355" s="1">
        <v>0.38358999999999999</v>
      </c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</row>
    <row r="356" spans="1:35" x14ac:dyDescent="0.15">
      <c r="A356" s="31"/>
      <c r="B356" s="31">
        <v>1318</v>
      </c>
      <c r="C356" s="31" t="s">
        <v>207</v>
      </c>
      <c r="D356" s="27">
        <f t="shared" si="4"/>
        <v>20118</v>
      </c>
      <c r="E356" s="1">
        <f t="shared" si="5"/>
        <v>3472.7</v>
      </c>
      <c r="F356" s="31"/>
      <c r="G356" s="31"/>
      <c r="H356" s="31"/>
      <c r="I356" s="31"/>
      <c r="J356" s="31">
        <v>355</v>
      </c>
      <c r="K356" s="31" t="s">
        <v>919</v>
      </c>
      <c r="L356" s="1">
        <v>0.39467000000000002</v>
      </c>
      <c r="M356" s="1">
        <v>0.38919999999999999</v>
      </c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</row>
    <row r="357" spans="1:35" x14ac:dyDescent="0.15">
      <c r="A357" s="31"/>
      <c r="B357" s="31">
        <v>1319</v>
      </c>
      <c r="C357" s="31" t="s">
        <v>207</v>
      </c>
      <c r="D357" s="27">
        <f t="shared" si="4"/>
        <v>18858</v>
      </c>
      <c r="E357" s="1">
        <f t="shared" si="5"/>
        <v>3481.5</v>
      </c>
      <c r="F357" s="31"/>
      <c r="G357" s="31"/>
      <c r="H357" s="31"/>
      <c r="I357" s="31"/>
      <c r="J357" s="31">
        <v>356</v>
      </c>
      <c r="K357" s="31" t="s">
        <v>919</v>
      </c>
      <c r="L357" s="1">
        <v>0.18187</v>
      </c>
      <c r="M357" s="1">
        <v>0.51849999999999996</v>
      </c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</row>
    <row r="358" spans="1:35" x14ac:dyDescent="0.15">
      <c r="A358" s="31"/>
      <c r="B358" s="31">
        <v>1320</v>
      </c>
      <c r="C358" s="31" t="s">
        <v>207</v>
      </c>
      <c r="D358" s="27">
        <f t="shared" si="4"/>
        <v>17625</v>
      </c>
      <c r="E358" s="1">
        <f t="shared" si="5"/>
        <v>3481.3</v>
      </c>
      <c r="F358" s="31"/>
      <c r="G358" s="31"/>
      <c r="H358" s="31"/>
      <c r="I358" s="31"/>
      <c r="J358" s="31">
        <v>357</v>
      </c>
      <c r="K358" s="31" t="s">
        <v>919</v>
      </c>
      <c r="L358" s="1">
        <v>2.1555999999999999E-2</v>
      </c>
      <c r="M358" s="1">
        <v>0.56820999999999999</v>
      </c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</row>
    <row r="359" spans="1:35" x14ac:dyDescent="0.15">
      <c r="A359" s="31"/>
      <c r="B359" s="31">
        <v>1321</v>
      </c>
      <c r="C359" s="31" t="s">
        <v>207</v>
      </c>
      <c r="D359" s="27">
        <f t="shared" si="4"/>
        <v>9.7247E-2</v>
      </c>
      <c r="E359" s="1">
        <f t="shared" si="5"/>
        <v>2.1569000000000001E-2</v>
      </c>
      <c r="F359" s="31"/>
      <c r="G359" s="31"/>
      <c r="H359" s="31"/>
      <c r="I359" s="31"/>
      <c r="J359" s="31">
        <v>358</v>
      </c>
      <c r="K359" s="31" t="s">
        <v>919</v>
      </c>
      <c r="L359" s="1">
        <v>-0.11594</v>
      </c>
      <c r="M359" s="1">
        <v>0.68381000000000003</v>
      </c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</row>
    <row r="360" spans="1:35" x14ac:dyDescent="0.15">
      <c r="A360" s="31"/>
      <c r="B360" s="31">
        <v>1322</v>
      </c>
      <c r="C360" s="31" t="s">
        <v>207</v>
      </c>
      <c r="D360" s="27">
        <f t="shared" si="4"/>
        <v>0.10691000000000001</v>
      </c>
      <c r="E360" s="1">
        <f t="shared" si="5"/>
        <v>2.2388000000000002E-2</v>
      </c>
      <c r="F360" s="31"/>
      <c r="G360" s="31"/>
      <c r="H360" s="31"/>
      <c r="I360" s="31"/>
      <c r="J360" s="31">
        <v>359</v>
      </c>
      <c r="K360" s="31" t="s">
        <v>919</v>
      </c>
      <c r="L360" s="1">
        <v>-4.7009000000000002E-2</v>
      </c>
      <c r="M360" s="1">
        <v>0.61528000000000005</v>
      </c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</row>
    <row r="361" spans="1:35" x14ac:dyDescent="0.15">
      <c r="A361" s="31">
        <v>1964</v>
      </c>
      <c r="B361" s="31">
        <v>1246</v>
      </c>
      <c r="C361" s="31" t="s">
        <v>125</v>
      </c>
      <c r="D361" s="27">
        <v>7409.5</v>
      </c>
      <c r="E361" s="1">
        <v>2889.8</v>
      </c>
      <c r="F361" s="31"/>
      <c r="G361" s="31"/>
      <c r="H361" s="31"/>
      <c r="I361" s="31"/>
      <c r="J361" s="31">
        <v>360</v>
      </c>
      <c r="K361" s="31" t="s">
        <v>919</v>
      </c>
      <c r="L361" s="1">
        <v>1.0089999999999999</v>
      </c>
      <c r="M361" s="1">
        <v>0.40894000000000003</v>
      </c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</row>
    <row r="362" spans="1:35" x14ac:dyDescent="0.15">
      <c r="A362" s="31">
        <v>1965</v>
      </c>
      <c r="B362" s="31">
        <v>1247</v>
      </c>
      <c r="C362" s="31" t="s">
        <v>125</v>
      </c>
      <c r="D362" s="27">
        <v>22290</v>
      </c>
      <c r="E362" s="1">
        <v>5905.9</v>
      </c>
      <c r="F362" s="31"/>
      <c r="G362" s="31"/>
      <c r="H362" s="31"/>
      <c r="I362" s="31"/>
      <c r="J362" s="31">
        <v>361</v>
      </c>
      <c r="K362" s="31" t="s">
        <v>919</v>
      </c>
      <c r="L362" s="1">
        <v>0.13023999999999999</v>
      </c>
      <c r="M362" s="1">
        <v>0.42326000000000003</v>
      </c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</row>
    <row r="363" spans="1:35" x14ac:dyDescent="0.15">
      <c r="A363" s="31">
        <v>1966</v>
      </c>
      <c r="B363" s="31">
        <v>1248</v>
      </c>
      <c r="C363" s="31" t="s">
        <v>125</v>
      </c>
      <c r="D363" s="27">
        <v>16499</v>
      </c>
      <c r="E363" s="1">
        <v>5339.4</v>
      </c>
      <c r="F363" s="31"/>
      <c r="G363" s="31"/>
      <c r="H363" s="31"/>
      <c r="I363" s="31"/>
      <c r="J363" s="31">
        <v>362</v>
      </c>
      <c r="K363" s="31" t="s">
        <v>919</v>
      </c>
      <c r="L363" s="1">
        <v>0.2399</v>
      </c>
      <c r="M363" s="1">
        <v>0.37074000000000001</v>
      </c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</row>
    <row r="364" spans="1:35" x14ac:dyDescent="0.15">
      <c r="A364" s="31">
        <v>1967</v>
      </c>
      <c r="B364" s="31">
        <v>1249</v>
      </c>
      <c r="C364" s="31" t="s">
        <v>125</v>
      </c>
      <c r="D364" s="27">
        <v>27209</v>
      </c>
      <c r="E364" s="1">
        <v>7201.7</v>
      </c>
      <c r="F364" s="31"/>
      <c r="G364" s="31"/>
      <c r="H364" s="31"/>
      <c r="I364" s="31"/>
      <c r="J364" s="31">
        <v>363</v>
      </c>
      <c r="K364" s="31" t="s">
        <v>919</v>
      </c>
      <c r="L364" s="1">
        <v>-0.18728</v>
      </c>
      <c r="M364" s="1">
        <v>0.36530000000000001</v>
      </c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</row>
    <row r="365" spans="1:35" x14ac:dyDescent="0.15">
      <c r="A365" s="31">
        <v>1968</v>
      </c>
      <c r="B365" s="31">
        <v>1250</v>
      </c>
      <c r="C365" s="31" t="s">
        <v>125</v>
      </c>
      <c r="D365" s="27">
        <v>23734</v>
      </c>
      <c r="E365" s="1">
        <v>6695.9</v>
      </c>
      <c r="F365" s="31"/>
      <c r="G365" s="31"/>
      <c r="H365" s="31"/>
      <c r="I365" s="31"/>
      <c r="J365" s="31">
        <v>364</v>
      </c>
      <c r="K365" s="31" t="s">
        <v>919</v>
      </c>
      <c r="L365" s="1">
        <v>0.14996999999999999</v>
      </c>
      <c r="M365" s="1">
        <v>0.38983000000000001</v>
      </c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</row>
    <row r="366" spans="1:35" x14ac:dyDescent="0.15">
      <c r="A366" s="31">
        <v>1969</v>
      </c>
      <c r="B366" s="31">
        <v>1251</v>
      </c>
      <c r="C366" s="31" t="s">
        <v>125</v>
      </c>
      <c r="D366" s="27">
        <v>26781</v>
      </c>
      <c r="E366" s="1">
        <v>6977.8</v>
      </c>
      <c r="F366" s="31"/>
      <c r="G366" s="31"/>
      <c r="H366" s="31"/>
      <c r="I366" s="31"/>
      <c r="J366" s="31">
        <v>365</v>
      </c>
      <c r="K366" s="31" t="s">
        <v>919</v>
      </c>
      <c r="L366" s="1">
        <v>-0.32644000000000001</v>
      </c>
      <c r="M366" s="1">
        <v>0.38863999999999999</v>
      </c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</row>
    <row r="367" spans="1:35" x14ac:dyDescent="0.15">
      <c r="A367" s="31">
        <v>1970</v>
      </c>
      <c r="B367" s="31">
        <v>1252</v>
      </c>
      <c r="C367" s="31" t="s">
        <v>125</v>
      </c>
      <c r="D367" s="27">
        <v>23061</v>
      </c>
      <c r="E367" s="1">
        <v>6243.3</v>
      </c>
      <c r="F367" s="31"/>
      <c r="G367" s="31"/>
      <c r="H367" s="31"/>
      <c r="I367" s="31"/>
      <c r="J367" s="31">
        <v>366</v>
      </c>
      <c r="K367" s="31" t="s">
        <v>919</v>
      </c>
      <c r="L367" s="1">
        <v>-0.30608999999999997</v>
      </c>
      <c r="M367" s="1">
        <v>0.39983999999999997</v>
      </c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</row>
    <row r="368" spans="1:35" x14ac:dyDescent="0.15">
      <c r="A368" s="31">
        <v>1971</v>
      </c>
      <c r="B368" s="31">
        <v>1253</v>
      </c>
      <c r="C368" s="31" t="s">
        <v>125</v>
      </c>
      <c r="D368" s="27">
        <v>14389</v>
      </c>
      <c r="E368" s="1">
        <v>4604.8</v>
      </c>
      <c r="F368" s="31"/>
      <c r="G368" s="31"/>
      <c r="H368" s="31"/>
      <c r="I368" s="31"/>
      <c r="J368" s="31">
        <v>367</v>
      </c>
      <c r="K368" s="31" t="s">
        <v>919</v>
      </c>
      <c r="L368" s="1">
        <v>-0.54632999999999998</v>
      </c>
      <c r="M368" s="1">
        <v>0.52653000000000005</v>
      </c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</row>
    <row r="369" spans="1:35" x14ac:dyDescent="0.15">
      <c r="A369" s="31">
        <v>1972</v>
      </c>
      <c r="B369" s="31">
        <v>1254</v>
      </c>
      <c r="C369" s="31" t="s">
        <v>125</v>
      </c>
      <c r="D369" s="27">
        <v>11932</v>
      </c>
      <c r="E369" s="1">
        <v>3881</v>
      </c>
      <c r="F369" s="31"/>
      <c r="G369" s="31"/>
      <c r="H369" s="31"/>
      <c r="I369" s="31"/>
      <c r="J369" s="31">
        <v>368</v>
      </c>
      <c r="K369" s="31" t="s">
        <v>919</v>
      </c>
      <c r="L369" s="1">
        <v>-0.11633</v>
      </c>
      <c r="M369" s="1">
        <v>0.68381000000000003</v>
      </c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</row>
    <row r="370" spans="1:35" x14ac:dyDescent="0.15">
      <c r="A370" s="31">
        <v>1973</v>
      </c>
      <c r="B370" s="31">
        <v>1255</v>
      </c>
      <c r="C370" s="31" t="s">
        <v>125</v>
      </c>
      <c r="D370" s="27">
        <v>26782</v>
      </c>
      <c r="E370" s="1">
        <v>5214.8999999999996</v>
      </c>
      <c r="F370" s="31"/>
      <c r="G370" s="31"/>
      <c r="H370" s="31"/>
      <c r="I370" s="31"/>
      <c r="J370" s="31">
        <v>369</v>
      </c>
      <c r="K370" s="31" t="s">
        <v>919</v>
      </c>
      <c r="L370" s="1">
        <v>1.478E-2</v>
      </c>
      <c r="M370" s="1">
        <v>0.61673</v>
      </c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</row>
    <row r="371" spans="1:35" x14ac:dyDescent="0.15">
      <c r="A371" s="31">
        <v>1974</v>
      </c>
      <c r="B371" s="31">
        <v>1256</v>
      </c>
      <c r="C371" s="31" t="s">
        <v>125</v>
      </c>
      <c r="D371" s="27">
        <v>21349</v>
      </c>
      <c r="E371" s="1">
        <v>4015.4</v>
      </c>
      <c r="F371" s="31"/>
      <c r="G371" s="31"/>
      <c r="H371" s="31"/>
      <c r="I371" s="31"/>
      <c r="J371" s="31">
        <v>370</v>
      </c>
      <c r="K371" s="31" t="s">
        <v>919</v>
      </c>
      <c r="L371" s="1">
        <v>-0.63312000000000002</v>
      </c>
      <c r="M371" s="1">
        <v>0.46343000000000001</v>
      </c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</row>
    <row r="372" spans="1:35" x14ac:dyDescent="0.15">
      <c r="A372" s="31">
        <v>1975</v>
      </c>
      <c r="B372" s="31">
        <v>1257</v>
      </c>
      <c r="C372" s="31" t="s">
        <v>125</v>
      </c>
      <c r="D372" s="27">
        <v>19146</v>
      </c>
      <c r="E372" s="1">
        <v>3246.2</v>
      </c>
      <c r="F372" s="31"/>
      <c r="G372" s="31"/>
      <c r="H372" s="31"/>
      <c r="I372" s="31"/>
      <c r="J372" s="31">
        <v>371</v>
      </c>
      <c r="K372" s="31" t="s">
        <v>919</v>
      </c>
      <c r="L372" s="1">
        <v>0.19134999999999999</v>
      </c>
      <c r="M372" s="1">
        <v>0.40792</v>
      </c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</row>
    <row r="373" spans="1:35" x14ac:dyDescent="0.15">
      <c r="A373" s="31">
        <v>1976</v>
      </c>
      <c r="B373" s="31">
        <v>1258</v>
      </c>
      <c r="C373" s="31" t="s">
        <v>125</v>
      </c>
      <c r="D373" s="27">
        <v>14795</v>
      </c>
      <c r="E373" s="1">
        <v>2391.1999999999998</v>
      </c>
      <c r="F373" s="31"/>
      <c r="G373" s="31"/>
      <c r="H373" s="31"/>
      <c r="I373" s="31"/>
      <c r="J373" s="31">
        <v>372</v>
      </c>
      <c r="K373" s="31" t="s">
        <v>919</v>
      </c>
      <c r="L373" s="1">
        <v>-0.12012</v>
      </c>
      <c r="M373" s="1">
        <v>0.37557000000000001</v>
      </c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</row>
    <row r="374" spans="1:35" x14ac:dyDescent="0.15">
      <c r="A374" s="31">
        <v>1977</v>
      </c>
      <c r="B374" s="31">
        <v>1259</v>
      </c>
      <c r="C374" s="31" t="s">
        <v>125</v>
      </c>
      <c r="D374" s="27">
        <v>15612</v>
      </c>
      <c r="E374" s="1">
        <v>2178.4</v>
      </c>
      <c r="F374" s="31"/>
      <c r="G374" s="31"/>
      <c r="H374" s="31"/>
      <c r="I374" s="31"/>
      <c r="J374" s="31">
        <v>373</v>
      </c>
      <c r="K374" s="31" t="s">
        <v>919</v>
      </c>
      <c r="L374" s="1">
        <v>0.16836999999999999</v>
      </c>
      <c r="M374" s="1">
        <v>0.42997000000000002</v>
      </c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</row>
    <row r="375" spans="1:35" x14ac:dyDescent="0.15">
      <c r="A375" s="31">
        <v>1978</v>
      </c>
      <c r="B375" s="31">
        <v>1260</v>
      </c>
      <c r="C375" s="31" t="s">
        <v>125</v>
      </c>
      <c r="D375" s="27">
        <v>28474</v>
      </c>
      <c r="E375" s="1">
        <v>2733</v>
      </c>
      <c r="F375" s="31"/>
      <c r="G375" s="31"/>
      <c r="H375" s="31"/>
      <c r="I375" s="31"/>
      <c r="J375" s="31">
        <v>374</v>
      </c>
      <c r="K375" s="31" t="s">
        <v>919</v>
      </c>
      <c r="L375" s="1">
        <v>0.14299999999999999</v>
      </c>
      <c r="M375" s="1">
        <v>0.36538999999999999</v>
      </c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</row>
    <row r="376" spans="1:35" x14ac:dyDescent="0.15">
      <c r="A376" s="31">
        <v>1979</v>
      </c>
      <c r="B376" s="31">
        <v>1261</v>
      </c>
      <c r="C376" s="31" t="s">
        <v>125</v>
      </c>
      <c r="D376" s="27">
        <v>67784</v>
      </c>
      <c r="E376" s="1">
        <v>4141.5</v>
      </c>
      <c r="F376" s="31"/>
      <c r="G376" s="31"/>
      <c r="H376" s="31"/>
      <c r="I376" s="31"/>
      <c r="J376" s="31">
        <v>375</v>
      </c>
      <c r="K376" s="31" t="s">
        <v>919</v>
      </c>
      <c r="L376" s="1">
        <v>0.16073999999999999</v>
      </c>
      <c r="M376" s="1">
        <v>0.35304000000000002</v>
      </c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</row>
    <row r="377" spans="1:35" x14ac:dyDescent="0.15">
      <c r="A377" s="31">
        <v>1980</v>
      </c>
      <c r="B377" s="31">
        <v>1262</v>
      </c>
      <c r="C377" s="31" t="s">
        <v>125</v>
      </c>
      <c r="D377" s="27">
        <v>27425</v>
      </c>
      <c r="E377" s="1">
        <v>2350.9</v>
      </c>
      <c r="F377" s="31"/>
      <c r="G377" s="31"/>
      <c r="H377" s="31"/>
      <c r="I377" s="31"/>
      <c r="J377" s="31">
        <v>376</v>
      </c>
      <c r="K377" s="31" t="s">
        <v>919</v>
      </c>
      <c r="L377" s="1">
        <v>8.2959000000000005E-2</v>
      </c>
      <c r="M377" s="1">
        <v>0.36242000000000002</v>
      </c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</row>
    <row r="378" spans="1:35" x14ac:dyDescent="0.15">
      <c r="A378" s="31">
        <v>1981</v>
      </c>
      <c r="B378" s="31">
        <v>1263</v>
      </c>
      <c r="C378" s="31" t="s">
        <v>125</v>
      </c>
      <c r="D378" s="27">
        <v>30874</v>
      </c>
      <c r="E378" s="1">
        <v>2466.9</v>
      </c>
      <c r="F378" s="31"/>
      <c r="G378" s="31"/>
      <c r="H378" s="31"/>
      <c r="I378" s="31"/>
      <c r="J378" s="31">
        <v>377</v>
      </c>
      <c r="K378" s="31" t="s">
        <v>919</v>
      </c>
      <c r="L378" s="1">
        <v>0.10838</v>
      </c>
      <c r="M378" s="1">
        <v>0.37315999999999999</v>
      </c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</row>
    <row r="379" spans="1:35" x14ac:dyDescent="0.15">
      <c r="A379" s="31">
        <v>1982</v>
      </c>
      <c r="B379" s="31">
        <v>1264</v>
      </c>
      <c r="C379" s="31" t="s">
        <v>125</v>
      </c>
      <c r="D379" s="27">
        <v>16332</v>
      </c>
      <c r="E379" s="1">
        <v>1698.4</v>
      </c>
      <c r="F379" s="31"/>
      <c r="G379" s="31"/>
      <c r="H379" s="31"/>
      <c r="I379" s="31"/>
      <c r="J379" s="31">
        <v>378</v>
      </c>
      <c r="K379" s="31" t="s">
        <v>919</v>
      </c>
      <c r="L379" s="1">
        <v>-0.11567</v>
      </c>
      <c r="M379" s="1">
        <v>0.68369999999999997</v>
      </c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</row>
    <row r="380" spans="1:35" x14ac:dyDescent="0.15">
      <c r="A380" s="31">
        <v>1983</v>
      </c>
      <c r="B380" s="31">
        <v>1265</v>
      </c>
      <c r="C380" s="31" t="s">
        <v>125</v>
      </c>
      <c r="D380" s="27">
        <v>50333</v>
      </c>
      <c r="E380" s="1">
        <v>3022</v>
      </c>
      <c r="F380" s="31"/>
      <c r="G380" s="31"/>
      <c r="H380" s="31"/>
      <c r="I380" s="31"/>
      <c r="J380" s="31">
        <v>379</v>
      </c>
      <c r="K380" s="31" t="s">
        <v>919</v>
      </c>
      <c r="L380" s="1">
        <v>7.6295000000000002E-2</v>
      </c>
      <c r="M380" s="1">
        <v>0.61033000000000004</v>
      </c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</row>
    <row r="381" spans="1:35" x14ac:dyDescent="0.15">
      <c r="A381" s="31">
        <v>1984</v>
      </c>
      <c r="B381" s="31">
        <v>1266</v>
      </c>
      <c r="C381" s="31" t="s">
        <v>125</v>
      </c>
      <c r="D381" s="27">
        <v>12734</v>
      </c>
      <c r="E381" s="1">
        <v>1362.7</v>
      </c>
      <c r="F381" s="31"/>
      <c r="G381" s="31"/>
      <c r="H381" s="31"/>
      <c r="I381" s="31"/>
      <c r="J381" s="31">
        <v>380</v>
      </c>
      <c r="K381" s="31" t="s">
        <v>919</v>
      </c>
      <c r="L381" s="1">
        <v>-0.26049</v>
      </c>
      <c r="M381" s="1">
        <v>0.54215000000000002</v>
      </c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</row>
    <row r="382" spans="1:35" x14ac:dyDescent="0.15">
      <c r="A382" s="31">
        <v>1985</v>
      </c>
      <c r="B382" s="31">
        <v>1267</v>
      </c>
      <c r="C382" s="31" t="s">
        <v>125</v>
      </c>
      <c r="D382" s="27">
        <v>32660</v>
      </c>
      <c r="E382" s="1">
        <v>2171.6</v>
      </c>
      <c r="F382" s="31"/>
      <c r="G382" s="31"/>
      <c r="H382" s="31"/>
      <c r="I382" s="31"/>
      <c r="J382" s="31">
        <v>381</v>
      </c>
      <c r="K382" s="31" t="s">
        <v>919</v>
      </c>
      <c r="L382" s="1">
        <v>0.29137000000000002</v>
      </c>
      <c r="M382" s="1">
        <v>0.45992</v>
      </c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</row>
    <row r="383" spans="1:35" x14ac:dyDescent="0.15">
      <c r="A383" s="31">
        <v>1986</v>
      </c>
      <c r="B383" s="31">
        <v>1268</v>
      </c>
      <c r="C383" s="31" t="s">
        <v>125</v>
      </c>
      <c r="D383" s="27">
        <v>13941</v>
      </c>
      <c r="E383" s="1">
        <v>1291.8</v>
      </c>
      <c r="F383" s="31"/>
      <c r="G383" s="31"/>
      <c r="H383" s="31"/>
      <c r="I383" s="31"/>
      <c r="J383" s="31">
        <v>382</v>
      </c>
      <c r="K383" s="31" t="s">
        <v>919</v>
      </c>
      <c r="L383" s="1">
        <v>0.27645999999999998</v>
      </c>
      <c r="M383" s="1">
        <v>0.39466000000000001</v>
      </c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</row>
    <row r="384" spans="1:35" x14ac:dyDescent="0.15">
      <c r="A384" s="31">
        <v>1987</v>
      </c>
      <c r="B384" s="31">
        <v>1269</v>
      </c>
      <c r="C384" s="31" t="s">
        <v>125</v>
      </c>
      <c r="D384" s="27">
        <v>7729.4</v>
      </c>
      <c r="E384" s="1">
        <v>896.74</v>
      </c>
      <c r="F384" s="31"/>
      <c r="G384" s="31"/>
      <c r="H384" s="31"/>
      <c r="I384" s="31"/>
      <c r="J384" s="31">
        <v>383</v>
      </c>
      <c r="K384" s="31" t="s">
        <v>919</v>
      </c>
      <c r="L384" s="1">
        <v>7.0392999999999997E-2</v>
      </c>
      <c r="M384" s="1">
        <v>0.43509999999999999</v>
      </c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</row>
    <row r="385" spans="1:35" x14ac:dyDescent="0.15">
      <c r="A385" s="31">
        <v>1988</v>
      </c>
      <c r="B385" s="31">
        <v>1270</v>
      </c>
      <c r="C385" s="31" t="s">
        <v>125</v>
      </c>
      <c r="D385" s="27">
        <v>5433.1</v>
      </c>
      <c r="E385" s="1">
        <v>689.48</v>
      </c>
      <c r="F385" s="31"/>
      <c r="G385" s="31"/>
      <c r="H385" s="31"/>
      <c r="I385" s="31"/>
      <c r="J385" s="31">
        <v>384</v>
      </c>
      <c r="K385" s="31" t="s">
        <v>919</v>
      </c>
      <c r="L385" s="1">
        <v>-0.13833000000000001</v>
      </c>
      <c r="M385" s="1">
        <v>0.41044000000000003</v>
      </c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</row>
    <row r="386" spans="1:35" x14ac:dyDescent="0.15">
      <c r="A386" s="31">
        <v>1989</v>
      </c>
      <c r="B386" s="31">
        <v>1271</v>
      </c>
      <c r="C386" s="31" t="s">
        <v>125</v>
      </c>
      <c r="D386" s="27">
        <v>11458</v>
      </c>
      <c r="E386" s="1">
        <v>1016.2</v>
      </c>
      <c r="F386" s="31"/>
      <c r="G386" s="31"/>
      <c r="H386" s="31"/>
      <c r="I386" s="31"/>
      <c r="J386" s="31">
        <v>385</v>
      </c>
      <c r="K386" s="31" t="s">
        <v>919</v>
      </c>
      <c r="L386" s="1">
        <v>-4.1660999999999997E-2</v>
      </c>
      <c r="M386" s="1">
        <v>0.33764</v>
      </c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</row>
    <row r="387" spans="1:35" x14ac:dyDescent="0.15">
      <c r="A387" s="31">
        <v>1990</v>
      </c>
      <c r="B387" s="31">
        <v>1272</v>
      </c>
      <c r="C387" s="31" t="s">
        <v>125</v>
      </c>
      <c r="D387" s="27">
        <v>49809</v>
      </c>
      <c r="E387" s="1">
        <v>2027.3</v>
      </c>
      <c r="F387" s="31"/>
      <c r="G387" s="31"/>
      <c r="H387" s="31"/>
      <c r="I387" s="31"/>
      <c r="J387" s="31">
        <v>386</v>
      </c>
      <c r="K387" s="31" t="s">
        <v>919</v>
      </c>
      <c r="L387" s="1">
        <v>-3.7335E-2</v>
      </c>
      <c r="M387" s="1">
        <v>0.33616000000000001</v>
      </c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</row>
    <row r="388" spans="1:35" x14ac:dyDescent="0.15">
      <c r="A388" s="31">
        <v>1991</v>
      </c>
      <c r="B388" s="31">
        <v>1273</v>
      </c>
      <c r="C388" s="31" t="s">
        <v>125</v>
      </c>
      <c r="D388" s="27">
        <v>26087</v>
      </c>
      <c r="E388" s="1">
        <v>1511.3</v>
      </c>
      <c r="F388" s="31"/>
      <c r="G388" s="31"/>
      <c r="H388" s="31"/>
      <c r="I388" s="31"/>
      <c r="J388" s="31">
        <v>387</v>
      </c>
      <c r="K388" s="31" t="s">
        <v>919</v>
      </c>
      <c r="L388" s="1">
        <v>-0.12103</v>
      </c>
      <c r="M388" s="1">
        <v>0.35836000000000001</v>
      </c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</row>
    <row r="389" spans="1:35" x14ac:dyDescent="0.15">
      <c r="A389" s="31">
        <v>1992</v>
      </c>
      <c r="B389" s="31">
        <v>1274</v>
      </c>
      <c r="C389" s="31" t="s">
        <v>125</v>
      </c>
      <c r="D389" s="27">
        <v>23039</v>
      </c>
      <c r="E389" s="1">
        <v>1451.3</v>
      </c>
      <c r="F389" s="31"/>
      <c r="G389" s="31"/>
      <c r="H389" s="31"/>
      <c r="I389" s="31"/>
      <c r="J389" s="31">
        <v>388</v>
      </c>
      <c r="K389" s="31" t="s">
        <v>919</v>
      </c>
      <c r="L389" s="1">
        <v>-0.10306</v>
      </c>
      <c r="M389" s="1">
        <v>0.68115999999999999</v>
      </c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</row>
    <row r="390" spans="1:35" x14ac:dyDescent="0.15">
      <c r="A390" s="31">
        <v>1993</v>
      </c>
      <c r="B390" s="31">
        <v>1275</v>
      </c>
      <c r="C390" s="31" t="s">
        <v>125</v>
      </c>
      <c r="D390" s="27">
        <v>47645</v>
      </c>
      <c r="E390" s="1">
        <v>2169.8000000000002</v>
      </c>
      <c r="F390" s="31"/>
      <c r="G390" s="31"/>
      <c r="H390" s="31"/>
      <c r="I390" s="31"/>
      <c r="J390" s="31">
        <v>389</v>
      </c>
      <c r="K390" s="31" t="s">
        <v>919</v>
      </c>
      <c r="L390" s="1">
        <v>-1.7713E-2</v>
      </c>
      <c r="M390" s="1">
        <v>0.58843000000000001</v>
      </c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</row>
    <row r="391" spans="1:35" x14ac:dyDescent="0.15">
      <c r="A391" s="31">
        <v>1994</v>
      </c>
      <c r="B391" s="31">
        <v>1276</v>
      </c>
      <c r="C391" s="31" t="s">
        <v>125</v>
      </c>
      <c r="D391" s="27">
        <v>15411</v>
      </c>
      <c r="E391" s="1">
        <v>1088.0999999999999</v>
      </c>
      <c r="F391" s="31"/>
      <c r="G391" s="31"/>
      <c r="H391" s="31"/>
      <c r="I391" s="31"/>
      <c r="J391" s="31">
        <v>390</v>
      </c>
      <c r="K391" s="31" t="s">
        <v>919</v>
      </c>
      <c r="L391" s="1">
        <v>-0.42875999999999997</v>
      </c>
      <c r="M391" s="1">
        <v>0.53193000000000001</v>
      </c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</row>
    <row r="392" spans="1:35" x14ac:dyDescent="0.15">
      <c r="A392" s="31">
        <v>1995</v>
      </c>
      <c r="B392" s="31">
        <v>1277</v>
      </c>
      <c r="C392" s="31" t="s">
        <v>125</v>
      </c>
      <c r="D392" s="27">
        <v>10725</v>
      </c>
      <c r="E392" s="1">
        <v>836.79</v>
      </c>
      <c r="F392" s="31"/>
      <c r="G392" s="31"/>
      <c r="H392" s="31"/>
      <c r="I392" s="31"/>
      <c r="J392" s="31">
        <v>391</v>
      </c>
      <c r="K392" s="31" t="s">
        <v>919</v>
      </c>
      <c r="L392" s="1">
        <v>-0.28336</v>
      </c>
      <c r="M392" s="1">
        <v>0.45090000000000002</v>
      </c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</row>
    <row r="393" spans="1:35" x14ac:dyDescent="0.15">
      <c r="A393" s="31">
        <v>1996</v>
      </c>
      <c r="B393" s="31">
        <v>1278</v>
      </c>
      <c r="C393" s="31" t="s">
        <v>125</v>
      </c>
      <c r="D393" s="27">
        <v>22872</v>
      </c>
      <c r="E393" s="1">
        <v>1199.5999999999999</v>
      </c>
      <c r="F393" s="31"/>
      <c r="G393" s="31"/>
      <c r="H393" s="31"/>
      <c r="I393" s="31"/>
      <c r="J393" s="31">
        <v>392</v>
      </c>
      <c r="K393" s="31" t="s">
        <v>919</v>
      </c>
      <c r="L393" s="1">
        <v>-4.3707999999999997E-2</v>
      </c>
      <c r="M393" s="1">
        <v>0.39168999999999998</v>
      </c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</row>
    <row r="394" spans="1:35" x14ac:dyDescent="0.15">
      <c r="A394" s="31">
        <v>1997</v>
      </c>
      <c r="B394" s="31">
        <v>1279</v>
      </c>
      <c r="C394" s="31" t="s">
        <v>125</v>
      </c>
      <c r="D394" s="27">
        <v>31391</v>
      </c>
      <c r="E394" s="1">
        <v>1412.9</v>
      </c>
      <c r="F394" s="31"/>
      <c r="G394" s="31"/>
      <c r="H394" s="31"/>
      <c r="I394" s="31"/>
      <c r="J394" s="31">
        <v>393</v>
      </c>
      <c r="K394" s="31" t="s">
        <v>919</v>
      </c>
      <c r="L394" s="1">
        <v>4.4535999999999999E-2</v>
      </c>
      <c r="M394" s="1">
        <v>0.36032999999999998</v>
      </c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</row>
    <row r="395" spans="1:35" x14ac:dyDescent="0.15">
      <c r="A395" s="31">
        <v>1998</v>
      </c>
      <c r="B395" s="31">
        <v>1280</v>
      </c>
      <c r="C395" s="31" t="s">
        <v>125</v>
      </c>
      <c r="D395" s="27">
        <v>15821</v>
      </c>
      <c r="E395" s="1">
        <v>974.11</v>
      </c>
      <c r="F395" s="31"/>
      <c r="G395" s="31"/>
      <c r="H395" s="31"/>
      <c r="I395" s="31"/>
      <c r="J395" s="31">
        <v>394</v>
      </c>
      <c r="K395" s="31" t="s">
        <v>919</v>
      </c>
      <c r="L395" s="1">
        <v>0.25659999999999999</v>
      </c>
      <c r="M395" s="1">
        <v>0.40218999999999999</v>
      </c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</row>
    <row r="396" spans="1:35" x14ac:dyDescent="0.15">
      <c r="A396" s="31">
        <v>1999</v>
      </c>
      <c r="B396" s="31">
        <v>1281</v>
      </c>
      <c r="C396" s="31" t="s">
        <v>125</v>
      </c>
      <c r="D396" s="27">
        <v>17291</v>
      </c>
      <c r="E396" s="1">
        <v>1021.9</v>
      </c>
      <c r="F396" s="31"/>
      <c r="G396" s="31"/>
      <c r="H396" s="31"/>
      <c r="I396" s="31"/>
      <c r="J396" s="31">
        <v>395</v>
      </c>
      <c r="K396" s="31" t="s">
        <v>919</v>
      </c>
      <c r="L396" s="1">
        <v>3.2444000000000001E-2</v>
      </c>
      <c r="M396" s="1">
        <v>0.34288000000000002</v>
      </c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</row>
    <row r="397" spans="1:35" x14ac:dyDescent="0.15">
      <c r="A397" s="31">
        <v>2000</v>
      </c>
      <c r="B397" s="31">
        <v>1282</v>
      </c>
      <c r="C397" s="31" t="s">
        <v>125</v>
      </c>
      <c r="D397" s="27">
        <v>26883</v>
      </c>
      <c r="E397" s="1">
        <v>1287.2</v>
      </c>
      <c r="F397" s="31"/>
      <c r="G397" s="31"/>
      <c r="H397" s="31"/>
      <c r="I397" s="31"/>
      <c r="J397" s="31">
        <v>396</v>
      </c>
      <c r="K397" s="31" t="s">
        <v>919</v>
      </c>
      <c r="L397" s="1">
        <v>0.25383</v>
      </c>
      <c r="M397" s="1">
        <v>0.32563999999999999</v>
      </c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</row>
    <row r="398" spans="1:35" x14ac:dyDescent="0.15">
      <c r="A398" s="31">
        <v>2001</v>
      </c>
      <c r="B398" s="31">
        <v>1283</v>
      </c>
      <c r="C398" s="31" t="s">
        <v>125</v>
      </c>
      <c r="D398" s="27">
        <v>36321</v>
      </c>
      <c r="E398" s="1">
        <v>1408.6</v>
      </c>
      <c r="F398" s="31"/>
      <c r="G398" s="31"/>
      <c r="H398" s="31"/>
      <c r="I398" s="31"/>
      <c r="J398" s="31">
        <v>397</v>
      </c>
      <c r="K398" s="31" t="s">
        <v>919</v>
      </c>
      <c r="L398" s="1">
        <v>0.28919</v>
      </c>
      <c r="M398" s="1">
        <v>0.3427</v>
      </c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</row>
    <row r="399" spans="1:35" x14ac:dyDescent="0.15">
      <c r="A399" s="31">
        <v>2002</v>
      </c>
      <c r="B399" s="31">
        <v>1284</v>
      </c>
      <c r="C399" s="31" t="s">
        <v>125</v>
      </c>
      <c r="D399" s="27">
        <v>23454</v>
      </c>
      <c r="E399" s="1">
        <v>1096.5</v>
      </c>
      <c r="F399" s="31"/>
      <c r="G399" s="31"/>
      <c r="H399" s="31"/>
      <c r="I399" s="31"/>
      <c r="J399" s="31">
        <v>398</v>
      </c>
      <c r="K399" s="31" t="s">
        <v>919</v>
      </c>
      <c r="L399" s="1">
        <v>-9.7085000000000005E-2</v>
      </c>
      <c r="M399" s="1">
        <v>0.67981000000000003</v>
      </c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</row>
    <row r="400" spans="1:35" x14ac:dyDescent="0.15">
      <c r="A400" s="31">
        <v>2003</v>
      </c>
      <c r="B400" s="31">
        <v>1285</v>
      </c>
      <c r="C400" s="31" t="s">
        <v>125</v>
      </c>
      <c r="D400" s="27">
        <v>14150</v>
      </c>
      <c r="E400" s="1">
        <v>793</v>
      </c>
      <c r="F400" s="31"/>
      <c r="G400" s="31"/>
      <c r="H400" s="31"/>
      <c r="I400" s="31"/>
      <c r="J400" s="31">
        <v>399</v>
      </c>
      <c r="K400" s="31" t="s">
        <v>919</v>
      </c>
      <c r="L400" s="1">
        <v>-5.0434E-2</v>
      </c>
      <c r="M400" s="1">
        <v>0.43186000000000002</v>
      </c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</row>
    <row r="401" spans="1:35" x14ac:dyDescent="0.15">
      <c r="A401" s="31">
        <v>2004</v>
      </c>
      <c r="B401" s="31">
        <v>1286</v>
      </c>
      <c r="C401" s="31" t="s">
        <v>125</v>
      </c>
      <c r="D401" s="27">
        <v>6358.9</v>
      </c>
      <c r="E401" s="1">
        <v>511.98</v>
      </c>
      <c r="F401" s="31"/>
      <c r="G401" s="31"/>
      <c r="H401" s="31"/>
      <c r="I401" s="31"/>
      <c r="J401" s="31">
        <v>400</v>
      </c>
      <c r="K401" s="31" t="s">
        <v>919</v>
      </c>
      <c r="L401" s="1">
        <v>0.62914000000000003</v>
      </c>
      <c r="M401" s="1">
        <v>0.36327999999999999</v>
      </c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</row>
    <row r="402" spans="1:35" x14ac:dyDescent="0.15">
      <c r="A402" s="31">
        <v>2005</v>
      </c>
      <c r="B402" s="31">
        <v>1287</v>
      </c>
      <c r="C402" s="31" t="s">
        <v>125</v>
      </c>
      <c r="D402" s="27">
        <v>4422.2</v>
      </c>
      <c r="E402" s="1">
        <v>423.51</v>
      </c>
      <c r="F402" s="31"/>
      <c r="G402" s="31"/>
      <c r="H402" s="31"/>
      <c r="I402" s="31"/>
      <c r="J402" s="31">
        <v>401</v>
      </c>
      <c r="K402" s="31" t="s">
        <v>919</v>
      </c>
      <c r="L402" s="1">
        <v>-0.40636</v>
      </c>
      <c r="M402" s="1">
        <v>0.38968000000000003</v>
      </c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</row>
    <row r="403" spans="1:35" x14ac:dyDescent="0.15">
      <c r="A403" s="31">
        <v>2006</v>
      </c>
      <c r="B403" s="31">
        <v>1288</v>
      </c>
      <c r="C403" s="31" t="s">
        <v>125</v>
      </c>
      <c r="D403" s="27">
        <v>11401</v>
      </c>
      <c r="E403" s="1">
        <v>792.23</v>
      </c>
      <c r="F403" s="31"/>
      <c r="G403" s="31"/>
      <c r="H403" s="31"/>
      <c r="I403" s="31"/>
      <c r="J403" s="31">
        <v>402</v>
      </c>
      <c r="K403" s="31" t="s">
        <v>919</v>
      </c>
      <c r="L403" s="1">
        <v>-0.41126000000000001</v>
      </c>
      <c r="M403" s="1">
        <v>0.39344000000000001</v>
      </c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</row>
    <row r="404" spans="1:35" x14ac:dyDescent="0.15">
      <c r="A404" s="31">
        <v>2007</v>
      </c>
      <c r="B404" s="31">
        <v>1289</v>
      </c>
      <c r="C404" s="31" t="s">
        <v>125</v>
      </c>
      <c r="D404" s="27">
        <v>27094</v>
      </c>
      <c r="E404" s="1">
        <v>1755.6</v>
      </c>
      <c r="F404" s="31"/>
      <c r="G404" s="31"/>
      <c r="H404" s="31"/>
      <c r="I404" s="31"/>
      <c r="J404" s="31">
        <v>403</v>
      </c>
      <c r="K404" s="31" t="s">
        <v>919</v>
      </c>
      <c r="L404" s="1">
        <v>-5.0878E-2</v>
      </c>
      <c r="M404" s="1">
        <v>0.36846000000000001</v>
      </c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</row>
    <row r="405" spans="1:35" x14ac:dyDescent="0.15">
      <c r="A405" s="31">
        <v>2008</v>
      </c>
      <c r="B405" s="31">
        <v>1290</v>
      </c>
      <c r="C405" s="31" t="s">
        <v>125</v>
      </c>
      <c r="D405" s="27">
        <v>15205</v>
      </c>
      <c r="E405" s="1">
        <v>1550.1</v>
      </c>
      <c r="F405" s="31"/>
      <c r="G405" s="31"/>
      <c r="H405" s="31"/>
      <c r="I405" s="31"/>
      <c r="J405" s="31">
        <v>404</v>
      </c>
      <c r="K405" s="31" t="s">
        <v>919</v>
      </c>
      <c r="L405" s="1">
        <v>-0.10383000000000001</v>
      </c>
      <c r="M405" s="1">
        <v>0.33445000000000003</v>
      </c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</row>
    <row r="406" spans="1:35" x14ac:dyDescent="0.15">
      <c r="A406" s="31">
        <v>2009</v>
      </c>
      <c r="B406" s="31">
        <v>1291</v>
      </c>
      <c r="C406" s="31" t="s">
        <v>125</v>
      </c>
      <c r="D406" s="27">
        <v>62011</v>
      </c>
      <c r="E406" s="1">
        <v>5698.5</v>
      </c>
      <c r="F406" s="31"/>
      <c r="G406" s="31"/>
      <c r="H406" s="31"/>
      <c r="I406" s="31"/>
      <c r="J406" s="31">
        <v>405</v>
      </c>
      <c r="K406" s="31" t="s">
        <v>919</v>
      </c>
      <c r="L406" s="1">
        <v>0.23116999999999999</v>
      </c>
      <c r="M406" s="1">
        <v>0.32757999999999998</v>
      </c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</row>
    <row r="407" spans="1:35" x14ac:dyDescent="0.15">
      <c r="A407" s="31">
        <v>2010</v>
      </c>
      <c r="B407" s="31">
        <v>1292</v>
      </c>
      <c r="C407" s="31" t="s">
        <v>125</v>
      </c>
      <c r="D407" s="27">
        <v>23818</v>
      </c>
      <c r="E407" s="1">
        <v>3196.9</v>
      </c>
      <c r="F407" s="31"/>
      <c r="G407" s="31"/>
      <c r="H407" s="31"/>
      <c r="I407" s="31"/>
      <c r="J407" s="31">
        <v>406</v>
      </c>
      <c r="K407" s="31" t="s">
        <v>919</v>
      </c>
      <c r="L407" s="1">
        <v>0.10847</v>
      </c>
      <c r="M407" s="1">
        <v>0.33135999999999999</v>
      </c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</row>
    <row r="408" spans="1:35" x14ac:dyDescent="0.15">
      <c r="A408" s="31">
        <v>2011</v>
      </c>
      <c r="B408" s="31">
        <v>1293</v>
      </c>
      <c r="C408" s="31" t="s">
        <v>125</v>
      </c>
      <c r="D408" s="27">
        <v>16973</v>
      </c>
      <c r="E408" s="1">
        <v>3016.5</v>
      </c>
      <c r="F408" s="31"/>
      <c r="G408" s="31"/>
      <c r="H408" s="31"/>
      <c r="I408" s="31"/>
      <c r="J408" s="31">
        <v>407</v>
      </c>
      <c r="K408" s="31" t="s">
        <v>919</v>
      </c>
      <c r="L408" s="1">
        <v>0.15107000000000001</v>
      </c>
      <c r="M408" s="1">
        <v>0.32024000000000002</v>
      </c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</row>
    <row r="409" spans="1:35" x14ac:dyDescent="0.15">
      <c r="A409" s="31">
        <v>2012</v>
      </c>
      <c r="B409" s="31">
        <v>1294</v>
      </c>
      <c r="C409" s="31" t="s">
        <v>125</v>
      </c>
      <c r="D409" s="27">
        <v>10626</v>
      </c>
      <c r="E409" s="1">
        <v>2713.3</v>
      </c>
      <c r="F409" s="31"/>
      <c r="G409" s="31"/>
      <c r="H409" s="31"/>
      <c r="I409" s="31"/>
      <c r="J409" s="31">
        <v>408</v>
      </c>
      <c r="K409" s="31" t="s">
        <v>919</v>
      </c>
      <c r="L409" s="1">
        <v>-7.8550999999999996E-2</v>
      </c>
      <c r="M409" s="1">
        <v>0.67915000000000003</v>
      </c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</row>
    <row r="410" spans="1:35" x14ac:dyDescent="0.15">
      <c r="A410" s="31">
        <v>2013</v>
      </c>
      <c r="B410" s="31">
        <v>1295</v>
      </c>
      <c r="C410" s="31" t="s">
        <v>125</v>
      </c>
      <c r="D410" s="27">
        <v>36897</v>
      </c>
      <c r="E410" s="1">
        <v>6855.5</v>
      </c>
      <c r="F410" s="23">
        <f>E410/D410</f>
        <v>0.18580101363254464</v>
      </c>
      <c r="G410" s="31"/>
      <c r="H410" s="31"/>
      <c r="I410" s="31"/>
      <c r="J410" s="31">
        <v>409</v>
      </c>
      <c r="K410" s="31" t="s">
        <v>919</v>
      </c>
      <c r="L410" s="1">
        <v>-0.86660999999999999</v>
      </c>
      <c r="M410" s="1">
        <v>0.46832000000000001</v>
      </c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</row>
    <row r="411" spans="1:35" x14ac:dyDescent="0.15">
      <c r="A411" s="31">
        <v>2014</v>
      </c>
      <c r="B411" s="31">
        <v>1296</v>
      </c>
      <c r="C411" s="31" t="s">
        <v>125</v>
      </c>
      <c r="D411" s="27">
        <v>25993</v>
      </c>
      <c r="E411" s="1">
        <v>5479.9</v>
      </c>
      <c r="F411" s="31"/>
      <c r="G411" s="31"/>
      <c r="H411" s="31"/>
      <c r="I411" s="31"/>
      <c r="J411" s="31">
        <v>410</v>
      </c>
      <c r="K411" s="31" t="s">
        <v>919</v>
      </c>
      <c r="L411" s="1">
        <v>6.8587999999999996E-2</v>
      </c>
      <c r="M411" s="1">
        <v>0.31025999999999998</v>
      </c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</row>
    <row r="412" spans="1:35" x14ac:dyDescent="0.15">
      <c r="A412" s="31">
        <v>2015</v>
      </c>
      <c r="B412">
        <v>1297</v>
      </c>
      <c r="C412" t="s">
        <v>125</v>
      </c>
      <c r="D412" s="1">
        <v>22783</v>
      </c>
      <c r="E412" s="1">
        <v>5106.1000000000004</v>
      </c>
      <c r="F412" s="31"/>
      <c r="G412" s="31"/>
      <c r="H412" s="31"/>
      <c r="I412" s="31"/>
      <c r="J412" s="31">
        <v>411</v>
      </c>
      <c r="K412" s="31" t="s">
        <v>919</v>
      </c>
      <c r="L412" s="1">
        <v>0.88424999999999998</v>
      </c>
      <c r="M412" s="1">
        <v>0.32405</v>
      </c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</row>
    <row r="413" spans="1:35" x14ac:dyDescent="0.15">
      <c r="A413" s="31"/>
      <c r="B413" s="31">
        <v>837</v>
      </c>
      <c r="C413" s="31" t="s">
        <v>218</v>
      </c>
      <c r="D413" s="27">
        <v>0</v>
      </c>
      <c r="E413" s="1">
        <v>0.66271000000000002</v>
      </c>
      <c r="F413" s="31"/>
      <c r="G413" s="31"/>
      <c r="H413" s="31"/>
      <c r="I413" s="31"/>
      <c r="J413" s="31">
        <v>412</v>
      </c>
      <c r="K413" s="31" t="s">
        <v>919</v>
      </c>
      <c r="L413" s="1">
        <v>0.13231999999999999</v>
      </c>
      <c r="M413" s="1">
        <v>0.37484000000000001</v>
      </c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</row>
    <row r="414" spans="1:35" x14ac:dyDescent="0.15">
      <c r="A414" s="31"/>
      <c r="B414" s="31">
        <v>838</v>
      </c>
      <c r="C414" s="31" t="s">
        <v>218</v>
      </c>
      <c r="D414" s="27">
        <v>0</v>
      </c>
      <c r="E414" s="1">
        <v>0.66271000000000002</v>
      </c>
      <c r="F414" s="31"/>
      <c r="G414" s="31"/>
      <c r="H414" s="31"/>
      <c r="I414" s="31"/>
      <c r="J414" s="31">
        <v>413</v>
      </c>
      <c r="K414" s="31" t="s">
        <v>919</v>
      </c>
      <c r="L414" s="1">
        <v>8.4584999999999994E-2</v>
      </c>
      <c r="M414" s="1">
        <v>0.41211999999999999</v>
      </c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</row>
    <row r="415" spans="1:35" x14ac:dyDescent="0.15">
      <c r="A415" s="31"/>
      <c r="B415" s="31">
        <v>839</v>
      </c>
      <c r="C415" s="31" t="s">
        <v>218</v>
      </c>
      <c r="D415" s="27">
        <v>0</v>
      </c>
      <c r="E415" s="1">
        <v>0.66271000000000002</v>
      </c>
      <c r="F415" s="31"/>
      <c r="G415" s="31"/>
      <c r="H415" s="31"/>
      <c r="I415" s="31"/>
      <c r="J415" s="31">
        <v>414</v>
      </c>
      <c r="K415" s="31" t="s">
        <v>919</v>
      </c>
      <c r="L415" s="1">
        <v>0.10238999999999999</v>
      </c>
      <c r="M415" s="1">
        <v>0.34915000000000002</v>
      </c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</row>
    <row r="416" spans="1:35" x14ac:dyDescent="0.15">
      <c r="A416" s="31"/>
      <c r="B416" s="31">
        <v>840</v>
      </c>
      <c r="C416" s="31" t="s">
        <v>218</v>
      </c>
      <c r="D416" s="27">
        <v>0</v>
      </c>
      <c r="E416" s="1">
        <v>0.66271000000000002</v>
      </c>
      <c r="F416" s="31"/>
      <c r="G416" s="31"/>
      <c r="H416" s="31"/>
      <c r="I416" s="31"/>
      <c r="J416" s="31">
        <v>415</v>
      </c>
      <c r="K416" s="31" t="s">
        <v>919</v>
      </c>
      <c r="L416" s="1">
        <v>-5.8462E-2</v>
      </c>
      <c r="M416" s="1">
        <v>0.32140999999999997</v>
      </c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</row>
    <row r="417" spans="1:35" x14ac:dyDescent="0.15">
      <c r="A417" s="31"/>
      <c r="B417" s="31">
        <v>841</v>
      </c>
      <c r="C417" s="31" t="s">
        <v>218</v>
      </c>
      <c r="D417" s="27">
        <v>0</v>
      </c>
      <c r="E417" s="1">
        <v>0.66271000000000002</v>
      </c>
      <c r="F417" s="31"/>
      <c r="G417" s="31"/>
      <c r="H417" s="31"/>
      <c r="I417" s="31"/>
      <c r="J417" s="31">
        <v>416</v>
      </c>
      <c r="K417" s="31" t="s">
        <v>919</v>
      </c>
      <c r="L417" s="1">
        <v>-0.10347000000000001</v>
      </c>
      <c r="M417" s="1">
        <v>0.32984000000000002</v>
      </c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</row>
    <row r="418" spans="1:35" x14ac:dyDescent="0.15">
      <c r="A418" s="31"/>
      <c r="B418" s="31">
        <v>1373</v>
      </c>
      <c r="C418" s="31" t="s">
        <v>54</v>
      </c>
      <c r="D418" s="27">
        <v>2649.5</v>
      </c>
      <c r="E418" s="1">
        <v>316.79000000000002</v>
      </c>
      <c r="F418" s="31"/>
      <c r="G418" s="31"/>
      <c r="H418" s="31"/>
      <c r="I418" s="31"/>
      <c r="J418" s="31">
        <v>417</v>
      </c>
      <c r="K418" s="31" t="s">
        <v>919</v>
      </c>
      <c r="L418" s="1">
        <v>-0.16503000000000001</v>
      </c>
      <c r="M418" s="1">
        <v>0.31296000000000002</v>
      </c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</row>
    <row r="419" spans="1:35" x14ac:dyDescent="0.15">
      <c r="A419" s="31"/>
      <c r="B419" s="31">
        <v>1374</v>
      </c>
      <c r="C419" s="31" t="s">
        <v>54</v>
      </c>
      <c r="D419" s="27">
        <v>2752.1</v>
      </c>
      <c r="E419" s="1">
        <v>360.54</v>
      </c>
      <c r="F419" s="31"/>
      <c r="G419" s="31"/>
      <c r="H419" s="31"/>
      <c r="I419" s="31"/>
      <c r="J419" s="31">
        <v>418</v>
      </c>
      <c r="K419" s="31" t="s">
        <v>919</v>
      </c>
      <c r="L419" s="1">
        <v>-2.9877000000000001E-2</v>
      </c>
      <c r="M419" s="1">
        <v>0.68737000000000004</v>
      </c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</row>
    <row r="420" spans="1:35" x14ac:dyDescent="0.15">
      <c r="A420" s="31"/>
      <c r="B420" s="31">
        <v>1375</v>
      </c>
      <c r="C420" s="31" t="s">
        <v>54</v>
      </c>
      <c r="D420" s="27">
        <v>3005.7</v>
      </c>
      <c r="E420" s="1">
        <v>379.67</v>
      </c>
      <c r="F420" s="31"/>
      <c r="G420" s="31"/>
      <c r="H420" s="31"/>
      <c r="I420" s="31"/>
      <c r="J420" s="31">
        <v>419</v>
      </c>
      <c r="K420" s="31" t="s">
        <v>919</v>
      </c>
      <c r="L420" s="1">
        <v>7.8781000000000004E-2</v>
      </c>
      <c r="M420" s="1">
        <v>0.51805000000000001</v>
      </c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</row>
    <row r="421" spans="1:35" x14ac:dyDescent="0.15">
      <c r="A421" s="31"/>
      <c r="B421" s="31">
        <v>1376</v>
      </c>
      <c r="C421" s="31" t="s">
        <v>54</v>
      </c>
      <c r="D421" s="27">
        <v>3248.1</v>
      </c>
      <c r="E421" s="1">
        <v>425.83</v>
      </c>
      <c r="F421" s="31"/>
      <c r="G421" s="31"/>
      <c r="H421" s="31"/>
      <c r="I421" s="31"/>
      <c r="J421" s="31">
        <v>420</v>
      </c>
      <c r="K421" s="31" t="s">
        <v>919</v>
      </c>
      <c r="L421" s="1">
        <v>-0.89941000000000004</v>
      </c>
      <c r="M421" s="1">
        <v>0.40705999999999998</v>
      </c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</row>
    <row r="422" spans="1:35" x14ac:dyDescent="0.15">
      <c r="A422" s="31"/>
      <c r="B422" s="31">
        <v>1377</v>
      </c>
      <c r="C422" s="31" t="s">
        <v>54</v>
      </c>
      <c r="D422" s="27">
        <v>3571.7</v>
      </c>
      <c r="E422" s="1">
        <v>609.92999999999995</v>
      </c>
      <c r="F422" s="31"/>
      <c r="G422" s="31"/>
      <c r="H422" s="31"/>
      <c r="I422" s="31"/>
      <c r="J422" s="31">
        <v>421</v>
      </c>
      <c r="K422" s="31" t="s">
        <v>919</v>
      </c>
      <c r="L422" s="1">
        <v>-0.33894000000000002</v>
      </c>
      <c r="M422" s="1">
        <v>0.32329000000000002</v>
      </c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</row>
    <row r="423" spans="1:35" x14ac:dyDescent="0.15">
      <c r="A423" s="31"/>
      <c r="B423" s="31">
        <v>1378</v>
      </c>
      <c r="C423" s="31" t="s">
        <v>54</v>
      </c>
      <c r="D423" s="27">
        <v>3975.2</v>
      </c>
      <c r="E423" s="1">
        <v>893.82</v>
      </c>
      <c r="F423" s="31"/>
      <c r="G423" s="31"/>
      <c r="H423" s="31"/>
      <c r="I423" s="31"/>
      <c r="J423" s="31">
        <v>422</v>
      </c>
      <c r="K423" s="31" t="s">
        <v>919</v>
      </c>
      <c r="L423" s="1">
        <v>0.86309000000000002</v>
      </c>
      <c r="M423" s="1">
        <v>0.30542000000000002</v>
      </c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</row>
    <row r="424" spans="1:35" x14ac:dyDescent="0.15">
      <c r="A424" s="31"/>
      <c r="B424" s="31">
        <v>1379</v>
      </c>
      <c r="C424" s="31" t="s">
        <v>54</v>
      </c>
      <c r="D424" s="27">
        <v>2649.5</v>
      </c>
      <c r="E424" s="1">
        <v>316.79000000000002</v>
      </c>
      <c r="F424" s="31"/>
      <c r="G424" s="31"/>
      <c r="H424" s="31"/>
      <c r="I424" s="31"/>
      <c r="J424" s="31">
        <v>423</v>
      </c>
      <c r="K424" s="31" t="s">
        <v>919</v>
      </c>
      <c r="L424" s="1">
        <v>0.31328</v>
      </c>
      <c r="M424" s="1">
        <v>0.38291999999999998</v>
      </c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</row>
    <row r="425" spans="1:35" x14ac:dyDescent="0.15">
      <c r="A425" s="31"/>
      <c r="B425" s="31">
        <v>1380</v>
      </c>
      <c r="C425" s="31" t="s">
        <v>54</v>
      </c>
      <c r="D425" s="27">
        <v>2739.6</v>
      </c>
      <c r="E425" s="1">
        <v>360.6</v>
      </c>
      <c r="F425" s="31"/>
      <c r="G425" s="31"/>
      <c r="H425" s="31"/>
      <c r="I425" s="31"/>
      <c r="J425" s="31">
        <v>424</v>
      </c>
      <c r="K425" s="31" t="s">
        <v>919</v>
      </c>
      <c r="L425" s="1">
        <v>3.5768000000000001E-2</v>
      </c>
      <c r="M425" s="1">
        <v>0.32622000000000001</v>
      </c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</row>
    <row r="426" spans="1:35" x14ac:dyDescent="0.15">
      <c r="A426" s="31"/>
      <c r="B426" s="31">
        <v>1381</v>
      </c>
      <c r="C426" s="31" t="s">
        <v>54</v>
      </c>
      <c r="D426" s="27">
        <v>2948.1</v>
      </c>
      <c r="E426" s="1">
        <v>379.5</v>
      </c>
      <c r="F426" s="31"/>
      <c r="G426" s="31"/>
      <c r="H426" s="31"/>
      <c r="I426" s="31"/>
      <c r="J426" s="31">
        <v>425</v>
      </c>
      <c r="K426" s="31" t="s">
        <v>919</v>
      </c>
      <c r="L426" s="1">
        <v>5.4816999999999999E-3</v>
      </c>
      <c r="M426" s="1">
        <v>0.31068000000000001</v>
      </c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</row>
    <row r="427" spans="1:35" x14ac:dyDescent="0.15">
      <c r="A427" s="31"/>
      <c r="B427" s="31">
        <v>1382</v>
      </c>
      <c r="C427" s="31" t="s">
        <v>54</v>
      </c>
      <c r="D427" s="27">
        <v>3150.9</v>
      </c>
      <c r="E427" s="1">
        <v>424.98</v>
      </c>
      <c r="F427" s="31"/>
      <c r="G427" s="31"/>
      <c r="H427" s="31"/>
      <c r="I427" s="31"/>
      <c r="J427" s="31">
        <v>426</v>
      </c>
      <c r="K427" s="31" t="s">
        <v>919</v>
      </c>
      <c r="L427" s="1">
        <v>-3.1417E-2</v>
      </c>
      <c r="M427" s="1">
        <v>0.31163000000000002</v>
      </c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</row>
    <row r="428" spans="1:35" x14ac:dyDescent="0.15">
      <c r="A428" s="31"/>
      <c r="B428" s="31">
        <v>1383</v>
      </c>
      <c r="C428" s="31" t="s">
        <v>54</v>
      </c>
      <c r="D428" s="27">
        <v>3442.9</v>
      </c>
      <c r="E428" s="1">
        <v>607.87</v>
      </c>
      <c r="F428" s="31"/>
      <c r="G428" s="31"/>
      <c r="H428" s="31"/>
      <c r="I428" s="31"/>
      <c r="J428" s="31">
        <v>427</v>
      </c>
      <c r="K428" s="31" t="s">
        <v>919</v>
      </c>
      <c r="L428" s="1">
        <v>3.2539999999999999E-3</v>
      </c>
      <c r="M428" s="1">
        <v>0.33195000000000002</v>
      </c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</row>
    <row r="429" spans="1:35" x14ac:dyDescent="0.15">
      <c r="A429" s="31"/>
      <c r="B429" s="31">
        <v>1384</v>
      </c>
      <c r="C429" s="31" t="s">
        <v>54</v>
      </c>
      <c r="D429" s="27">
        <v>3818.6</v>
      </c>
      <c r="E429" s="1">
        <v>886.55</v>
      </c>
      <c r="F429" s="31"/>
      <c r="G429" s="31"/>
      <c r="H429" s="31"/>
      <c r="I429" s="31"/>
      <c r="J429" s="31">
        <v>428</v>
      </c>
      <c r="K429" s="31" t="s">
        <v>919</v>
      </c>
      <c r="L429" s="1">
        <v>-3.2181000000000001E-2</v>
      </c>
      <c r="M429" s="1">
        <v>0.68718000000000001</v>
      </c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</row>
    <row r="430" spans="1:35" x14ac:dyDescent="0.15">
      <c r="A430" s="31"/>
      <c r="B430" s="31">
        <v>1385</v>
      </c>
      <c r="C430" s="31" t="s">
        <v>54</v>
      </c>
      <c r="D430" s="27">
        <v>2649.5</v>
      </c>
      <c r="E430" s="1">
        <v>316.79000000000002</v>
      </c>
      <c r="F430" s="31"/>
      <c r="G430" s="31"/>
      <c r="H430" s="31"/>
      <c r="I430" s="31"/>
      <c r="J430" s="31">
        <v>429</v>
      </c>
      <c r="K430" s="31" t="s">
        <v>919</v>
      </c>
      <c r="L430" s="1">
        <v>5.9466999999999999E-2</v>
      </c>
      <c r="M430" s="1">
        <v>0.53490000000000004</v>
      </c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</row>
    <row r="431" spans="1:35" x14ac:dyDescent="0.15">
      <c r="A431" s="31"/>
      <c r="B431" s="31">
        <v>1386</v>
      </c>
      <c r="C431" s="31" t="s">
        <v>54</v>
      </c>
      <c r="D431" s="27">
        <v>2726.9</v>
      </c>
      <c r="E431" s="1">
        <v>360.7</v>
      </c>
      <c r="F431" s="31"/>
      <c r="G431" s="31"/>
      <c r="H431" s="31"/>
      <c r="I431" s="31"/>
      <c r="J431" s="31">
        <v>430</v>
      </c>
      <c r="K431" s="31" t="s">
        <v>919</v>
      </c>
      <c r="L431" s="1">
        <v>-0.36101</v>
      </c>
      <c r="M431" s="1">
        <v>0.43151</v>
      </c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</row>
    <row r="432" spans="1:35" x14ac:dyDescent="0.15">
      <c r="A432" s="31"/>
      <c r="B432" s="31">
        <v>1387</v>
      </c>
      <c r="C432" s="31" t="s">
        <v>54</v>
      </c>
      <c r="D432" s="27">
        <v>2890.8</v>
      </c>
      <c r="E432" s="1">
        <v>379.28</v>
      </c>
      <c r="F432" s="31"/>
      <c r="G432" s="31"/>
      <c r="H432" s="31"/>
      <c r="I432" s="31"/>
      <c r="J432" s="31">
        <v>431</v>
      </c>
      <c r="K432" s="31" t="s">
        <v>919</v>
      </c>
      <c r="L432" s="1">
        <v>-0.71536</v>
      </c>
      <c r="M432" s="1">
        <v>0.38329999999999997</v>
      </c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</row>
    <row r="433" spans="1:35" x14ac:dyDescent="0.15">
      <c r="A433" s="31"/>
      <c r="B433" s="31">
        <v>1388</v>
      </c>
      <c r="C433" s="31" t="s">
        <v>54</v>
      </c>
      <c r="D433" s="27">
        <v>3056.1</v>
      </c>
      <c r="E433" s="1">
        <v>423.95</v>
      </c>
      <c r="F433" s="31"/>
      <c r="G433" s="31"/>
      <c r="H433" s="31"/>
      <c r="I433" s="31"/>
      <c r="J433" s="31">
        <v>432</v>
      </c>
      <c r="K433" s="31" t="s">
        <v>919</v>
      </c>
      <c r="L433" s="1">
        <v>-0.33822000000000002</v>
      </c>
      <c r="M433" s="1">
        <v>0.31129000000000001</v>
      </c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</row>
    <row r="434" spans="1:35" x14ac:dyDescent="0.15">
      <c r="A434" s="31"/>
      <c r="B434" s="31">
        <v>1389</v>
      </c>
      <c r="C434" s="31" t="s">
        <v>54</v>
      </c>
      <c r="D434" s="27">
        <v>3319.5</v>
      </c>
      <c r="E434" s="1">
        <v>605.53</v>
      </c>
      <c r="F434" s="31"/>
      <c r="G434" s="31"/>
      <c r="H434" s="31"/>
      <c r="I434" s="31"/>
      <c r="J434" s="31">
        <v>433</v>
      </c>
      <c r="K434" s="31" t="s">
        <v>919</v>
      </c>
      <c r="L434" s="1">
        <v>0.41807</v>
      </c>
      <c r="M434" s="1">
        <v>0.29701</v>
      </c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</row>
    <row r="435" spans="1:35" x14ac:dyDescent="0.15">
      <c r="A435" s="31"/>
      <c r="B435" s="31">
        <v>1390</v>
      </c>
      <c r="C435" s="31" t="s">
        <v>54</v>
      </c>
      <c r="D435" s="27">
        <v>3670.4</v>
      </c>
      <c r="E435" s="1">
        <v>878.98</v>
      </c>
      <c r="F435" s="31"/>
      <c r="G435" s="31"/>
      <c r="H435" s="31"/>
      <c r="I435" s="31"/>
      <c r="J435" s="31">
        <v>434</v>
      </c>
      <c r="K435" s="31" t="s">
        <v>919</v>
      </c>
      <c r="L435" s="1">
        <v>0.29663</v>
      </c>
      <c r="M435" s="1">
        <v>0.30792999999999998</v>
      </c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</row>
    <row r="436" spans="1:35" x14ac:dyDescent="0.15">
      <c r="A436" s="31"/>
      <c r="B436" s="31">
        <v>1391</v>
      </c>
      <c r="C436" s="31" t="s">
        <v>54</v>
      </c>
      <c r="D436" s="27">
        <v>2649.5</v>
      </c>
      <c r="E436" s="1">
        <v>316.79000000000002</v>
      </c>
      <c r="F436" s="31"/>
      <c r="G436" s="31"/>
      <c r="H436" s="31"/>
      <c r="I436" s="31"/>
      <c r="J436" s="31">
        <v>435</v>
      </c>
      <c r="K436" s="31" t="s">
        <v>919</v>
      </c>
      <c r="L436" s="1">
        <v>0.25095000000000001</v>
      </c>
      <c r="M436" s="1">
        <v>0.31295000000000001</v>
      </c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</row>
    <row r="437" spans="1:35" x14ac:dyDescent="0.15">
      <c r="A437" s="31"/>
      <c r="B437" s="31">
        <v>1392</v>
      </c>
      <c r="C437" s="31" t="s">
        <v>54</v>
      </c>
      <c r="D437" s="27">
        <v>2714.1</v>
      </c>
      <c r="E437" s="1">
        <v>360.81</v>
      </c>
      <c r="F437" s="31"/>
      <c r="G437" s="31"/>
      <c r="H437" s="31"/>
      <c r="I437" s="31"/>
      <c r="J437" s="31">
        <v>436</v>
      </c>
      <c r="K437" s="31" t="s">
        <v>919</v>
      </c>
      <c r="L437" s="1">
        <v>0.21548</v>
      </c>
      <c r="M437" s="1">
        <v>0.31857000000000002</v>
      </c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</row>
    <row r="438" spans="1:35" x14ac:dyDescent="0.15">
      <c r="A438" s="31"/>
      <c r="B438" s="31">
        <v>1393</v>
      </c>
      <c r="C438" s="31" t="s">
        <v>54</v>
      </c>
      <c r="D438" s="27">
        <v>2833.9</v>
      </c>
      <c r="E438" s="1">
        <v>379.02</v>
      </c>
      <c r="F438" s="31"/>
      <c r="G438" s="31"/>
      <c r="H438" s="31"/>
      <c r="I438" s="31"/>
      <c r="J438" s="31">
        <v>437</v>
      </c>
      <c r="K438" s="31" t="s">
        <v>919</v>
      </c>
      <c r="L438" s="1">
        <v>0.20619000000000001</v>
      </c>
      <c r="M438" s="1">
        <v>0.33801999999999999</v>
      </c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</row>
    <row r="439" spans="1:35" x14ac:dyDescent="0.15">
      <c r="A439" s="31"/>
      <c r="B439" s="31">
        <v>1394</v>
      </c>
      <c r="C439" s="31" t="s">
        <v>54</v>
      </c>
      <c r="D439" s="27">
        <v>2963.8</v>
      </c>
      <c r="E439" s="1">
        <v>422.71</v>
      </c>
      <c r="F439" s="31"/>
      <c r="G439" s="31"/>
      <c r="H439" s="31"/>
      <c r="I439" s="31"/>
      <c r="J439" s="31">
        <v>438</v>
      </c>
      <c r="K439" s="31" t="s">
        <v>919</v>
      </c>
      <c r="L439" s="1">
        <v>-3.1550000000000002E-2</v>
      </c>
      <c r="M439" s="1">
        <v>0.68733</v>
      </c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</row>
    <row r="440" spans="1:35" x14ac:dyDescent="0.15">
      <c r="A440" s="31"/>
      <c r="B440" s="31">
        <v>1395</v>
      </c>
      <c r="C440" s="31" t="s">
        <v>54</v>
      </c>
      <c r="D440" s="27">
        <v>3201.3</v>
      </c>
      <c r="E440" s="1">
        <v>602.91</v>
      </c>
      <c r="F440" s="31"/>
      <c r="G440" s="31"/>
      <c r="H440" s="31"/>
      <c r="I440" s="31"/>
      <c r="J440" s="31">
        <v>439</v>
      </c>
      <c r="K440" s="31" t="s">
        <v>919</v>
      </c>
      <c r="L440" s="1">
        <v>0.74968999999999997</v>
      </c>
      <c r="M440" s="1">
        <v>0.55650999999999995</v>
      </c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</row>
    <row r="441" spans="1:35" x14ac:dyDescent="0.15">
      <c r="A441" s="31"/>
      <c r="B441" s="31">
        <v>1396</v>
      </c>
      <c r="C441" s="31" t="s">
        <v>54</v>
      </c>
      <c r="D441" s="27">
        <v>3530.2</v>
      </c>
      <c r="E441" s="1">
        <v>871.11</v>
      </c>
      <c r="F441" s="31"/>
      <c r="G441" s="31"/>
      <c r="H441" s="31"/>
      <c r="I441" s="31"/>
      <c r="J441" s="31">
        <v>440</v>
      </c>
      <c r="K441" s="31" t="s">
        <v>919</v>
      </c>
      <c r="L441" s="1">
        <v>0.40790999999999999</v>
      </c>
      <c r="M441" s="1">
        <v>0.38786999999999999</v>
      </c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</row>
    <row r="442" spans="1:35" x14ac:dyDescent="0.15">
      <c r="A442" s="31"/>
      <c r="B442" s="31">
        <v>1397</v>
      </c>
      <c r="C442" s="31" t="s">
        <v>54</v>
      </c>
      <c r="D442" s="27">
        <v>2649.5</v>
      </c>
      <c r="E442" s="1">
        <v>316.79000000000002</v>
      </c>
      <c r="F442" s="31"/>
      <c r="G442" s="31"/>
      <c r="H442" s="31"/>
      <c r="I442" s="31"/>
      <c r="J442" s="31">
        <v>441</v>
      </c>
      <c r="K442" s="31" t="s">
        <v>919</v>
      </c>
      <c r="L442" s="1">
        <v>-1.0636000000000001</v>
      </c>
      <c r="M442" s="1">
        <v>0.37375000000000003</v>
      </c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</row>
    <row r="443" spans="1:35" x14ac:dyDescent="0.15">
      <c r="A443" s="31"/>
      <c r="B443" s="31">
        <v>1398</v>
      </c>
      <c r="C443" s="31" t="s">
        <v>54</v>
      </c>
      <c r="D443" s="27">
        <v>2701</v>
      </c>
      <c r="E443" s="1">
        <v>360.96</v>
      </c>
      <c r="F443" s="31"/>
      <c r="G443" s="31"/>
      <c r="H443" s="31"/>
      <c r="I443" s="31"/>
      <c r="J443" s="31">
        <v>442</v>
      </c>
      <c r="K443" s="31" t="s">
        <v>919</v>
      </c>
      <c r="L443" s="1">
        <v>-0.80833999999999995</v>
      </c>
      <c r="M443" s="1">
        <v>0.34131</v>
      </c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</row>
    <row r="444" spans="1:35" x14ac:dyDescent="0.15">
      <c r="A444" s="31"/>
      <c r="B444" s="31">
        <v>1399</v>
      </c>
      <c r="C444" s="31" t="s">
        <v>54</v>
      </c>
      <c r="D444" s="27">
        <v>2777.3</v>
      </c>
      <c r="E444" s="1">
        <v>378.72</v>
      </c>
      <c r="F444" s="31"/>
      <c r="G444" s="31"/>
      <c r="H444" s="31"/>
      <c r="I444" s="31"/>
      <c r="J444" s="31">
        <v>443</v>
      </c>
      <c r="K444" s="31" t="s">
        <v>919</v>
      </c>
      <c r="L444" s="1">
        <v>-0.27417000000000002</v>
      </c>
      <c r="M444" s="1">
        <v>0.30407000000000001</v>
      </c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</row>
    <row r="445" spans="1:35" x14ac:dyDescent="0.15">
      <c r="A445" s="31"/>
      <c r="B445" s="31">
        <v>1400</v>
      </c>
      <c r="C445" s="31" t="s">
        <v>54</v>
      </c>
      <c r="D445" s="27">
        <v>2873.9</v>
      </c>
      <c r="E445" s="1">
        <v>421.26</v>
      </c>
      <c r="F445" s="31"/>
      <c r="G445" s="31"/>
      <c r="H445" s="31"/>
      <c r="I445" s="31"/>
      <c r="J445" s="31">
        <v>444</v>
      </c>
      <c r="K445" s="31" t="s">
        <v>919</v>
      </c>
      <c r="L445" s="1">
        <v>0.27703</v>
      </c>
      <c r="M445" s="1">
        <v>0.29655999999999999</v>
      </c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</row>
    <row r="446" spans="1:35" x14ac:dyDescent="0.15">
      <c r="A446" s="31"/>
      <c r="B446" s="31">
        <v>1401</v>
      </c>
      <c r="C446" s="31" t="s">
        <v>54</v>
      </c>
      <c r="D446" s="27">
        <v>3088.1</v>
      </c>
      <c r="E446" s="1">
        <v>600</v>
      </c>
      <c r="F446" s="31"/>
      <c r="G446" s="31"/>
      <c r="H446" s="31"/>
      <c r="I446" s="31"/>
      <c r="J446" s="31">
        <v>445</v>
      </c>
      <c r="K446" s="31" t="s">
        <v>919</v>
      </c>
      <c r="L446" s="1">
        <v>0.27875</v>
      </c>
      <c r="M446" s="1">
        <v>0.31824999999999998</v>
      </c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</row>
    <row r="447" spans="1:35" x14ac:dyDescent="0.15">
      <c r="A447" s="31"/>
      <c r="B447" s="31">
        <v>1402</v>
      </c>
      <c r="C447" s="31" t="s">
        <v>54</v>
      </c>
      <c r="D447" s="27">
        <v>3397.5</v>
      </c>
      <c r="E447" s="1">
        <v>862.95</v>
      </c>
      <c r="F447" s="31"/>
      <c r="G447" s="31"/>
      <c r="H447" s="31"/>
      <c r="I447" s="31"/>
      <c r="J447" s="31">
        <v>446</v>
      </c>
      <c r="K447" s="31" t="s">
        <v>919</v>
      </c>
      <c r="L447" s="1">
        <v>0.25369999999999998</v>
      </c>
      <c r="M447" s="1">
        <v>0.32283000000000001</v>
      </c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</row>
    <row r="448" spans="1:35" x14ac:dyDescent="0.15">
      <c r="A448" s="31"/>
      <c r="B448" s="31">
        <v>1403</v>
      </c>
      <c r="C448" s="31" t="s">
        <v>54</v>
      </c>
      <c r="D448" s="27">
        <v>2649.5</v>
      </c>
      <c r="E448" s="1">
        <v>316.79000000000002</v>
      </c>
      <c r="F448" s="31"/>
      <c r="G448" s="31"/>
      <c r="H448" s="31"/>
      <c r="I448" s="31"/>
      <c r="J448" s="31">
        <v>447</v>
      </c>
      <c r="K448" s="31" t="s">
        <v>919</v>
      </c>
      <c r="L448" s="1">
        <v>0.21057000000000001</v>
      </c>
      <c r="M448" s="1">
        <v>0.33610000000000001</v>
      </c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</row>
    <row r="449" spans="1:35" x14ac:dyDescent="0.15">
      <c r="A449" s="31"/>
      <c r="B449" s="31">
        <v>1404</v>
      </c>
      <c r="C449" s="31" t="s">
        <v>54</v>
      </c>
      <c r="D449" s="27">
        <v>2687.8</v>
      </c>
      <c r="E449" s="1">
        <v>361.14</v>
      </c>
      <c r="F449" s="31"/>
      <c r="G449" s="31"/>
      <c r="H449" s="31"/>
      <c r="I449" s="31"/>
      <c r="J449" s="31">
        <v>448</v>
      </c>
      <c r="K449" s="31" t="s">
        <v>919</v>
      </c>
      <c r="L449" s="1">
        <v>-2.9090000000000001E-2</v>
      </c>
      <c r="M449" s="1">
        <v>0.68799999999999994</v>
      </c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</row>
    <row r="450" spans="1:35" x14ac:dyDescent="0.15">
      <c r="A450" s="31"/>
      <c r="B450" s="31">
        <v>1405</v>
      </c>
      <c r="C450" s="31" t="s">
        <v>54</v>
      </c>
      <c r="D450" s="27">
        <v>2721.2</v>
      </c>
      <c r="E450" s="1">
        <v>378.38</v>
      </c>
      <c r="F450" s="31"/>
      <c r="G450" s="31"/>
      <c r="H450" s="31"/>
      <c r="I450" s="31"/>
      <c r="J450" s="31">
        <v>449</v>
      </c>
      <c r="K450" s="31" t="s">
        <v>919</v>
      </c>
      <c r="L450" s="1">
        <v>0.48032000000000002</v>
      </c>
      <c r="M450" s="1">
        <v>0.54579999999999995</v>
      </c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</row>
    <row r="451" spans="1:35" x14ac:dyDescent="0.15">
      <c r="A451" s="31"/>
      <c r="B451" s="31">
        <v>1406</v>
      </c>
      <c r="C451" s="31" t="s">
        <v>54</v>
      </c>
      <c r="D451" s="27">
        <v>2786.4</v>
      </c>
      <c r="E451" s="1">
        <v>419.61</v>
      </c>
      <c r="F451" s="31"/>
      <c r="G451" s="31"/>
      <c r="H451" s="31"/>
      <c r="I451" s="31"/>
      <c r="J451" s="31">
        <v>450</v>
      </c>
      <c r="K451" s="31" t="s">
        <v>919</v>
      </c>
      <c r="L451" s="1">
        <v>-1.3559999999999999E-2</v>
      </c>
      <c r="M451" s="1">
        <v>0.40694000000000002</v>
      </c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</row>
    <row r="452" spans="1:35" x14ac:dyDescent="0.15">
      <c r="A452" s="31"/>
      <c r="B452" s="31">
        <v>1407</v>
      </c>
      <c r="C452" s="31" t="s">
        <v>54</v>
      </c>
      <c r="D452" s="27">
        <v>2979.7</v>
      </c>
      <c r="E452" s="1">
        <v>596.80999999999995</v>
      </c>
      <c r="F452" s="31"/>
      <c r="G452" s="31"/>
      <c r="H452" s="31"/>
      <c r="I452" s="31"/>
      <c r="J452" s="31">
        <v>451</v>
      </c>
      <c r="K452" s="31" t="s">
        <v>919</v>
      </c>
      <c r="L452" s="1">
        <v>0.90312000000000003</v>
      </c>
      <c r="M452" s="1">
        <v>0.36185</v>
      </c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</row>
    <row r="453" spans="1:35" x14ac:dyDescent="0.15">
      <c r="A453" s="31"/>
      <c r="B453" s="31">
        <v>1408</v>
      </c>
      <c r="C453" s="31" t="s">
        <v>54</v>
      </c>
      <c r="D453" s="27">
        <v>3271.9</v>
      </c>
      <c r="E453" s="1">
        <v>854.52</v>
      </c>
      <c r="F453" s="31"/>
      <c r="G453" s="31"/>
      <c r="H453" s="31"/>
      <c r="I453" s="31"/>
      <c r="J453" s="31">
        <v>452</v>
      </c>
      <c r="K453" s="31" t="s">
        <v>919</v>
      </c>
      <c r="L453" s="1">
        <v>-1.2047E-2</v>
      </c>
      <c r="M453" s="1">
        <v>0.3251</v>
      </c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</row>
    <row r="454" spans="1:35" x14ac:dyDescent="0.15">
      <c r="A454" s="31"/>
      <c r="B454" s="31">
        <v>1409</v>
      </c>
      <c r="C454" s="31" t="s">
        <v>54</v>
      </c>
      <c r="D454" s="27">
        <v>2649.5</v>
      </c>
      <c r="E454" s="1">
        <v>316.79000000000002</v>
      </c>
      <c r="F454" s="31"/>
      <c r="G454" s="31"/>
      <c r="H454" s="31"/>
      <c r="I454" s="31"/>
      <c r="J454" s="31">
        <v>453</v>
      </c>
      <c r="K454" s="31" t="s">
        <v>919</v>
      </c>
      <c r="L454" s="1">
        <v>-0.51026000000000005</v>
      </c>
      <c r="M454" s="1">
        <v>0.31541999999999998</v>
      </c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</row>
    <row r="455" spans="1:35" x14ac:dyDescent="0.15">
      <c r="A455" s="31"/>
      <c r="B455" s="31">
        <v>1410</v>
      </c>
      <c r="C455" s="31" t="s">
        <v>54</v>
      </c>
      <c r="D455" s="27">
        <v>2674.3</v>
      </c>
      <c r="E455" s="1">
        <v>361.34</v>
      </c>
      <c r="F455" s="31"/>
      <c r="G455" s="31"/>
      <c r="H455" s="31"/>
      <c r="I455" s="31"/>
      <c r="J455" s="31">
        <v>454</v>
      </c>
      <c r="K455" s="31" t="s">
        <v>919</v>
      </c>
      <c r="L455" s="1">
        <v>-0.41442000000000001</v>
      </c>
      <c r="M455" s="1">
        <v>0.30629000000000001</v>
      </c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</row>
    <row r="456" spans="1:35" x14ac:dyDescent="0.15">
      <c r="A456" s="31"/>
      <c r="B456" s="31">
        <v>1411</v>
      </c>
      <c r="C456" s="31" t="s">
        <v>54</v>
      </c>
      <c r="D456" s="27">
        <v>2665.4</v>
      </c>
      <c r="E456" s="1">
        <v>377.99</v>
      </c>
      <c r="F456" s="31"/>
      <c r="G456" s="31"/>
      <c r="H456" s="31"/>
      <c r="I456" s="31"/>
      <c r="J456" s="31">
        <v>455</v>
      </c>
      <c r="K456" s="31" t="s">
        <v>919</v>
      </c>
      <c r="L456" s="1">
        <v>-0.27847</v>
      </c>
      <c r="M456" s="1">
        <v>0.32344000000000001</v>
      </c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</row>
    <row r="457" spans="1:35" x14ac:dyDescent="0.15">
      <c r="A457" s="31"/>
      <c r="B457" s="31">
        <v>1412</v>
      </c>
      <c r="C457" s="31" t="s">
        <v>54</v>
      </c>
      <c r="D457" s="27">
        <v>2701.2</v>
      </c>
      <c r="E457" s="1">
        <v>417.75</v>
      </c>
      <c r="F457" s="31"/>
      <c r="G457" s="31"/>
      <c r="H457" s="31"/>
      <c r="I457" s="31"/>
      <c r="J457" s="31">
        <v>456</v>
      </c>
      <c r="K457" s="31" t="s">
        <v>919</v>
      </c>
      <c r="L457" s="1">
        <v>-7.5957999999999998E-2</v>
      </c>
      <c r="M457" s="1">
        <v>0.35619000000000001</v>
      </c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</row>
    <row r="458" spans="1:35" x14ac:dyDescent="0.15">
      <c r="A458" s="31"/>
      <c r="B458" s="31">
        <v>1413</v>
      </c>
      <c r="C458" s="31" t="s">
        <v>54</v>
      </c>
      <c r="D458" s="27">
        <v>2876</v>
      </c>
      <c r="E458" s="1">
        <v>593.37</v>
      </c>
      <c r="F458" s="31"/>
      <c r="G458" s="31"/>
      <c r="H458" s="31"/>
      <c r="I458" s="31"/>
      <c r="J458" s="31">
        <v>457</v>
      </c>
      <c r="K458" s="31" t="s">
        <v>919</v>
      </c>
      <c r="L458" s="1">
        <v>-4.9631000000000002E-2</v>
      </c>
      <c r="M458" s="1">
        <v>0.34475</v>
      </c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</row>
    <row r="459" spans="1:35" x14ac:dyDescent="0.15">
      <c r="A459" s="31"/>
      <c r="B459" s="31">
        <v>1414</v>
      </c>
      <c r="C459" s="31" t="s">
        <v>54</v>
      </c>
      <c r="D459" s="27">
        <v>3153</v>
      </c>
      <c r="E459" s="1">
        <v>845.85</v>
      </c>
      <c r="F459" s="31"/>
      <c r="G459" s="31"/>
      <c r="H459" s="31"/>
      <c r="I459" s="31"/>
      <c r="J459" s="31">
        <v>458</v>
      </c>
      <c r="K459" s="31" t="s">
        <v>919</v>
      </c>
      <c r="L459" s="1">
        <v>-4.5719000000000003E-2</v>
      </c>
      <c r="M459" s="1">
        <v>0.68793000000000004</v>
      </c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</row>
    <row r="460" spans="1:35" x14ac:dyDescent="0.15">
      <c r="A460" s="31"/>
      <c r="B460" s="31">
        <v>1415</v>
      </c>
      <c r="C460" s="31" t="s">
        <v>54</v>
      </c>
      <c r="D460" s="27">
        <v>2649.5</v>
      </c>
      <c r="E460" s="1">
        <v>316.79000000000002</v>
      </c>
      <c r="F460" s="31"/>
      <c r="G460" s="31"/>
      <c r="H460" s="31"/>
      <c r="I460" s="31"/>
      <c r="J460" s="31">
        <v>459</v>
      </c>
      <c r="K460" s="31" t="s">
        <v>919</v>
      </c>
      <c r="L460" s="1">
        <v>-0.49296000000000001</v>
      </c>
      <c r="M460" s="1">
        <v>0.42968000000000001</v>
      </c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</row>
    <row r="461" spans="1:35" x14ac:dyDescent="0.15">
      <c r="A461" s="31"/>
      <c r="B461" s="31">
        <v>1416</v>
      </c>
      <c r="C461" s="31" t="s">
        <v>54</v>
      </c>
      <c r="D461" s="27">
        <v>2660.6</v>
      </c>
      <c r="E461" s="1">
        <v>361.58</v>
      </c>
      <c r="F461" s="31"/>
      <c r="G461" s="31"/>
      <c r="H461" s="31"/>
      <c r="I461" s="31"/>
      <c r="J461" s="31">
        <v>460</v>
      </c>
      <c r="K461" s="31" t="s">
        <v>919</v>
      </c>
      <c r="L461" s="1">
        <v>0.23461000000000001</v>
      </c>
      <c r="M461" s="1">
        <v>0.40271000000000001</v>
      </c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</row>
    <row r="462" spans="1:35" x14ac:dyDescent="0.15">
      <c r="A462" s="31"/>
      <c r="B462" s="31">
        <v>1417</v>
      </c>
      <c r="C462" s="31" t="s">
        <v>54</v>
      </c>
      <c r="D462" s="27">
        <v>2610</v>
      </c>
      <c r="E462" s="1">
        <v>377.55</v>
      </c>
      <c r="F462" s="31"/>
      <c r="G462" s="31"/>
      <c r="H462" s="31"/>
      <c r="I462" s="31"/>
      <c r="J462" s="31">
        <v>461</v>
      </c>
      <c r="K462" s="31" t="s">
        <v>919</v>
      </c>
      <c r="L462" s="1">
        <v>0.15331</v>
      </c>
      <c r="M462" s="1">
        <v>0.38472000000000001</v>
      </c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</row>
    <row r="463" spans="1:35" x14ac:dyDescent="0.15">
      <c r="A463" s="31"/>
      <c r="B463" s="31">
        <v>1418</v>
      </c>
      <c r="C463" s="31" t="s">
        <v>54</v>
      </c>
      <c r="D463" s="27">
        <v>2618.3000000000002</v>
      </c>
      <c r="E463" s="1">
        <v>415.68</v>
      </c>
      <c r="F463" s="31"/>
      <c r="G463" s="31"/>
      <c r="H463" s="31"/>
      <c r="I463" s="31"/>
      <c r="J463" s="31">
        <v>462</v>
      </c>
      <c r="K463" s="31" t="s">
        <v>919</v>
      </c>
      <c r="L463" s="1">
        <v>0.19894000000000001</v>
      </c>
      <c r="M463" s="1">
        <v>0.31807000000000002</v>
      </c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</row>
    <row r="464" spans="1:35" x14ac:dyDescent="0.15">
      <c r="A464" s="31"/>
      <c r="B464" s="31">
        <v>1419</v>
      </c>
      <c r="C464" s="31" t="s">
        <v>54</v>
      </c>
      <c r="D464" s="27">
        <v>2776.8</v>
      </c>
      <c r="E464" s="1">
        <v>589.67999999999995</v>
      </c>
      <c r="F464" s="31"/>
      <c r="G464" s="31"/>
      <c r="H464" s="31"/>
      <c r="I464" s="31"/>
      <c r="J464" s="31">
        <v>463</v>
      </c>
      <c r="K464" s="31" t="s">
        <v>919</v>
      </c>
      <c r="L464" s="1">
        <v>0.19872000000000001</v>
      </c>
      <c r="M464" s="1">
        <v>0.29353000000000001</v>
      </c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</row>
    <row r="465" spans="1:35" x14ac:dyDescent="0.15">
      <c r="A465" s="31"/>
      <c r="B465" s="31">
        <v>1420</v>
      </c>
      <c r="C465" s="31" t="s">
        <v>54</v>
      </c>
      <c r="D465" s="27">
        <v>3040.5</v>
      </c>
      <c r="E465" s="1">
        <v>836.97</v>
      </c>
      <c r="F465" s="31"/>
      <c r="G465" s="31"/>
      <c r="H465" s="31"/>
      <c r="I465" s="31"/>
      <c r="J465" s="31">
        <v>464</v>
      </c>
      <c r="K465" s="31" t="s">
        <v>919</v>
      </c>
      <c r="L465" s="1">
        <v>-0.29265999999999998</v>
      </c>
      <c r="M465" s="1">
        <v>0.32083</v>
      </c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</row>
    <row r="466" spans="1:35" x14ac:dyDescent="0.15">
      <c r="A466" s="31"/>
      <c r="B466" s="31">
        <v>1421</v>
      </c>
      <c r="C466" s="31" t="s">
        <v>54</v>
      </c>
      <c r="D466" s="27">
        <v>2649.5</v>
      </c>
      <c r="E466" s="1">
        <v>316.79000000000002</v>
      </c>
      <c r="F466" s="31"/>
      <c r="G466" s="31"/>
      <c r="H466" s="31"/>
      <c r="I466" s="31"/>
      <c r="J466" s="31">
        <v>465</v>
      </c>
      <c r="K466" s="31" t="s">
        <v>919</v>
      </c>
      <c r="L466" s="1">
        <v>-3.6693999999999997E-2</v>
      </c>
      <c r="M466" s="1">
        <v>0.33881</v>
      </c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</row>
    <row r="467" spans="1:35" x14ac:dyDescent="0.15">
      <c r="A467" s="31"/>
      <c r="B467" s="31">
        <v>1422</v>
      </c>
      <c r="C467" s="31" t="s">
        <v>54</v>
      </c>
      <c r="D467" s="27">
        <v>2646.8</v>
      </c>
      <c r="E467" s="1">
        <v>361.86</v>
      </c>
      <c r="F467" s="31"/>
      <c r="G467" s="31"/>
      <c r="H467" s="31"/>
      <c r="I467" s="31"/>
      <c r="J467" s="31">
        <v>466</v>
      </c>
      <c r="K467" s="31" t="s">
        <v>919</v>
      </c>
      <c r="L467" s="1">
        <v>1.3238E-2</v>
      </c>
      <c r="M467" s="1">
        <v>0.35742000000000002</v>
      </c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</row>
    <row r="468" spans="1:35" x14ac:dyDescent="0.15">
      <c r="A468" s="31"/>
      <c r="B468" s="31">
        <v>1423</v>
      </c>
      <c r="C468" s="31" t="s">
        <v>54</v>
      </c>
      <c r="D468" s="27">
        <v>2554.9</v>
      </c>
      <c r="E468" s="1">
        <v>377.06</v>
      </c>
      <c r="F468" s="31"/>
      <c r="G468" s="31"/>
      <c r="H468" s="31"/>
      <c r="I468" s="31"/>
      <c r="J468" s="31">
        <v>467</v>
      </c>
      <c r="K468" s="31" t="s">
        <v>919</v>
      </c>
      <c r="L468" s="1">
        <v>6.9220000000000004E-2</v>
      </c>
      <c r="M468" s="1">
        <v>0.35749999999999998</v>
      </c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</row>
    <row r="469" spans="1:35" x14ac:dyDescent="0.15">
      <c r="A469" s="31"/>
      <c r="B469" s="31">
        <v>1424</v>
      </c>
      <c r="C469" s="31" t="s">
        <v>54</v>
      </c>
      <c r="D469" s="27">
        <v>2537.6999999999998</v>
      </c>
      <c r="E469" s="1">
        <v>413.41</v>
      </c>
      <c r="F469" s="31"/>
      <c r="G469" s="31"/>
      <c r="H469" s="31"/>
      <c r="I469" s="31"/>
      <c r="J469" s="31">
        <v>468</v>
      </c>
      <c r="K469" s="31" t="s">
        <v>919</v>
      </c>
      <c r="L469" s="1">
        <v>-4.6732000000000003E-2</v>
      </c>
      <c r="M469" s="1">
        <v>0.68794999999999995</v>
      </c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</row>
    <row r="470" spans="1:35" x14ac:dyDescent="0.15">
      <c r="A470" s="31"/>
      <c r="B470" s="31">
        <v>1425</v>
      </c>
      <c r="C470" s="31" t="s">
        <v>54</v>
      </c>
      <c r="D470" s="27">
        <v>2681.8</v>
      </c>
      <c r="E470" s="1">
        <v>585.78</v>
      </c>
      <c r="F470" s="31"/>
      <c r="G470" s="31"/>
      <c r="H470" s="31"/>
      <c r="I470" s="31"/>
      <c r="J470" s="31">
        <v>469</v>
      </c>
      <c r="K470" s="31" t="s">
        <v>919</v>
      </c>
      <c r="L470" s="1">
        <v>-0.49947000000000003</v>
      </c>
      <c r="M470" s="1">
        <v>0.45673999999999998</v>
      </c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</row>
    <row r="471" spans="1:35" x14ac:dyDescent="0.15">
      <c r="A471" s="31"/>
      <c r="B471" s="31">
        <v>1426</v>
      </c>
      <c r="C471" s="31" t="s">
        <v>54</v>
      </c>
      <c r="D471" s="27">
        <v>2933.8</v>
      </c>
      <c r="E471" s="1">
        <v>827.9</v>
      </c>
      <c r="F471" s="31"/>
      <c r="G471" s="31"/>
      <c r="H471" s="31"/>
      <c r="I471" s="31"/>
      <c r="J471" s="31">
        <v>470</v>
      </c>
      <c r="K471" s="31" t="s">
        <v>919</v>
      </c>
      <c r="L471" s="1">
        <v>0.88219999999999998</v>
      </c>
      <c r="M471" s="1">
        <v>0.32377</v>
      </c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</row>
    <row r="472" spans="1:35" x14ac:dyDescent="0.15">
      <c r="A472" s="31"/>
      <c r="B472" s="31">
        <v>1427</v>
      </c>
      <c r="C472" s="31" t="s">
        <v>54</v>
      </c>
      <c r="D472" s="27">
        <v>2649.5</v>
      </c>
      <c r="E472" s="1">
        <v>316.79000000000002</v>
      </c>
      <c r="F472" s="31"/>
      <c r="G472" s="31"/>
      <c r="H472" s="31"/>
      <c r="I472" s="31"/>
      <c r="J472" s="31">
        <v>471</v>
      </c>
      <c r="K472" s="31" t="s">
        <v>919</v>
      </c>
      <c r="L472" s="1">
        <v>0.45863999999999999</v>
      </c>
      <c r="M472" s="1">
        <v>0.34469</v>
      </c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</row>
    <row r="473" spans="1:35" x14ac:dyDescent="0.15">
      <c r="A473" s="31"/>
      <c r="B473" s="31">
        <v>1428</v>
      </c>
      <c r="C473" s="31" t="s">
        <v>54</v>
      </c>
      <c r="D473" s="27">
        <v>2632.7</v>
      </c>
      <c r="E473" s="1">
        <v>362.18</v>
      </c>
      <c r="F473" s="31"/>
      <c r="G473" s="31"/>
      <c r="H473" s="31"/>
      <c r="I473" s="31"/>
      <c r="J473" s="31">
        <v>472</v>
      </c>
      <c r="K473" s="31" t="s">
        <v>919</v>
      </c>
      <c r="L473" s="1">
        <v>6.3601000000000005E-2</v>
      </c>
      <c r="M473" s="1">
        <v>0.33640999999999999</v>
      </c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</row>
    <row r="474" spans="1:35" x14ac:dyDescent="0.15">
      <c r="A474" s="31"/>
      <c r="B474" s="31">
        <v>1429</v>
      </c>
      <c r="C474" s="31" t="s">
        <v>54</v>
      </c>
      <c r="D474" s="27">
        <v>2500.3000000000002</v>
      </c>
      <c r="E474" s="1">
        <v>376.53</v>
      </c>
      <c r="F474" s="31"/>
      <c r="G474" s="31"/>
      <c r="H474" s="31"/>
      <c r="I474" s="31"/>
      <c r="J474" s="31">
        <v>473</v>
      </c>
      <c r="K474" s="31" t="s">
        <v>919</v>
      </c>
      <c r="L474" s="1">
        <v>-0.20091000000000001</v>
      </c>
      <c r="M474" s="1">
        <v>0.29586000000000001</v>
      </c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</row>
    <row r="475" spans="1:35" x14ac:dyDescent="0.15">
      <c r="A475" s="31"/>
      <c r="B475" s="31">
        <v>1430</v>
      </c>
      <c r="C475" s="31" t="s">
        <v>54</v>
      </c>
      <c r="D475" s="27">
        <v>2459.3000000000002</v>
      </c>
      <c r="E475" s="1">
        <v>410.93</v>
      </c>
      <c r="F475" s="31"/>
      <c r="G475" s="31"/>
      <c r="H475" s="31"/>
      <c r="I475" s="31"/>
      <c r="J475" s="31">
        <v>474</v>
      </c>
      <c r="K475" s="31" t="s">
        <v>919</v>
      </c>
      <c r="L475" s="1">
        <v>0.21</v>
      </c>
      <c r="M475" s="1">
        <v>0.29757</v>
      </c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</row>
    <row r="476" spans="1:35" x14ac:dyDescent="0.15">
      <c r="A476" s="31"/>
      <c r="B476" s="31">
        <v>1431</v>
      </c>
      <c r="C476" s="31" t="s">
        <v>54</v>
      </c>
      <c r="D476" s="27">
        <v>2591.1</v>
      </c>
      <c r="E476" s="1">
        <v>581.67999999999995</v>
      </c>
      <c r="F476" s="31"/>
      <c r="G476" s="31"/>
      <c r="H476" s="31"/>
      <c r="I476" s="31"/>
      <c r="J476" s="31">
        <v>475</v>
      </c>
      <c r="K476" s="31" t="s">
        <v>919</v>
      </c>
      <c r="L476" s="1">
        <v>-0.13857</v>
      </c>
      <c r="M476" s="1">
        <v>0.32041999999999998</v>
      </c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</row>
    <row r="477" spans="1:35" x14ac:dyDescent="0.15">
      <c r="A477" s="31"/>
      <c r="B477" s="31">
        <v>1432</v>
      </c>
      <c r="C477" s="31" t="s">
        <v>54</v>
      </c>
      <c r="D477" s="27">
        <v>2832.7</v>
      </c>
      <c r="E477" s="1">
        <v>818.67</v>
      </c>
      <c r="F477" s="31"/>
      <c r="G477" s="31"/>
      <c r="H477" s="31"/>
      <c r="I477" s="31"/>
      <c r="J477" s="31">
        <v>476</v>
      </c>
      <c r="K477" s="31" t="s">
        <v>919</v>
      </c>
      <c r="L477" s="1">
        <v>-0.33263999999999999</v>
      </c>
      <c r="M477" s="1">
        <v>0.31035000000000001</v>
      </c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</row>
    <row r="478" spans="1:35" x14ac:dyDescent="0.15">
      <c r="A478" s="31"/>
      <c r="B478" s="31">
        <v>1433</v>
      </c>
      <c r="C478" s="31" t="s">
        <v>54</v>
      </c>
      <c r="D478" s="27">
        <v>2649.5</v>
      </c>
      <c r="E478" s="1">
        <v>316.79000000000002</v>
      </c>
      <c r="F478" s="31"/>
      <c r="G478" s="31"/>
      <c r="H478" s="31"/>
      <c r="I478" s="31"/>
      <c r="J478" s="31">
        <v>477</v>
      </c>
      <c r="K478" s="31" t="s">
        <v>919</v>
      </c>
      <c r="L478" s="1">
        <v>-0.39612000000000003</v>
      </c>
      <c r="M478" s="1">
        <v>0.33055000000000001</v>
      </c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</row>
    <row r="479" spans="1:35" x14ac:dyDescent="0.15">
      <c r="A479" s="31"/>
      <c r="B479" s="31">
        <v>1434</v>
      </c>
      <c r="C479" s="31" t="s">
        <v>54</v>
      </c>
      <c r="D479" s="27">
        <v>2618.3000000000002</v>
      </c>
      <c r="E479" s="1">
        <v>362.53</v>
      </c>
      <c r="F479" s="31"/>
      <c r="G479" s="31"/>
      <c r="H479" s="31"/>
      <c r="I479" s="31"/>
      <c r="J479" s="31">
        <v>478</v>
      </c>
      <c r="K479" s="31" t="s">
        <v>919</v>
      </c>
      <c r="L479" s="1">
        <v>-4.5844000000000003E-2</v>
      </c>
      <c r="M479" s="1">
        <v>0.68779000000000001</v>
      </c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</row>
    <row r="480" spans="1:35" x14ac:dyDescent="0.15">
      <c r="A480" s="31"/>
      <c r="B480" s="31">
        <v>1435</v>
      </c>
      <c r="C480" s="31" t="s">
        <v>54</v>
      </c>
      <c r="D480" s="27">
        <v>2446.1</v>
      </c>
      <c r="E480" s="1">
        <v>375.93</v>
      </c>
      <c r="F480" s="31"/>
      <c r="G480" s="31"/>
      <c r="H480" s="31"/>
      <c r="I480" s="31"/>
      <c r="J480" s="31">
        <v>479</v>
      </c>
      <c r="K480" s="31" t="s">
        <v>919</v>
      </c>
      <c r="L480" s="1">
        <v>-0.18104000000000001</v>
      </c>
      <c r="M480" s="1">
        <v>0.51344999999999996</v>
      </c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</row>
    <row r="481" spans="1:35" x14ac:dyDescent="0.15">
      <c r="A481" s="31"/>
      <c r="B481" s="31">
        <v>1436</v>
      </c>
      <c r="C481" s="31" t="s">
        <v>54</v>
      </c>
      <c r="D481" s="27">
        <v>2383.1</v>
      </c>
      <c r="E481" s="1">
        <v>408.27</v>
      </c>
      <c r="F481" s="31"/>
      <c r="G481" s="31"/>
      <c r="H481" s="31"/>
      <c r="I481" s="31"/>
      <c r="J481" s="31">
        <v>480</v>
      </c>
      <c r="K481" s="31" t="s">
        <v>919</v>
      </c>
      <c r="L481" s="1">
        <v>-0.64715</v>
      </c>
      <c r="M481" s="1">
        <v>0.31691999999999998</v>
      </c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</row>
    <row r="482" spans="1:35" x14ac:dyDescent="0.15">
      <c r="A482" s="31"/>
      <c r="B482" s="31">
        <v>1437</v>
      </c>
      <c r="C482" s="31" t="s">
        <v>54</v>
      </c>
      <c r="D482" s="27">
        <v>2504.3000000000002</v>
      </c>
      <c r="E482" s="1">
        <v>577.4</v>
      </c>
      <c r="F482" s="31"/>
      <c r="G482" s="31"/>
      <c r="H482" s="31"/>
      <c r="I482" s="31"/>
      <c r="J482" s="31">
        <v>481</v>
      </c>
      <c r="K482" s="31" t="s">
        <v>919</v>
      </c>
      <c r="L482" s="1">
        <v>0.26904</v>
      </c>
      <c r="M482" s="1">
        <v>0.28262999999999999</v>
      </c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</row>
    <row r="483" spans="1:35" x14ac:dyDescent="0.15">
      <c r="A483" s="31"/>
      <c r="B483" s="31">
        <v>1438</v>
      </c>
      <c r="C483" s="31" t="s">
        <v>54</v>
      </c>
      <c r="D483" s="27">
        <v>2736.9</v>
      </c>
      <c r="E483" s="1">
        <v>809.31</v>
      </c>
      <c r="F483" s="31"/>
      <c r="G483" s="31"/>
      <c r="H483" s="31"/>
      <c r="I483" s="31"/>
      <c r="J483" s="31">
        <v>482</v>
      </c>
      <c r="K483" s="31" t="s">
        <v>919</v>
      </c>
      <c r="L483" s="1">
        <v>0.37657000000000002</v>
      </c>
      <c r="M483" s="1">
        <v>0.30375999999999997</v>
      </c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</row>
    <row r="484" spans="1:35" x14ac:dyDescent="0.15">
      <c r="A484" s="31"/>
      <c r="B484" s="31">
        <v>1439</v>
      </c>
      <c r="C484" s="31" t="s">
        <v>54</v>
      </c>
      <c r="D484" s="27">
        <v>2649.5</v>
      </c>
      <c r="E484" s="1">
        <v>316.79000000000002</v>
      </c>
      <c r="F484" s="31"/>
      <c r="G484" s="31"/>
      <c r="H484" s="31"/>
      <c r="I484" s="31"/>
      <c r="J484" s="31">
        <v>483</v>
      </c>
      <c r="K484" s="31" t="s">
        <v>919</v>
      </c>
      <c r="L484" s="1">
        <v>-9.7961999999999994E-2</v>
      </c>
      <c r="M484" s="1">
        <v>0.31008999999999998</v>
      </c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</row>
    <row r="485" spans="1:35" x14ac:dyDescent="0.15">
      <c r="A485" s="31"/>
      <c r="B485" s="31">
        <v>1440</v>
      </c>
      <c r="C485" s="31" t="s">
        <v>54</v>
      </c>
      <c r="D485" s="27">
        <v>2603.8000000000002</v>
      </c>
      <c r="E485" s="1">
        <v>362.93</v>
      </c>
      <c r="F485" s="31"/>
      <c r="G485" s="31"/>
      <c r="H485" s="31"/>
      <c r="I485" s="31"/>
      <c r="J485" s="31">
        <v>484</v>
      </c>
      <c r="K485" s="31" t="s">
        <v>919</v>
      </c>
      <c r="L485" s="1">
        <v>2.835E-2</v>
      </c>
      <c r="M485" s="1">
        <v>0.29820999999999998</v>
      </c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</row>
    <row r="486" spans="1:35" x14ac:dyDescent="0.15">
      <c r="A486" s="31"/>
      <c r="B486" s="31">
        <v>1441</v>
      </c>
      <c r="C486" s="31" t="s">
        <v>54</v>
      </c>
      <c r="D486" s="27">
        <v>2392.1999999999998</v>
      </c>
      <c r="E486" s="1">
        <v>375.29</v>
      </c>
      <c r="F486" s="31"/>
      <c r="G486" s="31"/>
      <c r="H486" s="31"/>
      <c r="I486" s="31"/>
      <c r="J486" s="31">
        <v>485</v>
      </c>
      <c r="K486" s="31" t="s">
        <v>919</v>
      </c>
      <c r="L486" s="1">
        <v>0.20327999999999999</v>
      </c>
      <c r="M486" s="1">
        <v>0.27809</v>
      </c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</row>
    <row r="487" spans="1:35" x14ac:dyDescent="0.15">
      <c r="A487" s="31"/>
      <c r="B487" s="31">
        <v>1442</v>
      </c>
      <c r="C487" s="31" t="s">
        <v>54</v>
      </c>
      <c r="D487" s="27">
        <v>2309.1</v>
      </c>
      <c r="E487" s="1">
        <v>405.42</v>
      </c>
      <c r="F487" s="31"/>
      <c r="G487" s="31"/>
      <c r="H487" s="31"/>
      <c r="I487" s="31"/>
      <c r="J487" s="31">
        <v>486</v>
      </c>
      <c r="K487" s="31" t="s">
        <v>919</v>
      </c>
      <c r="L487" s="1">
        <v>6.7179000000000003E-2</v>
      </c>
      <c r="M487" s="1">
        <v>0.29183999999999999</v>
      </c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</row>
    <row r="488" spans="1:35" x14ac:dyDescent="0.15">
      <c r="A488" s="31"/>
      <c r="B488" s="31">
        <v>1443</v>
      </c>
      <c r="C488" s="31" t="s">
        <v>54</v>
      </c>
      <c r="D488" s="27">
        <v>2421.3000000000002</v>
      </c>
      <c r="E488" s="1">
        <v>572.97</v>
      </c>
      <c r="F488" s="31"/>
      <c r="G488" s="31"/>
      <c r="H488" s="31"/>
      <c r="I488" s="31"/>
      <c r="J488" s="31">
        <v>487</v>
      </c>
      <c r="K488" s="31" t="s">
        <v>919</v>
      </c>
      <c r="L488" s="1">
        <v>2.758E-2</v>
      </c>
      <c r="M488" s="1">
        <v>0.31087999999999999</v>
      </c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</row>
    <row r="489" spans="1:35" x14ac:dyDescent="0.15">
      <c r="A489" s="31"/>
      <c r="B489" s="31">
        <v>1444</v>
      </c>
      <c r="C489" s="31" t="s">
        <v>54</v>
      </c>
      <c r="D489" s="27">
        <v>2645.9</v>
      </c>
      <c r="E489" s="1">
        <v>799.85</v>
      </c>
      <c r="F489" s="31"/>
      <c r="G489" s="31"/>
      <c r="H489" s="31"/>
      <c r="I489" s="31"/>
      <c r="J489" s="31">
        <v>488</v>
      </c>
      <c r="K489" s="31" t="s">
        <v>919</v>
      </c>
      <c r="L489" s="1">
        <v>-3.2333000000000001E-2</v>
      </c>
      <c r="M489" s="1">
        <v>0.68752999999999997</v>
      </c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</row>
    <row r="490" spans="1:35" x14ac:dyDescent="0.15">
      <c r="A490" s="31"/>
      <c r="B490" s="31">
        <v>1445</v>
      </c>
      <c r="C490" s="31" t="s">
        <v>54</v>
      </c>
      <c r="D490" s="27">
        <v>2649.5</v>
      </c>
      <c r="E490" s="1">
        <v>316.79000000000002</v>
      </c>
      <c r="F490" s="31"/>
      <c r="G490" s="31"/>
      <c r="H490" s="31"/>
      <c r="I490" s="31"/>
      <c r="J490" s="31">
        <v>489</v>
      </c>
      <c r="K490" s="31" t="s">
        <v>919</v>
      </c>
      <c r="L490" s="1">
        <v>-0.47050999999999998</v>
      </c>
      <c r="M490" s="1">
        <v>0.50926000000000005</v>
      </c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</row>
    <row r="491" spans="1:35" x14ac:dyDescent="0.15">
      <c r="A491" s="31"/>
      <c r="B491" s="31">
        <v>1446</v>
      </c>
      <c r="C491" s="31" t="s">
        <v>54</v>
      </c>
      <c r="D491" s="27">
        <v>2589</v>
      </c>
      <c r="E491" s="1">
        <v>363.38</v>
      </c>
      <c r="F491" s="31"/>
      <c r="G491" s="31"/>
      <c r="H491" s="31"/>
      <c r="I491" s="31"/>
      <c r="J491" s="31">
        <v>490</v>
      </c>
      <c r="K491" s="31" t="s">
        <v>919</v>
      </c>
      <c r="L491" s="1">
        <v>-0.38785999999999998</v>
      </c>
      <c r="M491" s="1">
        <v>0.37346000000000001</v>
      </c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</row>
    <row r="492" spans="1:35" x14ac:dyDescent="0.15">
      <c r="A492" s="31"/>
      <c r="B492" s="31">
        <v>1447</v>
      </c>
      <c r="C492" s="31" t="s">
        <v>54</v>
      </c>
      <c r="D492" s="27">
        <v>2338.8000000000002</v>
      </c>
      <c r="E492" s="1">
        <v>374.59</v>
      </c>
      <c r="F492" s="31"/>
      <c r="G492" s="31"/>
      <c r="H492" s="31"/>
      <c r="I492" s="31"/>
      <c r="J492" s="31">
        <v>491</v>
      </c>
      <c r="K492" s="31" t="s">
        <v>919</v>
      </c>
      <c r="L492" s="1">
        <v>-0.27984999999999999</v>
      </c>
      <c r="M492" s="1">
        <v>0.30612</v>
      </c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</row>
    <row r="493" spans="1:35" x14ac:dyDescent="0.15">
      <c r="A493" s="31"/>
      <c r="B493" s="31">
        <v>1448</v>
      </c>
      <c r="C493" s="31" t="s">
        <v>54</v>
      </c>
      <c r="D493" s="27">
        <v>2237.1999999999998</v>
      </c>
      <c r="E493" s="1">
        <v>402.39</v>
      </c>
      <c r="F493" s="31"/>
      <c r="G493" s="31"/>
      <c r="H493" s="31"/>
      <c r="I493" s="31"/>
      <c r="J493" s="31">
        <v>492</v>
      </c>
      <c r="K493" s="31" t="s">
        <v>919</v>
      </c>
      <c r="L493" s="1">
        <v>0.29438999999999999</v>
      </c>
      <c r="M493" s="1">
        <v>0.2777</v>
      </c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</row>
    <row r="494" spans="1:35" x14ac:dyDescent="0.15">
      <c r="A494" s="31"/>
      <c r="B494" s="31">
        <v>1449</v>
      </c>
      <c r="C494" s="31" t="s">
        <v>54</v>
      </c>
      <c r="D494" s="27">
        <v>2341.9</v>
      </c>
      <c r="E494" s="1">
        <v>568.41</v>
      </c>
      <c r="F494" s="31"/>
      <c r="G494" s="31"/>
      <c r="H494" s="31"/>
      <c r="I494" s="31"/>
      <c r="J494" s="31">
        <v>493</v>
      </c>
      <c r="K494" s="31" t="s">
        <v>919</v>
      </c>
      <c r="L494" s="1">
        <v>0.68059999999999998</v>
      </c>
      <c r="M494" s="1">
        <v>0.29083999999999999</v>
      </c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</row>
    <row r="495" spans="1:35" x14ac:dyDescent="0.15">
      <c r="A495" s="31"/>
      <c r="B495" s="31">
        <v>1450</v>
      </c>
      <c r="C495" s="31" t="s">
        <v>54</v>
      </c>
      <c r="D495" s="27">
        <v>2559.5</v>
      </c>
      <c r="E495" s="1">
        <v>790.31</v>
      </c>
      <c r="F495" s="31"/>
      <c r="G495" s="31"/>
      <c r="H495" s="31"/>
      <c r="I495" s="31"/>
      <c r="J495" s="31">
        <v>494</v>
      </c>
      <c r="K495" s="31" t="s">
        <v>919</v>
      </c>
      <c r="L495" s="1">
        <v>8.8341000000000003E-2</v>
      </c>
      <c r="M495" s="1">
        <v>0.30706</v>
      </c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</row>
    <row r="496" spans="1:35" x14ac:dyDescent="0.15">
      <c r="A496" s="31"/>
      <c r="B496" s="31">
        <v>1451</v>
      </c>
      <c r="C496" s="31" t="s">
        <v>54</v>
      </c>
      <c r="D496" s="27">
        <v>2649.5</v>
      </c>
      <c r="E496" s="1">
        <v>316.79000000000002</v>
      </c>
      <c r="F496" s="31"/>
      <c r="G496" s="31"/>
      <c r="H496" s="31"/>
      <c r="I496" s="31"/>
      <c r="J496" s="31">
        <v>495</v>
      </c>
      <c r="K496" s="31" t="s">
        <v>919</v>
      </c>
      <c r="L496" s="1">
        <v>-6.5734000000000001E-2</v>
      </c>
      <c r="M496" s="1">
        <v>0.28592000000000001</v>
      </c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</row>
    <row r="497" spans="1:35" x14ac:dyDescent="0.15">
      <c r="A497" s="31"/>
      <c r="B497" s="31">
        <v>1452</v>
      </c>
      <c r="C497" s="31" t="s">
        <v>54</v>
      </c>
      <c r="D497" s="27">
        <v>2573.9</v>
      </c>
      <c r="E497" s="1">
        <v>363.88</v>
      </c>
      <c r="F497" s="31"/>
      <c r="G497" s="31"/>
      <c r="H497" s="31"/>
      <c r="I497" s="31"/>
      <c r="J497" s="31">
        <v>496</v>
      </c>
      <c r="K497" s="31" t="s">
        <v>919</v>
      </c>
      <c r="L497" s="1">
        <v>4.3722999999999998E-2</v>
      </c>
      <c r="M497" s="1">
        <v>0.28833999999999999</v>
      </c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</row>
    <row r="498" spans="1:35" x14ac:dyDescent="0.15">
      <c r="A498" s="31"/>
      <c r="B498" s="31">
        <v>1453</v>
      </c>
      <c r="C498" s="31" t="s">
        <v>54</v>
      </c>
      <c r="D498" s="27">
        <v>2285.6999999999998</v>
      </c>
      <c r="E498" s="1">
        <v>373.83</v>
      </c>
      <c r="F498" s="31"/>
      <c r="G498" s="31"/>
      <c r="H498" s="31"/>
      <c r="I498" s="31"/>
      <c r="J498" s="31">
        <v>497</v>
      </c>
      <c r="K498" s="31" t="s">
        <v>919</v>
      </c>
      <c r="L498" s="1">
        <v>0.12923999999999999</v>
      </c>
      <c r="M498" s="1">
        <v>0.31727</v>
      </c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</row>
    <row r="499" spans="1:35" x14ac:dyDescent="0.15">
      <c r="A499" s="31"/>
      <c r="B499" s="31">
        <v>1454</v>
      </c>
      <c r="C499" s="31" t="s">
        <v>54</v>
      </c>
      <c r="D499" s="27">
        <v>2167.4</v>
      </c>
      <c r="E499" s="1">
        <v>399.19</v>
      </c>
      <c r="F499" s="31"/>
      <c r="G499" s="31"/>
      <c r="H499" s="31"/>
      <c r="I499" s="31"/>
      <c r="J499" s="31">
        <v>498</v>
      </c>
      <c r="K499" s="31" t="s">
        <v>919</v>
      </c>
      <c r="L499" s="1">
        <v>-2.0233000000000001E-2</v>
      </c>
      <c r="M499" s="1">
        <v>0.68837999999999999</v>
      </c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</row>
    <row r="500" spans="1:35" x14ac:dyDescent="0.15">
      <c r="A500" s="31"/>
      <c r="B500" s="31">
        <v>1455</v>
      </c>
      <c r="C500" s="31" t="s">
        <v>54</v>
      </c>
      <c r="D500" s="27">
        <v>2266.1</v>
      </c>
      <c r="E500" s="1">
        <v>563.74</v>
      </c>
      <c r="F500" s="31"/>
      <c r="G500" s="31"/>
      <c r="H500" s="31"/>
      <c r="I500" s="31"/>
      <c r="J500" s="31">
        <v>499</v>
      </c>
      <c r="K500" s="31" t="s">
        <v>919</v>
      </c>
      <c r="L500" s="1">
        <v>0.64027999999999996</v>
      </c>
      <c r="M500" s="1">
        <v>0.46453</v>
      </c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</row>
    <row r="501" spans="1:35" x14ac:dyDescent="0.15">
      <c r="A501" s="31"/>
      <c r="B501" s="31">
        <v>1456</v>
      </c>
      <c r="C501" s="31" t="s">
        <v>54</v>
      </c>
      <c r="D501" s="27">
        <v>2477.4</v>
      </c>
      <c r="E501" s="1">
        <v>780.72</v>
      </c>
      <c r="F501" s="31"/>
      <c r="G501" s="31"/>
      <c r="H501" s="31"/>
      <c r="I501" s="31"/>
      <c r="J501" s="31">
        <v>500</v>
      </c>
      <c r="K501" s="31" t="s">
        <v>919</v>
      </c>
      <c r="L501" s="1">
        <v>-1.8872E-2</v>
      </c>
      <c r="M501" s="1">
        <v>0.36529</v>
      </c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</row>
    <row r="502" spans="1:35" x14ac:dyDescent="0.15">
      <c r="A502" s="31"/>
      <c r="B502" s="31">
        <v>1457</v>
      </c>
      <c r="C502" s="31" t="s">
        <v>54</v>
      </c>
      <c r="D502" s="27">
        <v>2649.5</v>
      </c>
      <c r="E502" s="1">
        <v>316.79000000000002</v>
      </c>
      <c r="F502" s="31"/>
      <c r="G502" s="31"/>
      <c r="H502" s="31"/>
      <c r="I502" s="31"/>
      <c r="J502" s="31">
        <v>501</v>
      </c>
      <c r="K502" s="31" t="s">
        <v>919</v>
      </c>
      <c r="L502" s="1">
        <v>-7.5703999999999994E-2</v>
      </c>
      <c r="M502" s="1">
        <v>0.31706000000000001</v>
      </c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</row>
    <row r="503" spans="1:35" x14ac:dyDescent="0.15">
      <c r="A503" s="31"/>
      <c r="B503" s="31">
        <v>1458</v>
      </c>
      <c r="C503" s="31" t="s">
        <v>54</v>
      </c>
      <c r="D503" s="27">
        <v>2558.5</v>
      </c>
      <c r="E503" s="1">
        <v>364.43</v>
      </c>
      <c r="F503" s="31"/>
      <c r="G503" s="31"/>
      <c r="H503" s="31"/>
      <c r="I503" s="31"/>
      <c r="J503" s="31">
        <v>502</v>
      </c>
      <c r="K503" s="31" t="s">
        <v>919</v>
      </c>
      <c r="L503" s="1">
        <v>-0.31341999999999998</v>
      </c>
      <c r="M503" s="1">
        <v>0.28569</v>
      </c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</row>
    <row r="504" spans="1:35" x14ac:dyDescent="0.15">
      <c r="A504" s="31"/>
      <c r="B504" s="31">
        <v>1459</v>
      </c>
      <c r="C504" s="31" t="s">
        <v>54</v>
      </c>
      <c r="D504" s="27">
        <v>2233.1</v>
      </c>
      <c r="E504" s="1">
        <v>373.01</v>
      </c>
      <c r="F504" s="31"/>
      <c r="G504" s="31"/>
      <c r="H504" s="31"/>
      <c r="I504" s="31"/>
      <c r="J504" s="31">
        <v>503</v>
      </c>
      <c r="K504" s="31" t="s">
        <v>919</v>
      </c>
      <c r="L504" s="1">
        <v>-1.5310000000000001E-2</v>
      </c>
      <c r="M504" s="1">
        <v>0.27362999999999998</v>
      </c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</row>
    <row r="505" spans="1:35" x14ac:dyDescent="0.15">
      <c r="A505" s="31"/>
      <c r="B505" s="31">
        <v>1460</v>
      </c>
      <c r="C505" s="31" t="s">
        <v>54</v>
      </c>
      <c r="D505" s="27">
        <v>2099.6999999999998</v>
      </c>
      <c r="E505" s="1">
        <v>395.83</v>
      </c>
      <c r="F505" s="31"/>
      <c r="G505" s="31"/>
      <c r="H505" s="31"/>
      <c r="I505" s="31"/>
      <c r="J505" s="31">
        <v>504</v>
      </c>
      <c r="K505" s="31" t="s">
        <v>919</v>
      </c>
      <c r="L505" s="1">
        <v>-1.0692999999999999E-2</v>
      </c>
      <c r="M505" s="1">
        <v>0.28159000000000001</v>
      </c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</row>
    <row r="506" spans="1:35" x14ac:dyDescent="0.15">
      <c r="A506" s="31"/>
      <c r="B506" s="31">
        <v>1461</v>
      </c>
      <c r="C506" s="31" t="s">
        <v>54</v>
      </c>
      <c r="D506" s="27">
        <v>2193.6</v>
      </c>
      <c r="E506" s="1">
        <v>558.99</v>
      </c>
      <c r="F506" s="31"/>
      <c r="G506" s="31"/>
      <c r="H506" s="31"/>
      <c r="I506" s="31"/>
      <c r="J506" s="31">
        <v>505</v>
      </c>
      <c r="K506" s="31" t="s">
        <v>919</v>
      </c>
      <c r="L506" s="1">
        <v>-2.3498000000000002E-2</v>
      </c>
      <c r="M506" s="1">
        <v>0.29278999999999999</v>
      </c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</row>
    <row r="507" spans="1:35" x14ac:dyDescent="0.15">
      <c r="A507" s="31"/>
      <c r="B507" s="31">
        <v>1462</v>
      </c>
      <c r="C507" s="31" t="s">
        <v>54</v>
      </c>
      <c r="D507" s="27">
        <v>2399.3000000000002</v>
      </c>
      <c r="E507" s="1">
        <v>771.09</v>
      </c>
      <c r="F507" s="31"/>
      <c r="G507" s="31"/>
      <c r="H507" s="31"/>
      <c r="I507" s="31"/>
      <c r="J507" s="31">
        <v>506</v>
      </c>
      <c r="K507" s="31" t="s">
        <v>919</v>
      </c>
      <c r="L507" s="1">
        <v>-2.998E-2</v>
      </c>
      <c r="M507" s="1">
        <v>0.29046</v>
      </c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</row>
    <row r="508" spans="1:35" x14ac:dyDescent="0.15">
      <c r="A508" s="31"/>
      <c r="B508" s="31">
        <v>1463</v>
      </c>
      <c r="C508" s="31" t="s">
        <v>54</v>
      </c>
      <c r="D508" s="27">
        <v>2649.5</v>
      </c>
      <c r="E508" s="1">
        <v>316.79000000000002</v>
      </c>
      <c r="F508" s="31"/>
      <c r="G508" s="31"/>
      <c r="H508" s="31"/>
      <c r="I508" s="31"/>
      <c r="J508" s="31">
        <v>507</v>
      </c>
      <c r="K508" s="31" t="s">
        <v>919</v>
      </c>
      <c r="L508" s="1">
        <v>-0.13256999999999999</v>
      </c>
      <c r="M508" s="1">
        <v>0.30425000000000002</v>
      </c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</row>
    <row r="509" spans="1:35" x14ac:dyDescent="0.15">
      <c r="A509" s="31"/>
      <c r="B509" s="31">
        <v>1464</v>
      </c>
      <c r="C509" s="31" t="s">
        <v>54</v>
      </c>
      <c r="D509" s="27">
        <v>2542.9</v>
      </c>
      <c r="E509" s="1">
        <v>365.04</v>
      </c>
      <c r="F509" s="31"/>
      <c r="G509" s="31"/>
      <c r="H509" s="31"/>
      <c r="I509" s="31"/>
      <c r="J509" s="31">
        <v>508</v>
      </c>
      <c r="K509" s="31" t="s">
        <v>919</v>
      </c>
      <c r="L509" s="1">
        <v>-2.2938E-2</v>
      </c>
      <c r="M509" s="1">
        <v>0.68871000000000004</v>
      </c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</row>
    <row r="510" spans="1:35" x14ac:dyDescent="0.15">
      <c r="A510" s="31"/>
      <c r="B510" s="31">
        <v>1465</v>
      </c>
      <c r="C510" s="31" t="s">
        <v>54</v>
      </c>
      <c r="D510" s="27">
        <v>2180.9</v>
      </c>
      <c r="E510" s="1">
        <v>372.14</v>
      </c>
      <c r="F510" s="31"/>
      <c r="G510" s="31"/>
      <c r="H510" s="31"/>
      <c r="I510" s="31"/>
      <c r="J510" s="31">
        <v>509</v>
      </c>
      <c r="K510" s="31" t="s">
        <v>919</v>
      </c>
      <c r="L510" s="1">
        <v>-0.44519999999999998</v>
      </c>
      <c r="M510" s="1">
        <v>0.48414000000000001</v>
      </c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</row>
    <row r="511" spans="1:35" x14ac:dyDescent="0.15">
      <c r="A511" s="31"/>
      <c r="B511" s="31">
        <v>1466</v>
      </c>
      <c r="C511" s="31" t="s">
        <v>54</v>
      </c>
      <c r="D511" s="27">
        <v>2033.9</v>
      </c>
      <c r="E511" s="1">
        <v>392.32</v>
      </c>
      <c r="F511" s="31"/>
      <c r="G511" s="31"/>
      <c r="H511" s="31"/>
      <c r="I511" s="31"/>
      <c r="J511" s="31">
        <v>510</v>
      </c>
      <c r="K511" s="31" t="s">
        <v>919</v>
      </c>
      <c r="L511" s="1">
        <v>0.8226</v>
      </c>
      <c r="M511" s="1">
        <v>0.30686000000000002</v>
      </c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</row>
    <row r="512" spans="1:35" x14ac:dyDescent="0.15">
      <c r="A512" s="31"/>
      <c r="B512" s="31">
        <v>1467</v>
      </c>
      <c r="C512" s="31" t="s">
        <v>54</v>
      </c>
      <c r="D512" s="27">
        <v>2124.3000000000002</v>
      </c>
      <c r="E512" s="1">
        <v>554.17999999999995</v>
      </c>
      <c r="F512" s="31"/>
      <c r="G512" s="31"/>
      <c r="H512" s="31"/>
      <c r="I512" s="31"/>
      <c r="J512" s="31">
        <v>511</v>
      </c>
      <c r="K512" s="31" t="s">
        <v>919</v>
      </c>
      <c r="L512" s="1">
        <v>-7.1613999999999997E-2</v>
      </c>
      <c r="M512" s="1">
        <v>0.29603000000000002</v>
      </c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</row>
    <row r="513" spans="1:35" x14ac:dyDescent="0.15">
      <c r="A513" s="31"/>
      <c r="B513" s="31">
        <v>1468</v>
      </c>
      <c r="C513" s="31" t="s">
        <v>54</v>
      </c>
      <c r="D513" s="27">
        <v>2324.9</v>
      </c>
      <c r="E513" s="1">
        <v>761.45</v>
      </c>
      <c r="F513" s="31"/>
      <c r="G513" s="31"/>
      <c r="H513" s="31"/>
      <c r="I513" s="31"/>
      <c r="J513" s="31">
        <v>512</v>
      </c>
      <c r="K513" s="31" t="s">
        <v>919</v>
      </c>
      <c r="L513" s="1">
        <v>0.10119</v>
      </c>
      <c r="M513" s="1">
        <v>0.29160999999999998</v>
      </c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</row>
    <row r="514" spans="1:35" x14ac:dyDescent="0.15">
      <c r="A514" s="31"/>
      <c r="B514" s="31">
        <v>1469</v>
      </c>
      <c r="C514" s="31" t="s">
        <v>54</v>
      </c>
      <c r="D514" s="27">
        <v>2649.5</v>
      </c>
      <c r="E514" s="1">
        <v>316.79000000000002</v>
      </c>
      <c r="F514" s="31"/>
      <c r="G514" s="31"/>
      <c r="H514" s="31"/>
      <c r="I514" s="31"/>
      <c r="J514" s="31">
        <v>513</v>
      </c>
      <c r="K514" s="31" t="s">
        <v>919</v>
      </c>
      <c r="L514" s="1">
        <v>-0.14582999999999999</v>
      </c>
      <c r="M514" s="1">
        <v>0.28494000000000003</v>
      </c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</row>
    <row r="515" spans="1:35" x14ac:dyDescent="0.15">
      <c r="A515" s="31"/>
      <c r="B515" s="31">
        <v>1470</v>
      </c>
      <c r="C515" s="31" t="s">
        <v>54</v>
      </c>
      <c r="D515" s="27">
        <v>2527</v>
      </c>
      <c r="E515" s="1">
        <v>365.71</v>
      </c>
      <c r="F515" s="31"/>
      <c r="G515" s="31"/>
      <c r="H515" s="31"/>
      <c r="I515" s="31"/>
      <c r="J515" s="31">
        <v>514</v>
      </c>
      <c r="K515" s="31" t="s">
        <v>919</v>
      </c>
      <c r="L515" s="1">
        <v>3.9443999999999998E-3</v>
      </c>
      <c r="M515" s="1">
        <v>0.27650999999999998</v>
      </c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</row>
    <row r="516" spans="1:35" x14ac:dyDescent="0.15">
      <c r="A516" s="31"/>
      <c r="B516" s="31">
        <v>1471</v>
      </c>
      <c r="C516" s="31" t="s">
        <v>54</v>
      </c>
      <c r="D516" s="27">
        <v>2129.1</v>
      </c>
      <c r="E516" s="1">
        <v>371.2</v>
      </c>
      <c r="F516" s="31"/>
      <c r="G516" s="31"/>
      <c r="H516" s="31"/>
      <c r="I516" s="31"/>
      <c r="J516" s="31">
        <v>515</v>
      </c>
      <c r="K516" s="31" t="s">
        <v>919</v>
      </c>
      <c r="L516" s="1">
        <v>-2.036E-2</v>
      </c>
      <c r="M516" s="1">
        <v>0.28878999999999999</v>
      </c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</row>
    <row r="517" spans="1:35" x14ac:dyDescent="0.15">
      <c r="A517" s="31"/>
      <c r="B517" s="31">
        <v>1472</v>
      </c>
      <c r="C517" s="31" t="s">
        <v>54</v>
      </c>
      <c r="D517" s="27">
        <v>1970.2</v>
      </c>
      <c r="E517" s="1">
        <v>388.67</v>
      </c>
      <c r="F517" s="31"/>
      <c r="G517" s="31"/>
      <c r="H517" s="31"/>
      <c r="I517" s="31"/>
      <c r="J517" s="31">
        <v>516</v>
      </c>
      <c r="K517" s="31" t="s">
        <v>919</v>
      </c>
      <c r="L517" s="1">
        <v>-8.5488999999999996E-2</v>
      </c>
      <c r="M517" s="1">
        <v>0.30041000000000001</v>
      </c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</row>
    <row r="518" spans="1:35" x14ac:dyDescent="0.15">
      <c r="A518" s="31"/>
      <c r="B518" s="31">
        <v>1473</v>
      </c>
      <c r="C518" s="31" t="s">
        <v>54</v>
      </c>
      <c r="D518" s="27">
        <v>2058</v>
      </c>
      <c r="E518" s="1">
        <v>549.32000000000005</v>
      </c>
      <c r="F518" s="31"/>
      <c r="G518" s="31"/>
      <c r="H518" s="31"/>
      <c r="I518" s="31"/>
      <c r="J518" s="31">
        <v>517</v>
      </c>
      <c r="K518" s="31" t="s">
        <v>919</v>
      </c>
      <c r="L518" s="1">
        <v>-0.1363</v>
      </c>
      <c r="M518" s="1">
        <v>0.29530000000000001</v>
      </c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</row>
    <row r="519" spans="1:35" x14ac:dyDescent="0.15">
      <c r="A519" s="31"/>
      <c r="B519" s="31">
        <v>1474</v>
      </c>
      <c r="C519" s="31" t="s">
        <v>54</v>
      </c>
      <c r="D519" s="27">
        <v>2253.9</v>
      </c>
      <c r="E519" s="1">
        <v>751.8</v>
      </c>
      <c r="F519" s="31"/>
      <c r="G519" s="31"/>
      <c r="H519" s="31"/>
      <c r="I519" s="31"/>
      <c r="J519" s="31">
        <v>518</v>
      </c>
      <c r="K519" s="31" t="s">
        <v>919</v>
      </c>
      <c r="L519" s="1">
        <v>-1.9968E-2</v>
      </c>
      <c r="M519" s="1">
        <v>0.68889</v>
      </c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</row>
    <row r="520" spans="1:35" x14ac:dyDescent="0.15">
      <c r="A520" s="31"/>
      <c r="B520" s="31">
        <v>1475</v>
      </c>
      <c r="C520" s="31" t="s">
        <v>54</v>
      </c>
      <c r="D520" s="27">
        <v>2649.5</v>
      </c>
      <c r="E520" s="1">
        <v>316.79000000000002</v>
      </c>
      <c r="F520" s="31"/>
      <c r="G520" s="31"/>
      <c r="H520" s="31"/>
      <c r="I520" s="31"/>
      <c r="J520" s="31">
        <v>519</v>
      </c>
      <c r="K520" s="31" t="s">
        <v>919</v>
      </c>
      <c r="L520" s="1">
        <v>-0.26135999999999998</v>
      </c>
      <c r="M520" s="1">
        <v>0.53120999999999996</v>
      </c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</row>
    <row r="521" spans="1:35" x14ac:dyDescent="0.15">
      <c r="A521" s="31"/>
      <c r="B521" s="31">
        <v>1476</v>
      </c>
      <c r="C521" s="31" t="s">
        <v>54</v>
      </c>
      <c r="D521" s="27">
        <v>2510.8000000000002</v>
      </c>
      <c r="E521" s="1">
        <v>366.44</v>
      </c>
      <c r="F521" s="31"/>
      <c r="G521" s="31"/>
      <c r="H521" s="31"/>
      <c r="I521" s="31"/>
      <c r="J521" s="31">
        <v>520</v>
      </c>
      <c r="K521" s="31" t="s">
        <v>919</v>
      </c>
      <c r="L521" s="1">
        <v>-0.77619000000000005</v>
      </c>
      <c r="M521" s="1">
        <v>0.33056999999999997</v>
      </c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</row>
    <row r="522" spans="1:35" x14ac:dyDescent="0.15">
      <c r="A522" s="31"/>
      <c r="B522" s="31">
        <v>1477</v>
      </c>
      <c r="C522" s="31" t="s">
        <v>54</v>
      </c>
      <c r="D522" s="27">
        <v>2077.6999999999998</v>
      </c>
      <c r="E522" s="1">
        <v>370.19</v>
      </c>
      <c r="F522" s="31"/>
      <c r="G522" s="31"/>
      <c r="H522" s="31"/>
      <c r="I522" s="31"/>
      <c r="J522" s="31">
        <v>521</v>
      </c>
      <c r="K522" s="31" t="s">
        <v>919</v>
      </c>
      <c r="L522" s="1">
        <v>0.85631000000000002</v>
      </c>
      <c r="M522" s="1">
        <v>0.28311999999999998</v>
      </c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</row>
    <row r="523" spans="1:35" x14ac:dyDescent="0.15">
      <c r="A523" s="31"/>
      <c r="B523" s="31">
        <v>1478</v>
      </c>
      <c r="C523" s="31" t="s">
        <v>54</v>
      </c>
      <c r="D523" s="27">
        <v>1908.4</v>
      </c>
      <c r="E523" s="1">
        <v>384.9</v>
      </c>
      <c r="F523" s="31"/>
      <c r="G523" s="31"/>
      <c r="H523" s="31"/>
      <c r="I523" s="31"/>
      <c r="J523" s="31">
        <v>522</v>
      </c>
      <c r="K523" s="31" t="s">
        <v>919</v>
      </c>
      <c r="L523" s="1">
        <v>2.3925999999999999E-2</v>
      </c>
      <c r="M523" s="1">
        <v>0.28992000000000001</v>
      </c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</row>
    <row r="524" spans="1:35" x14ac:dyDescent="0.15">
      <c r="A524" s="31"/>
      <c r="B524" s="31">
        <v>1479</v>
      </c>
      <c r="C524" s="31" t="s">
        <v>54</v>
      </c>
      <c r="D524" s="27">
        <v>1994.7</v>
      </c>
      <c r="E524" s="1">
        <v>544.42999999999995</v>
      </c>
      <c r="F524" s="31"/>
      <c r="G524" s="31"/>
      <c r="H524" s="31"/>
      <c r="I524" s="31"/>
      <c r="J524" s="31">
        <v>523</v>
      </c>
      <c r="K524" s="31" t="s">
        <v>919</v>
      </c>
      <c r="L524" s="1">
        <v>-0.13009999999999999</v>
      </c>
      <c r="M524" s="1">
        <v>0.30929000000000001</v>
      </c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</row>
    <row r="525" spans="1:35" x14ac:dyDescent="0.15">
      <c r="A525" s="31"/>
      <c r="B525" s="31">
        <v>1480</v>
      </c>
      <c r="C525" s="31" t="s">
        <v>54</v>
      </c>
      <c r="D525" s="27">
        <v>2186.1999999999998</v>
      </c>
      <c r="E525" s="1">
        <v>742.17</v>
      </c>
      <c r="F525" s="31"/>
      <c r="G525" s="31"/>
      <c r="H525" s="31"/>
      <c r="I525" s="31"/>
      <c r="J525" s="31">
        <v>524</v>
      </c>
      <c r="K525" s="31" t="s">
        <v>919</v>
      </c>
      <c r="L525" s="1">
        <v>1.9217999999999999E-2</v>
      </c>
      <c r="M525" s="1">
        <v>0.29548000000000002</v>
      </c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</row>
    <row r="526" spans="1:35" x14ac:dyDescent="0.15">
      <c r="A526" s="31"/>
      <c r="B526" s="31">
        <v>1481</v>
      </c>
      <c r="C526" s="31" t="s">
        <v>54</v>
      </c>
      <c r="D526" s="27">
        <v>2649.5</v>
      </c>
      <c r="E526" s="1">
        <v>316.79000000000002</v>
      </c>
      <c r="F526" s="31"/>
      <c r="G526" s="31"/>
      <c r="H526" s="31"/>
      <c r="I526" s="31"/>
      <c r="J526" s="31">
        <v>525</v>
      </c>
      <c r="K526" s="31" t="s">
        <v>919</v>
      </c>
      <c r="L526" s="1">
        <v>4.6281000000000003E-2</v>
      </c>
      <c r="M526" s="1">
        <v>0.28961999999999999</v>
      </c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</row>
    <row r="527" spans="1:35" x14ac:dyDescent="0.15">
      <c r="A527" s="31"/>
      <c r="B527" s="31">
        <v>1482</v>
      </c>
      <c r="C527" s="31" t="s">
        <v>54</v>
      </c>
      <c r="D527" s="27">
        <v>2494.3000000000002</v>
      </c>
      <c r="E527" s="1">
        <v>367.25</v>
      </c>
      <c r="F527" s="31"/>
      <c r="G527" s="31"/>
      <c r="H527" s="31"/>
      <c r="I527" s="31"/>
      <c r="J527" s="31">
        <v>526</v>
      </c>
      <c r="K527" s="31" t="s">
        <v>919</v>
      </c>
      <c r="L527" s="1">
        <v>8.1277000000000002E-2</v>
      </c>
      <c r="M527" s="1">
        <v>0.30336000000000002</v>
      </c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</row>
    <row r="528" spans="1:35" x14ac:dyDescent="0.15">
      <c r="A528" s="31"/>
      <c r="B528" s="31">
        <v>1483</v>
      </c>
      <c r="C528" s="31" t="s">
        <v>54</v>
      </c>
      <c r="D528" s="27">
        <v>2026.8</v>
      </c>
      <c r="E528" s="1">
        <v>369.12</v>
      </c>
      <c r="F528" s="31"/>
      <c r="G528" s="31"/>
      <c r="H528" s="31"/>
      <c r="I528" s="31"/>
      <c r="J528" s="31">
        <v>527</v>
      </c>
      <c r="K528" s="31" t="s">
        <v>919</v>
      </c>
      <c r="L528" s="1">
        <v>0.16061</v>
      </c>
      <c r="M528" s="1">
        <v>0.31478</v>
      </c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</row>
    <row r="529" spans="1:35" x14ac:dyDescent="0.15">
      <c r="A529" s="31"/>
      <c r="B529" s="31">
        <v>1484</v>
      </c>
      <c r="C529" s="31" t="s">
        <v>54</v>
      </c>
      <c r="D529" s="27">
        <v>1848.5</v>
      </c>
      <c r="E529" s="1">
        <v>381.01</v>
      </c>
      <c r="F529" s="31"/>
      <c r="G529" s="31"/>
      <c r="H529" s="31"/>
      <c r="I529" s="31"/>
      <c r="J529" s="31">
        <v>528</v>
      </c>
      <c r="K529" s="31" t="s">
        <v>919</v>
      </c>
      <c r="L529" s="1">
        <v>-1.9692000000000001E-2</v>
      </c>
      <c r="M529" s="1">
        <v>0.68889</v>
      </c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</row>
    <row r="530" spans="1:35" x14ac:dyDescent="0.15">
      <c r="A530" s="31"/>
      <c r="B530" s="31">
        <v>1485</v>
      </c>
      <c r="C530" s="31" t="s">
        <v>54</v>
      </c>
      <c r="D530" s="27">
        <v>1934.1</v>
      </c>
      <c r="E530" s="1">
        <v>539.54</v>
      </c>
      <c r="F530" s="31"/>
      <c r="G530" s="31"/>
      <c r="H530" s="31"/>
      <c r="I530" s="31"/>
      <c r="J530" s="31">
        <v>529</v>
      </c>
      <c r="K530" s="31" t="s">
        <v>919</v>
      </c>
      <c r="L530" s="1">
        <v>0.21346000000000001</v>
      </c>
      <c r="M530" s="1">
        <v>0.60377000000000003</v>
      </c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</row>
    <row r="531" spans="1:35" x14ac:dyDescent="0.15">
      <c r="A531" s="31"/>
      <c r="B531" s="31">
        <v>1486</v>
      </c>
      <c r="C531" s="31" t="s">
        <v>54</v>
      </c>
      <c r="D531" s="27">
        <v>2121.5</v>
      </c>
      <c r="E531" s="1">
        <v>732.55</v>
      </c>
      <c r="F531" s="31"/>
      <c r="G531" s="31"/>
      <c r="H531" s="31"/>
      <c r="I531" s="31"/>
      <c r="J531" s="31">
        <v>530</v>
      </c>
      <c r="K531" s="31" t="s">
        <v>919</v>
      </c>
      <c r="L531" s="1">
        <v>2.9790000000000001E-2</v>
      </c>
      <c r="M531" s="1">
        <v>0.37995000000000001</v>
      </c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</row>
    <row r="532" spans="1:35" x14ac:dyDescent="0.15">
      <c r="A532" s="31"/>
      <c r="B532" s="31">
        <v>1487</v>
      </c>
      <c r="C532" s="31" t="s">
        <v>54</v>
      </c>
      <c r="D532" s="27">
        <v>2649.5</v>
      </c>
      <c r="E532" s="1">
        <v>316.79000000000002</v>
      </c>
      <c r="F532" s="31"/>
      <c r="G532" s="31"/>
      <c r="H532" s="31"/>
      <c r="I532" s="31"/>
      <c r="J532" s="31">
        <v>531</v>
      </c>
      <c r="K532" s="31" t="s">
        <v>919</v>
      </c>
      <c r="L532" s="1">
        <v>-0.36336000000000002</v>
      </c>
      <c r="M532" s="1">
        <v>0.28684999999999999</v>
      </c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</row>
    <row r="533" spans="1:35" x14ac:dyDescent="0.15">
      <c r="A533" s="31"/>
      <c r="B533" s="31">
        <v>1488</v>
      </c>
      <c r="C533" s="31" t="s">
        <v>54</v>
      </c>
      <c r="D533" s="27">
        <v>2477.5</v>
      </c>
      <c r="E533" s="1">
        <v>368.13</v>
      </c>
      <c r="F533" s="31"/>
      <c r="G533" s="31"/>
      <c r="H533" s="31"/>
      <c r="I533" s="31"/>
      <c r="J533" s="31">
        <v>532</v>
      </c>
      <c r="K533" s="31" t="s">
        <v>919</v>
      </c>
      <c r="L533" s="1">
        <v>0.46178999999999998</v>
      </c>
      <c r="M533" s="1">
        <v>0.28372999999999998</v>
      </c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</row>
    <row r="534" spans="1:35" x14ac:dyDescent="0.15">
      <c r="A534" s="31"/>
      <c r="B534" s="31">
        <v>1489</v>
      </c>
      <c r="C534" s="31" t="s">
        <v>54</v>
      </c>
      <c r="D534" s="27">
        <v>1976.3</v>
      </c>
      <c r="E534" s="1">
        <v>367.97</v>
      </c>
      <c r="F534" s="31"/>
      <c r="G534" s="31"/>
      <c r="H534" s="31"/>
      <c r="I534" s="31"/>
      <c r="J534" s="31">
        <v>533</v>
      </c>
      <c r="K534" s="31" t="s">
        <v>919</v>
      </c>
      <c r="L534" s="1">
        <v>0.28382000000000002</v>
      </c>
      <c r="M534" s="1">
        <v>0.30127999999999999</v>
      </c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</row>
    <row r="535" spans="1:35" x14ac:dyDescent="0.15">
      <c r="A535" s="31"/>
      <c r="B535" s="31">
        <v>1490</v>
      </c>
      <c r="C535" s="31" t="s">
        <v>54</v>
      </c>
      <c r="D535" s="27">
        <v>1790.4</v>
      </c>
      <c r="E535" s="1">
        <v>377.01</v>
      </c>
      <c r="F535" s="31"/>
      <c r="G535" s="31"/>
      <c r="H535" s="31"/>
      <c r="I535" s="31"/>
      <c r="J535" s="31">
        <v>534</v>
      </c>
      <c r="K535" s="31" t="s">
        <v>919</v>
      </c>
      <c r="L535" s="1">
        <v>-0.11121</v>
      </c>
      <c r="M535" s="1">
        <v>0.29981999999999998</v>
      </c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</row>
    <row r="536" spans="1:35" x14ac:dyDescent="0.15">
      <c r="A536" s="31"/>
      <c r="B536" s="31">
        <v>1491</v>
      </c>
      <c r="C536" s="31" t="s">
        <v>54</v>
      </c>
      <c r="D536" s="27">
        <v>1876.2</v>
      </c>
      <c r="E536" s="1">
        <v>534.64</v>
      </c>
      <c r="F536" s="31"/>
      <c r="G536" s="31"/>
      <c r="H536" s="31"/>
      <c r="I536" s="31"/>
      <c r="J536" s="31">
        <v>535</v>
      </c>
      <c r="K536" s="31" t="s">
        <v>919</v>
      </c>
      <c r="L536" s="1">
        <v>-0.18348</v>
      </c>
      <c r="M536" s="1">
        <v>0.29522999999999999</v>
      </c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</row>
    <row r="537" spans="1:35" x14ac:dyDescent="0.15">
      <c r="A537" s="31"/>
      <c r="B537" s="31">
        <v>1492</v>
      </c>
      <c r="C537" s="31" t="s">
        <v>54</v>
      </c>
      <c r="D537" s="27">
        <v>2059.5</v>
      </c>
      <c r="E537" s="1">
        <v>722.96</v>
      </c>
      <c r="F537" s="31"/>
      <c r="G537" s="31"/>
      <c r="H537" s="31"/>
      <c r="I537" s="31"/>
      <c r="J537" s="31">
        <v>536</v>
      </c>
      <c r="K537" s="31" t="s">
        <v>919</v>
      </c>
      <c r="L537" s="1">
        <v>-0.14557</v>
      </c>
      <c r="M537" s="1">
        <v>0.30479000000000001</v>
      </c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</row>
    <row r="538" spans="1:35" x14ac:dyDescent="0.15">
      <c r="A538" s="31"/>
      <c r="B538" s="31">
        <v>3</v>
      </c>
      <c r="C538" s="31" t="s">
        <v>184</v>
      </c>
      <c r="D538" s="27">
        <v>-1.4613</v>
      </c>
      <c r="E538" s="1">
        <v>8.4219000000000002E-2</v>
      </c>
      <c r="F538" s="31"/>
      <c r="G538" s="31"/>
      <c r="H538" s="31"/>
      <c r="I538" s="31"/>
      <c r="J538" s="31">
        <v>537</v>
      </c>
      <c r="K538" s="31" t="s">
        <v>919</v>
      </c>
      <c r="L538" s="1">
        <v>-0.16553999999999999</v>
      </c>
      <c r="M538" s="1">
        <v>0.32279000000000002</v>
      </c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</row>
    <row r="539" spans="1:35" x14ac:dyDescent="0.15">
      <c r="A539" s="31"/>
      <c r="B539" s="31">
        <v>75</v>
      </c>
      <c r="C539" s="31" t="s">
        <v>857</v>
      </c>
      <c r="D539" s="27">
        <v>0.26569999999999999</v>
      </c>
      <c r="E539" s="1">
        <v>0.14760999999999999</v>
      </c>
      <c r="F539" s="31"/>
      <c r="G539" s="31"/>
      <c r="H539" s="31"/>
      <c r="I539" s="31"/>
      <c r="J539" s="31">
        <v>538</v>
      </c>
      <c r="K539" s="31" t="s">
        <v>919</v>
      </c>
      <c r="L539" s="1">
        <v>-1.9674000000000001E-2</v>
      </c>
      <c r="M539" s="1">
        <v>0.68888000000000005</v>
      </c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</row>
    <row r="540" spans="1:35" x14ac:dyDescent="0.15">
      <c r="A540" s="31"/>
      <c r="B540" s="31">
        <v>76</v>
      </c>
      <c r="C540" s="31" t="s">
        <v>185</v>
      </c>
      <c r="D540" s="27">
        <v>-0.41335</v>
      </c>
      <c r="E540" s="1">
        <v>0.29698000000000002</v>
      </c>
      <c r="F540" s="31"/>
      <c r="G540" s="31"/>
      <c r="H540" s="31"/>
      <c r="I540" s="31"/>
      <c r="J540" s="31">
        <v>539</v>
      </c>
      <c r="K540" s="31" t="s">
        <v>919</v>
      </c>
      <c r="L540" s="1">
        <v>0.24795</v>
      </c>
      <c r="M540" s="1">
        <v>0.62131000000000003</v>
      </c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</row>
    <row r="541" spans="1:35" x14ac:dyDescent="0.15">
      <c r="A541" s="31"/>
      <c r="B541" s="31">
        <v>77</v>
      </c>
      <c r="C541" s="31" t="s">
        <v>185</v>
      </c>
      <c r="D541" s="27">
        <v>-0.57767999999999997</v>
      </c>
      <c r="E541" s="1">
        <v>0.21690000000000001</v>
      </c>
      <c r="F541" s="31"/>
      <c r="G541" s="31"/>
      <c r="H541" s="31"/>
      <c r="I541" s="31"/>
      <c r="J541" s="31">
        <v>540</v>
      </c>
      <c r="K541" s="31" t="s">
        <v>919</v>
      </c>
      <c r="L541" s="1">
        <v>0.69708000000000003</v>
      </c>
      <c r="M541" s="1">
        <v>0.41066999999999998</v>
      </c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</row>
    <row r="542" spans="1:35" x14ac:dyDescent="0.15">
      <c r="A542" s="31"/>
      <c r="B542" s="31">
        <v>78</v>
      </c>
      <c r="C542" s="31" t="s">
        <v>185</v>
      </c>
      <c r="D542" s="27">
        <v>-0.67913000000000001</v>
      </c>
      <c r="E542" s="1">
        <v>0.20596</v>
      </c>
      <c r="F542" s="31"/>
      <c r="G542" s="31"/>
      <c r="H542" s="31"/>
      <c r="I542" s="31"/>
      <c r="J542" s="31">
        <v>541</v>
      </c>
      <c r="K542" s="31" t="s">
        <v>919</v>
      </c>
      <c r="L542" s="1">
        <v>-0.13688</v>
      </c>
      <c r="M542" s="1">
        <v>0.30498999999999998</v>
      </c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</row>
    <row r="543" spans="1:35" x14ac:dyDescent="0.15">
      <c r="A543" s="31"/>
      <c r="B543" s="31">
        <v>79</v>
      </c>
      <c r="C543" s="31" t="s">
        <v>185</v>
      </c>
      <c r="D543" s="27">
        <v>-0.16281000000000001</v>
      </c>
      <c r="E543" s="1">
        <v>0.20247999999999999</v>
      </c>
      <c r="F543" s="31"/>
      <c r="G543" s="31"/>
      <c r="H543" s="31"/>
      <c r="I543" s="31"/>
      <c r="J543" s="31">
        <v>542</v>
      </c>
      <c r="K543" s="31" t="s">
        <v>919</v>
      </c>
      <c r="L543" s="1">
        <v>-0.35791000000000001</v>
      </c>
      <c r="M543" s="1">
        <v>0.28159000000000001</v>
      </c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</row>
    <row r="544" spans="1:35" x14ac:dyDescent="0.15">
      <c r="A544" s="31"/>
      <c r="B544" s="31">
        <v>80</v>
      </c>
      <c r="C544" s="31" t="s">
        <v>185</v>
      </c>
      <c r="D544" s="27">
        <v>-0.16603000000000001</v>
      </c>
      <c r="E544" s="1">
        <v>0.19475000000000001</v>
      </c>
      <c r="F544" s="31"/>
      <c r="G544" s="31"/>
      <c r="H544" s="31"/>
      <c r="I544" s="31"/>
      <c r="J544" s="31">
        <v>543</v>
      </c>
      <c r="K544" s="31" t="s">
        <v>919</v>
      </c>
      <c r="L544" s="1">
        <v>-0.14762</v>
      </c>
      <c r="M544" s="1">
        <v>0.28105000000000002</v>
      </c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</row>
    <row r="545" spans="1:35" x14ac:dyDescent="0.15">
      <c r="A545" s="31"/>
      <c r="B545" s="31">
        <v>81</v>
      </c>
      <c r="C545" s="31" t="s">
        <v>185</v>
      </c>
      <c r="D545" s="27">
        <v>-0.21243999999999999</v>
      </c>
      <c r="E545" s="1">
        <v>0.21443000000000001</v>
      </c>
      <c r="F545" s="31"/>
      <c r="G545" s="31"/>
      <c r="H545" s="31"/>
      <c r="I545" s="31"/>
      <c r="J545" s="31">
        <v>544</v>
      </c>
      <c r="K545" s="31" t="s">
        <v>919</v>
      </c>
      <c r="L545" s="1">
        <v>-8.5404999999999995E-2</v>
      </c>
      <c r="M545" s="1">
        <v>0.28641</v>
      </c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</row>
    <row r="546" spans="1:35" x14ac:dyDescent="0.15">
      <c r="A546" s="31"/>
      <c r="B546" s="31">
        <v>82</v>
      </c>
      <c r="C546" s="31" t="s">
        <v>185</v>
      </c>
      <c r="D546" s="27">
        <v>0.22145000000000001</v>
      </c>
      <c r="E546" s="1">
        <v>0.21551999999999999</v>
      </c>
      <c r="F546" s="31"/>
      <c r="G546" s="31"/>
      <c r="H546" s="31"/>
      <c r="I546" s="31"/>
      <c r="J546" s="31">
        <v>545</v>
      </c>
      <c r="K546" s="31" t="s">
        <v>919</v>
      </c>
      <c r="L546" s="1">
        <v>-5.3818999999999999E-2</v>
      </c>
      <c r="M546" s="1">
        <v>0.29718</v>
      </c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</row>
    <row r="547" spans="1:35" x14ac:dyDescent="0.15">
      <c r="A547" s="31"/>
      <c r="B547" s="31">
        <v>83</v>
      </c>
      <c r="C547" s="31" t="s">
        <v>185</v>
      </c>
      <c r="D547" s="27">
        <v>0.61212999999999995</v>
      </c>
      <c r="E547" s="1">
        <v>0.2162</v>
      </c>
      <c r="F547" s="31"/>
      <c r="G547" s="31"/>
      <c r="H547" s="31"/>
      <c r="I547" s="31"/>
      <c r="J547" s="31">
        <v>546</v>
      </c>
      <c r="K547" s="31" t="s">
        <v>919</v>
      </c>
      <c r="L547" s="1">
        <v>-8.6304000000000006E-2</v>
      </c>
      <c r="M547" s="1">
        <v>0.30687999999999999</v>
      </c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</row>
    <row r="548" spans="1:35" x14ac:dyDescent="0.15">
      <c r="A548" s="31"/>
      <c r="B548" s="31">
        <v>84</v>
      </c>
      <c r="C548" s="31" t="s">
        <v>185</v>
      </c>
      <c r="D548" s="27">
        <v>0.67147999999999997</v>
      </c>
      <c r="E548" s="1">
        <v>0.21485000000000001</v>
      </c>
      <c r="F548" s="31"/>
      <c r="G548" s="31"/>
      <c r="H548" s="31"/>
      <c r="I548" s="31"/>
      <c r="J548" s="31">
        <v>547</v>
      </c>
      <c r="K548" s="31" t="s">
        <v>919</v>
      </c>
      <c r="L548" s="1">
        <v>-5.7419999999999999E-2</v>
      </c>
      <c r="M548" s="1">
        <v>0.32423999999999997</v>
      </c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</row>
    <row r="549" spans="1:35" x14ac:dyDescent="0.15">
      <c r="A549" s="31"/>
      <c r="B549" s="31">
        <v>85</v>
      </c>
      <c r="C549" s="31" t="s">
        <v>185</v>
      </c>
      <c r="D549" s="27">
        <v>0.81952999999999998</v>
      </c>
      <c r="E549" s="1">
        <v>0.21476000000000001</v>
      </c>
      <c r="F549" s="31"/>
      <c r="G549" s="31"/>
      <c r="H549" s="31"/>
      <c r="I549" s="31"/>
      <c r="J549" s="31">
        <v>548</v>
      </c>
      <c r="K549" s="31" t="s">
        <v>919</v>
      </c>
      <c r="L549" s="1">
        <v>-1.8134999999999998E-2</v>
      </c>
      <c r="M549" s="1">
        <v>0.68862999999999996</v>
      </c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</row>
    <row r="550" spans="1:35" x14ac:dyDescent="0.15">
      <c r="A550" s="31"/>
      <c r="B550" s="31">
        <v>86</v>
      </c>
      <c r="C550" s="31" t="s">
        <v>185</v>
      </c>
      <c r="D550" s="27">
        <v>0.80508999999999997</v>
      </c>
      <c r="E550" s="1">
        <v>0.21506</v>
      </c>
      <c r="F550" s="31"/>
      <c r="G550" s="31"/>
      <c r="H550" s="31"/>
      <c r="I550" s="31"/>
      <c r="J550" s="31">
        <v>549</v>
      </c>
      <c r="K550" s="31" t="s">
        <v>919</v>
      </c>
      <c r="L550" s="1">
        <v>9.7247E-2</v>
      </c>
      <c r="M550" s="1">
        <v>0.62456999999999996</v>
      </c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</row>
    <row r="551" spans="1:35" x14ac:dyDescent="0.15">
      <c r="A551" s="31"/>
      <c r="B551" s="31">
        <v>87</v>
      </c>
      <c r="C551" s="31" t="s">
        <v>185</v>
      </c>
      <c r="D551" s="27">
        <v>0.65749999999999997</v>
      </c>
      <c r="E551" s="1">
        <v>0.20760999999999999</v>
      </c>
      <c r="F551" s="31"/>
      <c r="G551" s="31"/>
      <c r="H551" s="31"/>
      <c r="I551" s="31"/>
      <c r="J551" s="31">
        <v>550</v>
      </c>
      <c r="K551" s="31" t="s">
        <v>919</v>
      </c>
      <c r="L551" s="1">
        <v>-3.1535000000000001E-2</v>
      </c>
      <c r="M551" s="1">
        <v>0.41969000000000001</v>
      </c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</row>
    <row r="552" spans="1:35" x14ac:dyDescent="0.15">
      <c r="A552" s="31"/>
      <c r="B552" s="31">
        <v>88</v>
      </c>
      <c r="C552" s="31" t="s">
        <v>185</v>
      </c>
      <c r="D552" s="27">
        <v>0.51036000000000004</v>
      </c>
      <c r="E552" s="1">
        <v>0.19667999999999999</v>
      </c>
      <c r="F552" s="31"/>
      <c r="G552" s="31"/>
      <c r="H552" s="31"/>
      <c r="I552" s="31"/>
      <c r="J552" s="31">
        <v>551</v>
      </c>
      <c r="K552" s="31" t="s">
        <v>919</v>
      </c>
      <c r="L552" s="1">
        <v>-2.8729999999999999E-2</v>
      </c>
      <c r="M552" s="1">
        <v>0.32447999999999999</v>
      </c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</row>
    <row r="553" spans="1:35" x14ac:dyDescent="0.15">
      <c r="A553" s="31"/>
      <c r="B553" s="31">
        <v>89</v>
      </c>
      <c r="C553" s="31" t="s">
        <v>185</v>
      </c>
      <c r="D553" s="27">
        <v>0.30418000000000001</v>
      </c>
      <c r="E553" s="1">
        <v>0.23561000000000001</v>
      </c>
      <c r="F553" s="31"/>
      <c r="G553" s="31"/>
      <c r="H553" s="31"/>
      <c r="I553" s="31"/>
      <c r="J553" s="31">
        <v>552</v>
      </c>
      <c r="K553" s="31" t="s">
        <v>919</v>
      </c>
      <c r="L553" s="1">
        <v>-5.0908000000000002E-2</v>
      </c>
      <c r="M553" s="1">
        <v>0.28703000000000001</v>
      </c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</row>
    <row r="554" spans="1:35" x14ac:dyDescent="0.15">
      <c r="A554" s="31"/>
      <c r="B554" s="31">
        <v>90</v>
      </c>
      <c r="C554" s="31" t="s">
        <v>185</v>
      </c>
      <c r="D554" s="27">
        <v>0.33550000000000002</v>
      </c>
      <c r="E554" s="1">
        <v>0.26027</v>
      </c>
      <c r="F554" s="31"/>
      <c r="G554" s="31"/>
      <c r="H554" s="31"/>
      <c r="I554" s="31"/>
      <c r="J554" s="31">
        <v>553</v>
      </c>
      <c r="K554" s="31" t="s">
        <v>919</v>
      </c>
      <c r="L554" s="1">
        <v>6.6375000000000003E-2</v>
      </c>
      <c r="M554" s="1">
        <v>0.27831</v>
      </c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</row>
    <row r="555" spans="1:35" x14ac:dyDescent="0.15">
      <c r="A555" s="31"/>
      <c r="B555" s="31">
        <v>91</v>
      </c>
      <c r="C555" s="31" t="s">
        <v>185</v>
      </c>
      <c r="D555" s="27">
        <v>0.37119000000000002</v>
      </c>
      <c r="E555" s="1">
        <v>0.25902999999999998</v>
      </c>
      <c r="F555" s="31"/>
      <c r="G555" s="31"/>
      <c r="H555" s="31"/>
      <c r="I555" s="31"/>
      <c r="J555" s="31">
        <v>554</v>
      </c>
      <c r="K555" s="31" t="s">
        <v>919</v>
      </c>
      <c r="L555" s="1">
        <v>5.3419000000000001E-3</v>
      </c>
      <c r="M555" s="1">
        <v>0.28039999999999998</v>
      </c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</row>
    <row r="556" spans="1:35" x14ac:dyDescent="0.15">
      <c r="A556" s="31"/>
      <c r="B556" s="31">
        <v>92</v>
      </c>
      <c r="C556" s="31" t="s">
        <v>185</v>
      </c>
      <c r="D556" s="27">
        <v>0.32795999999999997</v>
      </c>
      <c r="E556" s="1">
        <v>0.22509999999999999</v>
      </c>
      <c r="F556" s="31"/>
      <c r="G556" s="31"/>
      <c r="H556" s="31"/>
      <c r="I556" s="31"/>
      <c r="J556" s="31">
        <v>555</v>
      </c>
      <c r="K556" s="31" t="s">
        <v>919</v>
      </c>
      <c r="L556" s="1">
        <v>-4.0634999999999998E-2</v>
      </c>
      <c r="M556" s="1">
        <v>0.29039999999999999</v>
      </c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</row>
    <row r="557" spans="1:35" x14ac:dyDescent="0.15">
      <c r="A557" s="31"/>
      <c r="B557" s="31">
        <v>93</v>
      </c>
      <c r="C557" s="31" t="s">
        <v>185</v>
      </c>
      <c r="D557" s="27">
        <v>0.10399</v>
      </c>
      <c r="E557" s="1">
        <v>0.31622</v>
      </c>
      <c r="F557" s="31"/>
      <c r="G557" s="31"/>
      <c r="H557" s="31"/>
      <c r="I557" s="31"/>
      <c r="J557" s="31">
        <v>556</v>
      </c>
      <c r="K557" s="31" t="s">
        <v>919</v>
      </c>
      <c r="L557" s="1">
        <v>-1.4557E-2</v>
      </c>
      <c r="M557" s="1">
        <v>0.30379</v>
      </c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</row>
    <row r="558" spans="1:35" x14ac:dyDescent="0.15">
      <c r="A558" s="31"/>
      <c r="B558" s="31">
        <v>94</v>
      </c>
      <c r="C558" s="31" t="s">
        <v>185</v>
      </c>
      <c r="D558" s="27">
        <v>-0.17324999999999999</v>
      </c>
      <c r="E558" s="1">
        <v>0.36257</v>
      </c>
      <c r="F558" s="31"/>
      <c r="G558" s="31"/>
      <c r="H558" s="31"/>
      <c r="I558" s="31"/>
      <c r="J558" s="31">
        <v>557</v>
      </c>
      <c r="K558" s="31" t="s">
        <v>919</v>
      </c>
      <c r="L558" s="1">
        <v>1.5535999999999999E-2</v>
      </c>
      <c r="M558" s="1">
        <v>0.31862000000000001</v>
      </c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</row>
    <row r="559" spans="1:35" x14ac:dyDescent="0.15">
      <c r="A559" s="31"/>
      <c r="B559" s="31">
        <v>95</v>
      </c>
      <c r="C559" s="31" t="s">
        <v>185</v>
      </c>
      <c r="D559" s="27">
        <v>-0.18076999999999999</v>
      </c>
      <c r="E559" s="1">
        <v>0.37522</v>
      </c>
      <c r="F559" s="31"/>
      <c r="G559" s="31"/>
      <c r="H559" s="31"/>
      <c r="I559" s="31"/>
      <c r="J559" s="31">
        <v>558</v>
      </c>
      <c r="K559" s="31" t="s">
        <v>919</v>
      </c>
      <c r="L559" s="1">
        <v>-3.1871999999999998E-2</v>
      </c>
      <c r="M559" s="1">
        <v>0.68823999999999996</v>
      </c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</row>
    <row r="560" spans="1:35" x14ac:dyDescent="0.15">
      <c r="A560" s="31"/>
      <c r="B560" s="31">
        <v>96</v>
      </c>
      <c r="C560" s="31" t="s">
        <v>185</v>
      </c>
      <c r="D560" s="27">
        <v>-0.15329999999999999</v>
      </c>
      <c r="E560" s="1">
        <v>0.36976999999999999</v>
      </c>
      <c r="F560" s="31"/>
      <c r="G560" s="31"/>
      <c r="H560" s="31"/>
      <c r="I560" s="31"/>
      <c r="J560" s="31">
        <v>559</v>
      </c>
      <c r="K560" s="31" t="s">
        <v>919</v>
      </c>
      <c r="L560" s="1">
        <v>-0.22628000000000001</v>
      </c>
      <c r="M560" s="1">
        <v>0.53522000000000003</v>
      </c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</row>
    <row r="561" spans="1:35" x14ac:dyDescent="0.15">
      <c r="A561" s="31"/>
      <c r="B561" s="31">
        <v>97</v>
      </c>
      <c r="C561" s="31" t="s">
        <v>185</v>
      </c>
      <c r="D561" s="27">
        <v>-0.11656</v>
      </c>
      <c r="E561" s="1">
        <v>0.37794</v>
      </c>
      <c r="F561" s="31"/>
      <c r="G561" s="31"/>
      <c r="H561" s="31"/>
      <c r="I561" s="31"/>
      <c r="J561" s="31">
        <v>560</v>
      </c>
      <c r="K561" s="31" t="s">
        <v>919</v>
      </c>
      <c r="L561" s="1">
        <v>-0.64685999999999999</v>
      </c>
      <c r="M561" s="1">
        <v>0.38683000000000001</v>
      </c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</row>
    <row r="562" spans="1:35" x14ac:dyDescent="0.15">
      <c r="A562" s="31"/>
      <c r="B562" s="31">
        <v>98</v>
      </c>
      <c r="C562" s="31" t="s">
        <v>185</v>
      </c>
      <c r="D562" s="27">
        <v>-0.25459999999999999</v>
      </c>
      <c r="E562" s="1">
        <v>0.33490999999999999</v>
      </c>
      <c r="F562" s="31"/>
      <c r="G562" s="31"/>
      <c r="H562" s="31"/>
      <c r="I562" s="31"/>
      <c r="J562" s="31">
        <v>561</v>
      </c>
      <c r="K562" s="31" t="s">
        <v>919</v>
      </c>
      <c r="L562" s="1">
        <v>2.9151E-2</v>
      </c>
      <c r="M562" s="1">
        <v>0.34294000000000002</v>
      </c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</row>
    <row r="563" spans="1:35" x14ac:dyDescent="0.15">
      <c r="A563" s="31"/>
      <c r="B563" s="31">
        <v>99</v>
      </c>
      <c r="C563" s="31" t="s">
        <v>185</v>
      </c>
      <c r="D563" s="27">
        <v>-0.56218999999999997</v>
      </c>
      <c r="E563" s="1">
        <v>0.30309000000000003</v>
      </c>
      <c r="F563" s="31"/>
      <c r="G563" s="31"/>
      <c r="H563" s="31"/>
      <c r="I563" s="31"/>
      <c r="J563" s="31">
        <v>562</v>
      </c>
      <c r="K563" s="31" t="s">
        <v>919</v>
      </c>
      <c r="L563" s="1">
        <v>3.6131000000000003E-2</v>
      </c>
      <c r="M563" s="1">
        <v>0.30303999999999998</v>
      </c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</row>
    <row r="564" spans="1:35" x14ac:dyDescent="0.15">
      <c r="A564" s="31"/>
      <c r="B564" s="31">
        <v>100</v>
      </c>
      <c r="C564" s="31" t="s">
        <v>185</v>
      </c>
      <c r="D564" s="27">
        <v>-0.49657000000000001</v>
      </c>
      <c r="E564" s="1">
        <v>0.15026</v>
      </c>
      <c r="F564" s="31"/>
      <c r="G564" s="31"/>
      <c r="H564" s="31"/>
      <c r="I564" s="31"/>
      <c r="J564" s="31">
        <v>563</v>
      </c>
      <c r="K564" s="31" t="s">
        <v>919</v>
      </c>
      <c r="L564" s="1">
        <v>0.11912</v>
      </c>
      <c r="M564" s="1">
        <v>0.27629999999999999</v>
      </c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</row>
    <row r="565" spans="1:35" x14ac:dyDescent="0.15">
      <c r="A565" s="31"/>
      <c r="B565" s="31">
        <v>101</v>
      </c>
      <c r="C565" s="31" t="s">
        <v>185</v>
      </c>
      <c r="D565" s="27">
        <v>-0.45038</v>
      </c>
      <c r="E565" s="1">
        <v>0.13704</v>
      </c>
      <c r="F565" s="31"/>
      <c r="G565" s="31"/>
      <c r="H565" s="31"/>
      <c r="I565" s="31"/>
      <c r="J565" s="31">
        <v>564</v>
      </c>
      <c r="K565" s="31" t="s">
        <v>919</v>
      </c>
      <c r="L565" s="1">
        <v>0.17418</v>
      </c>
      <c r="M565" s="1">
        <v>0.27528999999999998</v>
      </c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</row>
    <row r="566" spans="1:35" x14ac:dyDescent="0.15">
      <c r="A566" s="31"/>
      <c r="B566" s="31">
        <v>102</v>
      </c>
      <c r="C566" s="31" t="s">
        <v>185</v>
      </c>
      <c r="D566" s="27">
        <v>-0.13657</v>
      </c>
      <c r="E566" s="1">
        <v>0.12447999999999999</v>
      </c>
      <c r="F566" s="31"/>
      <c r="G566" s="31"/>
      <c r="H566" s="31"/>
      <c r="I566" s="31"/>
      <c r="J566" s="31">
        <v>565</v>
      </c>
      <c r="K566" s="31" t="s">
        <v>919</v>
      </c>
      <c r="L566" s="1">
        <v>0.16728999999999999</v>
      </c>
      <c r="M566" s="1">
        <v>0.28048000000000001</v>
      </c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</row>
    <row r="567" spans="1:35" x14ac:dyDescent="0.15">
      <c r="A567" s="31"/>
      <c r="B567" s="31">
        <v>103</v>
      </c>
      <c r="C567" s="31" t="s">
        <v>185</v>
      </c>
      <c r="D567" s="27">
        <v>6.4784999999999999E-3</v>
      </c>
      <c r="E567" s="1">
        <v>0.11592</v>
      </c>
      <c r="F567" s="31"/>
      <c r="G567" s="31"/>
      <c r="H567" s="31"/>
      <c r="I567" s="31"/>
      <c r="J567" s="31">
        <v>566</v>
      </c>
      <c r="K567" s="31" t="s">
        <v>919</v>
      </c>
      <c r="L567" s="1">
        <v>0.20804</v>
      </c>
      <c r="M567" s="1">
        <v>0.29399999999999998</v>
      </c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</row>
    <row r="568" spans="1:35" x14ac:dyDescent="0.15">
      <c r="A568" s="31"/>
      <c r="B568" s="31">
        <v>104</v>
      </c>
      <c r="C568" s="31" t="s">
        <v>185</v>
      </c>
      <c r="D568" s="27">
        <v>0.34118999999999999</v>
      </c>
      <c r="E568" s="1">
        <v>0.12157</v>
      </c>
      <c r="F568" s="31"/>
      <c r="G568" s="31"/>
      <c r="H568" s="31"/>
      <c r="I568" s="31"/>
      <c r="J568" s="31">
        <v>567</v>
      </c>
      <c r="K568" s="31" t="s">
        <v>919</v>
      </c>
      <c r="L568" s="1">
        <v>0.1711</v>
      </c>
      <c r="M568" s="1">
        <v>0.31239</v>
      </c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</row>
    <row r="569" spans="1:35" x14ac:dyDescent="0.15">
      <c r="A569" s="31"/>
      <c r="B569" s="31">
        <v>105</v>
      </c>
      <c r="C569" s="31" t="s">
        <v>185</v>
      </c>
      <c r="D569" s="27">
        <v>-0.17519000000000001</v>
      </c>
      <c r="E569" s="1">
        <v>0.13583000000000001</v>
      </c>
      <c r="F569" s="31"/>
      <c r="G569" s="31"/>
      <c r="H569" s="31"/>
      <c r="I569" s="31"/>
      <c r="J569" s="31">
        <v>568</v>
      </c>
      <c r="K569" s="31" t="s">
        <v>919</v>
      </c>
      <c r="L569" s="1">
        <v>-2.7268000000000001E-2</v>
      </c>
      <c r="M569" s="1">
        <v>0.68703000000000003</v>
      </c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</row>
    <row r="570" spans="1:35" x14ac:dyDescent="0.15">
      <c r="A570" s="31"/>
      <c r="B570" s="31">
        <v>106</v>
      </c>
      <c r="C570" s="31" t="s">
        <v>185</v>
      </c>
      <c r="D570" s="27">
        <v>-0.36015000000000003</v>
      </c>
      <c r="E570" s="1">
        <v>0.15112</v>
      </c>
      <c r="F570" s="31"/>
      <c r="G570" s="31"/>
      <c r="H570" s="31"/>
      <c r="I570" s="31"/>
      <c r="J570" s="31">
        <v>569</v>
      </c>
      <c r="K570" s="31" t="s">
        <v>919</v>
      </c>
      <c r="L570" s="1">
        <v>-0.38483000000000001</v>
      </c>
      <c r="M570" s="1">
        <v>0.48143000000000002</v>
      </c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</row>
    <row r="571" spans="1:35" x14ac:dyDescent="0.15">
      <c r="A571" s="31"/>
      <c r="B571" s="31">
        <v>107</v>
      </c>
      <c r="C571" s="31" t="s">
        <v>185</v>
      </c>
      <c r="D571" s="27">
        <v>-0.28355000000000002</v>
      </c>
      <c r="E571" s="1">
        <v>0.15039</v>
      </c>
      <c r="F571" s="31"/>
      <c r="G571" s="31"/>
      <c r="H571" s="31"/>
      <c r="I571" s="31"/>
      <c r="J571" s="31">
        <v>570</v>
      </c>
      <c r="K571" s="31" t="s">
        <v>919</v>
      </c>
      <c r="L571" s="1">
        <v>0.12901000000000001</v>
      </c>
      <c r="M571" s="1">
        <v>0.32695999999999997</v>
      </c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</row>
    <row r="572" spans="1:35" x14ac:dyDescent="0.15">
      <c r="A572" s="31"/>
      <c r="B572" s="31">
        <v>108</v>
      </c>
      <c r="C572" s="31" t="s">
        <v>185</v>
      </c>
      <c r="D572" s="27">
        <v>-3.7546000000000003E-2</v>
      </c>
      <c r="E572" s="1">
        <v>0.15271000000000001</v>
      </c>
      <c r="F572" s="31"/>
      <c r="G572" s="31"/>
      <c r="H572" s="31"/>
      <c r="I572" s="31"/>
      <c r="J572" s="31">
        <v>571</v>
      </c>
      <c r="K572" s="31" t="s">
        <v>919</v>
      </c>
      <c r="L572" s="1">
        <v>2.2023000000000001E-2</v>
      </c>
      <c r="M572" s="1">
        <v>0.32523999999999997</v>
      </c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</row>
    <row r="573" spans="1:35" x14ac:dyDescent="0.15">
      <c r="A573" s="31"/>
      <c r="B573" s="31">
        <v>109</v>
      </c>
      <c r="C573" s="31" t="s">
        <v>185</v>
      </c>
      <c r="D573" s="27">
        <v>-4.1903999999999997E-2</v>
      </c>
      <c r="E573" s="1">
        <v>0.18526000000000001</v>
      </c>
      <c r="F573" s="31"/>
      <c r="G573" s="31"/>
      <c r="H573" s="31"/>
      <c r="I573" s="31"/>
      <c r="J573" s="31">
        <v>572</v>
      </c>
      <c r="K573" s="31" t="s">
        <v>919</v>
      </c>
      <c r="L573" s="1">
        <v>-0.19943</v>
      </c>
      <c r="M573" s="1">
        <v>0.33198</v>
      </c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</row>
    <row r="574" spans="1:35" x14ac:dyDescent="0.15">
      <c r="A574" s="31"/>
      <c r="B574" s="31">
        <v>110</v>
      </c>
      <c r="C574" s="31" t="s">
        <v>185</v>
      </c>
      <c r="D574" s="27">
        <v>-0.14237</v>
      </c>
      <c r="E574" s="1">
        <v>0.16336999999999999</v>
      </c>
      <c r="F574" s="31"/>
      <c r="G574" s="31"/>
      <c r="H574" s="31"/>
      <c r="I574" s="31"/>
      <c r="J574" s="31">
        <v>573</v>
      </c>
      <c r="K574" s="31" t="s">
        <v>919</v>
      </c>
      <c r="L574" s="1">
        <v>-0.15215000000000001</v>
      </c>
      <c r="M574" s="1">
        <v>0.30997000000000002</v>
      </c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</row>
    <row r="575" spans="1:35" x14ac:dyDescent="0.15">
      <c r="A575" s="31"/>
      <c r="B575" s="31">
        <v>111</v>
      </c>
      <c r="C575" s="31" t="s">
        <v>185</v>
      </c>
      <c r="D575" s="27">
        <v>-0.51102000000000003</v>
      </c>
      <c r="E575" s="1">
        <v>0.12783</v>
      </c>
      <c r="F575" s="31"/>
      <c r="G575" s="31"/>
      <c r="H575" s="31"/>
      <c r="I575" s="31"/>
      <c r="J575" s="31">
        <v>574</v>
      </c>
      <c r="K575" s="31" t="s">
        <v>919</v>
      </c>
      <c r="L575" s="1">
        <v>1.9435999999999998E-2</v>
      </c>
      <c r="M575" s="1">
        <v>0.28397</v>
      </c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</row>
    <row r="576" spans="1:35" x14ac:dyDescent="0.15">
      <c r="A576" s="31"/>
      <c r="B576" s="31">
        <v>112</v>
      </c>
      <c r="C576" s="31" t="s">
        <v>185</v>
      </c>
      <c r="D576" s="27">
        <v>-0.36832999999999999</v>
      </c>
      <c r="E576" s="1">
        <v>0.12005</v>
      </c>
      <c r="F576" s="31"/>
      <c r="G576" s="31"/>
      <c r="H576" s="31"/>
      <c r="I576" s="31"/>
      <c r="J576" s="31">
        <v>575</v>
      </c>
      <c r="K576" s="31" t="s">
        <v>919</v>
      </c>
      <c r="L576" s="1">
        <v>0.11947000000000001</v>
      </c>
      <c r="M576" s="1">
        <v>0.2908</v>
      </c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</row>
    <row r="577" spans="1:35" x14ac:dyDescent="0.15">
      <c r="A577" s="31"/>
      <c r="B577" s="31">
        <v>113</v>
      </c>
      <c r="C577" s="31" t="s">
        <v>185</v>
      </c>
      <c r="D577" s="27">
        <v>-0.21093999999999999</v>
      </c>
      <c r="E577" s="1">
        <v>0.11917</v>
      </c>
      <c r="F577" s="31"/>
      <c r="G577" s="31"/>
      <c r="H577" s="31"/>
      <c r="I577" s="31"/>
      <c r="J577" s="31">
        <v>576</v>
      </c>
      <c r="K577" s="31" t="s">
        <v>919</v>
      </c>
      <c r="L577" s="1">
        <v>0.17963000000000001</v>
      </c>
      <c r="M577" s="1">
        <v>0.31624999999999998</v>
      </c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</row>
    <row r="578" spans="1:35" x14ac:dyDescent="0.15">
      <c r="A578" s="31"/>
      <c r="B578" s="31">
        <v>114</v>
      </c>
      <c r="C578" s="31" t="s">
        <v>185</v>
      </c>
      <c r="D578" s="27">
        <v>-6.8848999999999994E-2</v>
      </c>
      <c r="E578" s="1">
        <v>0.1089</v>
      </c>
      <c r="F578" s="31"/>
      <c r="G578" s="31"/>
      <c r="H578" s="31"/>
      <c r="I578" s="31"/>
      <c r="J578" s="31">
        <v>577</v>
      </c>
      <c r="K578" s="31" t="s">
        <v>919</v>
      </c>
      <c r="L578" s="1">
        <v>0.29410999999999998</v>
      </c>
      <c r="M578" s="1">
        <v>0.32267000000000001</v>
      </c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</row>
    <row r="579" spans="1:35" x14ac:dyDescent="0.15">
      <c r="A579" s="31"/>
      <c r="B579" s="31">
        <v>115</v>
      </c>
      <c r="C579" s="31" t="s">
        <v>185</v>
      </c>
      <c r="D579" s="27">
        <v>-6.4016000000000003E-2</v>
      </c>
      <c r="E579" s="1">
        <v>0.1143</v>
      </c>
      <c r="F579" s="31"/>
      <c r="G579" s="31"/>
      <c r="H579" s="31"/>
      <c r="I579" s="31"/>
      <c r="J579" s="31">
        <v>578</v>
      </c>
      <c r="K579" s="31" t="s">
        <v>919</v>
      </c>
      <c r="L579" s="1">
        <v>4.7371000000000003E-2</v>
      </c>
      <c r="M579" s="1">
        <v>0.71165999999999996</v>
      </c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</row>
    <row r="580" spans="1:35" x14ac:dyDescent="0.15">
      <c r="A580" s="31"/>
      <c r="B580" s="31">
        <v>116</v>
      </c>
      <c r="C580" s="31" t="s">
        <v>185</v>
      </c>
      <c r="D580" s="27">
        <v>-0.12517</v>
      </c>
      <c r="E580" s="1">
        <v>0.12670000000000001</v>
      </c>
      <c r="F580" s="31"/>
      <c r="G580" s="31"/>
      <c r="H580" s="31"/>
      <c r="I580" s="31"/>
      <c r="J580" s="31">
        <v>579</v>
      </c>
      <c r="K580" s="31" t="s">
        <v>919</v>
      </c>
      <c r="L580" s="1">
        <v>9.3769000000000005E-2</v>
      </c>
      <c r="M580" s="1">
        <v>0.4728</v>
      </c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</row>
    <row r="581" spans="1:35" x14ac:dyDescent="0.15">
      <c r="A581" s="31"/>
      <c r="B581" s="31">
        <v>117</v>
      </c>
      <c r="C581" s="31" t="s">
        <v>185</v>
      </c>
      <c r="D581" s="27">
        <v>-0.22727</v>
      </c>
      <c r="E581" s="1">
        <v>0.122</v>
      </c>
      <c r="F581" s="31"/>
      <c r="G581" s="31"/>
      <c r="H581" s="31"/>
      <c r="I581" s="31"/>
      <c r="J581" s="31">
        <v>580</v>
      </c>
      <c r="K581" s="31" t="s">
        <v>919</v>
      </c>
      <c r="L581" s="1">
        <v>-0.39929999999999999</v>
      </c>
      <c r="M581" s="1">
        <v>0.36456</v>
      </c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</row>
    <row r="582" spans="1:35" x14ac:dyDescent="0.15">
      <c r="A582" s="31"/>
      <c r="B582" s="31">
        <v>118</v>
      </c>
      <c r="C582" s="31" t="s">
        <v>185</v>
      </c>
      <c r="D582" s="27">
        <v>-5.7662E-3</v>
      </c>
      <c r="E582" s="1">
        <v>0.1197</v>
      </c>
      <c r="F582" s="31"/>
      <c r="G582" s="31"/>
      <c r="H582" s="31"/>
      <c r="I582" s="31"/>
      <c r="J582" s="31">
        <v>581</v>
      </c>
      <c r="K582" s="31" t="s">
        <v>919</v>
      </c>
      <c r="L582" s="1">
        <v>0.42917</v>
      </c>
      <c r="M582" s="1">
        <v>0.28505999999999998</v>
      </c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</row>
    <row r="583" spans="1:35" x14ac:dyDescent="0.15">
      <c r="A583" s="31"/>
      <c r="B583" s="31">
        <v>119</v>
      </c>
      <c r="C583" s="31" t="s">
        <v>185</v>
      </c>
      <c r="D583" s="27">
        <v>5.5912000000000003E-2</v>
      </c>
      <c r="E583" s="1">
        <v>0.11422</v>
      </c>
      <c r="F583" s="31"/>
      <c r="G583" s="31"/>
      <c r="H583" s="31"/>
      <c r="I583" s="31"/>
      <c r="J583" s="31">
        <v>582</v>
      </c>
      <c r="K583" s="31" t="s">
        <v>919</v>
      </c>
      <c r="L583" s="1">
        <v>0.27435999999999999</v>
      </c>
      <c r="M583" s="1">
        <v>0.32617000000000002</v>
      </c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</row>
    <row r="584" spans="1:35" x14ac:dyDescent="0.15">
      <c r="A584" s="31"/>
      <c r="B584" s="31">
        <v>120</v>
      </c>
      <c r="C584" s="31" t="s">
        <v>185</v>
      </c>
      <c r="D584" s="27">
        <v>0.14022999999999999</v>
      </c>
      <c r="E584" s="1">
        <v>0.11226</v>
      </c>
      <c r="F584" s="31"/>
      <c r="G584" s="31"/>
      <c r="H584" s="31"/>
      <c r="I584" s="31"/>
      <c r="J584" s="31">
        <v>583</v>
      </c>
      <c r="K584" s="31" t="s">
        <v>919</v>
      </c>
      <c r="L584" s="1">
        <v>-0.17502000000000001</v>
      </c>
      <c r="M584" s="1">
        <v>0.36137000000000002</v>
      </c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</row>
    <row r="585" spans="1:35" x14ac:dyDescent="0.15">
      <c r="A585" s="31"/>
      <c r="B585" s="31">
        <v>121</v>
      </c>
      <c r="C585" s="31" t="s">
        <v>185</v>
      </c>
      <c r="D585" s="27">
        <v>0.14204</v>
      </c>
      <c r="E585" s="1">
        <v>0.12936</v>
      </c>
      <c r="F585" s="31"/>
      <c r="G585" s="31"/>
      <c r="H585" s="31"/>
      <c r="I585" s="31"/>
      <c r="J585" s="31">
        <v>584</v>
      </c>
      <c r="K585" s="31" t="s">
        <v>919</v>
      </c>
      <c r="L585" s="1">
        <v>-0.12511</v>
      </c>
      <c r="M585" s="1">
        <v>0.35957</v>
      </c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</row>
    <row r="586" spans="1:35" x14ac:dyDescent="0.15">
      <c r="A586" s="31"/>
      <c r="B586" s="31">
        <v>122</v>
      </c>
      <c r="C586" s="31" t="s">
        <v>185</v>
      </c>
      <c r="D586" s="27">
        <v>-3.7775000000000003E-2</v>
      </c>
      <c r="E586" s="1">
        <v>0.13094</v>
      </c>
      <c r="F586" s="31"/>
      <c r="G586" s="31"/>
      <c r="H586" s="31"/>
      <c r="I586" s="31"/>
      <c r="J586" s="31">
        <v>585</v>
      </c>
      <c r="K586" s="31" t="s">
        <v>919</v>
      </c>
      <c r="L586" s="1">
        <v>-1.3831E-3</v>
      </c>
      <c r="M586" s="1">
        <v>0.31189</v>
      </c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</row>
    <row r="587" spans="1:35" x14ac:dyDescent="0.15">
      <c r="A587" s="31"/>
      <c r="B587" s="31">
        <v>123</v>
      </c>
      <c r="C587" s="31" t="s">
        <v>185</v>
      </c>
      <c r="D587" s="27">
        <v>0.34065000000000001</v>
      </c>
      <c r="E587" s="1">
        <v>0.14782999999999999</v>
      </c>
      <c r="F587" s="31"/>
      <c r="G587" s="31"/>
      <c r="H587" s="31"/>
      <c r="I587" s="31"/>
      <c r="J587" s="31">
        <v>586</v>
      </c>
      <c r="K587" s="31" t="s">
        <v>919</v>
      </c>
      <c r="L587" s="1">
        <v>-4.8294999999999998E-2</v>
      </c>
      <c r="M587" s="1">
        <v>0.32475999999999999</v>
      </c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</row>
    <row r="588" spans="1:35" x14ac:dyDescent="0.15">
      <c r="A588" s="31"/>
      <c r="B588" s="31">
        <v>124</v>
      </c>
      <c r="C588" s="31" t="s">
        <v>185</v>
      </c>
      <c r="D588" s="27">
        <v>0.37653999999999999</v>
      </c>
      <c r="E588" s="1">
        <v>0.19225999999999999</v>
      </c>
      <c r="F588" s="31"/>
      <c r="G588" s="31"/>
      <c r="H588" s="31"/>
      <c r="I588" s="31"/>
      <c r="J588" s="31">
        <v>587</v>
      </c>
      <c r="K588" s="31" t="s">
        <v>919</v>
      </c>
      <c r="L588" s="1">
        <v>-9.5563999999999996E-2</v>
      </c>
      <c r="M588" s="1">
        <v>0.32891999999999999</v>
      </c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</row>
    <row r="589" spans="1:35" x14ac:dyDescent="0.15">
      <c r="A589" s="31"/>
      <c r="B589" s="31">
        <v>125</v>
      </c>
      <c r="C589" s="31" t="s">
        <v>185</v>
      </c>
      <c r="D589" s="27">
        <v>0.25211</v>
      </c>
      <c r="E589" s="1">
        <v>0.36270999999999998</v>
      </c>
      <c r="F589" s="31"/>
      <c r="G589" s="31"/>
      <c r="H589" s="31"/>
      <c r="I589" s="31"/>
      <c r="J589" s="31">
        <v>588</v>
      </c>
      <c r="K589" s="31" t="s">
        <v>919</v>
      </c>
      <c r="L589" s="1">
        <v>2.1717E-2</v>
      </c>
      <c r="M589" s="1">
        <v>0.70506999999999997</v>
      </c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</row>
    <row r="590" spans="1:35" x14ac:dyDescent="0.15">
      <c r="A590" s="31"/>
      <c r="B590" s="31">
        <v>871</v>
      </c>
      <c r="C590" s="31" t="s">
        <v>8</v>
      </c>
      <c r="D590" s="27">
        <v>0.27978999999999998</v>
      </c>
      <c r="E590" s="1">
        <v>6.1717000000000001E-2</v>
      </c>
      <c r="F590" s="31"/>
      <c r="G590" s="31"/>
      <c r="H590" s="31"/>
      <c r="I590" s="31"/>
      <c r="J590" s="31">
        <v>589</v>
      </c>
      <c r="K590" s="31" t="s">
        <v>919</v>
      </c>
      <c r="L590" s="1">
        <v>1.2152E-2</v>
      </c>
      <c r="M590" s="1">
        <v>0.49724000000000002</v>
      </c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</row>
    <row r="591" spans="1:35" x14ac:dyDescent="0.15">
      <c r="A591" s="31"/>
      <c r="B591" s="31">
        <v>872</v>
      </c>
      <c r="C591" s="31" t="s">
        <v>220</v>
      </c>
      <c r="D591" s="27">
        <v>0.39268999999999998</v>
      </c>
      <c r="E591" s="1">
        <v>3.6560000000000002E-2</v>
      </c>
      <c r="F591" s="31"/>
      <c r="G591" s="31"/>
      <c r="H591" s="31"/>
      <c r="I591" s="31"/>
      <c r="J591" s="31">
        <v>590</v>
      </c>
      <c r="K591" s="31" t="s">
        <v>919</v>
      </c>
      <c r="L591" s="1">
        <v>-0.20269999999999999</v>
      </c>
      <c r="M591" s="1">
        <v>0.37356</v>
      </c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</row>
    <row r="592" spans="1:35" x14ac:dyDescent="0.15">
      <c r="A592" s="31"/>
      <c r="B592" s="31">
        <v>873</v>
      </c>
      <c r="C592" s="31" t="s">
        <v>221</v>
      </c>
      <c r="D592" s="27">
        <v>0.49895</v>
      </c>
      <c r="E592" s="1">
        <v>4.8432000000000003E-2</v>
      </c>
      <c r="F592" s="31"/>
      <c r="G592" s="31"/>
      <c r="H592" s="31"/>
      <c r="I592" s="31"/>
      <c r="J592" s="31">
        <v>591</v>
      </c>
      <c r="K592" s="31" t="s">
        <v>919</v>
      </c>
      <c r="L592" s="1">
        <v>-0.86251999999999995</v>
      </c>
      <c r="M592" s="1">
        <v>0.31653999999999999</v>
      </c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</row>
    <row r="593" spans="1:35" x14ac:dyDescent="0.15">
      <c r="A593" s="31"/>
      <c r="B593" s="31">
        <v>927</v>
      </c>
      <c r="C593" s="31" t="s">
        <v>239</v>
      </c>
      <c r="D593" s="27">
        <v>0.72987999999999997</v>
      </c>
      <c r="E593" s="1">
        <v>0.27945999999999999</v>
      </c>
      <c r="F593" s="31"/>
      <c r="G593" s="31"/>
      <c r="H593" s="31"/>
      <c r="I593" s="31"/>
      <c r="J593" s="31">
        <v>592</v>
      </c>
      <c r="K593" s="31" t="s">
        <v>919</v>
      </c>
      <c r="L593" s="1">
        <v>0.30871999999999999</v>
      </c>
      <c r="M593" s="1">
        <v>0.29577999999999999</v>
      </c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</row>
    <row r="594" spans="1:35" x14ac:dyDescent="0.15">
      <c r="A594" s="31"/>
      <c r="B594" s="31">
        <v>928</v>
      </c>
      <c r="C594" s="31" t="s">
        <v>60</v>
      </c>
      <c r="D594" s="27">
        <v>0.49315999999999999</v>
      </c>
      <c r="E594" s="1">
        <v>0.15619</v>
      </c>
      <c r="F594" s="31"/>
      <c r="G594" s="31"/>
      <c r="H594" s="31"/>
      <c r="I594" s="31"/>
      <c r="J594" s="31">
        <v>593</v>
      </c>
      <c r="K594" s="31" t="s">
        <v>919</v>
      </c>
      <c r="L594" s="1">
        <v>0.41443999999999998</v>
      </c>
      <c r="M594" s="1">
        <v>0.34377999999999997</v>
      </c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</row>
    <row r="595" spans="1:35" x14ac:dyDescent="0.15">
      <c r="A595" s="31"/>
      <c r="B595" s="31">
        <v>929</v>
      </c>
      <c r="C595" s="31" t="s">
        <v>65</v>
      </c>
      <c r="D595" s="27">
        <v>-0.31486999999999998</v>
      </c>
      <c r="E595" s="1">
        <v>0.38288</v>
      </c>
      <c r="F595" s="31"/>
      <c r="G595" s="31"/>
      <c r="H595" s="31"/>
      <c r="I595" s="31"/>
      <c r="J595" s="31">
        <v>594</v>
      </c>
      <c r="K595" s="31" t="s">
        <v>919</v>
      </c>
      <c r="L595" s="1">
        <v>0.2011</v>
      </c>
      <c r="M595" s="1">
        <v>0.35610000000000003</v>
      </c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</row>
    <row r="596" spans="1:35" x14ac:dyDescent="0.15">
      <c r="A596" s="31"/>
      <c r="B596" s="31">
        <v>930</v>
      </c>
      <c r="C596" s="31" t="s">
        <v>61</v>
      </c>
      <c r="D596" s="27">
        <v>-0.70692999999999995</v>
      </c>
      <c r="E596" s="1">
        <v>0.31670999999999999</v>
      </c>
      <c r="F596" s="31"/>
      <c r="G596" s="31"/>
      <c r="H596" s="31"/>
      <c r="I596" s="31"/>
      <c r="J596" s="31">
        <v>595</v>
      </c>
      <c r="K596" s="31" t="s">
        <v>919</v>
      </c>
      <c r="L596" s="1">
        <v>5.2635000000000001E-2</v>
      </c>
      <c r="M596" s="1">
        <v>0.31790000000000002</v>
      </c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</row>
    <row r="597" spans="1:35" x14ac:dyDescent="0.15">
      <c r="A597" s="31"/>
      <c r="B597" s="31">
        <v>931</v>
      </c>
      <c r="C597" s="31" t="s">
        <v>314</v>
      </c>
      <c r="D597" s="27">
        <v>0.69506999999999997</v>
      </c>
      <c r="E597" s="1">
        <v>5.8280999999999999E-2</v>
      </c>
      <c r="F597" s="31"/>
      <c r="G597" s="31"/>
      <c r="H597" s="31"/>
      <c r="I597" s="31"/>
      <c r="J597" s="31">
        <v>596</v>
      </c>
      <c r="K597" s="31" t="s">
        <v>919</v>
      </c>
      <c r="L597" s="1">
        <v>3.1675000000000002E-2</v>
      </c>
      <c r="M597" s="1">
        <v>0.30834</v>
      </c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</row>
    <row r="598" spans="1:35" x14ac:dyDescent="0.15">
      <c r="A598" s="31"/>
      <c r="B598" s="31">
        <v>932</v>
      </c>
      <c r="C598" s="31" t="s">
        <v>294</v>
      </c>
      <c r="D598" s="27">
        <v>0.40887000000000001</v>
      </c>
      <c r="E598" s="1">
        <v>0.21242</v>
      </c>
      <c r="F598" s="31"/>
      <c r="G598" s="31"/>
      <c r="H598" s="31"/>
      <c r="I598" s="31"/>
      <c r="J598" s="31">
        <v>597</v>
      </c>
      <c r="K598" s="31" t="s">
        <v>919</v>
      </c>
      <c r="L598" s="1">
        <v>2.2779000000000001E-2</v>
      </c>
      <c r="M598" s="1">
        <v>0.32040999999999997</v>
      </c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</row>
    <row r="599" spans="1:35" x14ac:dyDescent="0.15">
      <c r="A599" s="31"/>
      <c r="B599" s="31">
        <v>936</v>
      </c>
      <c r="C599" s="31" t="s">
        <v>833</v>
      </c>
      <c r="D599" s="27">
        <v>0.15246999999999999</v>
      </c>
      <c r="E599" s="1">
        <v>6.3968999999999998E-2</v>
      </c>
      <c r="F599" s="31"/>
      <c r="G599" s="31"/>
      <c r="H599" s="31"/>
      <c r="I599" s="31"/>
      <c r="J599" s="31">
        <v>598</v>
      </c>
      <c r="K599" s="31" t="s">
        <v>919</v>
      </c>
      <c r="L599" s="1">
        <v>1.9491999999999999E-2</v>
      </c>
      <c r="M599" s="1">
        <v>0.70855999999999997</v>
      </c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</row>
    <row r="600" spans="1:35" x14ac:dyDescent="0.15">
      <c r="A600" s="31"/>
      <c r="B600" s="31">
        <v>937</v>
      </c>
      <c r="C600" s="31" t="s">
        <v>833</v>
      </c>
      <c r="D600" s="27">
        <v>0.18471000000000001</v>
      </c>
      <c r="E600" s="1">
        <v>7.7603000000000005E-2</v>
      </c>
      <c r="F600" s="31"/>
      <c r="G600" s="31"/>
      <c r="H600" s="31"/>
      <c r="I600" s="31"/>
      <c r="J600" s="31">
        <v>599</v>
      </c>
      <c r="K600" s="31" t="s">
        <v>919</v>
      </c>
      <c r="L600" s="1">
        <v>1.7885000000000002E-2</v>
      </c>
      <c r="M600" s="1">
        <v>0.56779000000000002</v>
      </c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</row>
    <row r="601" spans="1:35" x14ac:dyDescent="0.15">
      <c r="A601" s="31"/>
      <c r="B601" s="31">
        <v>938</v>
      </c>
      <c r="C601" s="31" t="s">
        <v>833</v>
      </c>
      <c r="D601" s="27">
        <v>0.21759000000000001</v>
      </c>
      <c r="E601" s="1">
        <v>9.1544E-2</v>
      </c>
      <c r="F601" s="31"/>
      <c r="G601" s="31"/>
      <c r="H601" s="31"/>
      <c r="I601" s="31"/>
      <c r="J601" s="31">
        <v>600</v>
      </c>
      <c r="K601" s="31" t="s">
        <v>919</v>
      </c>
      <c r="L601" s="1">
        <v>0.41671000000000002</v>
      </c>
      <c r="M601" s="1">
        <v>0.36053000000000002</v>
      </c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</row>
    <row r="602" spans="1:35" x14ac:dyDescent="0.15">
      <c r="A602" s="31"/>
      <c r="B602" s="31">
        <v>939</v>
      </c>
      <c r="C602" s="31" t="s">
        <v>833</v>
      </c>
      <c r="D602" s="27">
        <v>0.25112000000000001</v>
      </c>
      <c r="E602" s="1">
        <v>0.10581</v>
      </c>
      <c r="F602" s="31"/>
      <c r="G602" s="31"/>
      <c r="H602" s="31"/>
      <c r="I602" s="31"/>
      <c r="J602" s="31">
        <v>601</v>
      </c>
      <c r="K602" s="31" t="s">
        <v>919</v>
      </c>
      <c r="L602" s="1">
        <v>0.26597999999999999</v>
      </c>
      <c r="M602" s="1">
        <v>0.32580999999999999</v>
      </c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</row>
    <row r="603" spans="1:35" x14ac:dyDescent="0.15">
      <c r="A603" s="31"/>
      <c r="B603" s="31">
        <v>940</v>
      </c>
      <c r="C603" s="31" t="s">
        <v>833</v>
      </c>
      <c r="D603" s="27">
        <v>0.28533999999999998</v>
      </c>
      <c r="E603" s="1">
        <v>0.12039999999999999</v>
      </c>
      <c r="F603" s="31"/>
      <c r="G603" s="31"/>
      <c r="H603" s="31"/>
      <c r="I603" s="31"/>
      <c r="J603" s="31">
        <v>602</v>
      </c>
      <c r="K603" s="31" t="s">
        <v>919</v>
      </c>
      <c r="L603" s="1">
        <v>-0.78178000000000003</v>
      </c>
      <c r="M603" s="1">
        <v>0.32184000000000001</v>
      </c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</row>
    <row r="604" spans="1:35" x14ac:dyDescent="0.15">
      <c r="A604" s="31"/>
      <c r="B604" s="31">
        <v>941</v>
      </c>
      <c r="C604" s="31" t="s">
        <v>833</v>
      </c>
      <c r="D604" s="27">
        <v>0.32027</v>
      </c>
      <c r="E604" s="1">
        <v>0.13535</v>
      </c>
      <c r="F604" s="31"/>
      <c r="G604" s="31"/>
      <c r="H604" s="31"/>
      <c r="I604" s="31"/>
      <c r="J604" s="31">
        <v>603</v>
      </c>
      <c r="K604" s="31" t="s">
        <v>919</v>
      </c>
      <c r="L604" s="1">
        <v>-0.13653999999999999</v>
      </c>
      <c r="M604" s="1">
        <v>0.31476999999999999</v>
      </c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</row>
    <row r="605" spans="1:35" x14ac:dyDescent="0.15">
      <c r="A605" s="31"/>
      <c r="B605" s="31">
        <v>942</v>
      </c>
      <c r="C605" s="31" t="s">
        <v>833</v>
      </c>
      <c r="D605" s="27">
        <v>0.35593000000000002</v>
      </c>
      <c r="E605" s="1">
        <v>0.15067</v>
      </c>
      <c r="F605" s="31"/>
      <c r="G605" s="31"/>
      <c r="H605" s="31"/>
      <c r="I605" s="31"/>
      <c r="J605" s="31">
        <v>604</v>
      </c>
      <c r="K605" s="31" t="s">
        <v>919</v>
      </c>
      <c r="L605" s="1">
        <v>3.9662000000000003E-2</v>
      </c>
      <c r="M605" s="1">
        <v>0.31286999999999998</v>
      </c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</row>
    <row r="606" spans="1:35" x14ac:dyDescent="0.15">
      <c r="A606" s="31"/>
      <c r="B606" s="31">
        <v>943</v>
      </c>
      <c r="C606" s="31" t="s">
        <v>833</v>
      </c>
      <c r="D606" s="27">
        <v>0.39235999999999999</v>
      </c>
      <c r="E606" s="1">
        <v>0.16636999999999999</v>
      </c>
      <c r="F606" s="31"/>
      <c r="G606" s="31"/>
      <c r="H606" s="31"/>
      <c r="I606" s="31"/>
      <c r="J606" s="31">
        <v>605</v>
      </c>
      <c r="K606" s="31" t="s">
        <v>919</v>
      </c>
      <c r="L606" s="1">
        <v>6.2545000000000003E-2</v>
      </c>
      <c r="M606" s="1">
        <v>0.31254999999999999</v>
      </c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</row>
    <row r="607" spans="1:35" x14ac:dyDescent="0.15">
      <c r="A607" s="31"/>
      <c r="B607" s="31">
        <v>944</v>
      </c>
      <c r="C607" s="31" t="s">
        <v>833</v>
      </c>
      <c r="D607" s="27">
        <v>0.42959000000000003</v>
      </c>
      <c r="E607" s="1">
        <v>0.18246999999999999</v>
      </c>
      <c r="F607" s="31"/>
      <c r="G607" s="31"/>
      <c r="H607" s="31"/>
      <c r="I607" s="31"/>
      <c r="J607" s="31">
        <v>606</v>
      </c>
      <c r="K607" s="31" t="s">
        <v>919</v>
      </c>
      <c r="L607" s="1">
        <v>5.1969000000000001E-2</v>
      </c>
      <c r="M607" s="1">
        <v>0.31516</v>
      </c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</row>
    <row r="608" spans="1:35" x14ac:dyDescent="0.15">
      <c r="A608" s="31"/>
      <c r="B608" s="31">
        <v>945</v>
      </c>
      <c r="C608" s="31" t="s">
        <v>833</v>
      </c>
      <c r="D608" s="27">
        <v>0.46765000000000001</v>
      </c>
      <c r="E608" s="1">
        <v>0.19900000000000001</v>
      </c>
      <c r="F608" s="31"/>
      <c r="G608" s="31"/>
      <c r="H608" s="31"/>
      <c r="I608" s="31"/>
      <c r="J608" s="31">
        <v>607</v>
      </c>
      <c r="K608" s="31" t="s">
        <v>919</v>
      </c>
      <c r="L608" s="1">
        <v>4.4081000000000002E-2</v>
      </c>
      <c r="M608" s="1">
        <v>0.33246999999999999</v>
      </c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</row>
    <row r="609" spans="1:35" x14ac:dyDescent="0.15">
      <c r="A609" s="31"/>
      <c r="B609" s="31">
        <v>946</v>
      </c>
      <c r="C609" s="31" t="s">
        <v>833</v>
      </c>
      <c r="D609" s="27">
        <v>0.50658000000000003</v>
      </c>
      <c r="E609" s="1">
        <v>0.21597</v>
      </c>
      <c r="F609" s="31"/>
      <c r="G609" s="31"/>
      <c r="H609" s="31"/>
      <c r="I609" s="31"/>
      <c r="J609" s="31">
        <v>608</v>
      </c>
      <c r="K609" s="31" t="s">
        <v>919</v>
      </c>
      <c r="L609" s="1">
        <v>2.4735E-2</v>
      </c>
      <c r="M609" s="1">
        <v>0.71314999999999995</v>
      </c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</row>
    <row r="610" spans="1:35" x14ac:dyDescent="0.15">
      <c r="A610" s="31"/>
      <c r="B610" s="31">
        <v>947</v>
      </c>
      <c r="C610" s="31" t="s">
        <v>833</v>
      </c>
      <c r="D610" s="27">
        <v>0.54642000000000002</v>
      </c>
      <c r="E610" s="1">
        <v>0.23341999999999999</v>
      </c>
      <c r="F610" s="31"/>
      <c r="G610" s="31"/>
      <c r="H610" s="31"/>
      <c r="I610" s="31"/>
      <c r="J610" s="31">
        <v>609</v>
      </c>
      <c r="K610" s="31" t="s">
        <v>919</v>
      </c>
      <c r="L610" s="1">
        <v>-0.46681</v>
      </c>
      <c r="M610" s="1">
        <v>0.58333000000000002</v>
      </c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</row>
    <row r="611" spans="1:35" x14ac:dyDescent="0.15">
      <c r="A611" s="31"/>
      <c r="B611" s="31">
        <v>948</v>
      </c>
      <c r="C611" s="31" t="s">
        <v>833</v>
      </c>
      <c r="D611" s="27">
        <v>0.58720000000000006</v>
      </c>
      <c r="E611" s="1">
        <v>0.25135000000000002</v>
      </c>
      <c r="F611" s="31"/>
      <c r="G611" s="31"/>
      <c r="H611" s="31"/>
      <c r="I611" s="31"/>
      <c r="J611" s="31">
        <v>610</v>
      </c>
      <c r="K611" s="31" t="s">
        <v>919</v>
      </c>
      <c r="L611" s="1">
        <v>-0.38633000000000001</v>
      </c>
      <c r="M611" s="1">
        <v>0.42068</v>
      </c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</row>
    <row r="612" spans="1:35" x14ac:dyDescent="0.15">
      <c r="A612" s="31"/>
      <c r="B612" s="31">
        <v>949</v>
      </c>
      <c r="C612" s="31" t="s">
        <v>833</v>
      </c>
      <c r="D612" s="27">
        <v>0.62895999999999996</v>
      </c>
      <c r="E612" s="1">
        <v>0.26979999999999998</v>
      </c>
      <c r="F612" s="31"/>
      <c r="G612" s="31"/>
      <c r="H612" s="31"/>
      <c r="I612" s="31"/>
      <c r="J612" s="31">
        <v>611</v>
      </c>
      <c r="K612" s="31" t="s">
        <v>919</v>
      </c>
      <c r="L612" s="1">
        <v>0.20519000000000001</v>
      </c>
      <c r="M612" s="1">
        <v>0.32969999999999999</v>
      </c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</row>
    <row r="613" spans="1:35" x14ac:dyDescent="0.15">
      <c r="A613" s="31"/>
      <c r="B613" s="31">
        <v>950</v>
      </c>
      <c r="C613" s="31" t="s">
        <v>833</v>
      </c>
      <c r="D613" s="27">
        <v>0.67176999999999998</v>
      </c>
      <c r="E613" s="1">
        <v>0.2888</v>
      </c>
      <c r="F613" s="31"/>
      <c r="G613" s="31"/>
      <c r="H613" s="31"/>
      <c r="I613" s="31"/>
      <c r="J613" s="31">
        <v>612</v>
      </c>
      <c r="K613" s="31" t="s">
        <v>919</v>
      </c>
      <c r="L613" s="1">
        <v>0.15448999999999999</v>
      </c>
      <c r="M613" s="1">
        <v>0.33589000000000002</v>
      </c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</row>
    <row r="614" spans="1:35" x14ac:dyDescent="0.15">
      <c r="A614" s="31"/>
      <c r="B614" s="31">
        <v>951</v>
      </c>
      <c r="C614" s="31" t="s">
        <v>833</v>
      </c>
      <c r="D614" s="27">
        <v>0.71565000000000001</v>
      </c>
      <c r="E614" s="1">
        <v>0.30837999999999999</v>
      </c>
      <c r="F614" s="31"/>
      <c r="G614" s="31"/>
      <c r="H614" s="31"/>
      <c r="I614" s="31"/>
      <c r="J614" s="31">
        <v>613</v>
      </c>
      <c r="K614" s="31" t="s">
        <v>919</v>
      </c>
      <c r="L614" s="1">
        <v>-0.13037000000000001</v>
      </c>
      <c r="M614" s="1">
        <v>0.32436999999999999</v>
      </c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</row>
    <row r="615" spans="1:35" x14ac:dyDescent="0.15">
      <c r="A615" s="31"/>
      <c r="B615" s="31">
        <v>952</v>
      </c>
      <c r="C615" s="31" t="s">
        <v>833</v>
      </c>
      <c r="D615" s="27">
        <v>0.76066999999999996</v>
      </c>
      <c r="E615" s="1">
        <v>0.32856999999999997</v>
      </c>
      <c r="F615" s="31"/>
      <c r="G615" s="31"/>
      <c r="H615" s="31"/>
      <c r="I615" s="31"/>
      <c r="J615" s="31">
        <v>614</v>
      </c>
      <c r="K615" s="31" t="s">
        <v>919</v>
      </c>
      <c r="L615" s="1">
        <v>-0.28051999999999999</v>
      </c>
      <c r="M615" s="1">
        <v>0.35843000000000003</v>
      </c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</row>
    <row r="616" spans="1:35" x14ac:dyDescent="0.15">
      <c r="A616" s="31"/>
      <c r="B616" s="31">
        <v>953</v>
      </c>
      <c r="C616" s="31" t="s">
        <v>833</v>
      </c>
      <c r="D616" s="27">
        <v>0.80688000000000004</v>
      </c>
      <c r="E616" s="1">
        <v>0.34942000000000001</v>
      </c>
      <c r="F616" s="31"/>
      <c r="G616" s="31"/>
      <c r="H616" s="31"/>
      <c r="I616" s="31"/>
      <c r="J616" s="31">
        <v>615</v>
      </c>
      <c r="K616" s="31" t="s">
        <v>919</v>
      </c>
      <c r="L616" s="1">
        <v>0.24994</v>
      </c>
      <c r="M616" s="1">
        <v>0.36506</v>
      </c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</row>
    <row r="617" spans="1:35" x14ac:dyDescent="0.15">
      <c r="A617" s="31"/>
      <c r="B617" s="31">
        <v>954</v>
      </c>
      <c r="C617" s="31" t="s">
        <v>833</v>
      </c>
      <c r="D617" s="27">
        <v>0.85433999999999999</v>
      </c>
      <c r="E617" s="1">
        <v>0.37095</v>
      </c>
      <c r="F617" s="31"/>
      <c r="G617" s="31"/>
      <c r="H617" s="31"/>
      <c r="I617" s="31"/>
      <c r="J617" s="31">
        <v>616</v>
      </c>
      <c r="K617" s="31" t="s">
        <v>919</v>
      </c>
      <c r="L617" s="1">
        <v>0.28910000000000002</v>
      </c>
      <c r="M617" s="1">
        <v>0.38538</v>
      </c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</row>
    <row r="618" spans="1:35" x14ac:dyDescent="0.15">
      <c r="A618" s="31"/>
      <c r="B618" s="31">
        <v>955</v>
      </c>
      <c r="C618" s="31" t="s">
        <v>833</v>
      </c>
      <c r="D618" s="27">
        <v>0.90310999999999997</v>
      </c>
      <c r="E618" s="1">
        <v>0.39322000000000001</v>
      </c>
      <c r="F618" s="31"/>
      <c r="G618" s="31"/>
      <c r="H618" s="31"/>
      <c r="I618" s="31"/>
      <c r="J618" s="31">
        <v>617</v>
      </c>
      <c r="K618" s="31" t="s">
        <v>919</v>
      </c>
      <c r="L618" s="1">
        <v>0.34057999999999999</v>
      </c>
      <c r="M618" s="1">
        <v>0.45304</v>
      </c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</row>
    <row r="619" spans="1:35" x14ac:dyDescent="0.15">
      <c r="A619" s="31"/>
      <c r="B619" s="31">
        <v>1176</v>
      </c>
      <c r="C619" s="31" t="s">
        <v>243</v>
      </c>
      <c r="D619" s="27">
        <v>2547.5</v>
      </c>
      <c r="E619" s="1">
        <v>59.064</v>
      </c>
      <c r="F619" s="31"/>
      <c r="G619" s="31"/>
      <c r="H619" s="31"/>
      <c r="I619" s="31"/>
      <c r="J619" s="31">
        <v>618</v>
      </c>
      <c r="K619" s="31" t="s">
        <v>919</v>
      </c>
      <c r="L619" s="1">
        <v>-2.7996000000000001E-5</v>
      </c>
      <c r="M619" s="1">
        <v>0.70709999999999995</v>
      </c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</row>
    <row r="620" spans="1:35" x14ac:dyDescent="0.15">
      <c r="A620" s="31"/>
      <c r="B620" s="31">
        <v>924</v>
      </c>
      <c r="C620" s="31" t="s">
        <v>700</v>
      </c>
      <c r="D620" s="27">
        <v>4.9275000000000002</v>
      </c>
      <c r="E620" s="1">
        <v>0.31462000000000001</v>
      </c>
      <c r="F620" s="31"/>
      <c r="G620" s="31"/>
      <c r="H620" s="31"/>
      <c r="I620" s="31"/>
      <c r="J620" s="31">
        <v>619</v>
      </c>
      <c r="K620" s="31" t="s">
        <v>919</v>
      </c>
      <c r="L620" s="1">
        <v>-1.4311E-3</v>
      </c>
      <c r="M620" s="1">
        <v>0.70660000000000001</v>
      </c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</row>
    <row r="621" spans="1:35" x14ac:dyDescent="0.15">
      <c r="A621" s="31"/>
      <c r="B621" s="31">
        <v>925</v>
      </c>
      <c r="C621" s="31" t="s">
        <v>701</v>
      </c>
      <c r="D621" s="27">
        <v>0.60189999999999999</v>
      </c>
      <c r="E621" s="1">
        <v>5.2519999999999997E-2</v>
      </c>
      <c r="F621" s="31"/>
      <c r="G621" s="31"/>
      <c r="H621" s="31"/>
      <c r="I621" s="31"/>
      <c r="J621" s="31">
        <v>620</v>
      </c>
      <c r="K621" s="31" t="s">
        <v>919</v>
      </c>
      <c r="L621" s="1">
        <v>1.8977999999999998E-2</v>
      </c>
      <c r="M621" s="1">
        <v>0.71372000000000002</v>
      </c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</row>
    <row r="622" spans="1:35" x14ac:dyDescent="0.15">
      <c r="A622" s="31"/>
      <c r="B622" s="31">
        <v>927</v>
      </c>
      <c r="C622" s="31" t="s">
        <v>239</v>
      </c>
      <c r="D622" s="27">
        <v>0.72987999999999997</v>
      </c>
      <c r="E622" s="1">
        <v>0.27945999999999999</v>
      </c>
      <c r="F622" s="31"/>
      <c r="G622" s="31"/>
      <c r="H622" s="31"/>
      <c r="I622" s="31"/>
      <c r="J622" s="31">
        <v>621</v>
      </c>
      <c r="K622" s="31" t="s">
        <v>919</v>
      </c>
      <c r="L622" s="1">
        <v>4.7740999999999999E-2</v>
      </c>
      <c r="M622" s="1">
        <v>0.71325000000000005</v>
      </c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</row>
    <row r="623" spans="1:35" x14ac:dyDescent="0.15">
      <c r="A623" s="31"/>
      <c r="B623" s="31">
        <v>928</v>
      </c>
      <c r="C623" s="31" t="s">
        <v>60</v>
      </c>
      <c r="D623" s="27">
        <v>0.49315999999999999</v>
      </c>
      <c r="E623" s="1">
        <v>0.15619</v>
      </c>
      <c r="F623" s="31"/>
      <c r="G623" s="31"/>
      <c r="H623" s="31"/>
      <c r="I623" s="31"/>
      <c r="J623" s="31">
        <v>622</v>
      </c>
      <c r="K623" s="31" t="s">
        <v>919</v>
      </c>
      <c r="L623" s="1">
        <v>0.43553999999999998</v>
      </c>
      <c r="M623" s="1">
        <v>0.49259999999999998</v>
      </c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</row>
    <row r="624" spans="1:35" x14ac:dyDescent="0.15">
      <c r="A624" s="31"/>
      <c r="B624" s="31">
        <v>929</v>
      </c>
      <c r="C624" s="31" t="s">
        <v>65</v>
      </c>
      <c r="D624" s="27">
        <v>-0.31486999999999998</v>
      </c>
      <c r="E624" s="1">
        <v>0.38288</v>
      </c>
      <c r="F624" s="31"/>
      <c r="G624" s="31"/>
      <c r="H624" s="31"/>
      <c r="I624" s="31"/>
      <c r="J624" s="31">
        <v>623</v>
      </c>
      <c r="K624" s="31" t="s">
        <v>919</v>
      </c>
      <c r="L624" s="1">
        <v>-0.13163</v>
      </c>
      <c r="M624" s="1">
        <v>0.48374</v>
      </c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</row>
    <row r="625" spans="1:35" x14ac:dyDescent="0.15">
      <c r="A625" s="31"/>
      <c r="B625" s="31">
        <v>930</v>
      </c>
      <c r="C625" s="31" t="s">
        <v>61</v>
      </c>
      <c r="D625" s="27">
        <v>-0.70692999999999995</v>
      </c>
      <c r="E625" s="1">
        <v>0.31670999999999999</v>
      </c>
      <c r="F625" s="31"/>
      <c r="G625" s="31"/>
      <c r="H625" s="31"/>
      <c r="I625" s="31"/>
      <c r="J625" s="31">
        <v>624</v>
      </c>
      <c r="K625" s="31" t="s">
        <v>919</v>
      </c>
      <c r="L625" s="1">
        <v>-9.3252000000000002E-2</v>
      </c>
      <c r="M625" s="1">
        <v>0.68103000000000002</v>
      </c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</row>
    <row r="626" spans="1:35" x14ac:dyDescent="0.15">
      <c r="A626" s="31"/>
      <c r="B626" s="31">
        <v>931</v>
      </c>
      <c r="C626" s="31" t="s">
        <v>314</v>
      </c>
      <c r="D626" s="27">
        <v>0.69506999999999997</v>
      </c>
      <c r="E626" s="1">
        <v>5.8280999999999999E-2</v>
      </c>
      <c r="F626" s="31"/>
      <c r="G626" s="31"/>
      <c r="H626" s="31"/>
      <c r="I626" s="31"/>
      <c r="J626" s="31">
        <v>625</v>
      </c>
      <c r="K626" s="31" t="s">
        <v>919</v>
      </c>
      <c r="L626" s="1">
        <v>-9.7227999999999995E-2</v>
      </c>
      <c r="M626" s="1">
        <v>0.44192999999999999</v>
      </c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</row>
    <row r="627" spans="1:35" x14ac:dyDescent="0.15">
      <c r="A627" s="31"/>
      <c r="B627" s="31">
        <v>932</v>
      </c>
      <c r="C627" s="31" t="s">
        <v>294</v>
      </c>
      <c r="D627" s="27">
        <v>0.40887000000000001</v>
      </c>
      <c r="E627" s="1">
        <v>0.21242</v>
      </c>
      <c r="F627" s="31"/>
      <c r="G627" s="31"/>
      <c r="H627" s="31"/>
      <c r="I627" s="31"/>
      <c r="J627" s="31">
        <v>626</v>
      </c>
      <c r="K627" s="31" t="s">
        <v>919</v>
      </c>
      <c r="L627" s="1">
        <v>-8.6042999999999994E-2</v>
      </c>
      <c r="M627" s="1">
        <v>0.43661</v>
      </c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</row>
    <row r="628" spans="1:35" x14ac:dyDescent="0.15">
      <c r="A628" s="31"/>
      <c r="B628" s="31">
        <v>933</v>
      </c>
      <c r="C628" s="31" t="s">
        <v>240</v>
      </c>
      <c r="D628" s="27">
        <v>27751</v>
      </c>
      <c r="E628" s="1">
        <v>4287.1000000000004</v>
      </c>
      <c r="F628" s="31"/>
      <c r="G628" s="31"/>
      <c r="H628" s="31"/>
      <c r="I628" s="31"/>
      <c r="J628" s="31">
        <v>627</v>
      </c>
      <c r="K628" s="31" t="s">
        <v>919</v>
      </c>
      <c r="L628" s="1">
        <v>-9.2656000000000002E-2</v>
      </c>
      <c r="M628" s="1">
        <v>0.50797999999999999</v>
      </c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</row>
    <row r="629" spans="1:35" x14ac:dyDescent="0.15">
      <c r="A629" s="31"/>
      <c r="B629" s="31">
        <f t="shared" ref="B629:E632" si="6">J853</f>
        <v>852</v>
      </c>
      <c r="C629" s="31" t="str">
        <f t="shared" si="6"/>
        <v>Bmsy</v>
      </c>
      <c r="D629" s="27">
        <f t="shared" si="6"/>
        <v>1948.1</v>
      </c>
      <c r="E629" s="1">
        <f t="shared" si="6"/>
        <v>386.31</v>
      </c>
      <c r="F629" s="31"/>
      <c r="G629" s="31"/>
      <c r="H629" s="31"/>
      <c r="I629" s="31"/>
      <c r="J629" s="31">
        <v>628</v>
      </c>
      <c r="K629" s="31" t="s">
        <v>920</v>
      </c>
      <c r="L629" s="1">
        <v>-1.2524999999999999</v>
      </c>
      <c r="M629" s="1">
        <v>1.5589</v>
      </c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</row>
    <row r="630" spans="1:35" x14ac:dyDescent="0.15">
      <c r="A630" s="31"/>
      <c r="B630" s="31">
        <f t="shared" si="6"/>
        <v>853</v>
      </c>
      <c r="C630" s="31" t="str">
        <f t="shared" si="6"/>
        <v>Bmsy2</v>
      </c>
      <c r="D630" s="27">
        <f t="shared" si="6"/>
        <v>3494.8</v>
      </c>
      <c r="E630" s="1">
        <f t="shared" si="6"/>
        <v>895.16</v>
      </c>
      <c r="F630" s="31"/>
      <c r="G630" s="31"/>
      <c r="H630" s="31"/>
      <c r="I630" s="31"/>
      <c r="J630" s="31">
        <v>629</v>
      </c>
      <c r="K630" s="31" t="s">
        <v>920</v>
      </c>
      <c r="L630" s="1">
        <v>0.34101999999999999</v>
      </c>
      <c r="M630" s="1">
        <v>1.9268000000000001</v>
      </c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</row>
    <row r="631" spans="1:35" x14ac:dyDescent="0.15">
      <c r="A631" s="31"/>
      <c r="B631" s="31">
        <f t="shared" si="6"/>
        <v>854</v>
      </c>
      <c r="C631" s="31" t="str">
        <f t="shared" si="6"/>
        <v>Fcur_Fmsy</v>
      </c>
      <c r="D631" s="27">
        <f t="shared" si="6"/>
        <v>0.12819</v>
      </c>
      <c r="E631" s="1">
        <f t="shared" si="6"/>
        <v>6.3962000000000005E-2</v>
      </c>
      <c r="F631" s="31"/>
      <c r="G631" s="31"/>
      <c r="H631" s="31"/>
      <c r="I631" s="31"/>
      <c r="J631" s="31">
        <v>630</v>
      </c>
      <c r="K631" s="31" t="s">
        <v>920</v>
      </c>
      <c r="L631" s="1">
        <v>1.2024999999999999</v>
      </c>
      <c r="M631" s="1">
        <v>2.0295999999999998</v>
      </c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</row>
    <row r="632" spans="1:35" x14ac:dyDescent="0.15">
      <c r="A632" s="31"/>
      <c r="B632" s="31">
        <f t="shared" si="6"/>
        <v>855</v>
      </c>
      <c r="C632" s="31" t="str">
        <f t="shared" si="6"/>
        <v>Fcur_Fmsy</v>
      </c>
      <c r="D632" s="27">
        <f t="shared" si="6"/>
        <v>0.15526000000000001</v>
      </c>
      <c r="E632" s="1">
        <f t="shared" si="6"/>
        <v>7.7507000000000006E-2</v>
      </c>
      <c r="F632" s="31"/>
      <c r="G632" s="31"/>
      <c r="H632" s="31"/>
      <c r="I632" s="31"/>
      <c r="J632" s="31">
        <v>631</v>
      </c>
      <c r="K632" s="31" t="s">
        <v>920</v>
      </c>
      <c r="L632" s="1">
        <v>1.1480999999999999</v>
      </c>
      <c r="M632" s="1">
        <v>2.0360999999999998</v>
      </c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</row>
    <row r="633" spans="1:35" x14ac:dyDescent="0.15">
      <c r="A633" s="31"/>
      <c r="B633" s="31">
        <v>938</v>
      </c>
      <c r="C633" s="31" t="s">
        <v>833</v>
      </c>
      <c r="D633" s="27">
        <v>0.21759000000000001</v>
      </c>
      <c r="E633" s="1">
        <v>9.1544E-2</v>
      </c>
      <c r="F633" s="31"/>
      <c r="G633" s="31"/>
      <c r="H633" s="31"/>
      <c r="I633" s="31"/>
      <c r="J633" s="31">
        <v>632</v>
      </c>
      <c r="K633" s="31" t="s">
        <v>920</v>
      </c>
      <c r="L633" s="1">
        <v>1.1761999999999999</v>
      </c>
      <c r="M633" s="1">
        <v>2.6242000000000001</v>
      </c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</row>
    <row r="634" spans="1:35" x14ac:dyDescent="0.15">
      <c r="A634" s="31"/>
      <c r="B634" s="31">
        <v>939</v>
      </c>
      <c r="C634" s="31" t="s">
        <v>833</v>
      </c>
      <c r="D634" s="27">
        <v>0.25112000000000001</v>
      </c>
      <c r="E634" s="1">
        <v>0.10581</v>
      </c>
      <c r="F634" s="31"/>
      <c r="G634" s="31"/>
      <c r="H634" s="31"/>
      <c r="I634" s="31"/>
      <c r="J634" s="31">
        <v>633</v>
      </c>
      <c r="K634" s="31" t="s">
        <v>920</v>
      </c>
      <c r="L634" s="1">
        <v>1.1245000000000001</v>
      </c>
      <c r="M634" s="1">
        <v>1.6904999999999999</v>
      </c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</row>
    <row r="635" spans="1:35" x14ac:dyDescent="0.15">
      <c r="A635" s="31"/>
      <c r="B635" s="31">
        <v>940</v>
      </c>
      <c r="C635" s="31" t="s">
        <v>833</v>
      </c>
      <c r="D635" s="27">
        <v>0.28533999999999998</v>
      </c>
      <c r="E635" s="1">
        <v>0.12039999999999999</v>
      </c>
      <c r="F635" s="31"/>
      <c r="G635" s="31"/>
      <c r="H635" s="31"/>
      <c r="I635" s="31"/>
      <c r="J635" s="31">
        <v>634</v>
      </c>
      <c r="K635" s="31" t="s">
        <v>920</v>
      </c>
      <c r="L635" s="1">
        <v>0.97541999999999995</v>
      </c>
      <c r="M635" s="1">
        <v>1.5784</v>
      </c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</row>
    <row r="636" spans="1:35" x14ac:dyDescent="0.15">
      <c r="A636" s="31"/>
      <c r="B636" s="31">
        <v>941</v>
      </c>
      <c r="C636" s="31" t="s">
        <v>833</v>
      </c>
      <c r="D636" s="27">
        <v>0.32027</v>
      </c>
      <c r="E636" s="1">
        <v>0.13535</v>
      </c>
      <c r="F636" s="31"/>
      <c r="G636" s="31"/>
      <c r="H636" s="31"/>
      <c r="I636" s="31"/>
      <c r="J636" s="31">
        <v>635</v>
      </c>
      <c r="K636" s="31" t="s">
        <v>921</v>
      </c>
      <c r="L636" s="1">
        <v>-4.8082000000000003</v>
      </c>
      <c r="M636" s="1">
        <v>1.3119000000000001</v>
      </c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</row>
    <row r="637" spans="1:35" x14ac:dyDescent="0.15">
      <c r="A637" s="31"/>
      <c r="B637" s="31">
        <v>942</v>
      </c>
      <c r="C637" s="31" t="s">
        <v>833</v>
      </c>
      <c r="D637" s="27">
        <v>0.35593000000000002</v>
      </c>
      <c r="E637" s="1">
        <v>0.15067</v>
      </c>
      <c r="F637" s="31"/>
      <c r="G637" s="31"/>
      <c r="H637" s="31"/>
      <c r="I637" s="31"/>
      <c r="J637" s="31">
        <v>636</v>
      </c>
      <c r="K637" s="31" t="s">
        <v>921</v>
      </c>
      <c r="L637" s="1">
        <v>-2.3706999999999998</v>
      </c>
      <c r="M637" s="1">
        <v>0.75658999999999998</v>
      </c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</row>
    <row r="638" spans="1:35" x14ac:dyDescent="0.15">
      <c r="A638" s="31"/>
      <c r="B638" s="31">
        <v>943</v>
      </c>
      <c r="C638" s="31" t="s">
        <v>833</v>
      </c>
      <c r="D638" s="27">
        <v>0.39235999999999999</v>
      </c>
      <c r="E638" s="1">
        <v>0.16636999999999999</v>
      </c>
      <c r="F638" s="31"/>
      <c r="G638" s="31"/>
      <c r="H638" s="31"/>
      <c r="I638" s="31"/>
      <c r="J638" s="31">
        <v>637</v>
      </c>
      <c r="K638" s="31" t="s">
        <v>921</v>
      </c>
      <c r="L638" s="1">
        <v>-1.2378</v>
      </c>
      <c r="M638" s="1">
        <v>0.58911999999999998</v>
      </c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</row>
    <row r="639" spans="1:35" x14ac:dyDescent="0.15">
      <c r="A639" s="31"/>
      <c r="B639" s="31">
        <v>944</v>
      </c>
      <c r="C639" s="31" t="s">
        <v>833</v>
      </c>
      <c r="D639" s="27">
        <v>0.42959000000000003</v>
      </c>
      <c r="E639" s="1">
        <v>0.18246999999999999</v>
      </c>
      <c r="F639" s="31"/>
      <c r="G639" s="31"/>
      <c r="H639" s="31"/>
      <c r="I639" s="31"/>
      <c r="J639" s="31">
        <v>638</v>
      </c>
      <c r="K639" s="31" t="s">
        <v>921</v>
      </c>
      <c r="L639" s="1">
        <v>0.35010999999999998</v>
      </c>
      <c r="M639" s="1">
        <v>0.58779000000000003</v>
      </c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</row>
    <row r="640" spans="1:35" x14ac:dyDescent="0.15">
      <c r="A640" s="31"/>
      <c r="B640" s="31">
        <v>945</v>
      </c>
      <c r="C640" s="31" t="s">
        <v>833</v>
      </c>
      <c r="D640" s="27">
        <v>0.46765000000000001</v>
      </c>
      <c r="E640" s="1">
        <v>0.19900000000000001</v>
      </c>
      <c r="F640" s="31"/>
      <c r="G640" s="31"/>
      <c r="H640" s="31"/>
      <c r="I640" s="31"/>
      <c r="J640" s="31">
        <v>639</v>
      </c>
      <c r="K640" s="31" t="s">
        <v>921</v>
      </c>
      <c r="L640" s="1">
        <v>0.39724999999999999</v>
      </c>
      <c r="M640" s="1">
        <v>0.32218000000000002</v>
      </c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</row>
    <row r="641" spans="1:35" x14ac:dyDescent="0.15">
      <c r="A641" s="31"/>
      <c r="B641" s="31">
        <v>946</v>
      </c>
      <c r="C641" s="31" t="s">
        <v>833</v>
      </c>
      <c r="D641" s="27">
        <v>0.50658000000000003</v>
      </c>
      <c r="E641" s="1">
        <v>0.21597</v>
      </c>
      <c r="F641" s="31"/>
      <c r="G641" s="31"/>
      <c r="H641" s="31"/>
      <c r="I641" s="31"/>
      <c r="J641" s="31">
        <v>640</v>
      </c>
      <c r="K641" s="31" t="s">
        <v>921</v>
      </c>
      <c r="L641" s="1">
        <v>0.39235999999999999</v>
      </c>
      <c r="M641" s="1">
        <v>0.2913</v>
      </c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</row>
    <row r="642" spans="1:35" x14ac:dyDescent="0.15">
      <c r="A642" s="31"/>
      <c r="B642" s="31">
        <v>947</v>
      </c>
      <c r="C642" s="31" t="s">
        <v>833</v>
      </c>
      <c r="D642" s="27">
        <v>0.54642000000000002</v>
      </c>
      <c r="E642" s="1">
        <v>0.23341999999999999</v>
      </c>
      <c r="F642" s="31"/>
      <c r="G642" s="31"/>
      <c r="H642" s="31"/>
      <c r="I642" s="31"/>
      <c r="J642" s="31">
        <v>641</v>
      </c>
      <c r="K642" s="31" t="s">
        <v>921</v>
      </c>
      <c r="L642" s="1">
        <v>0.34727999999999998</v>
      </c>
      <c r="M642" s="1">
        <v>0.28077999999999997</v>
      </c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</row>
    <row r="643" spans="1:35" x14ac:dyDescent="0.15">
      <c r="A643" s="31"/>
      <c r="B643" s="31">
        <v>948</v>
      </c>
      <c r="C643" s="31" t="s">
        <v>833</v>
      </c>
      <c r="D643" s="27">
        <v>0.58720000000000006</v>
      </c>
      <c r="E643" s="1">
        <v>0.25135000000000002</v>
      </c>
      <c r="F643" s="31"/>
      <c r="G643" s="31"/>
      <c r="H643" s="31"/>
      <c r="I643" s="31"/>
      <c r="J643" s="31">
        <v>642</v>
      </c>
      <c r="K643" s="31" t="s">
        <v>921</v>
      </c>
      <c r="L643" s="1">
        <v>0.28964000000000001</v>
      </c>
      <c r="M643" s="1">
        <v>0.28506999999999999</v>
      </c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</row>
    <row r="644" spans="1:35" x14ac:dyDescent="0.15">
      <c r="A644" s="31"/>
      <c r="B644" s="31">
        <v>949</v>
      </c>
      <c r="C644" s="31" t="s">
        <v>833</v>
      </c>
      <c r="D644" s="27">
        <v>0.62895999999999996</v>
      </c>
      <c r="E644" s="1">
        <v>0.26979999999999998</v>
      </c>
      <c r="F644" s="31"/>
      <c r="G644" s="31"/>
      <c r="H644" s="31"/>
      <c r="I644" s="31"/>
      <c r="J644" s="31">
        <v>643</v>
      </c>
      <c r="K644" s="31" t="s">
        <v>921</v>
      </c>
      <c r="L644" s="1">
        <v>0.23277</v>
      </c>
      <c r="M644" s="1">
        <v>0.30264000000000002</v>
      </c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</row>
    <row r="645" spans="1:35" x14ac:dyDescent="0.15">
      <c r="A645" s="31"/>
      <c r="B645" s="31">
        <v>950</v>
      </c>
      <c r="C645" s="31" t="s">
        <v>833</v>
      </c>
      <c r="D645" s="27">
        <v>0.67176999999999998</v>
      </c>
      <c r="E645" s="1">
        <v>0.2888</v>
      </c>
      <c r="F645" s="31"/>
      <c r="G645" s="31"/>
      <c r="H645" s="31"/>
      <c r="I645" s="31"/>
      <c r="J645" s="31">
        <v>644</v>
      </c>
      <c r="K645" s="31" t="s">
        <v>921</v>
      </c>
      <c r="L645" s="1">
        <v>0.18876000000000001</v>
      </c>
      <c r="M645" s="1">
        <v>0.33415</v>
      </c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</row>
    <row r="646" spans="1:35" x14ac:dyDescent="0.15">
      <c r="A646" s="31"/>
      <c r="B646" s="31">
        <v>951</v>
      </c>
      <c r="C646" s="31" t="s">
        <v>833</v>
      </c>
      <c r="D646" s="27">
        <v>0.71565000000000001</v>
      </c>
      <c r="E646" s="1">
        <v>0.30837999999999999</v>
      </c>
      <c r="F646" s="31"/>
      <c r="G646" s="31"/>
      <c r="H646" s="31"/>
      <c r="I646" s="31"/>
      <c r="J646" s="31">
        <v>645</v>
      </c>
      <c r="K646" s="31" t="s">
        <v>922</v>
      </c>
      <c r="L646" s="1">
        <v>1.3804000000000001</v>
      </c>
      <c r="M646" s="1">
        <v>0.45956999999999998</v>
      </c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</row>
    <row r="647" spans="1:35" x14ac:dyDescent="0.15">
      <c r="A647" s="31"/>
      <c r="B647" s="31">
        <v>952</v>
      </c>
      <c r="C647" s="31" t="s">
        <v>833</v>
      </c>
      <c r="D647" s="27">
        <v>0.76066999999999996</v>
      </c>
      <c r="E647" s="1">
        <v>0.32856999999999997</v>
      </c>
      <c r="F647" s="31"/>
      <c r="G647" s="31"/>
      <c r="H647" s="31"/>
      <c r="I647" s="31"/>
      <c r="J647" s="31">
        <v>646</v>
      </c>
      <c r="K647" s="31" t="s">
        <v>922</v>
      </c>
      <c r="L647" s="1">
        <v>-1.6874E-2</v>
      </c>
      <c r="M647" s="1">
        <v>1.2004999999999999</v>
      </c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</row>
    <row r="648" spans="1:35" x14ac:dyDescent="0.15">
      <c r="A648" s="31"/>
      <c r="B648" s="31">
        <v>953</v>
      </c>
      <c r="C648" s="31" t="s">
        <v>833</v>
      </c>
      <c r="D648" s="27">
        <v>0.80688000000000004</v>
      </c>
      <c r="E648" s="1">
        <v>0.34942000000000001</v>
      </c>
      <c r="F648" s="31"/>
      <c r="G648" s="31"/>
      <c r="H648" s="31"/>
      <c r="I648" s="31"/>
      <c r="J648" s="31">
        <v>647</v>
      </c>
      <c r="K648" s="31" t="s">
        <v>922</v>
      </c>
      <c r="L648" s="1">
        <v>-0.81874999999999998</v>
      </c>
      <c r="M648" s="1">
        <v>1.3836999999999999</v>
      </c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</row>
    <row r="649" spans="1:35" x14ac:dyDescent="0.15">
      <c r="A649" s="31"/>
      <c r="B649" s="31">
        <v>954</v>
      </c>
      <c r="C649" s="31" t="s">
        <v>833</v>
      </c>
      <c r="D649" s="27">
        <v>0.85433999999999999</v>
      </c>
      <c r="E649" s="1">
        <v>0.37095</v>
      </c>
      <c r="F649" s="31"/>
      <c r="G649" s="31"/>
      <c r="H649" s="31"/>
      <c r="I649" s="31"/>
      <c r="J649" s="31">
        <v>648</v>
      </c>
      <c r="K649" s="31" t="s">
        <v>922</v>
      </c>
      <c r="L649" s="1">
        <v>-0.81108999999999998</v>
      </c>
      <c r="M649" s="1">
        <v>1.3923000000000001</v>
      </c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</row>
    <row r="650" spans="1:35" x14ac:dyDescent="0.15">
      <c r="A650" s="31"/>
      <c r="B650" s="31">
        <v>955</v>
      </c>
      <c r="C650" s="31" t="s">
        <v>833</v>
      </c>
      <c r="D650" s="27">
        <v>0.90310999999999997</v>
      </c>
      <c r="E650" s="1">
        <v>0.39322000000000001</v>
      </c>
      <c r="F650" s="31"/>
      <c r="G650" s="31"/>
      <c r="H650" s="31"/>
      <c r="I650" s="31"/>
      <c r="J650" s="31">
        <v>649</v>
      </c>
      <c r="K650" s="31" t="s">
        <v>922</v>
      </c>
      <c r="L650" s="1">
        <v>-0.88834999999999997</v>
      </c>
      <c r="M650" s="1">
        <v>2.1659000000000002</v>
      </c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</row>
    <row r="651" spans="1:35" x14ac:dyDescent="0.15">
      <c r="A651" s="31"/>
      <c r="B651" s="31">
        <v>956</v>
      </c>
      <c r="C651" s="31" t="s">
        <v>242</v>
      </c>
      <c r="D651" s="27">
        <v>1.4161999999999999</v>
      </c>
      <c r="E651" s="1">
        <v>0.32412000000000002</v>
      </c>
      <c r="F651" s="31"/>
      <c r="G651" s="31"/>
      <c r="H651" s="31"/>
      <c r="I651" s="31"/>
      <c r="J651" s="31">
        <v>650</v>
      </c>
      <c r="K651" s="31" t="s">
        <v>922</v>
      </c>
      <c r="L651" s="1">
        <v>-0.89166999999999996</v>
      </c>
      <c r="M651" s="1">
        <v>1.085</v>
      </c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</row>
    <row r="652" spans="1:35" x14ac:dyDescent="0.15">
      <c r="A652" s="31"/>
      <c r="B652" s="31">
        <v>957</v>
      </c>
      <c r="C652" s="31" t="s">
        <v>242</v>
      </c>
      <c r="D652" s="27">
        <v>1.389</v>
      </c>
      <c r="E652" s="1">
        <v>0.31972</v>
      </c>
      <c r="F652" s="31"/>
      <c r="G652" s="31"/>
      <c r="H652" s="31"/>
      <c r="I652" s="31"/>
      <c r="J652" s="31">
        <v>651</v>
      </c>
      <c r="K652" s="31" t="s">
        <v>922</v>
      </c>
      <c r="L652" s="1">
        <v>-0.89010999999999996</v>
      </c>
      <c r="M652" s="1">
        <v>0.93433999999999995</v>
      </c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</row>
    <row r="653" spans="1:35" x14ac:dyDescent="0.15">
      <c r="A653" s="31"/>
      <c r="B653" s="31">
        <v>958</v>
      </c>
      <c r="C653" s="31" t="s">
        <v>242</v>
      </c>
      <c r="D653" s="27">
        <v>1.3620000000000001</v>
      </c>
      <c r="E653" s="1">
        <v>0.31535999999999997</v>
      </c>
      <c r="F653" s="31"/>
      <c r="G653" s="31"/>
      <c r="H653" s="31"/>
      <c r="I653" s="31"/>
      <c r="J653" s="31">
        <v>652</v>
      </c>
      <c r="K653" s="31" t="s">
        <v>923</v>
      </c>
      <c r="L653" s="1">
        <v>1.0864</v>
      </c>
      <c r="M653" s="1">
        <v>4.9024999999999999E-2</v>
      </c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</row>
    <row r="654" spans="1:35" x14ac:dyDescent="0.15">
      <c r="A654" s="31"/>
      <c r="B654" s="31">
        <v>959</v>
      </c>
      <c r="C654" s="31" t="s">
        <v>242</v>
      </c>
      <c r="D654" s="27">
        <v>1.3351999999999999</v>
      </c>
      <c r="E654" s="1">
        <v>0.31103999999999998</v>
      </c>
      <c r="F654" s="31"/>
      <c r="G654" s="31"/>
      <c r="H654" s="31"/>
      <c r="I654" s="31"/>
      <c r="J654" s="31">
        <v>653</v>
      </c>
      <c r="K654" s="31" t="s">
        <v>924</v>
      </c>
      <c r="L654" s="1">
        <v>5.2991999999999999</v>
      </c>
      <c r="M654" s="1">
        <v>0.14596999999999999</v>
      </c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</row>
    <row r="655" spans="1:35" x14ac:dyDescent="0.15">
      <c r="A655" s="31"/>
      <c r="B655" s="31">
        <v>960</v>
      </c>
      <c r="C655" s="31" t="s">
        <v>242</v>
      </c>
      <c r="D655" s="27">
        <v>1.3086</v>
      </c>
      <c r="E655" s="1">
        <v>0.30675999999999998</v>
      </c>
      <c r="F655" s="31"/>
      <c r="G655" s="31"/>
      <c r="H655" s="31"/>
      <c r="I655" s="31"/>
      <c r="J655" s="31">
        <v>654</v>
      </c>
      <c r="K655" s="31" t="s">
        <v>925</v>
      </c>
      <c r="L655" s="1">
        <v>-2.7416</v>
      </c>
      <c r="M655" s="1">
        <v>8.4062999999999999E-2</v>
      </c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</row>
    <row r="656" spans="1:35" x14ac:dyDescent="0.15">
      <c r="A656" s="31"/>
      <c r="B656" s="31">
        <v>961</v>
      </c>
      <c r="C656" s="31" t="s">
        <v>242</v>
      </c>
      <c r="D656" s="27">
        <v>1.2821</v>
      </c>
      <c r="E656" s="1">
        <v>0.30253000000000002</v>
      </c>
      <c r="F656" s="31"/>
      <c r="G656" s="31"/>
      <c r="H656" s="31"/>
      <c r="I656" s="31"/>
      <c r="J656" s="31">
        <v>655</v>
      </c>
      <c r="K656" s="31" t="s">
        <v>926</v>
      </c>
      <c r="L656" s="1">
        <v>-0.54030999999999996</v>
      </c>
      <c r="M656" s="1">
        <v>0.18224000000000001</v>
      </c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</row>
    <row r="657" spans="1:35" x14ac:dyDescent="0.15">
      <c r="A657" s="31"/>
      <c r="B657" s="31">
        <v>962</v>
      </c>
      <c r="C657" s="31" t="s">
        <v>242</v>
      </c>
      <c r="D657" s="27">
        <v>1.2558</v>
      </c>
      <c r="E657" s="1">
        <v>0.29833999999999999</v>
      </c>
      <c r="F657" s="31"/>
      <c r="G657" s="31"/>
      <c r="H657" s="31"/>
      <c r="I657" s="31"/>
      <c r="J657" s="31">
        <v>656</v>
      </c>
      <c r="K657" s="31" t="s">
        <v>926</v>
      </c>
      <c r="L657" s="1">
        <v>-0.13308</v>
      </c>
      <c r="M657" s="1">
        <v>0.15478</v>
      </c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</row>
    <row r="658" spans="1:35" x14ac:dyDescent="0.15">
      <c r="A658" s="31"/>
      <c r="B658" s="31">
        <v>963</v>
      </c>
      <c r="C658" s="31" t="s">
        <v>242</v>
      </c>
      <c r="D658" s="27">
        <v>1.2297</v>
      </c>
      <c r="E658" s="1">
        <v>0.29418</v>
      </c>
      <c r="F658" s="31"/>
      <c r="G658" s="31"/>
      <c r="H658" s="31"/>
      <c r="I658" s="31"/>
      <c r="J658" s="31">
        <v>657</v>
      </c>
      <c r="K658" s="31" t="s">
        <v>926</v>
      </c>
      <c r="L658" s="1">
        <v>9.2908000000000004E-2</v>
      </c>
      <c r="M658" s="1">
        <v>0.10918</v>
      </c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</row>
    <row r="659" spans="1:35" x14ac:dyDescent="0.15">
      <c r="A659" s="31"/>
      <c r="B659" s="31">
        <v>964</v>
      </c>
      <c r="C659" s="31" t="s">
        <v>242</v>
      </c>
      <c r="D659" s="27">
        <v>1.2038</v>
      </c>
      <c r="E659" s="1">
        <v>0.29008</v>
      </c>
      <c r="F659" s="31"/>
      <c r="G659" s="31"/>
      <c r="H659" s="31"/>
      <c r="I659" s="31"/>
      <c r="J659" s="31">
        <v>658</v>
      </c>
      <c r="K659" s="31" t="s">
        <v>926</v>
      </c>
      <c r="L659" s="1">
        <v>-0.13166</v>
      </c>
      <c r="M659" s="1">
        <v>0.16075999999999999</v>
      </c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</row>
    <row r="660" spans="1:35" x14ac:dyDescent="0.15">
      <c r="A660" s="31"/>
      <c r="B660" s="31">
        <v>965</v>
      </c>
      <c r="C660" s="31" t="s">
        <v>242</v>
      </c>
      <c r="D660" s="27">
        <v>1.1780999999999999</v>
      </c>
      <c r="E660" s="1">
        <v>0.28600999999999999</v>
      </c>
      <c r="F660" s="31"/>
      <c r="G660" s="31"/>
      <c r="H660" s="31"/>
      <c r="I660" s="31"/>
      <c r="J660" s="31">
        <v>659</v>
      </c>
      <c r="K660" s="31" t="s">
        <v>926</v>
      </c>
      <c r="L660" s="1">
        <v>-0.18287</v>
      </c>
      <c r="M660" s="1">
        <v>0.14260999999999999</v>
      </c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</row>
    <row r="661" spans="1:35" x14ac:dyDescent="0.15">
      <c r="A661" s="31"/>
      <c r="B661" s="31">
        <v>966</v>
      </c>
      <c r="C661" s="31" t="s">
        <v>242</v>
      </c>
      <c r="D661" s="27">
        <v>1.1525000000000001</v>
      </c>
      <c r="E661" s="1">
        <v>0.28198000000000001</v>
      </c>
      <c r="F661" s="31"/>
      <c r="G661" s="31"/>
      <c r="H661" s="31"/>
      <c r="I661" s="31"/>
      <c r="J661" s="31">
        <v>660</v>
      </c>
      <c r="K661" s="31" t="s">
        <v>926</v>
      </c>
      <c r="L661" s="1">
        <v>-0.26302999999999999</v>
      </c>
      <c r="M661" s="1">
        <v>0.14856</v>
      </c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</row>
    <row r="662" spans="1:35" x14ac:dyDescent="0.15">
      <c r="A662" s="31"/>
      <c r="B662" s="31">
        <v>967</v>
      </c>
      <c r="C662" s="31" t="s">
        <v>242</v>
      </c>
      <c r="D662" s="27">
        <v>1.1271</v>
      </c>
      <c r="E662" s="1">
        <v>0.27800000000000002</v>
      </c>
      <c r="F662" s="31"/>
      <c r="G662" s="31"/>
      <c r="H662" s="31"/>
      <c r="I662" s="31"/>
      <c r="J662" s="31">
        <v>661</v>
      </c>
      <c r="K662" s="31" t="s">
        <v>926</v>
      </c>
      <c r="L662" s="1">
        <v>-0.35072999999999999</v>
      </c>
      <c r="M662" s="1">
        <v>0.15689</v>
      </c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</row>
    <row r="663" spans="1:35" x14ac:dyDescent="0.15">
      <c r="A663" s="31"/>
      <c r="B663" s="31">
        <v>968</v>
      </c>
      <c r="C663" s="31" t="s">
        <v>242</v>
      </c>
      <c r="D663" s="27">
        <v>1.1019000000000001</v>
      </c>
      <c r="E663" s="1">
        <v>0.27406000000000003</v>
      </c>
      <c r="F663" s="31"/>
      <c r="G663" s="31"/>
      <c r="H663" s="31"/>
      <c r="I663" s="31"/>
      <c r="J663" s="31">
        <v>662</v>
      </c>
      <c r="K663" s="31" t="s">
        <v>926</v>
      </c>
      <c r="L663" s="1">
        <v>-0.23094999999999999</v>
      </c>
      <c r="M663" s="1">
        <v>0.16469</v>
      </c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</row>
    <row r="664" spans="1:35" x14ac:dyDescent="0.15">
      <c r="A664" s="31"/>
      <c r="B664" s="31">
        <v>969</v>
      </c>
      <c r="C664" s="31" t="s">
        <v>242</v>
      </c>
      <c r="D664" s="27">
        <v>1.0769</v>
      </c>
      <c r="E664" s="1">
        <v>0.27016000000000001</v>
      </c>
      <c r="F664" s="31"/>
      <c r="G664" s="31"/>
      <c r="H664" s="31"/>
      <c r="I664" s="31"/>
      <c r="J664" s="31">
        <v>663</v>
      </c>
      <c r="K664" s="31" t="s">
        <v>926</v>
      </c>
      <c r="L664" s="1">
        <v>-2.1597999999999999E-2</v>
      </c>
      <c r="M664" s="1">
        <v>0.13916000000000001</v>
      </c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</row>
    <row r="665" spans="1:35" x14ac:dyDescent="0.15">
      <c r="A665" s="31"/>
      <c r="B665" s="31">
        <v>970</v>
      </c>
      <c r="C665" s="31" t="s">
        <v>242</v>
      </c>
      <c r="D665" s="27">
        <v>1.0522</v>
      </c>
      <c r="E665" s="1">
        <v>0.26629000000000003</v>
      </c>
      <c r="F665" s="31"/>
      <c r="G665" s="31"/>
      <c r="H665" s="31"/>
      <c r="I665" s="31"/>
      <c r="J665" s="31">
        <v>664</v>
      </c>
      <c r="K665" s="31" t="s">
        <v>926</v>
      </c>
      <c r="L665" s="1">
        <v>-9.3510999999999997E-2</v>
      </c>
      <c r="M665" s="1">
        <v>0.11258</v>
      </c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</row>
    <row r="666" spans="1:35" x14ac:dyDescent="0.15">
      <c r="A666" s="31"/>
      <c r="B666" s="31">
        <v>971</v>
      </c>
      <c r="C666" s="31" t="s">
        <v>242</v>
      </c>
      <c r="D666" s="27">
        <v>1.0275000000000001</v>
      </c>
      <c r="E666" s="1">
        <v>0.26246999999999998</v>
      </c>
      <c r="F666" s="31"/>
      <c r="G666" s="31"/>
      <c r="H666" s="31"/>
      <c r="I666" s="31"/>
      <c r="J666" s="31">
        <v>665</v>
      </c>
      <c r="K666" s="31" t="s">
        <v>926</v>
      </c>
      <c r="L666" s="1">
        <v>-5.8958000000000003E-2</v>
      </c>
      <c r="M666" s="1">
        <v>0.12281</v>
      </c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</row>
    <row r="667" spans="1:35" x14ac:dyDescent="0.15">
      <c r="A667" s="31"/>
      <c r="B667" s="31">
        <v>972</v>
      </c>
      <c r="C667" s="31" t="s">
        <v>242</v>
      </c>
      <c r="D667" s="27">
        <v>1.0031000000000001</v>
      </c>
      <c r="E667" s="1">
        <v>0.25868999999999998</v>
      </c>
      <c r="F667" s="31"/>
      <c r="G667" s="31"/>
      <c r="H667" s="31"/>
      <c r="I667" s="31"/>
      <c r="J667" s="31">
        <v>666</v>
      </c>
      <c r="K667" s="31" t="s">
        <v>926</v>
      </c>
      <c r="L667" s="1">
        <v>3.9213999999999999E-2</v>
      </c>
      <c r="M667" s="1">
        <v>0.12506999999999999</v>
      </c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</row>
    <row r="668" spans="1:35" x14ac:dyDescent="0.15">
      <c r="A668" s="31"/>
      <c r="B668" s="31">
        <v>973</v>
      </c>
      <c r="C668" s="31" t="s">
        <v>242</v>
      </c>
      <c r="D668" s="27">
        <v>0.97894999999999999</v>
      </c>
      <c r="E668" s="1">
        <v>0.25495000000000001</v>
      </c>
      <c r="F668" s="31"/>
      <c r="G668" s="31"/>
      <c r="H668" s="31"/>
      <c r="I668" s="31"/>
      <c r="J668" s="31">
        <v>667</v>
      </c>
      <c r="K668" s="31" t="s">
        <v>926</v>
      </c>
      <c r="L668" s="1">
        <v>6.4256999999999995E-2</v>
      </c>
      <c r="M668" s="1">
        <v>0.10680000000000001</v>
      </c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</row>
    <row r="669" spans="1:35" x14ac:dyDescent="0.15">
      <c r="A669" s="31"/>
      <c r="B669" s="31">
        <v>974</v>
      </c>
      <c r="C669" s="31" t="s">
        <v>242</v>
      </c>
      <c r="D669" s="27">
        <v>0.95494999999999997</v>
      </c>
      <c r="E669" s="1">
        <v>0.25124999999999997</v>
      </c>
      <c r="F669" s="31"/>
      <c r="G669" s="31"/>
      <c r="H669" s="31"/>
      <c r="I669" s="31"/>
      <c r="J669" s="31">
        <v>668</v>
      </c>
      <c r="K669" s="31" t="s">
        <v>926</v>
      </c>
      <c r="L669" s="1">
        <v>-3.1390000000000001E-2</v>
      </c>
      <c r="M669" s="1">
        <v>0.1201</v>
      </c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</row>
    <row r="670" spans="1:35" x14ac:dyDescent="0.15">
      <c r="A670" s="31"/>
      <c r="B670" s="31">
        <v>975</v>
      </c>
      <c r="C670" s="31" t="s">
        <v>242</v>
      </c>
      <c r="D670" s="27">
        <v>0.93117000000000005</v>
      </c>
      <c r="E670" s="1">
        <v>0.24757999999999999</v>
      </c>
      <c r="F670" s="31"/>
      <c r="G670" s="31"/>
      <c r="H670" s="31"/>
      <c r="I670" s="31"/>
      <c r="J670" s="31">
        <v>669</v>
      </c>
      <c r="K670" s="31" t="s">
        <v>926</v>
      </c>
      <c r="L670" s="1">
        <v>-0.14351</v>
      </c>
      <c r="M670" s="1">
        <v>0.13450000000000001</v>
      </c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</row>
    <row r="671" spans="1:35" x14ac:dyDescent="0.15">
      <c r="A671" s="31"/>
      <c r="B671" s="31">
        <v>1036</v>
      </c>
      <c r="C671" s="31" t="s">
        <v>834</v>
      </c>
      <c r="D671" s="27">
        <v>1.5304</v>
      </c>
      <c r="E671" s="1">
        <v>0.34838000000000002</v>
      </c>
      <c r="F671" s="31"/>
      <c r="G671" s="31"/>
      <c r="H671" s="31"/>
      <c r="I671" s="31"/>
      <c r="J671" s="31">
        <v>670</v>
      </c>
      <c r="K671" s="31" t="s">
        <v>926</v>
      </c>
      <c r="L671" s="1">
        <v>-0.24576000000000001</v>
      </c>
      <c r="M671" s="1">
        <v>0.12809000000000001</v>
      </c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</row>
    <row r="672" spans="1:35" x14ac:dyDescent="0.15">
      <c r="A672" s="31"/>
      <c r="B672" s="31">
        <v>1037</v>
      </c>
      <c r="C672" s="31" t="s">
        <v>834</v>
      </c>
      <c r="D672" s="27">
        <v>1.4845999999999999</v>
      </c>
      <c r="E672" s="1">
        <v>0.34095999999999999</v>
      </c>
      <c r="F672" s="31"/>
      <c r="G672" s="31"/>
      <c r="H672" s="31"/>
      <c r="I672" s="31"/>
      <c r="J672" s="31">
        <v>671</v>
      </c>
      <c r="K672" s="31" t="s">
        <v>926</v>
      </c>
      <c r="L672" s="1">
        <v>-0.37469999999999998</v>
      </c>
      <c r="M672" s="1">
        <v>0.1142</v>
      </c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</row>
    <row r="673" spans="1:35" x14ac:dyDescent="0.15">
      <c r="A673" s="31"/>
      <c r="B673" s="31">
        <v>1038</v>
      </c>
      <c r="C673" s="31" t="s">
        <v>834</v>
      </c>
      <c r="D673" s="27">
        <v>1.4399</v>
      </c>
      <c r="E673" s="1">
        <v>0.33373000000000003</v>
      </c>
      <c r="F673" s="31"/>
      <c r="G673" s="31"/>
      <c r="H673" s="31"/>
      <c r="I673" s="31"/>
      <c r="J673" s="31">
        <v>672</v>
      </c>
      <c r="K673" s="31" t="s">
        <v>926</v>
      </c>
      <c r="L673" s="1">
        <v>-0.39178000000000002</v>
      </c>
      <c r="M673" s="1">
        <v>0.12179</v>
      </c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</row>
    <row r="674" spans="1:35" x14ac:dyDescent="0.15">
      <c r="A674" s="31"/>
      <c r="B674" s="31">
        <v>1039</v>
      </c>
      <c r="C674" s="31" t="s">
        <v>834</v>
      </c>
      <c r="D674" s="27">
        <v>1.3964000000000001</v>
      </c>
      <c r="E674" s="1">
        <v>0.32669999999999999</v>
      </c>
      <c r="F674" s="31"/>
      <c r="G674" s="31"/>
      <c r="H674" s="31"/>
      <c r="I674" s="31"/>
      <c r="J674" s="31">
        <v>673</v>
      </c>
      <c r="K674" s="31" t="s">
        <v>926</v>
      </c>
      <c r="L674" s="1">
        <v>-0.28078999999999998</v>
      </c>
      <c r="M674" s="1">
        <v>0.11831999999999999</v>
      </c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</row>
    <row r="675" spans="1:35" x14ac:dyDescent="0.15">
      <c r="A675" s="31"/>
      <c r="B675" s="31">
        <v>1040</v>
      </c>
      <c r="C675" s="31" t="s">
        <v>834</v>
      </c>
      <c r="D675" s="27">
        <v>1.3541000000000001</v>
      </c>
      <c r="E675" s="1">
        <v>0.31984000000000001</v>
      </c>
      <c r="F675" s="31"/>
      <c r="G675" s="31"/>
      <c r="H675" s="31"/>
      <c r="I675" s="31"/>
      <c r="J675" s="31">
        <v>674</v>
      </c>
      <c r="K675" s="31" t="s">
        <v>926</v>
      </c>
      <c r="L675" s="1">
        <v>-0.32247999999999999</v>
      </c>
      <c r="M675" s="1">
        <v>0.12795000000000001</v>
      </c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</row>
    <row r="676" spans="1:35" x14ac:dyDescent="0.15">
      <c r="A676" s="31"/>
      <c r="B676" s="31">
        <v>1041</v>
      </c>
      <c r="C676" s="31" t="s">
        <v>834</v>
      </c>
      <c r="D676" s="27">
        <v>1.3128</v>
      </c>
      <c r="E676" s="1">
        <v>0.31315999999999999</v>
      </c>
      <c r="F676" s="31"/>
      <c r="G676" s="31"/>
      <c r="H676" s="31"/>
      <c r="I676" s="31"/>
      <c r="J676" s="31">
        <v>675</v>
      </c>
      <c r="K676" s="31" t="s">
        <v>926</v>
      </c>
      <c r="L676" s="1">
        <v>-0.10104</v>
      </c>
      <c r="M676" s="1">
        <v>0.10363</v>
      </c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</row>
    <row r="677" spans="1:35" x14ac:dyDescent="0.15">
      <c r="A677" s="31"/>
      <c r="B677" s="31">
        <v>1042</v>
      </c>
      <c r="C677" s="31" t="s">
        <v>834</v>
      </c>
      <c r="D677" s="27">
        <v>1.2726999999999999</v>
      </c>
      <c r="E677" s="1">
        <v>0.30664000000000002</v>
      </c>
      <c r="F677" s="31"/>
      <c r="G677" s="31"/>
      <c r="H677" s="31"/>
      <c r="I677" s="31"/>
      <c r="J677" s="31">
        <v>676</v>
      </c>
      <c r="K677" s="31" t="s">
        <v>926</v>
      </c>
      <c r="L677" s="1">
        <v>8.9220999999999995E-2</v>
      </c>
      <c r="M677" s="1">
        <v>0.10876</v>
      </c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</row>
    <row r="678" spans="1:35" x14ac:dyDescent="0.15">
      <c r="A678" s="31"/>
      <c r="B678" s="31">
        <v>1043</v>
      </c>
      <c r="C678" s="31" t="s">
        <v>834</v>
      </c>
      <c r="D678" s="27">
        <v>1.2336</v>
      </c>
      <c r="E678" s="1">
        <v>0.30026999999999998</v>
      </c>
      <c r="F678" s="31"/>
      <c r="G678" s="31"/>
      <c r="H678" s="31"/>
      <c r="I678" s="31"/>
      <c r="J678" s="31">
        <v>677</v>
      </c>
      <c r="K678" s="31" t="s">
        <v>926</v>
      </c>
      <c r="L678" s="1">
        <v>9.1142000000000001E-2</v>
      </c>
      <c r="M678" s="1">
        <v>0.11448</v>
      </c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</row>
    <row r="679" spans="1:35" x14ac:dyDescent="0.15">
      <c r="A679" s="31"/>
      <c r="B679" s="31">
        <v>1044</v>
      </c>
      <c r="C679" s="31" t="s">
        <v>834</v>
      </c>
      <c r="D679" s="27">
        <v>1.1957</v>
      </c>
      <c r="E679" s="1">
        <v>0.29405999999999999</v>
      </c>
      <c r="F679" s="31"/>
      <c r="G679" s="31"/>
      <c r="H679" s="31"/>
      <c r="I679" s="31"/>
      <c r="J679" s="31">
        <v>678</v>
      </c>
      <c r="K679" s="31" t="s">
        <v>926</v>
      </c>
      <c r="L679" s="1">
        <v>0.14573</v>
      </c>
      <c r="M679" s="1">
        <v>0.12853000000000001</v>
      </c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</row>
    <row r="680" spans="1:35" x14ac:dyDescent="0.15">
      <c r="A680" s="31"/>
      <c r="B680" s="31">
        <v>1045</v>
      </c>
      <c r="C680" s="31" t="s">
        <v>834</v>
      </c>
      <c r="D680" s="27">
        <v>1.1587000000000001</v>
      </c>
      <c r="E680" s="1">
        <v>0.28799000000000002</v>
      </c>
      <c r="F680" s="31"/>
      <c r="G680" s="31"/>
      <c r="H680" s="31"/>
      <c r="I680" s="31"/>
      <c r="J680" s="31">
        <v>679</v>
      </c>
      <c r="K680" s="31" t="s">
        <v>926</v>
      </c>
      <c r="L680" s="1">
        <v>4.7259000000000002E-2</v>
      </c>
      <c r="M680" s="1">
        <v>0.14026</v>
      </c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</row>
    <row r="681" spans="1:35" x14ac:dyDescent="0.15">
      <c r="A681" s="31"/>
      <c r="B681" s="31">
        <v>1046</v>
      </c>
      <c r="C681" s="31" t="s">
        <v>834</v>
      </c>
      <c r="D681" s="27">
        <v>1.1228</v>
      </c>
      <c r="E681" s="1">
        <v>0.28205999999999998</v>
      </c>
      <c r="F681" s="31"/>
      <c r="G681" s="31"/>
      <c r="H681" s="31"/>
      <c r="I681" s="31"/>
      <c r="J681" s="31">
        <v>680</v>
      </c>
      <c r="K681" s="31" t="s">
        <v>926</v>
      </c>
      <c r="L681" s="1">
        <v>0.22192999999999999</v>
      </c>
      <c r="M681" s="1">
        <v>0.13372999999999999</v>
      </c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</row>
    <row r="682" spans="1:35" x14ac:dyDescent="0.15">
      <c r="A682" s="31"/>
      <c r="B682" s="31">
        <v>1047</v>
      </c>
      <c r="C682" s="31" t="s">
        <v>834</v>
      </c>
      <c r="D682" s="27">
        <v>1.0880000000000001</v>
      </c>
      <c r="E682" s="1">
        <v>0.27627000000000002</v>
      </c>
      <c r="F682" s="31"/>
      <c r="G682" s="31"/>
      <c r="H682" s="31"/>
      <c r="I682" s="31"/>
      <c r="J682" s="31">
        <v>681</v>
      </c>
      <c r="K682" s="31" t="s">
        <v>926</v>
      </c>
      <c r="L682" s="1">
        <v>0.38544</v>
      </c>
      <c r="M682" s="1">
        <v>0.12157999999999999</v>
      </c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</row>
    <row r="683" spans="1:35" x14ac:dyDescent="0.15">
      <c r="A683" s="31"/>
      <c r="B683" s="31">
        <v>1048</v>
      </c>
      <c r="C683" s="31" t="s">
        <v>834</v>
      </c>
      <c r="D683" s="27">
        <v>1.0541</v>
      </c>
      <c r="E683" s="1">
        <v>0.27060000000000001</v>
      </c>
      <c r="F683" s="31"/>
      <c r="G683" s="31"/>
      <c r="H683" s="31"/>
      <c r="I683" s="31"/>
      <c r="J683" s="31">
        <v>682</v>
      </c>
      <c r="K683" s="31" t="s">
        <v>926</v>
      </c>
      <c r="L683" s="1">
        <v>0.41198000000000001</v>
      </c>
      <c r="M683" s="1">
        <v>0.12978000000000001</v>
      </c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</row>
    <row r="684" spans="1:35" x14ac:dyDescent="0.15">
      <c r="A684" s="31"/>
      <c r="B684" s="31">
        <v>1049</v>
      </c>
      <c r="C684" s="31" t="s">
        <v>834</v>
      </c>
      <c r="D684" s="27">
        <v>1.0212000000000001</v>
      </c>
      <c r="E684" s="1">
        <v>0.26506000000000002</v>
      </c>
      <c r="F684" s="31"/>
      <c r="G684" s="31"/>
      <c r="H684" s="31"/>
      <c r="I684" s="31"/>
      <c r="J684" s="31">
        <v>683</v>
      </c>
      <c r="K684" s="31" t="s">
        <v>926</v>
      </c>
      <c r="L684" s="1">
        <v>0.64205999999999996</v>
      </c>
      <c r="M684" s="1">
        <v>9.5691999999999999E-2</v>
      </c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</row>
    <row r="685" spans="1:35" x14ac:dyDescent="0.15">
      <c r="A685" s="31"/>
      <c r="B685" s="31">
        <v>1050</v>
      </c>
      <c r="C685" s="31" t="s">
        <v>834</v>
      </c>
      <c r="D685" s="27">
        <v>0.98929</v>
      </c>
      <c r="E685" s="1">
        <v>0.25963999999999998</v>
      </c>
      <c r="F685" s="31"/>
      <c r="G685" s="31"/>
      <c r="H685" s="31"/>
      <c r="I685" s="31"/>
      <c r="J685" s="31">
        <v>684</v>
      </c>
      <c r="K685" s="31" t="s">
        <v>926</v>
      </c>
      <c r="L685" s="1">
        <v>0.58967000000000003</v>
      </c>
      <c r="M685" s="1">
        <v>9.7535999999999998E-2</v>
      </c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</row>
    <row r="686" spans="1:35" x14ac:dyDescent="0.15">
      <c r="A686" s="31"/>
      <c r="B686" s="31">
        <v>1051</v>
      </c>
      <c r="C686" s="31" t="s">
        <v>834</v>
      </c>
      <c r="D686" s="27">
        <v>0.95831999999999995</v>
      </c>
      <c r="E686" s="1">
        <v>0.25433</v>
      </c>
      <c r="F686" s="31"/>
      <c r="G686" s="31"/>
      <c r="H686" s="31"/>
      <c r="I686" s="31"/>
      <c r="J686" s="31">
        <v>685</v>
      </c>
      <c r="K686" s="31" t="s">
        <v>926</v>
      </c>
      <c r="L686" s="1">
        <v>0.31627</v>
      </c>
      <c r="M686" s="1">
        <v>0.13633999999999999</v>
      </c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</row>
    <row r="687" spans="1:35" x14ac:dyDescent="0.15">
      <c r="A687" s="31"/>
      <c r="B687" s="31">
        <v>1052</v>
      </c>
      <c r="C687" s="31" t="s">
        <v>834</v>
      </c>
      <c r="D687" s="27">
        <v>0.92827999999999999</v>
      </c>
      <c r="E687" s="1">
        <v>0.24915000000000001</v>
      </c>
      <c r="F687" s="31"/>
      <c r="G687" s="31"/>
      <c r="H687" s="31"/>
      <c r="I687" s="31"/>
      <c r="J687" s="31">
        <v>686</v>
      </c>
      <c r="K687" s="31" t="s">
        <v>926</v>
      </c>
      <c r="L687" s="1">
        <v>0.38862999999999998</v>
      </c>
      <c r="M687" s="1">
        <v>0.13183</v>
      </c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</row>
    <row r="688" spans="1:35" x14ac:dyDescent="0.15">
      <c r="A688" s="31"/>
      <c r="B688" s="31">
        <v>1053</v>
      </c>
      <c r="C688" s="31" t="s">
        <v>834</v>
      </c>
      <c r="D688" s="27">
        <v>0.89915999999999996</v>
      </c>
      <c r="E688" s="1">
        <v>0.24407000000000001</v>
      </c>
      <c r="F688" s="31"/>
      <c r="G688" s="31"/>
      <c r="H688" s="31"/>
      <c r="I688" s="31"/>
      <c r="J688" s="31">
        <v>687</v>
      </c>
      <c r="K688" s="31" t="s">
        <v>926</v>
      </c>
      <c r="L688" s="1">
        <v>0.37242999999999998</v>
      </c>
      <c r="M688" s="1">
        <v>0.17168</v>
      </c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</row>
    <row r="689" spans="1:35" x14ac:dyDescent="0.15">
      <c r="A689" s="31"/>
      <c r="B689" s="31">
        <v>1054</v>
      </c>
      <c r="C689" s="31" t="s">
        <v>834</v>
      </c>
      <c r="D689" s="27">
        <v>0.87092999999999998</v>
      </c>
      <c r="E689" s="1">
        <v>0.23910999999999999</v>
      </c>
      <c r="F689" s="31"/>
      <c r="G689" s="31"/>
      <c r="H689" s="31"/>
      <c r="I689" s="31"/>
      <c r="J689" s="31">
        <v>688</v>
      </c>
      <c r="K689" s="31" t="s">
        <v>927</v>
      </c>
      <c r="L689" s="1">
        <v>-0.17571000000000001</v>
      </c>
      <c r="M689" s="1">
        <v>0.13075999999999999</v>
      </c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</row>
    <row r="690" spans="1:35" x14ac:dyDescent="0.15">
      <c r="A690" s="31"/>
      <c r="B690" s="31">
        <v>1055</v>
      </c>
      <c r="C690" s="31" t="s">
        <v>834</v>
      </c>
      <c r="D690" s="27">
        <v>0.84358</v>
      </c>
      <c r="E690" s="1">
        <v>0.23425000000000001</v>
      </c>
      <c r="F690" s="31"/>
      <c r="G690" s="31"/>
      <c r="H690" s="31"/>
      <c r="I690" s="31"/>
      <c r="J690" s="31">
        <v>689</v>
      </c>
      <c r="K690" s="31" t="s">
        <v>927</v>
      </c>
      <c r="L690" s="1">
        <v>-0.20050000000000001</v>
      </c>
      <c r="M690" s="1">
        <v>8.4012000000000003E-2</v>
      </c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</row>
    <row r="691" spans="1:35" x14ac:dyDescent="0.15">
      <c r="A691" s="31"/>
      <c r="B691" s="31">
        <v>7</v>
      </c>
      <c r="C691" s="31" t="s">
        <v>290</v>
      </c>
      <c r="D691" s="27">
        <v>9.8788999999999998</v>
      </c>
      <c r="E691" s="1">
        <v>0.16718</v>
      </c>
      <c r="F691" s="31"/>
      <c r="G691" s="31"/>
      <c r="H691" s="31"/>
      <c r="I691" s="31"/>
      <c r="J691" s="31">
        <v>690</v>
      </c>
      <c r="K691" s="31" t="s">
        <v>927</v>
      </c>
      <c r="L691" s="1">
        <v>-4.5062999999999999E-2</v>
      </c>
      <c r="M691" s="1">
        <v>6.1397E-2</v>
      </c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</row>
    <row r="692" spans="1:35" x14ac:dyDescent="0.15">
      <c r="A692" s="31"/>
      <c r="B692" s="31">
        <v>931</v>
      </c>
      <c r="C692" s="141" t="s">
        <v>314</v>
      </c>
      <c r="D692" s="142">
        <v>0.69506999999999997</v>
      </c>
      <c r="E692" s="1">
        <v>5.8280999999999999E-2</v>
      </c>
      <c r="F692" s="31"/>
      <c r="G692" s="31"/>
      <c r="H692" s="31"/>
      <c r="I692" s="31"/>
      <c r="J692" s="31">
        <v>691</v>
      </c>
      <c r="K692" s="31" t="s">
        <v>927</v>
      </c>
      <c r="L692" s="1">
        <v>-7.2281999999999999E-2</v>
      </c>
      <c r="M692" s="1">
        <v>7.5984999999999997E-2</v>
      </c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</row>
    <row r="693" spans="1:35" x14ac:dyDescent="0.15">
      <c r="A693" s="31"/>
      <c r="B693" s="31">
        <v>1392</v>
      </c>
      <c r="C693" s="31" t="s">
        <v>249</v>
      </c>
      <c r="D693" s="31">
        <v>9.7247E-2</v>
      </c>
      <c r="E693" s="31">
        <v>2.1569000000000001E-2</v>
      </c>
      <c r="F693" s="31"/>
      <c r="G693" s="31"/>
      <c r="H693" s="31"/>
      <c r="I693" s="31"/>
      <c r="J693" s="31">
        <v>692</v>
      </c>
      <c r="K693" s="31" t="s">
        <v>927</v>
      </c>
      <c r="L693" s="1">
        <v>6.9865999999999998E-2</v>
      </c>
      <c r="M693" s="1">
        <v>7.0583999999999994E-2</v>
      </c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</row>
    <row r="694" spans="1:35" x14ac:dyDescent="0.15">
      <c r="A694" s="31"/>
      <c r="B694" s="31">
        <v>1393</v>
      </c>
      <c r="C694" s="31" t="s">
        <v>249</v>
      </c>
      <c r="D694" s="31">
        <v>0.10691000000000001</v>
      </c>
      <c r="E694" s="31">
        <v>2.2388000000000002E-2</v>
      </c>
      <c r="F694" s="31"/>
      <c r="G694" s="31"/>
      <c r="H694" s="31"/>
      <c r="I694" s="31"/>
      <c r="J694" s="31">
        <v>693</v>
      </c>
      <c r="K694" s="31" t="s">
        <v>927</v>
      </c>
      <c r="L694" s="1">
        <v>5.2023E-2</v>
      </c>
      <c r="M694" s="1">
        <v>5.9325999999999997E-2</v>
      </c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</row>
    <row r="695" spans="1:35" x14ac:dyDescent="0.15">
      <c r="A695" s="31"/>
      <c r="B695" s="31">
        <v>1394</v>
      </c>
      <c r="C695" s="31" t="s">
        <v>249</v>
      </c>
      <c r="D695" s="31">
        <v>9.3106999999999995E-2</v>
      </c>
      <c r="E695" s="31">
        <v>1.7646999999999999E-2</v>
      </c>
      <c r="F695" s="31"/>
      <c r="G695" s="31"/>
      <c r="H695" s="31"/>
      <c r="I695" s="31"/>
      <c r="J695" s="31">
        <v>694</v>
      </c>
      <c r="K695" s="31" t="s">
        <v>927</v>
      </c>
      <c r="L695" s="1">
        <v>-6.1277999999999999E-2</v>
      </c>
      <c r="M695" s="1">
        <v>7.1895000000000001E-2</v>
      </c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</row>
    <row r="696" spans="1:35" x14ac:dyDescent="0.15">
      <c r="A696" s="31"/>
      <c r="B696" s="31">
        <v>1395</v>
      </c>
      <c r="C696" s="31" t="s">
        <v>249</v>
      </c>
      <c r="D696" s="31">
        <v>0.14330999999999999</v>
      </c>
      <c r="E696" s="31">
        <v>2.4865000000000002E-2</v>
      </c>
      <c r="F696" s="31"/>
      <c r="G696" s="31"/>
      <c r="H696" s="31"/>
      <c r="I696" s="31"/>
      <c r="J696" s="31">
        <v>695</v>
      </c>
      <c r="K696" s="31" t="s">
        <v>927</v>
      </c>
      <c r="L696" s="1">
        <v>-0.13425999999999999</v>
      </c>
      <c r="M696" s="1">
        <v>6.8365999999999996E-2</v>
      </c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</row>
    <row r="697" spans="1:35" x14ac:dyDescent="0.15">
      <c r="A697" s="31"/>
      <c r="B697" s="31">
        <v>1396</v>
      </c>
      <c r="C697" s="31" t="s">
        <v>249</v>
      </c>
      <c r="D697" s="31">
        <v>0.14979000000000001</v>
      </c>
      <c r="E697" s="31">
        <v>2.4442999999999999E-2</v>
      </c>
      <c r="F697" s="31"/>
      <c r="G697" s="31"/>
      <c r="H697" s="31"/>
      <c r="I697" s="31"/>
      <c r="J697" s="31">
        <v>696</v>
      </c>
      <c r="K697" s="31" t="s">
        <v>927</v>
      </c>
      <c r="L697" s="1">
        <v>-0.10970000000000001</v>
      </c>
      <c r="M697" s="1">
        <v>6.1862E-2</v>
      </c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</row>
    <row r="698" spans="1:35" x14ac:dyDescent="0.15">
      <c r="A698" s="31"/>
      <c r="B698" s="31">
        <v>1397</v>
      </c>
      <c r="C698" s="31" t="s">
        <v>249</v>
      </c>
      <c r="D698" s="31">
        <v>0.15242</v>
      </c>
      <c r="E698" s="31">
        <v>2.3057000000000001E-2</v>
      </c>
      <c r="F698" s="31"/>
      <c r="G698" s="31"/>
      <c r="H698" s="31"/>
      <c r="I698" s="31"/>
      <c r="J698" s="31">
        <v>697</v>
      </c>
      <c r="K698" s="31" t="s">
        <v>927</v>
      </c>
      <c r="L698" s="1">
        <v>8.2088999999999995E-2</v>
      </c>
      <c r="M698" s="1">
        <v>6.7167000000000004E-2</v>
      </c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</row>
    <row r="699" spans="1:35" x14ac:dyDescent="0.15">
      <c r="A699" s="31"/>
      <c r="B699" s="31">
        <v>1398</v>
      </c>
      <c r="C699" s="31" t="s">
        <v>249</v>
      </c>
      <c r="D699" s="31">
        <v>0.19228000000000001</v>
      </c>
      <c r="E699" s="31">
        <v>2.6096999999999999E-2</v>
      </c>
      <c r="F699" s="31"/>
      <c r="G699" s="31"/>
      <c r="H699" s="31"/>
      <c r="I699" s="31"/>
      <c r="J699" s="31">
        <v>698</v>
      </c>
      <c r="K699" s="31" t="s">
        <v>927</v>
      </c>
      <c r="L699" s="1">
        <v>-1.4826000000000001E-2</v>
      </c>
      <c r="M699" s="1">
        <v>6.3555E-2</v>
      </c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</row>
    <row r="700" spans="1:35" x14ac:dyDescent="0.15">
      <c r="A700" s="31"/>
      <c r="B700" s="31">
        <v>1399</v>
      </c>
      <c r="C700" s="31" t="s">
        <v>249</v>
      </c>
      <c r="D700" s="31">
        <v>0.25808999999999999</v>
      </c>
      <c r="E700" s="31">
        <v>3.1621000000000003E-2</v>
      </c>
      <c r="F700" s="31"/>
      <c r="G700" s="31"/>
      <c r="H700" s="31"/>
      <c r="I700" s="31"/>
      <c r="J700" s="31">
        <v>699</v>
      </c>
      <c r="K700" s="31" t="s">
        <v>927</v>
      </c>
      <c r="L700" s="1">
        <v>-8.8195999999999997E-2</v>
      </c>
      <c r="M700" s="1">
        <v>5.1741000000000002E-2</v>
      </c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</row>
    <row r="701" spans="1:35" x14ac:dyDescent="0.15">
      <c r="A701" s="31"/>
      <c r="B701" s="31">
        <v>1400</v>
      </c>
      <c r="C701" s="31" t="s">
        <v>249</v>
      </c>
      <c r="D701" s="31">
        <v>0.30501</v>
      </c>
      <c r="E701" s="31">
        <v>3.6715999999999999E-2</v>
      </c>
      <c r="F701" s="31"/>
      <c r="G701" s="31"/>
      <c r="H701" s="31"/>
      <c r="I701" s="31"/>
      <c r="J701" s="31">
        <v>700</v>
      </c>
      <c r="K701" s="31" t="s">
        <v>927</v>
      </c>
      <c r="L701" s="1">
        <v>-2.3806000000000001E-2</v>
      </c>
      <c r="M701" s="1">
        <v>4.7736000000000001E-2</v>
      </c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</row>
    <row r="702" spans="1:35" x14ac:dyDescent="0.15">
      <c r="A702" s="31"/>
      <c r="B702" s="31">
        <v>1401</v>
      </c>
      <c r="C702" s="31" t="s">
        <v>249</v>
      </c>
      <c r="D702" s="31">
        <v>0.35371999999999998</v>
      </c>
      <c r="E702" s="31">
        <v>4.5259000000000001E-2</v>
      </c>
      <c r="F702" s="31"/>
      <c r="G702" s="31"/>
      <c r="H702" s="31"/>
      <c r="I702" s="31"/>
      <c r="J702" s="31">
        <v>701</v>
      </c>
      <c r="K702" s="31" t="s">
        <v>927</v>
      </c>
      <c r="L702" s="1">
        <v>5.8835999999999999E-2</v>
      </c>
      <c r="M702" s="1">
        <v>6.8540000000000004E-2</v>
      </c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</row>
    <row r="703" spans="1:35" x14ac:dyDescent="0.15">
      <c r="A703" s="31"/>
      <c r="B703" s="31">
        <v>1402</v>
      </c>
      <c r="C703" s="31" t="s">
        <v>249</v>
      </c>
      <c r="D703" s="31">
        <v>0.35247000000000001</v>
      </c>
      <c r="E703" s="31">
        <v>4.2228000000000002E-2</v>
      </c>
      <c r="F703" s="31"/>
      <c r="G703" s="31"/>
      <c r="H703" s="31"/>
      <c r="I703" s="31"/>
      <c r="J703" s="31">
        <v>702</v>
      </c>
      <c r="K703" s="31" t="s">
        <v>927</v>
      </c>
      <c r="L703" s="1">
        <v>0.18959999999999999</v>
      </c>
      <c r="M703" s="1">
        <v>4.5922999999999999E-2</v>
      </c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</row>
    <row r="704" spans="1:35" x14ac:dyDescent="0.15">
      <c r="A704" s="31"/>
      <c r="B704" s="31">
        <v>1403</v>
      </c>
      <c r="C704" s="31" t="s">
        <v>249</v>
      </c>
      <c r="D704" s="31">
        <v>0.32506000000000002</v>
      </c>
      <c r="E704" s="31">
        <v>3.3077000000000002E-2</v>
      </c>
      <c r="F704" s="31"/>
      <c r="G704" s="31"/>
      <c r="H704" s="31"/>
      <c r="I704" s="31"/>
      <c r="J704" s="31">
        <v>703</v>
      </c>
      <c r="K704" s="31" t="s">
        <v>927</v>
      </c>
      <c r="L704" s="1">
        <v>0.19753000000000001</v>
      </c>
      <c r="M704" s="1">
        <v>6.2560000000000004E-2</v>
      </c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</row>
    <row r="705" spans="1:35" x14ac:dyDescent="0.15">
      <c r="A705" s="31"/>
      <c r="B705" s="31">
        <v>1404</v>
      </c>
      <c r="C705" s="31" t="s">
        <v>249</v>
      </c>
      <c r="D705" s="31">
        <v>0.29113</v>
      </c>
      <c r="E705" s="31">
        <v>2.7584999999999998E-2</v>
      </c>
      <c r="F705" s="31"/>
      <c r="G705" s="31"/>
      <c r="H705" s="31"/>
      <c r="I705" s="31"/>
      <c r="J705" s="31">
        <v>704</v>
      </c>
      <c r="K705" s="31" t="s">
        <v>927</v>
      </c>
      <c r="L705" s="1">
        <v>0.25373000000000001</v>
      </c>
      <c r="M705" s="1">
        <v>5.1407000000000001E-2</v>
      </c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</row>
    <row r="706" spans="1:35" x14ac:dyDescent="0.15">
      <c r="A706" s="31"/>
      <c r="B706" s="31">
        <v>1405</v>
      </c>
      <c r="C706" s="31" t="s">
        <v>249</v>
      </c>
      <c r="D706" s="31">
        <v>0.24668999999999999</v>
      </c>
      <c r="E706" s="31">
        <v>2.3241999999999999E-2</v>
      </c>
      <c r="F706" s="31"/>
      <c r="G706" s="31"/>
      <c r="H706" s="31"/>
      <c r="I706" s="31"/>
      <c r="J706" s="31">
        <v>705</v>
      </c>
      <c r="K706" s="31" t="s">
        <v>927</v>
      </c>
      <c r="L706" s="1">
        <v>0.17557</v>
      </c>
      <c r="M706" s="1">
        <v>6.0621000000000001E-2</v>
      </c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</row>
    <row r="707" spans="1:35" x14ac:dyDescent="0.15">
      <c r="A707" s="31"/>
      <c r="B707" s="31">
        <v>1406</v>
      </c>
      <c r="C707" s="31" t="s">
        <v>249</v>
      </c>
      <c r="D707" s="31">
        <v>0.24895</v>
      </c>
      <c r="E707" s="31">
        <v>2.2710999999999999E-2</v>
      </c>
      <c r="F707" s="31"/>
      <c r="G707" s="31"/>
      <c r="H707" s="31"/>
      <c r="I707" s="31"/>
      <c r="J707" s="31">
        <v>706</v>
      </c>
      <c r="K707" s="31" t="s">
        <v>927</v>
      </c>
      <c r="L707" s="1">
        <v>0.11493</v>
      </c>
      <c r="M707" s="1">
        <v>6.1351000000000003E-2</v>
      </c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</row>
    <row r="708" spans="1:35" x14ac:dyDescent="0.15">
      <c r="A708" s="31"/>
      <c r="B708" s="31">
        <v>1407</v>
      </c>
      <c r="C708" s="31" t="s">
        <v>249</v>
      </c>
      <c r="D708" s="31">
        <v>0.21851000000000001</v>
      </c>
      <c r="E708" s="31">
        <v>1.8776000000000001E-2</v>
      </c>
      <c r="F708" s="31"/>
      <c r="G708" s="31"/>
      <c r="H708" s="31"/>
      <c r="I708" s="31"/>
      <c r="J708" s="31">
        <v>707</v>
      </c>
      <c r="K708" s="31" t="s">
        <v>927</v>
      </c>
      <c r="L708" s="1">
        <v>0.13053000000000001</v>
      </c>
      <c r="M708" s="1">
        <v>5.4836999999999997E-2</v>
      </c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</row>
    <row r="709" spans="1:35" x14ac:dyDescent="0.15">
      <c r="A709" s="31"/>
      <c r="B709" s="31">
        <v>1408</v>
      </c>
      <c r="C709" s="31" t="s">
        <v>249</v>
      </c>
      <c r="D709" s="31">
        <v>0.15548000000000001</v>
      </c>
      <c r="E709" s="31">
        <v>1.1384999999999999E-2</v>
      </c>
      <c r="F709" s="31"/>
      <c r="G709" s="31"/>
      <c r="H709" s="31"/>
      <c r="I709" s="31"/>
      <c r="J709" s="31">
        <v>708</v>
      </c>
      <c r="K709" s="31" t="s">
        <v>927</v>
      </c>
      <c r="L709" s="1">
        <v>5.5798E-2</v>
      </c>
      <c r="M709" s="1">
        <v>5.7610000000000001E-2</v>
      </c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</row>
    <row r="710" spans="1:35" x14ac:dyDescent="0.15">
      <c r="A710" s="31"/>
      <c r="B710" s="31">
        <v>1409</v>
      </c>
      <c r="C710" s="31" t="s">
        <v>249</v>
      </c>
      <c r="D710" s="31">
        <v>0.11650000000000001</v>
      </c>
      <c r="E710" s="31">
        <v>7.9261000000000002E-3</v>
      </c>
      <c r="F710" s="31"/>
      <c r="G710" s="31"/>
      <c r="H710" s="31"/>
      <c r="I710" s="31"/>
      <c r="J710" s="31">
        <v>709</v>
      </c>
      <c r="K710" s="31" t="s">
        <v>927</v>
      </c>
      <c r="L710" s="1">
        <v>6.5664E-2</v>
      </c>
      <c r="M710" s="1">
        <v>6.5338999999999994E-2</v>
      </c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</row>
    <row r="711" spans="1:35" x14ac:dyDescent="0.15">
      <c r="A711" s="31"/>
      <c r="B711" s="31">
        <v>1410</v>
      </c>
      <c r="C711" s="31" t="s">
        <v>249</v>
      </c>
      <c r="D711" s="31">
        <v>0.10019</v>
      </c>
      <c r="E711" s="31">
        <v>6.6230999999999998E-3</v>
      </c>
      <c r="F711" s="31"/>
      <c r="G711" s="31"/>
      <c r="H711" s="31"/>
      <c r="I711" s="31"/>
      <c r="J711" s="31">
        <v>710</v>
      </c>
      <c r="K711" s="31" t="s">
        <v>927</v>
      </c>
      <c r="L711" s="1">
        <v>7.9614000000000004E-2</v>
      </c>
      <c r="M711" s="1">
        <v>4.1117000000000001E-2</v>
      </c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</row>
    <row r="712" spans="1:35" x14ac:dyDescent="0.15">
      <c r="A712" s="31"/>
      <c r="B712" s="31">
        <v>1411</v>
      </c>
      <c r="C712" s="31" t="s">
        <v>249</v>
      </c>
      <c r="D712" s="31">
        <v>9.7086000000000006E-2</v>
      </c>
      <c r="E712" s="31">
        <v>6.3010000000000002E-3</v>
      </c>
      <c r="F712" s="31"/>
      <c r="G712" s="31"/>
      <c r="H712" s="31"/>
      <c r="I712" s="31"/>
      <c r="J712" s="31">
        <v>711</v>
      </c>
      <c r="K712" s="31" t="s">
        <v>927</v>
      </c>
      <c r="L712" s="1">
        <v>-1.9642E-2</v>
      </c>
      <c r="M712" s="1">
        <v>4.1843999999999999E-2</v>
      </c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</row>
    <row r="713" spans="1:35" x14ac:dyDescent="0.15">
      <c r="A713" s="31"/>
      <c r="B713" s="31">
        <v>1412</v>
      </c>
      <c r="C713" s="31" t="s">
        <v>249</v>
      </c>
      <c r="D713" s="31">
        <v>0.1018</v>
      </c>
      <c r="E713" s="31">
        <v>6.3122999999999999E-3</v>
      </c>
      <c r="F713" s="31"/>
      <c r="G713" s="31"/>
      <c r="H713" s="31"/>
      <c r="I713" s="31"/>
      <c r="J713" s="31">
        <v>712</v>
      </c>
      <c r="K713" s="31" t="s">
        <v>927</v>
      </c>
      <c r="L713" s="1">
        <v>0.12381</v>
      </c>
      <c r="M713" s="1">
        <v>3.9914999999999999E-2</v>
      </c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</row>
    <row r="714" spans="1:35" x14ac:dyDescent="0.15">
      <c r="A714" s="31"/>
      <c r="B714" s="31">
        <v>1413</v>
      </c>
      <c r="C714" s="31" t="s">
        <v>249</v>
      </c>
      <c r="D714" s="31">
        <v>0.10125000000000001</v>
      </c>
      <c r="E714" s="31">
        <v>6.0765999999999997E-3</v>
      </c>
      <c r="F714" s="31"/>
      <c r="G714" s="31"/>
      <c r="H714" s="31"/>
      <c r="I714" s="31"/>
      <c r="J714" s="31">
        <v>713</v>
      </c>
      <c r="K714" s="31" t="s">
        <v>927</v>
      </c>
      <c r="L714" s="1">
        <v>-6.3996999999999998E-2</v>
      </c>
      <c r="M714" s="1">
        <v>5.8229999999999997E-2</v>
      </c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</row>
    <row r="715" spans="1:35" x14ac:dyDescent="0.15">
      <c r="A715" s="31"/>
      <c r="B715" s="31">
        <v>1414</v>
      </c>
      <c r="C715" s="31" t="s">
        <v>249</v>
      </c>
      <c r="D715" s="31">
        <v>0.10192</v>
      </c>
      <c r="E715" s="31">
        <v>5.9588000000000002E-3</v>
      </c>
      <c r="F715" s="31"/>
      <c r="G715" s="31"/>
      <c r="H715" s="31"/>
      <c r="I715" s="31"/>
      <c r="J715" s="31">
        <v>714</v>
      </c>
      <c r="K715" s="31" t="s">
        <v>927</v>
      </c>
      <c r="L715" s="1">
        <v>-5.2430999999999998E-2</v>
      </c>
      <c r="M715" s="1">
        <v>5.067E-2</v>
      </c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</row>
    <row r="716" spans="1:35" x14ac:dyDescent="0.15">
      <c r="A716" s="31"/>
      <c r="B716" s="31">
        <v>1415</v>
      </c>
      <c r="C716" s="31" t="s">
        <v>249</v>
      </c>
      <c r="D716" s="31">
        <v>7.9047999999999993E-2</v>
      </c>
      <c r="E716" s="31">
        <v>4.6058000000000002E-3</v>
      </c>
      <c r="F716" s="31"/>
      <c r="G716" s="31"/>
      <c r="H716" s="31"/>
      <c r="I716" s="31"/>
      <c r="J716" s="31">
        <v>715</v>
      </c>
      <c r="K716" s="31" t="s">
        <v>927</v>
      </c>
      <c r="L716" s="1">
        <v>-8.0322000000000005E-2</v>
      </c>
      <c r="M716" s="1">
        <v>4.7577000000000001E-2</v>
      </c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</row>
    <row r="717" spans="1:35" x14ac:dyDescent="0.15">
      <c r="A717" s="31"/>
      <c r="B717" s="31">
        <v>1416</v>
      </c>
      <c r="C717" s="31" t="s">
        <v>249</v>
      </c>
      <c r="D717" s="31">
        <v>0.12096999999999999</v>
      </c>
      <c r="E717" s="31">
        <v>6.7784000000000004E-3</v>
      </c>
      <c r="F717" s="31"/>
      <c r="G717" s="31"/>
      <c r="H717" s="31"/>
      <c r="I717" s="31"/>
      <c r="J717" s="31">
        <v>716</v>
      </c>
      <c r="K717" s="31" t="s">
        <v>927</v>
      </c>
      <c r="L717" s="1">
        <v>-0.20116999999999999</v>
      </c>
      <c r="M717" s="1">
        <v>4.0655999999999998E-2</v>
      </c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</row>
    <row r="718" spans="1:35" x14ac:dyDescent="0.15">
      <c r="A718" s="31"/>
      <c r="B718" s="31">
        <v>1417</v>
      </c>
      <c r="C718" s="31" t="s">
        <v>249</v>
      </c>
      <c r="D718" s="31">
        <v>0.14451</v>
      </c>
      <c r="E718" s="31">
        <v>8.1609000000000004E-3</v>
      </c>
      <c r="F718" s="31"/>
      <c r="G718" s="31"/>
      <c r="H718" s="31"/>
      <c r="I718" s="31"/>
      <c r="J718" s="31">
        <v>717</v>
      </c>
      <c r="K718" s="31" t="s">
        <v>927</v>
      </c>
      <c r="L718" s="1">
        <v>-4.0787999999999998E-2</v>
      </c>
      <c r="M718" s="1">
        <v>3.8811999999999999E-2</v>
      </c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</row>
    <row r="719" spans="1:35" x14ac:dyDescent="0.15">
      <c r="A719" s="31"/>
      <c r="B719" s="31">
        <v>1418</v>
      </c>
      <c r="C719" s="31" t="s">
        <v>249</v>
      </c>
      <c r="D719" s="31">
        <v>0.20985999999999999</v>
      </c>
      <c r="E719" s="31">
        <v>1.1707E-2</v>
      </c>
      <c r="F719" s="31"/>
      <c r="G719" s="31"/>
      <c r="H719" s="31"/>
      <c r="I719" s="31"/>
      <c r="J719" s="31">
        <v>718</v>
      </c>
      <c r="K719" s="31" t="s">
        <v>927</v>
      </c>
      <c r="L719" s="1">
        <v>-7.1159E-2</v>
      </c>
      <c r="M719" s="1">
        <v>4.6226000000000003E-2</v>
      </c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</row>
    <row r="720" spans="1:35" x14ac:dyDescent="0.15">
      <c r="A720" s="31"/>
      <c r="B720" s="31">
        <v>1419</v>
      </c>
      <c r="C720" s="31" t="s">
        <v>249</v>
      </c>
      <c r="D720" s="31">
        <v>0.18426000000000001</v>
      </c>
      <c r="E720" s="31">
        <v>1.0159E-2</v>
      </c>
      <c r="F720" s="31"/>
      <c r="G720" s="31"/>
      <c r="H720" s="31"/>
      <c r="I720" s="31"/>
      <c r="J720" s="31">
        <v>719</v>
      </c>
      <c r="K720" s="31" t="s">
        <v>927</v>
      </c>
      <c r="L720" s="1">
        <v>-5.3040999999999998E-2</v>
      </c>
      <c r="M720" s="1">
        <v>3.9539999999999999E-2</v>
      </c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</row>
    <row r="721" spans="1:35" x14ac:dyDescent="0.15">
      <c r="A721" s="31"/>
      <c r="B721" s="31">
        <v>1420</v>
      </c>
      <c r="C721" s="31" t="s">
        <v>249</v>
      </c>
      <c r="D721" s="31">
        <v>0.16933999999999999</v>
      </c>
      <c r="E721" s="31">
        <v>8.7194999999999998E-3</v>
      </c>
      <c r="F721" s="31"/>
      <c r="G721" s="31"/>
      <c r="H721" s="31"/>
      <c r="I721" s="31"/>
      <c r="J721" s="31">
        <v>720</v>
      </c>
      <c r="K721" s="31" t="s">
        <v>927</v>
      </c>
      <c r="L721" s="1">
        <v>-0.1414</v>
      </c>
      <c r="M721" s="1">
        <v>5.9429000000000003E-2</v>
      </c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</row>
    <row r="722" spans="1:35" x14ac:dyDescent="0.15">
      <c r="A722" s="31"/>
      <c r="B722" s="31">
        <v>1421</v>
      </c>
      <c r="C722" s="31" t="s">
        <v>249</v>
      </c>
      <c r="D722" s="31">
        <v>0.12346</v>
      </c>
      <c r="E722" s="31">
        <v>6.5379000000000001E-3</v>
      </c>
      <c r="F722" s="31"/>
      <c r="G722" s="31"/>
      <c r="H722" s="31"/>
      <c r="I722" s="31"/>
      <c r="J722" s="31">
        <v>721</v>
      </c>
      <c r="K722" s="31" t="s">
        <v>928</v>
      </c>
      <c r="L722" s="1">
        <v>-0.18148</v>
      </c>
      <c r="M722" s="1">
        <v>0.14732000000000001</v>
      </c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</row>
    <row r="723" spans="1:35" x14ac:dyDescent="0.15">
      <c r="A723" s="31"/>
      <c r="B723" s="31">
        <v>1422</v>
      </c>
      <c r="C723" s="31" t="s">
        <v>249</v>
      </c>
      <c r="D723" s="31">
        <v>0.11292000000000001</v>
      </c>
      <c r="E723" s="31">
        <v>6.0101E-3</v>
      </c>
      <c r="F723" s="31"/>
      <c r="G723" s="31"/>
      <c r="H723" s="31"/>
      <c r="I723" s="31"/>
      <c r="J723" s="31">
        <v>722</v>
      </c>
      <c r="K723" s="31" t="s">
        <v>928</v>
      </c>
      <c r="L723" s="1">
        <v>-0.13819000000000001</v>
      </c>
      <c r="M723" s="1">
        <v>0.10289</v>
      </c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</row>
    <row r="724" spans="1:35" x14ac:dyDescent="0.15">
      <c r="A724" s="31"/>
      <c r="B724" s="31">
        <v>1423</v>
      </c>
      <c r="C724" s="31" t="s">
        <v>249</v>
      </c>
      <c r="D724" s="31">
        <v>0.10832</v>
      </c>
      <c r="E724" s="31">
        <v>5.8104999999999997E-3</v>
      </c>
      <c r="F724" s="31"/>
      <c r="G724" s="31"/>
      <c r="H724" s="31"/>
      <c r="I724" s="31"/>
      <c r="J724" s="31">
        <v>723</v>
      </c>
      <c r="K724" s="31" t="s">
        <v>928</v>
      </c>
      <c r="L724" s="1">
        <v>2.5307E-2</v>
      </c>
      <c r="M724" s="1">
        <v>0.11167000000000001</v>
      </c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</row>
    <row r="725" spans="1:35" x14ac:dyDescent="0.15">
      <c r="A725" s="31"/>
      <c r="B725" s="31">
        <v>1424</v>
      </c>
      <c r="C725" s="31" t="s">
        <v>249</v>
      </c>
      <c r="D725" s="31">
        <v>0.11022</v>
      </c>
      <c r="E725" s="31">
        <v>6.0025E-3</v>
      </c>
      <c r="F725" s="31"/>
      <c r="G725" s="31"/>
      <c r="H725" s="31"/>
      <c r="I725" s="31"/>
      <c r="J725" s="31">
        <v>724</v>
      </c>
      <c r="K725" s="31" t="s">
        <v>928</v>
      </c>
      <c r="L725" s="1">
        <v>-0.35137000000000002</v>
      </c>
      <c r="M725" s="1">
        <v>0.12640000000000001</v>
      </c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</row>
    <row r="726" spans="1:35" x14ac:dyDescent="0.15">
      <c r="A726" s="31"/>
      <c r="B726" s="31">
        <v>1425</v>
      </c>
      <c r="C726" s="31" t="s">
        <v>249</v>
      </c>
      <c r="D726" s="31">
        <v>0.12045</v>
      </c>
      <c r="E726" s="31">
        <v>6.5786000000000004E-3</v>
      </c>
      <c r="F726" s="31"/>
      <c r="G726" s="31"/>
      <c r="H726" s="31"/>
      <c r="I726" s="31"/>
      <c r="J726" s="31">
        <v>725</v>
      </c>
      <c r="K726" s="31" t="s">
        <v>928</v>
      </c>
      <c r="L726" s="1">
        <v>-0.46078999999999998</v>
      </c>
      <c r="M726" s="1">
        <v>0.1229</v>
      </c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</row>
    <row r="727" spans="1:35" x14ac:dyDescent="0.15">
      <c r="A727" s="31"/>
      <c r="B727" s="31">
        <v>1426</v>
      </c>
      <c r="C727" s="31" t="s">
        <v>249</v>
      </c>
      <c r="D727" s="31">
        <v>0.1182</v>
      </c>
      <c r="E727" s="31">
        <v>6.3166000000000003E-3</v>
      </c>
      <c r="F727" s="31"/>
      <c r="G727" s="31"/>
      <c r="H727" s="31"/>
      <c r="I727" s="31"/>
      <c r="J727" s="31">
        <v>726</v>
      </c>
      <c r="K727" s="31" t="s">
        <v>928</v>
      </c>
      <c r="L727" s="1">
        <v>-0.10963000000000001</v>
      </c>
      <c r="M727" s="1">
        <v>0.11675000000000001</v>
      </c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</row>
    <row r="728" spans="1:35" x14ac:dyDescent="0.15">
      <c r="A728" s="31"/>
      <c r="B728" s="31">
        <v>1427</v>
      </c>
      <c r="C728" s="31" t="s">
        <v>249</v>
      </c>
      <c r="D728" s="31">
        <v>0.10513</v>
      </c>
      <c r="E728" s="31">
        <v>5.6305000000000001E-3</v>
      </c>
      <c r="F728" s="31"/>
      <c r="G728" s="31"/>
      <c r="H728" s="31"/>
      <c r="I728" s="31"/>
      <c r="J728" s="31">
        <v>727</v>
      </c>
      <c r="K728" s="31" t="s">
        <v>928</v>
      </c>
      <c r="L728" s="1">
        <v>-0.26384000000000002</v>
      </c>
      <c r="M728" s="1">
        <v>0.16922000000000001</v>
      </c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</row>
    <row r="729" spans="1:35" x14ac:dyDescent="0.15">
      <c r="A729" s="31"/>
      <c r="B729" s="31">
        <v>1428</v>
      </c>
      <c r="C729" s="31" t="s">
        <v>249</v>
      </c>
      <c r="D729" s="31">
        <v>0.12414</v>
      </c>
      <c r="E729" s="31">
        <v>6.5109E-3</v>
      </c>
      <c r="F729" s="31"/>
      <c r="G729" s="31"/>
      <c r="H729" s="31"/>
      <c r="I729" s="31"/>
      <c r="J729" s="31">
        <v>728</v>
      </c>
      <c r="K729" s="31" t="s">
        <v>928</v>
      </c>
      <c r="L729" s="1">
        <v>-0.10256</v>
      </c>
      <c r="M729" s="1">
        <v>0.12870000000000001</v>
      </c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</row>
    <row r="730" spans="1:35" x14ac:dyDescent="0.15">
      <c r="A730" s="31"/>
      <c r="B730" s="31">
        <v>1429</v>
      </c>
      <c r="C730" s="31" t="s">
        <v>249</v>
      </c>
      <c r="D730" s="31">
        <v>0.14976999999999999</v>
      </c>
      <c r="E730" s="31">
        <v>7.6905999999999997E-3</v>
      </c>
      <c r="F730" s="31"/>
      <c r="G730" s="31"/>
      <c r="H730" s="31"/>
      <c r="I730" s="31"/>
      <c r="J730" s="31">
        <v>729</v>
      </c>
      <c r="K730" s="31" t="s">
        <v>928</v>
      </c>
      <c r="L730" s="1">
        <v>0.14978</v>
      </c>
      <c r="M730" s="1">
        <v>7.2159000000000001E-2</v>
      </c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</row>
    <row r="731" spans="1:35" x14ac:dyDescent="0.15">
      <c r="A731" s="31"/>
      <c r="B731" s="31">
        <v>1430</v>
      </c>
      <c r="C731" s="31" t="s">
        <v>249</v>
      </c>
      <c r="D731" s="31">
        <v>0.15193000000000001</v>
      </c>
      <c r="E731" s="31">
        <v>7.6134000000000002E-3</v>
      </c>
      <c r="F731" s="31"/>
      <c r="G731" s="31"/>
      <c r="H731" s="31"/>
      <c r="I731" s="31"/>
      <c r="J731" s="31">
        <v>730</v>
      </c>
      <c r="K731" s="31" t="s">
        <v>928</v>
      </c>
      <c r="L731" s="1">
        <v>-0.12744</v>
      </c>
      <c r="M731" s="1">
        <v>8.7060999999999999E-2</v>
      </c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</row>
    <row r="732" spans="1:35" x14ac:dyDescent="0.15">
      <c r="A732" s="31"/>
      <c r="B732" s="31">
        <v>1431</v>
      </c>
      <c r="C732" s="31" t="s">
        <v>249</v>
      </c>
      <c r="D732" s="31">
        <v>0.13858000000000001</v>
      </c>
      <c r="E732" s="31">
        <v>6.9236000000000002E-3</v>
      </c>
      <c r="F732" s="31"/>
      <c r="G732" s="31"/>
      <c r="H732" s="31"/>
      <c r="I732" s="31"/>
      <c r="J732" s="31">
        <v>731</v>
      </c>
      <c r="K732" s="31" t="s">
        <v>928</v>
      </c>
      <c r="L732" s="1">
        <v>-2.0798000000000001E-2</v>
      </c>
      <c r="M732" s="1">
        <v>8.6684999999999998E-2</v>
      </c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</row>
    <row r="733" spans="1:35" x14ac:dyDescent="0.15">
      <c r="A733" s="31"/>
      <c r="B733" s="31">
        <v>1432</v>
      </c>
      <c r="C733" s="31" t="s">
        <v>249</v>
      </c>
      <c r="D733" s="31">
        <v>0.14516000000000001</v>
      </c>
      <c r="E733" s="31">
        <v>7.2803E-3</v>
      </c>
      <c r="F733" s="31"/>
      <c r="G733" s="31"/>
      <c r="H733" s="31"/>
      <c r="I733" s="31"/>
      <c r="J733" s="31">
        <v>732</v>
      </c>
      <c r="K733" s="31" t="s">
        <v>928</v>
      </c>
      <c r="L733" s="1">
        <v>4.9415000000000001E-2</v>
      </c>
      <c r="M733" s="1">
        <v>7.7229000000000006E-2</v>
      </c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</row>
    <row r="734" spans="1:35" x14ac:dyDescent="0.15">
      <c r="A734" s="31"/>
      <c r="B734" s="31">
        <v>1433</v>
      </c>
      <c r="C734" s="31" t="s">
        <v>249</v>
      </c>
      <c r="D734" s="31">
        <v>0.17796000000000001</v>
      </c>
      <c r="E734" s="31">
        <v>8.8456999999999997E-3</v>
      </c>
      <c r="F734" s="31"/>
      <c r="G734" s="31"/>
      <c r="H734" s="31"/>
      <c r="I734" s="31"/>
      <c r="J734" s="31">
        <v>733</v>
      </c>
      <c r="K734" s="31" t="s">
        <v>928</v>
      </c>
      <c r="L734" s="1">
        <v>-0.12931999999999999</v>
      </c>
      <c r="M734" s="1">
        <v>0.10366</v>
      </c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</row>
    <row r="735" spans="1:35" x14ac:dyDescent="0.15">
      <c r="A735" s="31"/>
      <c r="B735" s="31">
        <v>1434</v>
      </c>
      <c r="C735" s="31" t="s">
        <v>249</v>
      </c>
      <c r="D735" s="31">
        <v>0.22767000000000001</v>
      </c>
      <c r="E735" s="31">
        <v>1.1164E-2</v>
      </c>
      <c r="F735" s="31"/>
      <c r="G735" s="31"/>
      <c r="H735" s="31"/>
      <c r="I735" s="31"/>
      <c r="J735" s="31">
        <v>734</v>
      </c>
      <c r="K735" s="31" t="s">
        <v>928</v>
      </c>
      <c r="L735" s="1">
        <v>-0.16808999999999999</v>
      </c>
      <c r="M735" s="1">
        <v>0.11946</v>
      </c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</row>
    <row r="736" spans="1:35" x14ac:dyDescent="0.15">
      <c r="A736" s="31"/>
      <c r="B736" s="31">
        <v>1435</v>
      </c>
      <c r="C736" s="31" t="s">
        <v>249</v>
      </c>
      <c r="D736" s="31">
        <v>0.24268000000000001</v>
      </c>
      <c r="E736" s="31">
        <v>1.2462000000000001E-2</v>
      </c>
      <c r="F736" s="31"/>
      <c r="G736" s="31"/>
      <c r="H736" s="31"/>
      <c r="I736" s="31"/>
      <c r="J736" s="31">
        <v>735</v>
      </c>
      <c r="K736" s="31" t="s">
        <v>928</v>
      </c>
      <c r="L736" s="1">
        <v>-1.89E-2</v>
      </c>
      <c r="M736" s="1">
        <v>8.3804000000000003E-2</v>
      </c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</row>
    <row r="737" spans="1:35" x14ac:dyDescent="0.15">
      <c r="A737" s="31"/>
      <c r="B737" s="31">
        <v>1436</v>
      </c>
      <c r="C737" s="31" t="s">
        <v>249</v>
      </c>
      <c r="D737" s="31">
        <v>0.19861000000000001</v>
      </c>
      <c r="E737" s="31">
        <v>1.1036000000000001E-2</v>
      </c>
      <c r="F737" s="31"/>
      <c r="G737" s="31"/>
      <c r="H737" s="31"/>
      <c r="I737" s="31"/>
      <c r="J737" s="31">
        <v>736</v>
      </c>
      <c r="K737" s="31" t="s">
        <v>928</v>
      </c>
      <c r="L737" s="1">
        <v>-4.2054000000000001E-2</v>
      </c>
      <c r="M737" s="1">
        <v>8.7887999999999994E-2</v>
      </c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</row>
    <row r="738" spans="1:35" x14ac:dyDescent="0.15">
      <c r="A738" s="31"/>
      <c r="B738" s="31">
        <v>1437</v>
      </c>
      <c r="C738" s="31" t="s">
        <v>249</v>
      </c>
      <c r="D738" s="31">
        <v>0.13714999999999999</v>
      </c>
      <c r="E738" s="31">
        <v>8.5147999999999995E-3</v>
      </c>
      <c r="F738" s="31"/>
      <c r="G738" s="31"/>
      <c r="H738" s="31"/>
      <c r="I738" s="31"/>
      <c r="J738" s="31">
        <v>737</v>
      </c>
      <c r="K738" s="31" t="s">
        <v>928</v>
      </c>
      <c r="L738" s="1">
        <v>7.8628000000000003E-2</v>
      </c>
      <c r="M738" s="1">
        <v>8.9570999999999998E-2</v>
      </c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</row>
    <row r="739" spans="1:35" x14ac:dyDescent="0.15">
      <c r="A739" s="31"/>
      <c r="B739" s="31">
        <v>1438</v>
      </c>
      <c r="C739" s="31" t="s">
        <v>249</v>
      </c>
      <c r="D739" s="31">
        <v>0.10970000000000001</v>
      </c>
      <c r="E739" s="31">
        <v>7.5797E-3</v>
      </c>
      <c r="F739" s="31"/>
      <c r="G739" s="31"/>
      <c r="H739" s="31"/>
      <c r="I739" s="31"/>
      <c r="J739" s="31">
        <v>738</v>
      </c>
      <c r="K739" s="31" t="s">
        <v>928</v>
      </c>
      <c r="L739" s="1">
        <v>7.0573999999999998E-2</v>
      </c>
      <c r="M739" s="1">
        <v>9.4991000000000006E-2</v>
      </c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</row>
    <row r="740" spans="1:35" x14ac:dyDescent="0.15">
      <c r="A740" s="31"/>
      <c r="B740" s="31">
        <v>1439</v>
      </c>
      <c r="C740" s="31" t="s">
        <v>249</v>
      </c>
      <c r="D740" s="31">
        <v>0.12723000000000001</v>
      </c>
      <c r="E740" s="31">
        <v>9.8372000000000008E-3</v>
      </c>
      <c r="F740" s="31"/>
      <c r="G740" s="31"/>
      <c r="H740" s="31"/>
      <c r="I740" s="31"/>
      <c r="J740" s="31">
        <v>739</v>
      </c>
      <c r="K740" s="31" t="s">
        <v>928</v>
      </c>
      <c r="L740" s="1">
        <v>0.18645999999999999</v>
      </c>
      <c r="M740" s="1">
        <v>8.4832000000000005E-2</v>
      </c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</row>
    <row r="741" spans="1:35" x14ac:dyDescent="0.15">
      <c r="A741" s="31"/>
      <c r="B741" s="31">
        <v>1440</v>
      </c>
      <c r="C741" s="31" t="s">
        <v>249</v>
      </c>
      <c r="D741" s="31">
        <v>0.12953000000000001</v>
      </c>
      <c r="E741" s="31">
        <v>1.1206000000000001E-2</v>
      </c>
      <c r="F741" s="31"/>
      <c r="G741" s="31"/>
      <c r="H741" s="31"/>
      <c r="I741" s="31"/>
      <c r="J741" s="31">
        <v>740</v>
      </c>
      <c r="K741" s="31" t="s">
        <v>928</v>
      </c>
      <c r="L741" s="1">
        <v>0.10952000000000001</v>
      </c>
      <c r="M741" s="1">
        <v>7.6603000000000004E-2</v>
      </c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</row>
    <row r="742" spans="1:35" x14ac:dyDescent="0.15">
      <c r="A742" s="31"/>
      <c r="B742" s="31">
        <v>1441</v>
      </c>
      <c r="C742" s="31" t="s">
        <v>249</v>
      </c>
      <c r="D742" s="31">
        <v>0.13805999999999999</v>
      </c>
      <c r="E742" s="31">
        <v>1.3131E-2</v>
      </c>
      <c r="F742" s="31"/>
      <c r="G742" s="31"/>
      <c r="H742" s="31"/>
      <c r="I742" s="31"/>
      <c r="J742" s="31">
        <v>741</v>
      </c>
      <c r="K742" s="31" t="s">
        <v>928</v>
      </c>
      <c r="L742" s="1">
        <v>0.22624</v>
      </c>
      <c r="M742" s="1">
        <v>8.7639999999999996E-2</v>
      </c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</row>
    <row r="743" spans="1:35" x14ac:dyDescent="0.15">
      <c r="A743" s="31"/>
      <c r="B743" s="31">
        <v>1442</v>
      </c>
      <c r="C743" s="31" t="s">
        <v>249</v>
      </c>
      <c r="D743" s="31">
        <v>0.13599</v>
      </c>
      <c r="E743" s="31">
        <v>1.3995E-2</v>
      </c>
      <c r="J743" s="31">
        <v>742</v>
      </c>
      <c r="K743" s="31" t="s">
        <v>928</v>
      </c>
      <c r="L743" s="1">
        <v>0.32296000000000002</v>
      </c>
      <c r="M743" s="1">
        <v>9.4949000000000006E-2</v>
      </c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</row>
    <row r="744" spans="1:35" x14ac:dyDescent="0.15">
      <c r="B744" s="31">
        <v>1443</v>
      </c>
      <c r="C744" s="31" t="s">
        <v>249</v>
      </c>
      <c r="D744" s="31">
        <v>0.13106999999999999</v>
      </c>
      <c r="E744" s="31">
        <v>1.4744999999999999E-2</v>
      </c>
      <c r="J744" s="31">
        <v>743</v>
      </c>
      <c r="K744" s="31" t="s">
        <v>928</v>
      </c>
      <c r="L744" s="1">
        <v>6.3876000000000002E-2</v>
      </c>
      <c r="M744" s="1">
        <v>0.12363</v>
      </c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</row>
    <row r="745" spans="1:35" x14ac:dyDescent="0.15">
      <c r="J745" s="31">
        <v>744</v>
      </c>
      <c r="K745" s="31" t="s">
        <v>928</v>
      </c>
      <c r="L745" s="1">
        <v>-5.7408000000000001E-2</v>
      </c>
      <c r="M745" s="1">
        <v>0.14255000000000001</v>
      </c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</row>
    <row r="746" spans="1:35" x14ac:dyDescent="0.15">
      <c r="J746" s="31">
        <v>745</v>
      </c>
      <c r="K746" s="31" t="s">
        <v>928</v>
      </c>
      <c r="L746" s="1">
        <v>-9.3884999999999996E-2</v>
      </c>
      <c r="M746" s="1">
        <v>9.5090999999999995E-2</v>
      </c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</row>
    <row r="747" spans="1:35" x14ac:dyDescent="0.15">
      <c r="A747" s="31"/>
      <c r="B747" s="31">
        <v>926</v>
      </c>
      <c r="C747" s="31" t="s">
        <v>267</v>
      </c>
      <c r="D747" s="27">
        <v>1952.4</v>
      </c>
      <c r="E747" s="1">
        <v>351.3</v>
      </c>
      <c r="F747" s="31"/>
      <c r="G747" s="31"/>
      <c r="H747" s="31"/>
      <c r="I747" s="31"/>
      <c r="J747" s="31">
        <v>746</v>
      </c>
      <c r="K747" s="31" t="s">
        <v>928</v>
      </c>
      <c r="L747" s="1">
        <v>-0.10133</v>
      </c>
      <c r="M747" s="1">
        <v>8.1802E-2</v>
      </c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</row>
    <row r="748" spans="1:35" x14ac:dyDescent="0.15">
      <c r="A748" s="31">
        <v>1978</v>
      </c>
      <c r="B748" s="31">
        <v>858</v>
      </c>
      <c r="C748" s="31" t="s">
        <v>55</v>
      </c>
      <c r="D748" s="27">
        <v>0.55305000000000004</v>
      </c>
      <c r="E748" s="1">
        <v>9.9184999999999995E-2</v>
      </c>
      <c r="F748" s="31"/>
      <c r="G748" s="31"/>
      <c r="H748" s="31"/>
      <c r="I748" s="31"/>
      <c r="J748" s="31">
        <v>747</v>
      </c>
      <c r="K748" s="31" t="s">
        <v>928</v>
      </c>
      <c r="L748" s="1">
        <v>9.7744999999999999E-2</v>
      </c>
      <c r="M748" s="1">
        <v>9.6376000000000003E-2</v>
      </c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</row>
    <row r="749" spans="1:35" x14ac:dyDescent="0.15">
      <c r="A749" s="31">
        <v>1979</v>
      </c>
      <c r="B749" s="31">
        <v>1059.26</v>
      </c>
      <c r="C749" s="31">
        <v>3524.02</v>
      </c>
      <c r="D749" s="31"/>
      <c r="E749" s="31"/>
      <c r="F749" s="31"/>
      <c r="G749" s="31"/>
      <c r="H749" s="31"/>
      <c r="I749" s="31"/>
      <c r="J749" s="31">
        <v>748</v>
      </c>
      <c r="K749" s="31" t="s">
        <v>928</v>
      </c>
      <c r="L749" s="1">
        <v>0.40343000000000001</v>
      </c>
      <c r="M749" s="1">
        <v>6.1223E-2</v>
      </c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</row>
    <row r="750" spans="1:35" x14ac:dyDescent="0.15">
      <c r="A750" s="31">
        <v>1980</v>
      </c>
      <c r="B750" s="31">
        <v>1434.02</v>
      </c>
      <c r="C750" s="31">
        <v>4488.57</v>
      </c>
      <c r="D750" s="31"/>
      <c r="E750" s="31"/>
      <c r="F750" s="31"/>
      <c r="G750" s="31"/>
      <c r="H750" s="31"/>
      <c r="I750" s="31"/>
      <c r="J750" s="31">
        <v>749</v>
      </c>
      <c r="K750" s="31" t="s">
        <v>928</v>
      </c>
      <c r="L750" s="1">
        <v>0.31714999999999999</v>
      </c>
      <c r="M750" s="1">
        <v>9.1292999999999999E-2</v>
      </c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</row>
    <row r="751" spans="1:35" x14ac:dyDescent="0.15">
      <c r="A751" s="31">
        <v>1981</v>
      </c>
      <c r="B751" s="31">
        <v>1952.95</v>
      </c>
      <c r="C751" s="31">
        <v>6481.65</v>
      </c>
      <c r="D751" s="31"/>
      <c r="E751" s="31"/>
      <c r="F751" s="31"/>
      <c r="G751" s="31"/>
      <c r="H751" s="31"/>
      <c r="I751" s="31"/>
      <c r="J751" s="31">
        <v>750</v>
      </c>
      <c r="K751" s="31" t="s">
        <v>928</v>
      </c>
      <c r="L751" s="1">
        <v>0.14584</v>
      </c>
      <c r="M751" s="1">
        <v>8.9137999999999995E-2</v>
      </c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</row>
    <row r="752" spans="1:35" x14ac:dyDescent="0.15">
      <c r="A752" s="31">
        <v>1982</v>
      </c>
      <c r="B752" s="31">
        <v>3061.49</v>
      </c>
      <c r="C752" s="31">
        <v>11654</v>
      </c>
      <c r="D752" s="31"/>
      <c r="E752" s="31"/>
      <c r="F752" s="31"/>
      <c r="G752" s="31"/>
      <c r="H752" s="31"/>
      <c r="I752" s="31"/>
      <c r="J752" s="31">
        <v>751</v>
      </c>
      <c r="K752" s="31" t="s">
        <v>928</v>
      </c>
      <c r="L752" s="1">
        <v>3.2079000000000003E-2</v>
      </c>
      <c r="M752" s="1">
        <v>0.10106</v>
      </c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</row>
    <row r="753" spans="1:35" x14ac:dyDescent="0.15">
      <c r="A753" s="31">
        <v>1983</v>
      </c>
      <c r="B753" s="31">
        <v>4462.6899999999996</v>
      </c>
      <c r="C753" s="31">
        <v>14106.5</v>
      </c>
      <c r="D753" s="31"/>
      <c r="E753" s="31"/>
      <c r="F753" s="31"/>
      <c r="G753" s="31"/>
      <c r="H753" s="31"/>
      <c r="I753" s="31"/>
      <c r="J753" s="31">
        <v>752</v>
      </c>
      <c r="K753" s="31" t="s">
        <v>928</v>
      </c>
      <c r="L753" s="1">
        <v>0.15226999999999999</v>
      </c>
      <c r="M753" s="1">
        <v>9.2874999999999999E-2</v>
      </c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</row>
    <row r="754" spans="1:35" x14ac:dyDescent="0.15">
      <c r="A754" s="31">
        <v>1984</v>
      </c>
      <c r="B754" s="31">
        <v>5601.98</v>
      </c>
      <c r="C754" s="31">
        <v>16424.3</v>
      </c>
      <c r="D754" s="31"/>
      <c r="E754" s="31"/>
      <c r="F754" s="31"/>
      <c r="G754" s="31"/>
      <c r="H754" s="31"/>
      <c r="I754" s="31"/>
      <c r="J754" s="31">
        <v>753</v>
      </c>
      <c r="K754" s="31" t="s">
        <v>928</v>
      </c>
      <c r="L754" s="1">
        <v>-6.4180000000000001E-2</v>
      </c>
      <c r="M754" s="1">
        <v>0.11955</v>
      </c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</row>
    <row r="755" spans="1:35" x14ac:dyDescent="0.15">
      <c r="A755" s="31">
        <v>1985</v>
      </c>
      <c r="B755" s="31">
        <v>6217.82</v>
      </c>
      <c r="C755" s="31">
        <v>16555.900000000001</v>
      </c>
      <c r="D755" s="31"/>
      <c r="E755" s="31"/>
      <c r="F755" s="31"/>
      <c r="G755" s="31"/>
      <c r="H755" s="31"/>
      <c r="I755" s="31"/>
      <c r="J755" s="31">
        <v>754</v>
      </c>
      <c r="K755" s="31" t="s">
        <v>218</v>
      </c>
      <c r="L755" s="1">
        <v>0</v>
      </c>
      <c r="M755" s="1">
        <v>0.65971000000000002</v>
      </c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</row>
    <row r="756" spans="1:35" x14ac:dyDescent="0.15">
      <c r="A756" s="31">
        <v>1986</v>
      </c>
      <c r="B756" s="31">
        <v>6619.08</v>
      </c>
      <c r="C756" s="31">
        <v>18230.599999999999</v>
      </c>
      <c r="D756" s="31"/>
      <c r="E756" s="31"/>
      <c r="F756" s="31"/>
      <c r="G756" s="31"/>
      <c r="H756" s="31"/>
      <c r="I756" s="31"/>
      <c r="J756" s="31">
        <v>755</v>
      </c>
      <c r="K756" s="31" t="s">
        <v>218</v>
      </c>
      <c r="L756" s="1">
        <v>0</v>
      </c>
      <c r="M756" s="1">
        <v>0.65971000000000002</v>
      </c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</row>
    <row r="757" spans="1:35" x14ac:dyDescent="0.15">
      <c r="A757" s="31">
        <v>1987</v>
      </c>
      <c r="B757" s="31">
        <v>6741.28</v>
      </c>
      <c r="C757" s="31">
        <v>17132.400000000001</v>
      </c>
      <c r="D757" s="31"/>
      <c r="E757" s="31"/>
      <c r="F757" s="31"/>
      <c r="G757" s="31"/>
      <c r="H757" s="31"/>
      <c r="I757" s="31"/>
      <c r="J757" s="31">
        <v>756</v>
      </c>
      <c r="K757" s="31" t="s">
        <v>218</v>
      </c>
      <c r="L757" s="1">
        <v>0</v>
      </c>
      <c r="M757" s="1">
        <v>0.65971000000000002</v>
      </c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</row>
    <row r="758" spans="1:35" x14ac:dyDescent="0.15">
      <c r="A758" s="31">
        <v>1988</v>
      </c>
      <c r="B758" s="31">
        <v>6575.37</v>
      </c>
      <c r="C758" s="31">
        <v>16615.2</v>
      </c>
      <c r="D758" s="31"/>
      <c r="E758" s="31"/>
      <c r="F758" s="31"/>
      <c r="G758" s="31"/>
      <c r="H758" s="31"/>
      <c r="I758" s="31"/>
      <c r="J758" s="31">
        <v>757</v>
      </c>
      <c r="K758" s="31" t="s">
        <v>218</v>
      </c>
      <c r="L758" s="1">
        <v>0</v>
      </c>
      <c r="M758" s="1">
        <v>0.65971000000000002</v>
      </c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</row>
    <row r="759" spans="1:35" x14ac:dyDescent="0.15">
      <c r="A759" s="31">
        <v>1989</v>
      </c>
      <c r="B759" s="31">
        <v>6176.17</v>
      </c>
      <c r="C759" s="31">
        <v>15044.1</v>
      </c>
      <c r="D759" s="31"/>
      <c r="E759" s="31"/>
      <c r="F759" s="31"/>
      <c r="G759" s="31"/>
      <c r="H759" s="31"/>
      <c r="I759" s="31"/>
      <c r="J759" s="31">
        <v>758</v>
      </c>
      <c r="K759" s="31" t="s">
        <v>218</v>
      </c>
      <c r="L759" s="1">
        <v>0</v>
      </c>
      <c r="M759" s="1">
        <v>0.65971000000000002</v>
      </c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</row>
    <row r="760" spans="1:35" x14ac:dyDescent="0.15">
      <c r="A760" s="31">
        <v>1990</v>
      </c>
      <c r="B760" s="31">
        <v>5589.23</v>
      </c>
      <c r="C760" s="31">
        <v>13149.4</v>
      </c>
      <c r="D760" s="31"/>
      <c r="E760" s="31"/>
      <c r="F760" s="31"/>
      <c r="G760" s="31"/>
      <c r="H760" s="31"/>
      <c r="I760" s="31"/>
      <c r="J760" s="31">
        <v>759</v>
      </c>
      <c r="K760" s="31" t="s">
        <v>929</v>
      </c>
      <c r="L760" s="1">
        <v>1.4592000000000001</v>
      </c>
      <c r="M760" s="1">
        <v>9.2039999999999997E-2</v>
      </c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</row>
    <row r="761" spans="1:35" x14ac:dyDescent="0.15">
      <c r="A761" s="31">
        <v>1991</v>
      </c>
      <c r="B761" s="31">
        <v>4857.79</v>
      </c>
      <c r="C761" s="31">
        <v>11208.1</v>
      </c>
      <c r="D761" s="31"/>
      <c r="E761" s="31"/>
      <c r="F761" s="31"/>
      <c r="G761" s="31"/>
      <c r="H761" s="31"/>
      <c r="I761" s="31"/>
      <c r="J761" s="31">
        <v>760</v>
      </c>
      <c r="K761" s="31" t="s">
        <v>930</v>
      </c>
      <c r="L761" s="1">
        <v>23728</v>
      </c>
      <c r="M761" s="1">
        <v>5038.3999999999996</v>
      </c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</row>
    <row r="762" spans="1:35" x14ac:dyDescent="0.15">
      <c r="A762" s="31">
        <v>1992</v>
      </c>
      <c r="B762" s="31">
        <v>4131.2700000000004</v>
      </c>
      <c r="C762" s="31">
        <v>9634.02</v>
      </c>
      <c r="D762" s="31"/>
      <c r="E762" s="31"/>
      <c r="F762" s="31"/>
      <c r="G762" s="31"/>
      <c r="H762" s="31"/>
      <c r="I762" s="31"/>
      <c r="J762" s="31">
        <v>761</v>
      </c>
      <c r="K762" s="31" t="s">
        <v>930</v>
      </c>
      <c r="L762" s="1">
        <v>12604</v>
      </c>
      <c r="M762" s="1">
        <v>2467.6</v>
      </c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</row>
    <row r="763" spans="1:35" x14ac:dyDescent="0.15">
      <c r="A763" s="31">
        <v>1993</v>
      </c>
      <c r="B763" s="31">
        <v>4185.8900000000003</v>
      </c>
      <c r="C763" s="31">
        <v>12024.8</v>
      </c>
      <c r="D763" s="31"/>
      <c r="E763" s="31"/>
      <c r="F763" s="31"/>
      <c r="G763" s="31"/>
      <c r="H763" s="31"/>
      <c r="I763" s="31"/>
      <c r="J763" s="31">
        <v>762</v>
      </c>
      <c r="K763" s="31" t="s">
        <v>930</v>
      </c>
      <c r="L763" s="1">
        <v>4689</v>
      </c>
      <c r="M763" s="1">
        <v>867.72</v>
      </c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</row>
    <row r="764" spans="1:35" x14ac:dyDescent="0.15">
      <c r="A764" s="31">
        <v>1994</v>
      </c>
      <c r="B764" s="31">
        <v>5061.75</v>
      </c>
      <c r="C764" s="31">
        <v>14405</v>
      </c>
      <c r="D764" s="31"/>
      <c r="E764" s="31"/>
      <c r="F764" s="31"/>
      <c r="G764" s="31"/>
      <c r="H764" s="31"/>
      <c r="I764" s="31"/>
      <c r="J764" s="31">
        <v>763</v>
      </c>
      <c r="K764" s="31" t="s">
        <v>930</v>
      </c>
      <c r="L764" s="1">
        <v>4577</v>
      </c>
      <c r="M764" s="1">
        <v>887.38</v>
      </c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</row>
    <row r="765" spans="1:35" x14ac:dyDescent="0.15">
      <c r="A765" s="31">
        <v>1995</v>
      </c>
      <c r="B765" s="31">
        <v>5020.34</v>
      </c>
      <c r="C765" s="31">
        <v>13748</v>
      </c>
      <c r="D765" s="31"/>
      <c r="E765" s="31"/>
      <c r="F765" s="31"/>
      <c r="G765" s="31"/>
      <c r="H765" s="31"/>
      <c r="I765" s="31"/>
      <c r="J765" s="31">
        <v>764</v>
      </c>
      <c r="K765" s="31" t="s">
        <v>930</v>
      </c>
      <c r="L765" s="1">
        <v>2538.5</v>
      </c>
      <c r="M765" s="1">
        <v>452.11</v>
      </c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</row>
    <row r="766" spans="1:35" x14ac:dyDescent="0.15">
      <c r="A766" s="31">
        <v>1996</v>
      </c>
      <c r="B766" s="31">
        <v>5208.09</v>
      </c>
      <c r="C766" s="31">
        <v>15405</v>
      </c>
      <c r="D766" s="31"/>
      <c r="E766" s="31"/>
      <c r="F766" s="31"/>
      <c r="G766" s="31"/>
      <c r="H766" s="31"/>
      <c r="I766" s="31"/>
      <c r="J766" s="31">
        <v>765</v>
      </c>
      <c r="K766" s="31" t="s">
        <v>930</v>
      </c>
      <c r="L766" s="1">
        <v>4383.2</v>
      </c>
      <c r="M766" s="1">
        <v>537.62</v>
      </c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</row>
    <row r="767" spans="1:35" x14ac:dyDescent="0.15">
      <c r="A767" s="31">
        <v>1997</v>
      </c>
      <c r="B767" s="31">
        <v>5355.12</v>
      </c>
      <c r="C767" s="31">
        <v>14027.5</v>
      </c>
      <c r="D767" s="31"/>
      <c r="E767" s="31"/>
      <c r="F767" s="31"/>
      <c r="G767" s="31"/>
      <c r="H767" s="31"/>
      <c r="I767" s="31"/>
      <c r="J767" s="31">
        <v>766</v>
      </c>
      <c r="K767" s="31" t="s">
        <v>930</v>
      </c>
      <c r="L767" s="1">
        <v>444.74</v>
      </c>
      <c r="M767" s="1">
        <v>87.1</v>
      </c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</row>
    <row r="768" spans="1:35" x14ac:dyDescent="0.15">
      <c r="A768" s="31">
        <v>1998</v>
      </c>
      <c r="B768" s="31">
        <v>5105.6099999999997</v>
      </c>
      <c r="C768" s="31">
        <v>12685.2</v>
      </c>
      <c r="D768" s="31"/>
      <c r="E768" s="31"/>
      <c r="F768" s="31"/>
      <c r="G768" s="31"/>
      <c r="H768" s="31"/>
      <c r="I768" s="31"/>
      <c r="J768" s="31">
        <v>767</v>
      </c>
      <c r="K768" s="31" t="s">
        <v>930</v>
      </c>
      <c r="L768" s="1">
        <v>421.41</v>
      </c>
      <c r="M768" s="1">
        <v>80.754000000000005</v>
      </c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</row>
    <row r="769" spans="1:35" x14ac:dyDescent="0.15">
      <c r="A769" s="31">
        <v>1999</v>
      </c>
      <c r="B769" s="31">
        <v>4905.3999999999996</v>
      </c>
      <c r="C769" s="31">
        <v>12720.2</v>
      </c>
      <c r="D769" s="31"/>
      <c r="E769" s="31"/>
      <c r="F769" s="31"/>
      <c r="G769" s="31"/>
      <c r="H769" s="31"/>
      <c r="I769" s="31"/>
      <c r="J769" s="31">
        <v>768</v>
      </c>
      <c r="K769" s="31" t="s">
        <v>930</v>
      </c>
      <c r="L769" s="1">
        <v>80.272000000000006</v>
      </c>
      <c r="M769" s="1">
        <v>25.282</v>
      </c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</row>
    <row r="770" spans="1:35" x14ac:dyDescent="0.15">
      <c r="A770" s="31">
        <v>2000</v>
      </c>
      <c r="B770" s="31">
        <v>4645.47</v>
      </c>
      <c r="C770" s="31">
        <v>12765.5</v>
      </c>
      <c r="D770" s="31"/>
      <c r="E770" s="31"/>
      <c r="F770" s="31"/>
      <c r="G770" s="31"/>
      <c r="H770" s="31"/>
      <c r="I770" s="31"/>
      <c r="J770" s="31">
        <v>769</v>
      </c>
      <c r="K770" s="31" t="s">
        <v>930</v>
      </c>
      <c r="L770" s="1">
        <v>18.827000000000002</v>
      </c>
      <c r="M770" s="1">
        <v>6.5843999999999996</v>
      </c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</row>
    <row r="771" spans="1:35" x14ac:dyDescent="0.15">
      <c r="A771" s="31">
        <v>2001</v>
      </c>
      <c r="B771" s="31">
        <v>4650.6000000000004</v>
      </c>
      <c r="C771" s="31">
        <v>12106.8</v>
      </c>
      <c r="D771" s="31"/>
      <c r="E771" s="31"/>
      <c r="F771" s="31"/>
      <c r="G771" s="31"/>
      <c r="H771" s="31"/>
      <c r="I771" s="31"/>
      <c r="J771" s="31">
        <v>770</v>
      </c>
      <c r="K771" s="31" t="s">
        <v>930</v>
      </c>
      <c r="L771" s="1">
        <v>13.788</v>
      </c>
      <c r="M771" s="1">
        <v>5.3170000000000002</v>
      </c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</row>
    <row r="772" spans="1:35" x14ac:dyDescent="0.15">
      <c r="A772" s="31">
        <v>2002</v>
      </c>
      <c r="B772" s="31">
        <v>4872.45</v>
      </c>
      <c r="C772" s="31">
        <v>12324.1</v>
      </c>
      <c r="D772" s="31"/>
      <c r="E772" s="31"/>
      <c r="F772" s="31"/>
      <c r="G772" s="31"/>
      <c r="H772" s="31"/>
      <c r="I772" s="31"/>
      <c r="J772" s="31">
        <v>771</v>
      </c>
      <c r="K772" s="31" t="s">
        <v>930</v>
      </c>
      <c r="L772" s="1">
        <v>14.773</v>
      </c>
      <c r="M772" s="1">
        <v>5.8243</v>
      </c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</row>
    <row r="773" spans="1:35" x14ac:dyDescent="0.15">
      <c r="A773" s="31">
        <v>2003</v>
      </c>
      <c r="B773" s="31">
        <v>4810.9399999999996</v>
      </c>
      <c r="C773" s="31">
        <v>12827.1</v>
      </c>
      <c r="D773" s="31"/>
      <c r="E773" s="31"/>
      <c r="F773" s="31"/>
      <c r="G773" s="31"/>
      <c r="H773" s="31"/>
      <c r="I773" s="31"/>
      <c r="J773" s="31">
        <v>772</v>
      </c>
      <c r="K773" s="31" t="s">
        <v>930</v>
      </c>
      <c r="L773" s="1">
        <v>13.000999999999999</v>
      </c>
      <c r="M773" s="1">
        <v>5.1711999999999998</v>
      </c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</row>
    <row r="774" spans="1:35" x14ac:dyDescent="0.15">
      <c r="A774" s="31">
        <v>2004</v>
      </c>
      <c r="B774" s="31">
        <v>4972.5200000000004</v>
      </c>
      <c r="C774" s="31">
        <v>14596.5</v>
      </c>
      <c r="D774" s="31"/>
      <c r="E774" s="31"/>
      <c r="F774" s="31"/>
      <c r="G774" s="31"/>
      <c r="H774" s="31"/>
      <c r="I774" s="31"/>
      <c r="J774" s="31">
        <v>773</v>
      </c>
      <c r="K774" s="31" t="s">
        <v>930</v>
      </c>
      <c r="L774" s="1">
        <v>10.28</v>
      </c>
      <c r="M774" s="1">
        <v>4.2351999999999999</v>
      </c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</row>
    <row r="775" spans="1:35" x14ac:dyDescent="0.15">
      <c r="A775" s="31">
        <v>2005</v>
      </c>
      <c r="B775" s="31">
        <v>4992.53</v>
      </c>
      <c r="C775" s="31">
        <v>13847.2</v>
      </c>
      <c r="D775" s="31"/>
      <c r="E775" s="31"/>
      <c r="F775" s="31"/>
      <c r="G775" s="31"/>
      <c r="H775" s="31"/>
      <c r="I775" s="31"/>
      <c r="J775" s="31">
        <v>774</v>
      </c>
      <c r="K775" s="31" t="s">
        <v>930</v>
      </c>
      <c r="L775" s="1">
        <v>11.407999999999999</v>
      </c>
      <c r="M775" s="1">
        <v>4.8628</v>
      </c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</row>
    <row r="776" spans="1:35" x14ac:dyDescent="0.15">
      <c r="A776" s="31">
        <v>2006</v>
      </c>
      <c r="B776" s="31">
        <v>4891.0600000000004</v>
      </c>
      <c r="C776" s="31">
        <v>12595.4</v>
      </c>
      <c r="D776" s="31"/>
      <c r="E776" s="31"/>
      <c r="F776" s="31"/>
      <c r="G776" s="31"/>
      <c r="H776" s="31"/>
      <c r="I776" s="31"/>
      <c r="J776" s="31">
        <v>775</v>
      </c>
      <c r="K776" s="31" t="s">
        <v>55</v>
      </c>
      <c r="L776" s="1">
        <v>0.60597000000000001</v>
      </c>
      <c r="M776" s="1">
        <v>0.10667</v>
      </c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</row>
    <row r="777" spans="1:35" x14ac:dyDescent="0.15">
      <c r="A777" s="31">
        <v>2007</v>
      </c>
      <c r="B777" s="31">
        <v>4552.28</v>
      </c>
      <c r="C777" s="31">
        <v>11025.6</v>
      </c>
      <c r="D777" s="31"/>
      <c r="E777" s="31"/>
      <c r="F777" s="31"/>
      <c r="G777" s="31"/>
      <c r="H777" s="31"/>
      <c r="I777" s="31"/>
      <c r="J777" s="31">
        <v>776</v>
      </c>
      <c r="K777" s="31" t="s">
        <v>716</v>
      </c>
      <c r="L777" s="1">
        <v>5162.1000000000004</v>
      </c>
      <c r="M777" s="1">
        <v>796.45</v>
      </c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</row>
    <row r="778" spans="1:35" x14ac:dyDescent="0.15">
      <c r="A778" s="31">
        <v>2008</v>
      </c>
      <c r="B778" s="31">
        <v>4533.74</v>
      </c>
      <c r="C778" s="31">
        <v>10641.3</v>
      </c>
      <c r="D778" s="31"/>
      <c r="E778" s="31"/>
      <c r="F778" s="31"/>
      <c r="G778" s="31"/>
      <c r="H778" s="31"/>
      <c r="I778" s="31"/>
      <c r="J778">
        <v>777</v>
      </c>
      <c r="K778" t="s">
        <v>931</v>
      </c>
      <c r="L778" s="1">
        <v>0.57052000000000003</v>
      </c>
      <c r="M778" s="1">
        <v>0.10273</v>
      </c>
    </row>
    <row r="779" spans="1:35" x14ac:dyDescent="0.15">
      <c r="A779" s="31">
        <v>2009</v>
      </c>
      <c r="B779" s="31">
        <v>3880.01</v>
      </c>
      <c r="C779" s="31">
        <v>9292.7199999999993</v>
      </c>
      <c r="D779" s="31"/>
      <c r="E779" s="31"/>
      <c r="F779" s="31"/>
      <c r="G779" s="31"/>
      <c r="H779" s="31"/>
      <c r="I779" s="31"/>
      <c r="J779">
        <v>778</v>
      </c>
      <c r="K779" t="s">
        <v>932</v>
      </c>
      <c r="L779" s="1">
        <v>0.56530999999999998</v>
      </c>
      <c r="M779" s="1">
        <v>0.10344</v>
      </c>
      <c r="N779">
        <v>381.9</v>
      </c>
      <c r="O779">
        <v>207.84700000000001</v>
      </c>
      <c r="P779">
        <v>448.51</v>
      </c>
    </row>
    <row r="780" spans="1:35" x14ac:dyDescent="0.15">
      <c r="A780" s="31">
        <v>2010</v>
      </c>
      <c r="B780" s="31">
        <v>4371.1899999999996</v>
      </c>
      <c r="C780" s="31">
        <v>11248.7</v>
      </c>
      <c r="D780" s="31"/>
      <c r="E780" s="31"/>
      <c r="F780" s="31"/>
      <c r="G780" s="31"/>
      <c r="H780" s="31"/>
      <c r="I780" s="31"/>
      <c r="J780">
        <v>779</v>
      </c>
      <c r="K780" t="s">
        <v>933</v>
      </c>
      <c r="L780" s="1">
        <v>0.56276999999999999</v>
      </c>
      <c r="M780" s="1">
        <v>0.10313</v>
      </c>
    </row>
    <row r="781" spans="1:35" x14ac:dyDescent="0.15">
      <c r="A781" s="31">
        <v>2011</v>
      </c>
      <c r="B781" s="31">
        <v>4249.09</v>
      </c>
      <c r="C781" s="31">
        <v>10552.1</v>
      </c>
      <c r="D781" s="31"/>
      <c r="E781" s="31"/>
      <c r="F781" s="31"/>
      <c r="G781" s="31"/>
      <c r="H781" s="31"/>
      <c r="I781" s="31"/>
      <c r="J781">
        <v>780</v>
      </c>
      <c r="K781" t="s">
        <v>934</v>
      </c>
      <c r="L781" s="1">
        <v>0.47326000000000001</v>
      </c>
      <c r="M781" s="1">
        <v>4.0781999999999999E-2</v>
      </c>
      <c r="N781">
        <v>1.59406</v>
      </c>
      <c r="O781">
        <v>1.6538299999999999</v>
      </c>
      <c r="P781">
        <v>1.7718100000000001</v>
      </c>
    </row>
    <row r="782" spans="1:35" x14ac:dyDescent="0.15">
      <c r="A782" s="31">
        <v>2012</v>
      </c>
      <c r="B782" s="31">
        <v>4285.3</v>
      </c>
      <c r="C782" s="31">
        <v>12400.5</v>
      </c>
      <c r="D782" s="31"/>
      <c r="E782" s="31"/>
      <c r="F782" s="31"/>
      <c r="G782" s="31"/>
      <c r="H782" s="31"/>
      <c r="I782" s="31"/>
      <c r="J782">
        <v>781</v>
      </c>
      <c r="K782" t="s">
        <v>935</v>
      </c>
      <c r="L782" s="1">
        <v>0.46893000000000001</v>
      </c>
      <c r="M782" s="1">
        <v>4.2011E-2</v>
      </c>
    </row>
    <row r="783" spans="1:35" x14ac:dyDescent="0.15">
      <c r="A783" s="31">
        <v>2013</v>
      </c>
      <c r="B783" s="31">
        <v>4533.2700000000004</v>
      </c>
      <c r="C783" s="31">
        <v>12344.7</v>
      </c>
      <c r="D783" s="31"/>
      <c r="E783" s="31"/>
      <c r="F783" s="31"/>
      <c r="G783" s="31"/>
      <c r="H783" s="31"/>
      <c r="I783" s="31"/>
      <c r="J783">
        <v>782</v>
      </c>
      <c r="K783" t="s">
        <v>936</v>
      </c>
      <c r="L783" s="1">
        <v>0.46682000000000001</v>
      </c>
      <c r="M783" s="1">
        <v>4.2061000000000001E-2</v>
      </c>
      <c r="N783">
        <v>1.59406</v>
      </c>
      <c r="O783">
        <v>1.6538299999999999</v>
      </c>
      <c r="P783">
        <v>1.7718100000000001</v>
      </c>
    </row>
    <row r="784" spans="1:35" x14ac:dyDescent="0.15">
      <c r="B784" s="31">
        <v>4790.7299999999996</v>
      </c>
      <c r="C784" s="31">
        <v>12565.2</v>
      </c>
      <c r="D784" s="31"/>
      <c r="E784" s="31"/>
      <c r="F784" s="31"/>
      <c r="G784" s="31"/>
      <c r="H784" s="31"/>
      <c r="I784" s="31"/>
      <c r="J784">
        <v>783</v>
      </c>
      <c r="K784" t="s">
        <v>937</v>
      </c>
      <c r="L784" s="1">
        <v>1.4440999999999999</v>
      </c>
      <c r="M784" s="1">
        <v>0.11178</v>
      </c>
    </row>
    <row r="785" spans="1:16" x14ac:dyDescent="0.15">
      <c r="J785">
        <v>784</v>
      </c>
      <c r="K785" t="s">
        <v>937</v>
      </c>
      <c r="L785" s="1">
        <v>1.4440999999999999</v>
      </c>
      <c r="M785" s="1">
        <v>0.11178</v>
      </c>
      <c r="N785">
        <v>608.77200000000005</v>
      </c>
      <c r="O785">
        <v>343.74299999999999</v>
      </c>
      <c r="P785">
        <v>794.67399999999998</v>
      </c>
    </row>
    <row r="786" spans="1:16" x14ac:dyDescent="0.15">
      <c r="J786">
        <v>785</v>
      </c>
      <c r="K786" t="s">
        <v>937</v>
      </c>
      <c r="L786" s="1">
        <v>1.4440999999999999</v>
      </c>
      <c r="M786" s="1">
        <v>0.11178</v>
      </c>
    </row>
    <row r="787" spans="1:16" x14ac:dyDescent="0.15">
      <c r="A787" t="s">
        <v>524</v>
      </c>
      <c r="J787">
        <v>786</v>
      </c>
      <c r="K787" t="s">
        <v>937</v>
      </c>
      <c r="L787" s="1">
        <v>1.4440999999999999</v>
      </c>
      <c r="M787" s="1">
        <v>0.11178</v>
      </c>
    </row>
    <row r="788" spans="1:16" x14ac:dyDescent="0.15">
      <c r="B788">
        <v>18522.7</v>
      </c>
      <c r="C788">
        <v>6273.66</v>
      </c>
      <c r="D788">
        <v>4530.6899999999996</v>
      </c>
      <c r="E788">
        <v>3568.83</v>
      </c>
      <c r="F788">
        <v>6678.47</v>
      </c>
      <c r="G788">
        <v>760.13800000000003</v>
      </c>
      <c r="H788">
        <v>1567.59</v>
      </c>
      <c r="J788">
        <v>787</v>
      </c>
      <c r="K788" t="s">
        <v>937</v>
      </c>
      <c r="L788" s="1">
        <v>1.4440999999999999</v>
      </c>
      <c r="M788" s="1">
        <v>0.11178</v>
      </c>
    </row>
    <row r="789" spans="1:16" x14ac:dyDescent="0.15">
      <c r="A789" t="s">
        <v>44</v>
      </c>
      <c r="J789">
        <v>788</v>
      </c>
      <c r="K789" t="s">
        <v>8</v>
      </c>
      <c r="L789" s="1">
        <v>0.26819999999999999</v>
      </c>
      <c r="M789" s="1">
        <v>6.5444000000000002E-2</v>
      </c>
    </row>
    <row r="790" spans="1:16" x14ac:dyDescent="0.15">
      <c r="B790">
        <v>6.4999999999999997E-3</v>
      </c>
      <c r="C790">
        <v>0.13478499999999999</v>
      </c>
      <c r="D790">
        <v>0.27071200000000001</v>
      </c>
      <c r="E790">
        <v>0.40984900000000002</v>
      </c>
      <c r="F790">
        <v>0.64849299999999999</v>
      </c>
      <c r="G790">
        <v>0.80226600000000003</v>
      </c>
      <c r="H790">
        <v>0.94187399999999999</v>
      </c>
      <c r="J790">
        <v>789</v>
      </c>
      <c r="K790" t="s">
        <v>220</v>
      </c>
      <c r="L790" s="1">
        <v>0.39211000000000001</v>
      </c>
      <c r="M790" s="1">
        <v>2.5461000000000001E-2</v>
      </c>
    </row>
    <row r="791" spans="1:16" x14ac:dyDescent="0.15">
      <c r="A791" t="s">
        <v>45</v>
      </c>
      <c r="J791">
        <v>790</v>
      </c>
      <c r="K791" t="s">
        <v>221</v>
      </c>
      <c r="L791" s="1">
        <v>0.50651999999999997</v>
      </c>
      <c r="M791" s="1">
        <v>3.5312999999999997E-2</v>
      </c>
    </row>
    <row r="792" spans="1:16" x14ac:dyDescent="0.15">
      <c r="B792">
        <v>6.4999999999999997E-3</v>
      </c>
      <c r="C792">
        <v>0.13478499999999999</v>
      </c>
      <c r="D792">
        <v>0.27071200000000001</v>
      </c>
      <c r="E792">
        <v>0.40984900000000002</v>
      </c>
      <c r="F792">
        <v>0.64849299999999999</v>
      </c>
      <c r="G792">
        <v>0.80226600000000003</v>
      </c>
      <c r="H792">
        <v>0.94187399999999999</v>
      </c>
      <c r="J792">
        <v>791</v>
      </c>
      <c r="K792" t="s">
        <v>43</v>
      </c>
      <c r="L792" s="1">
        <v>448.23</v>
      </c>
      <c r="M792" s="1">
        <v>112.98</v>
      </c>
    </row>
    <row r="793" spans="1:16" x14ac:dyDescent="0.15">
      <c r="J793">
        <v>792</v>
      </c>
      <c r="K793" t="s">
        <v>43</v>
      </c>
      <c r="L793" s="1">
        <v>571.32000000000005</v>
      </c>
      <c r="M793" s="1">
        <v>127.37</v>
      </c>
    </row>
    <row r="794" spans="1:16" x14ac:dyDescent="0.15">
      <c r="A794">
        <v>2016</v>
      </c>
      <c r="B794" t="s">
        <v>776</v>
      </c>
      <c r="C794">
        <v>2407</v>
      </c>
      <c r="G794">
        <v>609.83299999999997</v>
      </c>
      <c r="H794">
        <v>1476.47</v>
      </c>
      <c r="J794">
        <v>793</v>
      </c>
      <c r="K794" t="s">
        <v>43</v>
      </c>
      <c r="L794" s="1">
        <v>683.28</v>
      </c>
      <c r="M794" s="1">
        <v>149.6</v>
      </c>
    </row>
    <row r="795" spans="1:16" x14ac:dyDescent="0.15">
      <c r="A795">
        <v>2016</v>
      </c>
      <c r="B795" t="s">
        <v>873</v>
      </c>
      <c r="C795">
        <v>2929.07</v>
      </c>
      <c r="J795">
        <v>794</v>
      </c>
      <c r="K795" t="s">
        <v>43</v>
      </c>
      <c r="L795" s="1">
        <v>865.62</v>
      </c>
      <c r="M795" s="1">
        <v>169</v>
      </c>
    </row>
    <row r="796" spans="1:16" x14ac:dyDescent="0.15">
      <c r="A796">
        <v>2017</v>
      </c>
      <c r="B796" t="s">
        <v>776</v>
      </c>
      <c r="C796">
        <v>2357.39</v>
      </c>
      <c r="J796">
        <v>795</v>
      </c>
      <c r="K796" t="s">
        <v>43</v>
      </c>
      <c r="L796" s="1">
        <v>1071.5</v>
      </c>
      <c r="M796" s="1">
        <v>201.57</v>
      </c>
    </row>
    <row r="797" spans="1:16" x14ac:dyDescent="0.15">
      <c r="A797">
        <v>2017</v>
      </c>
      <c r="B797" t="s">
        <v>873</v>
      </c>
      <c r="C797">
        <v>2868.7</v>
      </c>
      <c r="J797">
        <v>796</v>
      </c>
      <c r="K797" t="s">
        <v>43</v>
      </c>
      <c r="L797" s="1">
        <v>1354.8</v>
      </c>
      <c r="M797" s="1">
        <v>247.15</v>
      </c>
    </row>
    <row r="798" spans="1:16" x14ac:dyDescent="0.15">
      <c r="A798" t="s">
        <v>874</v>
      </c>
      <c r="B798" t="s">
        <v>875</v>
      </c>
      <c r="C798">
        <v>3695.84</v>
      </c>
      <c r="J798">
        <v>797</v>
      </c>
      <c r="K798" t="s">
        <v>43</v>
      </c>
      <c r="L798" s="1">
        <v>1694</v>
      </c>
      <c r="M798" s="1">
        <v>301.33</v>
      </c>
    </row>
    <row r="799" spans="1:16" x14ac:dyDescent="0.15">
      <c r="A799" t="s">
        <v>876</v>
      </c>
      <c r="B799" t="s">
        <v>875</v>
      </c>
      <c r="C799">
        <v>3679.34</v>
      </c>
      <c r="J799">
        <v>798</v>
      </c>
      <c r="K799" t="s">
        <v>43</v>
      </c>
      <c r="L799" s="1">
        <v>1905.9</v>
      </c>
      <c r="M799" s="1">
        <v>334.95</v>
      </c>
    </row>
    <row r="800" spans="1:16" x14ac:dyDescent="0.15">
      <c r="A800" t="s">
        <v>877</v>
      </c>
      <c r="B800" t="s">
        <v>875</v>
      </c>
      <c r="C800">
        <v>667.85799999999995</v>
      </c>
      <c r="J800">
        <v>799</v>
      </c>
      <c r="K800" t="s">
        <v>43</v>
      </c>
      <c r="L800" s="1">
        <v>1829.5</v>
      </c>
      <c r="M800" s="1">
        <v>331.26</v>
      </c>
    </row>
    <row r="801" spans="1:13" x14ac:dyDescent="0.15">
      <c r="A801" t="s">
        <v>878</v>
      </c>
      <c r="B801" t="s">
        <v>875</v>
      </c>
      <c r="C801">
        <v>800.99199999999996</v>
      </c>
      <c r="J801">
        <v>800</v>
      </c>
      <c r="K801" t="s">
        <v>43</v>
      </c>
      <c r="L801" s="1">
        <v>1459.6</v>
      </c>
      <c r="M801" s="1">
        <v>310.45</v>
      </c>
    </row>
    <row r="802" spans="1:13" x14ac:dyDescent="0.15">
      <c r="A802" t="s">
        <v>743</v>
      </c>
      <c r="B802">
        <v>0.38874500000000001</v>
      </c>
      <c r="J802">
        <v>801</v>
      </c>
      <c r="K802" t="s">
        <v>43</v>
      </c>
      <c r="L802" s="1">
        <v>1006.2</v>
      </c>
      <c r="M802" s="1">
        <v>267.73</v>
      </c>
    </row>
    <row r="803" spans="1:13" x14ac:dyDescent="0.15">
      <c r="A803" t="s">
        <v>744</v>
      </c>
      <c r="B803">
        <v>0.47306300000000001</v>
      </c>
      <c r="J803">
        <v>802</v>
      </c>
      <c r="K803" t="s">
        <v>43</v>
      </c>
      <c r="L803" s="1">
        <v>836.97</v>
      </c>
      <c r="M803" s="1">
        <v>203.86</v>
      </c>
    </row>
    <row r="804" spans="1:13" x14ac:dyDescent="0.15">
      <c r="A804" t="s">
        <v>879</v>
      </c>
      <c r="B804">
        <v>6191.71</v>
      </c>
      <c r="J804">
        <v>803</v>
      </c>
      <c r="K804" t="s">
        <v>43</v>
      </c>
      <c r="L804" s="1">
        <v>860.5</v>
      </c>
      <c r="M804" s="1">
        <v>154.86000000000001</v>
      </c>
    </row>
    <row r="805" spans="1:13" x14ac:dyDescent="0.15">
      <c r="A805" t="s">
        <v>880</v>
      </c>
      <c r="B805">
        <v>6064.11</v>
      </c>
      <c r="J805">
        <v>804</v>
      </c>
      <c r="K805" t="s">
        <v>43</v>
      </c>
      <c r="L805" s="1">
        <v>931.47</v>
      </c>
      <c r="M805" s="1">
        <v>130.41999999999999</v>
      </c>
    </row>
    <row r="806" spans="1:13" x14ac:dyDescent="0.15">
      <c r="A806" t="s">
        <v>881</v>
      </c>
      <c r="B806">
        <v>1</v>
      </c>
      <c r="J806">
        <v>805</v>
      </c>
      <c r="K806" t="s">
        <v>43</v>
      </c>
      <c r="L806" s="1">
        <v>980.35</v>
      </c>
      <c r="M806" s="1">
        <v>120.97</v>
      </c>
    </row>
    <row r="807" spans="1:13" x14ac:dyDescent="0.15">
      <c r="A807" t="s">
        <v>882</v>
      </c>
      <c r="B807">
        <v>1</v>
      </c>
      <c r="J807">
        <v>806</v>
      </c>
      <c r="K807" t="s">
        <v>43</v>
      </c>
      <c r="L807" s="1">
        <v>963.23</v>
      </c>
      <c r="M807" s="1">
        <v>115.31</v>
      </c>
    </row>
    <row r="808" spans="1:13" x14ac:dyDescent="0.15">
      <c r="A808" t="s">
        <v>883</v>
      </c>
      <c r="B808" t="s">
        <v>884</v>
      </c>
      <c r="C808">
        <v>1268.72</v>
      </c>
      <c r="J808">
        <v>807</v>
      </c>
      <c r="K808" t="s">
        <v>43</v>
      </c>
      <c r="L808" s="1">
        <v>1082</v>
      </c>
      <c r="M808" s="1">
        <v>111.6</v>
      </c>
    </row>
    <row r="809" spans="1:13" x14ac:dyDescent="0.15">
      <c r="A809" t="s">
        <v>7</v>
      </c>
      <c r="B809">
        <v>0.30488100000000001</v>
      </c>
      <c r="J809">
        <v>808</v>
      </c>
      <c r="K809" t="s">
        <v>43</v>
      </c>
      <c r="L809" s="1">
        <v>1791.7</v>
      </c>
      <c r="M809" s="1">
        <v>130.31</v>
      </c>
    </row>
    <row r="810" spans="1:13" x14ac:dyDescent="0.15">
      <c r="A810" t="s">
        <v>8</v>
      </c>
      <c r="B810">
        <v>0.25053999999999998</v>
      </c>
      <c r="J810">
        <v>809</v>
      </c>
      <c r="K810" t="s">
        <v>43</v>
      </c>
      <c r="L810" s="1">
        <v>2743.5</v>
      </c>
      <c r="M810" s="1">
        <v>173.25</v>
      </c>
    </row>
    <row r="811" spans="1:13" x14ac:dyDescent="0.15">
      <c r="A811" t="s">
        <v>885</v>
      </c>
      <c r="B811">
        <v>49809.5</v>
      </c>
      <c r="J811">
        <v>810</v>
      </c>
      <c r="K811" t="s">
        <v>43</v>
      </c>
      <c r="L811" s="1">
        <v>3397.7</v>
      </c>
      <c r="M811" s="1">
        <v>198.21</v>
      </c>
    </row>
    <row r="812" spans="1:13" x14ac:dyDescent="0.15">
      <c r="A812" t="s">
        <v>886</v>
      </c>
      <c r="B812">
        <v>47645.5</v>
      </c>
      <c r="J812">
        <v>811</v>
      </c>
      <c r="K812" t="s">
        <v>43</v>
      </c>
      <c r="L812" s="1">
        <v>3629.6</v>
      </c>
      <c r="M812" s="1">
        <v>200.56</v>
      </c>
    </row>
    <row r="813" spans="1:13" x14ac:dyDescent="0.15">
      <c r="A813" t="s">
        <v>887</v>
      </c>
      <c r="B813">
        <v>31391.4</v>
      </c>
      <c r="J813">
        <v>812</v>
      </c>
      <c r="K813" t="s">
        <v>43</v>
      </c>
      <c r="L813" s="1">
        <v>3899.7</v>
      </c>
      <c r="M813" s="1">
        <v>195.6</v>
      </c>
    </row>
    <row r="814" spans="1:13" x14ac:dyDescent="0.15">
      <c r="A814" t="s">
        <v>888</v>
      </c>
      <c r="B814">
        <v>36320.699999999997</v>
      </c>
      <c r="J814">
        <v>813</v>
      </c>
      <c r="K814" t="s">
        <v>43</v>
      </c>
      <c r="L814" s="1">
        <v>4132.8</v>
      </c>
      <c r="M814" s="1">
        <v>189.62</v>
      </c>
    </row>
    <row r="815" spans="1:13" x14ac:dyDescent="0.15">
      <c r="A815" t="s">
        <v>705</v>
      </c>
      <c r="B815">
        <v>1637</v>
      </c>
      <c r="C815">
        <v>1554</v>
      </c>
      <c r="D815">
        <v>1001.77</v>
      </c>
      <c r="E815">
        <v>951.68600000000004</v>
      </c>
      <c r="F815">
        <v>904.10199999999998</v>
      </c>
      <c r="J815">
        <v>814</v>
      </c>
      <c r="K815" t="s">
        <v>43</v>
      </c>
      <c r="L815" s="1">
        <v>4249.6000000000004</v>
      </c>
      <c r="M815" s="1">
        <v>180.21</v>
      </c>
    </row>
    <row r="816" spans="1:13" x14ac:dyDescent="0.15">
      <c r="A816" t="s">
        <v>155</v>
      </c>
      <c r="B816" t="s">
        <v>706</v>
      </c>
      <c r="C816" t="s">
        <v>707</v>
      </c>
      <c r="D816" t="s">
        <v>708</v>
      </c>
      <c r="E816" t="s">
        <v>709</v>
      </c>
      <c r="F816" t="s">
        <v>710</v>
      </c>
      <c r="G816">
        <v>858.89700000000005</v>
      </c>
      <c r="H816">
        <v>815.952</v>
      </c>
      <c r="J816">
        <v>815</v>
      </c>
      <c r="K816" t="s">
        <v>43</v>
      </c>
      <c r="L816" s="1">
        <v>4232.1000000000004</v>
      </c>
      <c r="M816" s="1">
        <v>166.6</v>
      </c>
    </row>
    <row r="817" spans="1:13" x14ac:dyDescent="0.15">
      <c r="A817" t="s">
        <v>889</v>
      </c>
      <c r="B817">
        <v>1637</v>
      </c>
      <c r="G817" t="s">
        <v>711</v>
      </c>
      <c r="H817" t="s">
        <v>712</v>
      </c>
      <c r="J817">
        <v>816</v>
      </c>
      <c r="K817" t="s">
        <v>43</v>
      </c>
      <c r="L817" s="1">
        <v>3813.8</v>
      </c>
      <c r="M817" s="1">
        <v>151.38</v>
      </c>
    </row>
    <row r="818" spans="1:13" x14ac:dyDescent="0.15">
      <c r="A818" t="s">
        <v>890</v>
      </c>
      <c r="B818">
        <v>3494.48</v>
      </c>
      <c r="J818">
        <v>817</v>
      </c>
      <c r="K818" t="s">
        <v>43</v>
      </c>
      <c r="L818" s="1">
        <v>3085</v>
      </c>
      <c r="M818" s="1">
        <v>132.59</v>
      </c>
    </row>
    <row r="819" spans="1:13" x14ac:dyDescent="0.15">
      <c r="A819" t="s">
        <v>891</v>
      </c>
      <c r="B819">
        <v>1</v>
      </c>
      <c r="J819">
        <v>818</v>
      </c>
      <c r="K819" t="s">
        <v>43</v>
      </c>
      <c r="L819" s="1">
        <v>2317.6999999999998</v>
      </c>
      <c r="M819" s="1">
        <v>114.19</v>
      </c>
    </row>
    <row r="820" spans="1:13" x14ac:dyDescent="0.15">
      <c r="A820" t="s">
        <v>813</v>
      </c>
      <c r="B820" t="s">
        <v>814</v>
      </c>
      <c r="C820" t="s">
        <v>743</v>
      </c>
      <c r="D820" t="s">
        <v>814</v>
      </c>
      <c r="E820" t="s">
        <v>891</v>
      </c>
      <c r="F820">
        <v>2407</v>
      </c>
      <c r="J820">
        <v>819</v>
      </c>
      <c r="K820" t="s">
        <v>43</v>
      </c>
      <c r="L820" s="1">
        <v>2410.1999999999998</v>
      </c>
      <c r="M820" s="1">
        <v>109.6</v>
      </c>
    </row>
    <row r="821" spans="1:13" x14ac:dyDescent="0.15">
      <c r="A821" t="s">
        <v>813</v>
      </c>
      <c r="B821" t="s">
        <v>814</v>
      </c>
      <c r="C821" t="s">
        <v>744</v>
      </c>
      <c r="D821" t="s">
        <v>814</v>
      </c>
      <c r="E821" t="s">
        <v>891</v>
      </c>
      <c r="F821">
        <v>2929.07</v>
      </c>
      <c r="J821">
        <v>820</v>
      </c>
      <c r="K821" t="s">
        <v>43</v>
      </c>
      <c r="L821" s="1">
        <v>3281.3</v>
      </c>
      <c r="M821" s="1">
        <v>126.76</v>
      </c>
    </row>
    <row r="822" spans="1:13" x14ac:dyDescent="0.15">
      <c r="A822" t="s">
        <v>892</v>
      </c>
      <c r="B822">
        <v>3218.96</v>
      </c>
      <c r="J822">
        <v>821</v>
      </c>
      <c r="K822" t="s">
        <v>43</v>
      </c>
      <c r="L822" s="1">
        <v>3560</v>
      </c>
      <c r="M822" s="1">
        <v>132.85</v>
      </c>
    </row>
    <row r="823" spans="1:13" x14ac:dyDescent="0.15">
      <c r="A823" t="s">
        <v>893</v>
      </c>
      <c r="B823">
        <v>1</v>
      </c>
      <c r="J823">
        <v>822</v>
      </c>
      <c r="K823" t="s">
        <v>43</v>
      </c>
      <c r="L823" s="1">
        <v>3750.3</v>
      </c>
      <c r="M823" s="1">
        <v>137.68</v>
      </c>
    </row>
    <row r="824" spans="1:13" x14ac:dyDescent="0.15">
      <c r="A824" t="s">
        <v>815</v>
      </c>
      <c r="B824" t="s">
        <v>814</v>
      </c>
      <c r="C824" t="s">
        <v>743</v>
      </c>
      <c r="D824" t="s">
        <v>814</v>
      </c>
      <c r="E824" t="s">
        <v>893</v>
      </c>
      <c r="F824">
        <v>2357.39</v>
      </c>
      <c r="J824">
        <v>823</v>
      </c>
      <c r="K824" t="s">
        <v>43</v>
      </c>
      <c r="L824" s="1">
        <v>3739.5</v>
      </c>
      <c r="M824" s="1">
        <v>141.21</v>
      </c>
    </row>
    <row r="825" spans="1:13" x14ac:dyDescent="0.15">
      <c r="A825" t="s">
        <v>815</v>
      </c>
      <c r="B825" t="s">
        <v>814</v>
      </c>
      <c r="C825" t="s">
        <v>744</v>
      </c>
      <c r="D825" t="s">
        <v>814</v>
      </c>
      <c r="E825" t="s">
        <v>893</v>
      </c>
      <c r="F825">
        <v>2868.7</v>
      </c>
      <c r="J825">
        <v>824</v>
      </c>
      <c r="K825" t="s">
        <v>43</v>
      </c>
      <c r="L825" s="1">
        <v>3525.9</v>
      </c>
      <c r="M825" s="1">
        <v>137.84</v>
      </c>
    </row>
    <row r="826" spans="1:13" x14ac:dyDescent="0.15">
      <c r="A826" t="s">
        <v>889</v>
      </c>
      <c r="B826">
        <v>1554</v>
      </c>
      <c r="J826">
        <v>825</v>
      </c>
      <c r="K826" t="s">
        <v>43</v>
      </c>
      <c r="L826" s="1">
        <v>3278.8</v>
      </c>
      <c r="M826" s="1">
        <v>129.56</v>
      </c>
    </row>
    <row r="827" spans="1:13" x14ac:dyDescent="0.15">
      <c r="A827" t="s">
        <v>890</v>
      </c>
      <c r="B827">
        <v>3510.3</v>
      </c>
      <c r="J827">
        <v>826</v>
      </c>
      <c r="K827" t="s">
        <v>43</v>
      </c>
      <c r="L827" s="1">
        <v>3289.5</v>
      </c>
      <c r="M827" s="1">
        <v>122.24</v>
      </c>
    </row>
    <row r="828" spans="1:13" x14ac:dyDescent="0.15">
      <c r="A828" t="s">
        <v>891</v>
      </c>
      <c r="B828">
        <v>1</v>
      </c>
      <c r="J828">
        <v>827</v>
      </c>
      <c r="K828" t="s">
        <v>43</v>
      </c>
      <c r="L828" s="1">
        <v>3330</v>
      </c>
      <c r="M828" s="1">
        <v>119.43</v>
      </c>
    </row>
    <row r="829" spans="1:13" x14ac:dyDescent="0.15">
      <c r="A829" t="s">
        <v>813</v>
      </c>
      <c r="B829" t="s">
        <v>814</v>
      </c>
      <c r="C829" t="s">
        <v>743</v>
      </c>
      <c r="D829" t="s">
        <v>814</v>
      </c>
      <c r="E829" t="s">
        <v>891</v>
      </c>
      <c r="F829">
        <v>2407</v>
      </c>
      <c r="J829">
        <v>828</v>
      </c>
      <c r="K829" t="s">
        <v>43</v>
      </c>
      <c r="L829" s="1">
        <v>3369.3</v>
      </c>
      <c r="M829" s="1">
        <v>124.92</v>
      </c>
    </row>
    <row r="830" spans="1:13" x14ac:dyDescent="0.15">
      <c r="A830" t="s">
        <v>813</v>
      </c>
      <c r="B830" t="s">
        <v>814</v>
      </c>
      <c r="C830" t="s">
        <v>744</v>
      </c>
      <c r="D830" t="s">
        <v>814</v>
      </c>
      <c r="E830" t="s">
        <v>891</v>
      </c>
      <c r="F830">
        <v>2929.07</v>
      </c>
      <c r="J830">
        <v>829</v>
      </c>
      <c r="K830" t="s">
        <v>43</v>
      </c>
      <c r="L830" s="1">
        <v>3203.3</v>
      </c>
      <c r="M830" s="1">
        <v>118.82</v>
      </c>
    </row>
    <row r="831" spans="1:13" x14ac:dyDescent="0.15">
      <c r="A831" t="s">
        <v>892</v>
      </c>
      <c r="B831">
        <v>3281.8</v>
      </c>
      <c r="J831">
        <v>830</v>
      </c>
      <c r="K831" t="s">
        <v>43</v>
      </c>
      <c r="L831" s="1">
        <v>3397.4</v>
      </c>
      <c r="M831" s="1">
        <v>115.83</v>
      </c>
    </row>
    <row r="832" spans="1:13" x14ac:dyDescent="0.15">
      <c r="A832" t="s">
        <v>893</v>
      </c>
      <c r="B832">
        <v>1</v>
      </c>
      <c r="J832">
        <v>831</v>
      </c>
      <c r="K832" t="s">
        <v>43</v>
      </c>
      <c r="L832" s="1">
        <v>3490.2</v>
      </c>
      <c r="M832" s="1">
        <v>114.6</v>
      </c>
    </row>
    <row r="833" spans="1:13" x14ac:dyDescent="0.15">
      <c r="A833" t="s">
        <v>815</v>
      </c>
      <c r="B833" t="s">
        <v>814</v>
      </c>
      <c r="C833" t="s">
        <v>743</v>
      </c>
      <c r="D833" t="s">
        <v>814</v>
      </c>
      <c r="E833" t="s">
        <v>893</v>
      </c>
      <c r="F833">
        <v>2393.4699999999998</v>
      </c>
      <c r="J833">
        <v>832</v>
      </c>
      <c r="K833" t="s">
        <v>43</v>
      </c>
      <c r="L833" s="1">
        <v>3186.5</v>
      </c>
      <c r="M833" s="1">
        <v>109.65</v>
      </c>
    </row>
    <row r="834" spans="1:13" x14ac:dyDescent="0.15">
      <c r="A834" t="s">
        <v>815</v>
      </c>
      <c r="B834" t="s">
        <v>814</v>
      </c>
      <c r="C834" t="s">
        <v>744</v>
      </c>
      <c r="D834" t="s">
        <v>814</v>
      </c>
      <c r="E834" t="s">
        <v>893</v>
      </c>
      <c r="F834">
        <v>2912.61</v>
      </c>
      <c r="J834">
        <v>833</v>
      </c>
      <c r="K834" t="s">
        <v>43</v>
      </c>
      <c r="L834" s="1">
        <v>2611.6999999999998</v>
      </c>
      <c r="M834" s="1">
        <v>100.33</v>
      </c>
    </row>
    <row r="835" spans="1:13" x14ac:dyDescent="0.15">
      <c r="A835" t="s">
        <v>889</v>
      </c>
      <c r="B835">
        <v>1001.77</v>
      </c>
      <c r="J835">
        <v>834</v>
      </c>
      <c r="K835" t="s">
        <v>43</v>
      </c>
      <c r="L835" s="1">
        <v>2173.1999999999998</v>
      </c>
      <c r="M835" s="1">
        <v>98.555999999999997</v>
      </c>
    </row>
    <row r="836" spans="1:13" x14ac:dyDescent="0.15">
      <c r="A836" t="s">
        <v>890</v>
      </c>
      <c r="B836">
        <v>3610.83</v>
      </c>
      <c r="J836">
        <v>835</v>
      </c>
      <c r="K836" t="s">
        <v>43</v>
      </c>
      <c r="L836" s="1">
        <v>1588.7</v>
      </c>
      <c r="M836" s="1">
        <v>84.77</v>
      </c>
    </row>
    <row r="837" spans="1:13" x14ac:dyDescent="0.15">
      <c r="A837" t="s">
        <v>891</v>
      </c>
      <c r="B837">
        <v>1</v>
      </c>
      <c r="J837">
        <v>836</v>
      </c>
      <c r="K837" t="s">
        <v>43</v>
      </c>
      <c r="L837" s="1">
        <v>1707.8</v>
      </c>
      <c r="M837" s="1">
        <v>96.953999999999994</v>
      </c>
    </row>
    <row r="838" spans="1:13" x14ac:dyDescent="0.15">
      <c r="A838" t="s">
        <v>813</v>
      </c>
      <c r="B838" t="s">
        <v>814</v>
      </c>
      <c r="C838" t="s">
        <v>743</v>
      </c>
      <c r="D838" t="s">
        <v>814</v>
      </c>
      <c r="E838" t="s">
        <v>891</v>
      </c>
      <c r="F838">
        <v>2407</v>
      </c>
      <c r="J838">
        <v>837</v>
      </c>
      <c r="K838" t="s">
        <v>43</v>
      </c>
      <c r="L838" s="1">
        <v>1862.2</v>
      </c>
      <c r="M838" s="1">
        <v>108.09</v>
      </c>
    </row>
    <row r="839" spans="1:13" x14ac:dyDescent="0.15">
      <c r="A839" t="s">
        <v>813</v>
      </c>
      <c r="B839" t="s">
        <v>814</v>
      </c>
      <c r="C839" t="s">
        <v>744</v>
      </c>
      <c r="D839" t="s">
        <v>814</v>
      </c>
      <c r="E839" t="s">
        <v>891</v>
      </c>
      <c r="F839">
        <v>2929.07</v>
      </c>
      <c r="J839">
        <v>838</v>
      </c>
      <c r="K839" t="s">
        <v>43</v>
      </c>
      <c r="L839" s="1">
        <v>2238.8000000000002</v>
      </c>
      <c r="M839" s="1">
        <v>142.69999999999999</v>
      </c>
    </row>
    <row r="840" spans="1:13" x14ac:dyDescent="0.15">
      <c r="A840" t="s">
        <v>892</v>
      </c>
      <c r="B840">
        <v>3697.11</v>
      </c>
      <c r="J840">
        <v>839</v>
      </c>
      <c r="K840" t="s">
        <v>43</v>
      </c>
      <c r="L840" s="1">
        <v>2623.1</v>
      </c>
      <c r="M840" s="1">
        <v>204.39</v>
      </c>
    </row>
    <row r="841" spans="1:13" x14ac:dyDescent="0.15">
      <c r="A841" t="s">
        <v>893</v>
      </c>
      <c r="B841">
        <v>1</v>
      </c>
      <c r="J841">
        <v>840</v>
      </c>
      <c r="K841" t="s">
        <v>43</v>
      </c>
      <c r="L841" s="1">
        <v>3043</v>
      </c>
      <c r="M841" s="1">
        <v>272.69</v>
      </c>
    </row>
    <row r="842" spans="1:13" x14ac:dyDescent="0.15">
      <c r="A842" t="s">
        <v>815</v>
      </c>
      <c r="B842" t="s">
        <v>814</v>
      </c>
      <c r="C842" t="s">
        <v>743</v>
      </c>
      <c r="D842" t="s">
        <v>814</v>
      </c>
      <c r="E842" t="s">
        <v>893</v>
      </c>
      <c r="F842">
        <v>2635.12</v>
      </c>
      <c r="J842">
        <v>841</v>
      </c>
      <c r="K842" t="s">
        <v>43</v>
      </c>
      <c r="L842" s="1">
        <v>2945.1</v>
      </c>
      <c r="M842" s="1">
        <v>296.87</v>
      </c>
    </row>
    <row r="843" spans="1:13" x14ac:dyDescent="0.15">
      <c r="A843" t="s">
        <v>815</v>
      </c>
      <c r="B843" t="s">
        <v>814</v>
      </c>
      <c r="C843" t="s">
        <v>744</v>
      </c>
      <c r="D843" t="s">
        <v>814</v>
      </c>
      <c r="E843" t="s">
        <v>893</v>
      </c>
      <c r="F843">
        <v>3206.67</v>
      </c>
      <c r="J843">
        <v>842</v>
      </c>
      <c r="K843" t="s">
        <v>700</v>
      </c>
      <c r="L843" s="1">
        <v>4.8353999999999999</v>
      </c>
      <c r="M843" s="1">
        <v>0.35977999999999999</v>
      </c>
    </row>
    <row r="844" spans="1:13" x14ac:dyDescent="0.15">
      <c r="A844" t="s">
        <v>889</v>
      </c>
      <c r="B844">
        <v>951.68600000000004</v>
      </c>
      <c r="J844">
        <v>843</v>
      </c>
      <c r="K844" t="s">
        <v>701</v>
      </c>
      <c r="L844" s="1">
        <v>0.55479999999999996</v>
      </c>
      <c r="M844" s="1">
        <v>4.4672999999999997E-2</v>
      </c>
    </row>
    <row r="845" spans="1:13" x14ac:dyDescent="0.15">
      <c r="A845" t="s">
        <v>890</v>
      </c>
      <c r="B845">
        <v>3619.57</v>
      </c>
      <c r="J845">
        <v>844</v>
      </c>
      <c r="K845" t="s">
        <v>267</v>
      </c>
      <c r="L845" s="1">
        <v>1917.2</v>
      </c>
      <c r="M845" s="1">
        <v>377.01</v>
      </c>
    </row>
    <row r="846" spans="1:13" x14ac:dyDescent="0.15">
      <c r="A846" t="s">
        <v>891</v>
      </c>
      <c r="B846">
        <v>1</v>
      </c>
      <c r="J846">
        <v>845</v>
      </c>
      <c r="K846" t="s">
        <v>239</v>
      </c>
      <c r="L846" s="1">
        <v>0.82576000000000005</v>
      </c>
      <c r="M846" s="1">
        <v>0.37063000000000001</v>
      </c>
    </row>
    <row r="847" spans="1:13" x14ac:dyDescent="0.15">
      <c r="A847" t="s">
        <v>813</v>
      </c>
      <c r="B847" t="s">
        <v>814</v>
      </c>
      <c r="C847" t="s">
        <v>743</v>
      </c>
      <c r="D847" t="s">
        <v>814</v>
      </c>
      <c r="E847" t="s">
        <v>891</v>
      </c>
      <c r="F847">
        <v>2407</v>
      </c>
      <c r="J847">
        <v>846</v>
      </c>
      <c r="K847" t="s">
        <v>60</v>
      </c>
      <c r="L847" s="1">
        <v>0.54859999999999998</v>
      </c>
      <c r="M847" s="1">
        <v>0.20333000000000001</v>
      </c>
    </row>
    <row r="848" spans="1:13" x14ac:dyDescent="0.15">
      <c r="A848" t="s">
        <v>813</v>
      </c>
      <c r="B848" t="s">
        <v>814</v>
      </c>
      <c r="C848" t="s">
        <v>744</v>
      </c>
      <c r="D848" t="s">
        <v>814</v>
      </c>
      <c r="E848" t="s">
        <v>891</v>
      </c>
      <c r="F848">
        <v>2929.07</v>
      </c>
      <c r="J848">
        <v>847</v>
      </c>
      <c r="K848" t="s">
        <v>65</v>
      </c>
      <c r="L848" s="1">
        <v>-0.19145999999999999</v>
      </c>
      <c r="M848" s="1">
        <v>0.44883000000000001</v>
      </c>
    </row>
    <row r="849" spans="1:13" x14ac:dyDescent="0.15">
      <c r="A849" t="s">
        <v>892</v>
      </c>
      <c r="B849">
        <v>3734.61</v>
      </c>
      <c r="J849">
        <v>848</v>
      </c>
      <c r="K849" t="s">
        <v>61</v>
      </c>
      <c r="L849" s="1">
        <v>-0.60038999999999998</v>
      </c>
      <c r="M849" s="1">
        <v>0.37064000000000002</v>
      </c>
    </row>
    <row r="850" spans="1:13" x14ac:dyDescent="0.15">
      <c r="A850" t="s">
        <v>893</v>
      </c>
      <c r="B850">
        <v>1</v>
      </c>
      <c r="J850">
        <v>849</v>
      </c>
      <c r="K850" t="s">
        <v>314</v>
      </c>
      <c r="L850" s="1">
        <v>0.70596000000000003</v>
      </c>
      <c r="M850" s="1">
        <v>6.1274000000000002E-2</v>
      </c>
    </row>
    <row r="851" spans="1:13" x14ac:dyDescent="0.15">
      <c r="A851" t="s">
        <v>815</v>
      </c>
      <c r="B851" t="s">
        <v>814</v>
      </c>
      <c r="C851" t="s">
        <v>743</v>
      </c>
      <c r="D851" t="s">
        <v>814</v>
      </c>
      <c r="E851" t="s">
        <v>893</v>
      </c>
      <c r="F851">
        <v>2657.17</v>
      </c>
      <c r="J851">
        <v>850</v>
      </c>
      <c r="K851" t="s">
        <v>294</v>
      </c>
      <c r="L851" s="1">
        <v>0.32534999999999997</v>
      </c>
      <c r="M851" s="1">
        <v>0.18892</v>
      </c>
    </row>
    <row r="852" spans="1:13" x14ac:dyDescent="0.15">
      <c r="A852" t="s">
        <v>815</v>
      </c>
      <c r="B852" t="s">
        <v>814</v>
      </c>
      <c r="C852" t="s">
        <v>744</v>
      </c>
      <c r="D852" t="s">
        <v>814</v>
      </c>
      <c r="E852" t="s">
        <v>893</v>
      </c>
      <c r="F852">
        <v>3233.5</v>
      </c>
      <c r="J852">
        <v>851</v>
      </c>
      <c r="K852" t="s">
        <v>240</v>
      </c>
      <c r="L852" s="1">
        <v>28339</v>
      </c>
      <c r="M852" s="1">
        <v>4359.3</v>
      </c>
    </row>
    <row r="853" spans="1:13" x14ac:dyDescent="0.15">
      <c r="A853" t="s">
        <v>889</v>
      </c>
      <c r="B853">
        <v>904.10199999999998</v>
      </c>
      <c r="J853">
        <v>852</v>
      </c>
      <c r="K853" t="s">
        <v>241</v>
      </c>
      <c r="L853" s="1">
        <v>1948.1</v>
      </c>
      <c r="M853" s="1">
        <v>386.31</v>
      </c>
    </row>
    <row r="854" spans="1:13" x14ac:dyDescent="0.15">
      <c r="A854" t="s">
        <v>890</v>
      </c>
      <c r="B854">
        <v>3627.82</v>
      </c>
      <c r="J854">
        <v>853</v>
      </c>
      <c r="K854" t="s">
        <v>59</v>
      </c>
      <c r="L854" s="1">
        <v>3494.8</v>
      </c>
      <c r="M854" s="1">
        <v>895.16</v>
      </c>
    </row>
    <row r="855" spans="1:13" x14ac:dyDescent="0.15">
      <c r="A855" t="s">
        <v>891</v>
      </c>
      <c r="B855">
        <v>1</v>
      </c>
      <c r="J855">
        <v>854</v>
      </c>
      <c r="K855" t="s">
        <v>833</v>
      </c>
      <c r="L855" s="1">
        <v>0.12819</v>
      </c>
      <c r="M855" s="1">
        <v>6.3962000000000005E-2</v>
      </c>
    </row>
    <row r="856" spans="1:13" x14ac:dyDescent="0.15">
      <c r="A856" t="s">
        <v>813</v>
      </c>
      <c r="B856" t="s">
        <v>814</v>
      </c>
      <c r="C856" t="s">
        <v>743</v>
      </c>
      <c r="D856" t="s">
        <v>814</v>
      </c>
      <c r="E856" t="s">
        <v>891</v>
      </c>
      <c r="F856">
        <v>2407</v>
      </c>
      <c r="J856">
        <v>855</v>
      </c>
      <c r="K856" t="s">
        <v>833</v>
      </c>
      <c r="L856" s="1">
        <v>0.15526000000000001</v>
      </c>
      <c r="M856" s="1">
        <v>7.7507000000000006E-2</v>
      </c>
    </row>
    <row r="857" spans="1:13" x14ac:dyDescent="0.15">
      <c r="A857" t="s">
        <v>813</v>
      </c>
      <c r="B857" t="s">
        <v>814</v>
      </c>
      <c r="C857" t="s">
        <v>744</v>
      </c>
      <c r="D857" t="s">
        <v>814</v>
      </c>
      <c r="E857" t="s">
        <v>891</v>
      </c>
      <c r="F857">
        <v>2929.07</v>
      </c>
      <c r="J857">
        <v>856</v>
      </c>
      <c r="K857" t="s">
        <v>833</v>
      </c>
      <c r="L857" s="1">
        <v>0.18284</v>
      </c>
      <c r="M857" s="1">
        <v>9.1325000000000003E-2</v>
      </c>
    </row>
    <row r="858" spans="1:13" x14ac:dyDescent="0.15">
      <c r="A858" t="s">
        <v>892</v>
      </c>
      <c r="B858">
        <v>3770.22</v>
      </c>
      <c r="J858">
        <v>857</v>
      </c>
      <c r="K858" t="s">
        <v>833</v>
      </c>
      <c r="L858" s="1">
        <v>0.21096000000000001</v>
      </c>
      <c r="M858" s="1">
        <v>0.10543</v>
      </c>
    </row>
    <row r="859" spans="1:13" x14ac:dyDescent="0.15">
      <c r="A859" t="s">
        <v>893</v>
      </c>
      <c r="B859">
        <v>1</v>
      </c>
      <c r="J859">
        <v>858</v>
      </c>
      <c r="K859" t="s">
        <v>833</v>
      </c>
      <c r="L859" s="1">
        <v>0.23963999999999999</v>
      </c>
      <c r="M859" s="1">
        <v>0.11983000000000001</v>
      </c>
    </row>
    <row r="860" spans="1:13" x14ac:dyDescent="0.15">
      <c r="A860" t="s">
        <v>815</v>
      </c>
      <c r="B860" t="s">
        <v>814</v>
      </c>
      <c r="C860" t="s">
        <v>743</v>
      </c>
      <c r="D860" t="s">
        <v>814</v>
      </c>
      <c r="E860" t="s">
        <v>893</v>
      </c>
      <c r="F860">
        <v>2678.14</v>
      </c>
      <c r="J860">
        <v>859</v>
      </c>
      <c r="K860" t="s">
        <v>833</v>
      </c>
      <c r="L860" s="1">
        <v>0.26889000000000002</v>
      </c>
      <c r="M860" s="1">
        <v>0.13453000000000001</v>
      </c>
    </row>
    <row r="861" spans="1:13" x14ac:dyDescent="0.15">
      <c r="A861" t="s">
        <v>815</v>
      </c>
      <c r="B861" t="s">
        <v>814</v>
      </c>
      <c r="C861" t="s">
        <v>744</v>
      </c>
      <c r="D861" t="s">
        <v>814</v>
      </c>
      <c r="E861" t="s">
        <v>893</v>
      </c>
      <c r="F861">
        <v>3259.02</v>
      </c>
      <c r="J861">
        <v>860</v>
      </c>
      <c r="K861" t="s">
        <v>833</v>
      </c>
      <c r="L861" s="1">
        <v>0.29875000000000002</v>
      </c>
      <c r="M861" s="1">
        <v>0.14956</v>
      </c>
    </row>
    <row r="862" spans="1:13" x14ac:dyDescent="0.15">
      <c r="A862" t="s">
        <v>889</v>
      </c>
      <c r="B862">
        <v>858.89700000000005</v>
      </c>
      <c r="J862">
        <v>861</v>
      </c>
      <c r="K862" t="s">
        <v>833</v>
      </c>
      <c r="L862" s="1">
        <v>0.32922000000000001</v>
      </c>
      <c r="M862" s="1">
        <v>0.16491</v>
      </c>
    </row>
    <row r="863" spans="1:13" x14ac:dyDescent="0.15">
      <c r="A863" t="s">
        <v>890</v>
      </c>
      <c r="B863">
        <v>3635.61</v>
      </c>
      <c r="J863">
        <v>862</v>
      </c>
      <c r="K863" t="s">
        <v>833</v>
      </c>
      <c r="L863" s="1">
        <v>0.36033999999999999</v>
      </c>
      <c r="M863" s="1">
        <v>0.18062</v>
      </c>
    </row>
    <row r="864" spans="1:13" x14ac:dyDescent="0.15">
      <c r="A864" t="s">
        <v>891</v>
      </c>
      <c r="B864">
        <v>1</v>
      </c>
      <c r="J864">
        <v>863</v>
      </c>
      <c r="K864" t="s">
        <v>833</v>
      </c>
      <c r="L864" s="1">
        <v>0.39212999999999998</v>
      </c>
      <c r="M864" s="1">
        <v>0.19669</v>
      </c>
    </row>
    <row r="865" spans="1:13" x14ac:dyDescent="0.15">
      <c r="A865" t="s">
        <v>813</v>
      </c>
      <c r="B865" t="s">
        <v>814</v>
      </c>
      <c r="C865" t="s">
        <v>743</v>
      </c>
      <c r="D865" t="s">
        <v>814</v>
      </c>
      <c r="E865" t="s">
        <v>891</v>
      </c>
      <c r="F865">
        <v>2407</v>
      </c>
      <c r="J865">
        <v>864</v>
      </c>
      <c r="K865" t="s">
        <v>833</v>
      </c>
      <c r="L865" s="1">
        <v>0.42462</v>
      </c>
      <c r="M865" s="1">
        <v>0.21314</v>
      </c>
    </row>
    <row r="866" spans="1:13" x14ac:dyDescent="0.15">
      <c r="A866" t="s">
        <v>813</v>
      </c>
      <c r="B866" t="s">
        <v>814</v>
      </c>
      <c r="C866" t="s">
        <v>744</v>
      </c>
      <c r="D866" t="s">
        <v>814</v>
      </c>
      <c r="E866" t="s">
        <v>891</v>
      </c>
      <c r="F866">
        <v>2929.07</v>
      </c>
      <c r="J866">
        <v>865</v>
      </c>
      <c r="K866" t="s">
        <v>833</v>
      </c>
      <c r="L866" s="1">
        <v>0.45783000000000001</v>
      </c>
      <c r="M866" s="1">
        <v>0.22997999999999999</v>
      </c>
    </row>
    <row r="867" spans="1:13" x14ac:dyDescent="0.15">
      <c r="A867" t="s">
        <v>892</v>
      </c>
      <c r="B867">
        <v>3804.03</v>
      </c>
      <c r="J867">
        <v>866</v>
      </c>
      <c r="K867" t="s">
        <v>833</v>
      </c>
      <c r="L867" s="1">
        <v>0.49181000000000002</v>
      </c>
      <c r="M867" s="1">
        <v>0.24723999999999999</v>
      </c>
    </row>
    <row r="868" spans="1:13" x14ac:dyDescent="0.15">
      <c r="A868" t="s">
        <v>893</v>
      </c>
      <c r="B868">
        <v>1</v>
      </c>
      <c r="J868">
        <v>867</v>
      </c>
      <c r="K868" t="s">
        <v>833</v>
      </c>
      <c r="L868" s="1">
        <v>0.52658000000000005</v>
      </c>
      <c r="M868" s="1">
        <v>0.26494000000000001</v>
      </c>
    </row>
    <row r="869" spans="1:13" x14ac:dyDescent="0.15">
      <c r="A869" t="s">
        <v>815</v>
      </c>
      <c r="B869" t="s">
        <v>814</v>
      </c>
      <c r="C869" t="s">
        <v>743</v>
      </c>
      <c r="D869" t="s">
        <v>814</v>
      </c>
      <c r="E869" t="s">
        <v>893</v>
      </c>
      <c r="F869">
        <v>2698.07</v>
      </c>
      <c r="J869">
        <v>868</v>
      </c>
      <c r="K869" t="s">
        <v>833</v>
      </c>
      <c r="L869" s="1">
        <v>0.56216999999999995</v>
      </c>
      <c r="M869" s="1">
        <v>0.28309000000000001</v>
      </c>
    </row>
    <row r="870" spans="1:13" x14ac:dyDescent="0.15">
      <c r="A870" t="s">
        <v>815</v>
      </c>
      <c r="B870" t="s">
        <v>814</v>
      </c>
      <c r="C870" t="s">
        <v>744</v>
      </c>
      <c r="D870" t="s">
        <v>814</v>
      </c>
      <c r="E870" t="s">
        <v>893</v>
      </c>
      <c r="F870">
        <v>3283.28</v>
      </c>
      <c r="J870">
        <v>869</v>
      </c>
      <c r="K870" t="s">
        <v>833</v>
      </c>
      <c r="L870" s="1">
        <v>0.59862000000000004</v>
      </c>
      <c r="M870" s="1">
        <v>0.30170999999999998</v>
      </c>
    </row>
    <row r="871" spans="1:13" x14ac:dyDescent="0.15">
      <c r="A871" t="s">
        <v>889</v>
      </c>
      <c r="B871">
        <v>815.952</v>
      </c>
      <c r="J871">
        <v>870</v>
      </c>
      <c r="K871" t="s">
        <v>833</v>
      </c>
      <c r="L871" s="1">
        <v>0.63597999999999999</v>
      </c>
      <c r="M871" s="1">
        <v>0.32084000000000001</v>
      </c>
    </row>
    <row r="872" spans="1:13" x14ac:dyDescent="0.15">
      <c r="A872" t="s">
        <v>890</v>
      </c>
      <c r="B872">
        <v>3642.97</v>
      </c>
      <c r="J872">
        <v>871</v>
      </c>
      <c r="K872" t="s">
        <v>833</v>
      </c>
      <c r="L872" s="1">
        <v>0.67428999999999994</v>
      </c>
      <c r="M872" s="1">
        <v>0.34050000000000002</v>
      </c>
    </row>
    <row r="873" spans="1:13" x14ac:dyDescent="0.15">
      <c r="A873" t="s">
        <v>891</v>
      </c>
      <c r="B873">
        <v>1</v>
      </c>
      <c r="J873">
        <v>872</v>
      </c>
      <c r="K873" t="s">
        <v>833</v>
      </c>
      <c r="L873" s="1">
        <v>0.71357999999999999</v>
      </c>
      <c r="M873" s="1">
        <v>0.36071999999999999</v>
      </c>
    </row>
    <row r="874" spans="1:13" x14ac:dyDescent="0.15">
      <c r="A874" t="s">
        <v>813</v>
      </c>
      <c r="B874" t="s">
        <v>814</v>
      </c>
      <c r="C874" t="s">
        <v>743</v>
      </c>
      <c r="D874" t="s">
        <v>814</v>
      </c>
      <c r="E874" t="s">
        <v>891</v>
      </c>
      <c r="F874">
        <v>2407</v>
      </c>
      <c r="J874">
        <v>873</v>
      </c>
      <c r="K874" t="s">
        <v>833</v>
      </c>
      <c r="L874" s="1">
        <v>0.75390999999999997</v>
      </c>
      <c r="M874" s="1">
        <v>0.38152000000000003</v>
      </c>
    </row>
    <row r="875" spans="1:13" x14ac:dyDescent="0.15">
      <c r="A875" t="s">
        <v>813</v>
      </c>
      <c r="B875" t="s">
        <v>814</v>
      </c>
      <c r="C875" t="s">
        <v>744</v>
      </c>
      <c r="D875" t="s">
        <v>814</v>
      </c>
      <c r="E875" t="s">
        <v>891</v>
      </c>
      <c r="F875">
        <v>2929.07</v>
      </c>
      <c r="J875">
        <v>874</v>
      </c>
      <c r="K875" t="s">
        <v>242</v>
      </c>
      <c r="L875" s="1">
        <v>1.7668999999999999</v>
      </c>
      <c r="M875" s="1">
        <v>0.39094000000000001</v>
      </c>
    </row>
    <row r="876" spans="1:13" x14ac:dyDescent="0.15">
      <c r="A876" t="s">
        <v>892</v>
      </c>
      <c r="B876">
        <v>3836.14</v>
      </c>
      <c r="J876">
        <v>875</v>
      </c>
      <c r="K876" t="s">
        <v>242</v>
      </c>
      <c r="L876" s="1">
        <v>1.7363</v>
      </c>
      <c r="M876" s="1">
        <v>0.38553999999999999</v>
      </c>
    </row>
    <row r="877" spans="1:13" x14ac:dyDescent="0.15">
      <c r="A877" t="s">
        <v>893</v>
      </c>
      <c r="B877">
        <v>1</v>
      </c>
      <c r="J877">
        <v>876</v>
      </c>
      <c r="K877" t="s">
        <v>242</v>
      </c>
      <c r="L877" s="1">
        <v>1.706</v>
      </c>
      <c r="M877" s="1">
        <v>0.38018000000000002</v>
      </c>
    </row>
    <row r="878" spans="1:13" x14ac:dyDescent="0.15">
      <c r="A878" t="s">
        <v>815</v>
      </c>
      <c r="B878" t="s">
        <v>814</v>
      </c>
      <c r="C878" t="s">
        <v>743</v>
      </c>
      <c r="D878" t="s">
        <v>814</v>
      </c>
      <c r="E878" t="s">
        <v>893</v>
      </c>
      <c r="F878">
        <v>2717.03</v>
      </c>
      <c r="J878">
        <v>877</v>
      </c>
      <c r="K878" t="s">
        <v>242</v>
      </c>
      <c r="L878" s="1">
        <v>1.6758</v>
      </c>
      <c r="M878" s="1">
        <v>0.37486999999999998</v>
      </c>
    </row>
    <row r="879" spans="1:13" x14ac:dyDescent="0.15">
      <c r="A879" t="s">
        <v>815</v>
      </c>
      <c r="B879" t="s">
        <v>814</v>
      </c>
      <c r="C879" t="s">
        <v>744</v>
      </c>
      <c r="D879" t="s">
        <v>814</v>
      </c>
      <c r="E879" t="s">
        <v>893</v>
      </c>
      <c r="F879">
        <v>3306.35</v>
      </c>
      <c r="J879">
        <v>878</v>
      </c>
      <c r="K879" t="s">
        <v>242</v>
      </c>
      <c r="L879" s="1">
        <v>1.6458999999999999</v>
      </c>
      <c r="M879" s="1">
        <v>0.36960999999999999</v>
      </c>
    </row>
    <row r="880" spans="1:13" x14ac:dyDescent="0.15">
      <c r="A880" t="s">
        <v>889</v>
      </c>
      <c r="B880">
        <v>775.154</v>
      </c>
      <c r="J880">
        <v>879</v>
      </c>
      <c r="K880" t="s">
        <v>242</v>
      </c>
      <c r="L880" s="1">
        <v>1.6161000000000001</v>
      </c>
      <c r="M880" s="1">
        <v>0.36438999999999999</v>
      </c>
    </row>
    <row r="881" spans="1:13" x14ac:dyDescent="0.15">
      <c r="A881" t="s">
        <v>890</v>
      </c>
      <c r="B881">
        <v>3649.92</v>
      </c>
      <c r="J881">
        <v>880</v>
      </c>
      <c r="K881" t="s">
        <v>242</v>
      </c>
      <c r="L881" s="1">
        <v>1.5866</v>
      </c>
      <c r="M881" s="1">
        <v>0.35922999999999999</v>
      </c>
    </row>
    <row r="882" spans="1:13" x14ac:dyDescent="0.15">
      <c r="A882" t="s">
        <v>891</v>
      </c>
      <c r="B882">
        <v>1</v>
      </c>
      <c r="J882">
        <v>881</v>
      </c>
      <c r="K882" t="s">
        <v>242</v>
      </c>
      <c r="L882" s="1">
        <v>1.5572999999999999</v>
      </c>
      <c r="M882" s="1">
        <v>0.35410000000000003</v>
      </c>
    </row>
    <row r="883" spans="1:13" x14ac:dyDescent="0.15">
      <c r="A883" t="s">
        <v>813</v>
      </c>
      <c r="B883" t="s">
        <v>814</v>
      </c>
      <c r="C883" t="s">
        <v>743</v>
      </c>
      <c r="D883" t="s">
        <v>814</v>
      </c>
      <c r="E883" t="s">
        <v>891</v>
      </c>
      <c r="F883">
        <v>2407</v>
      </c>
      <c r="J883">
        <v>882</v>
      </c>
      <c r="K883" t="s">
        <v>242</v>
      </c>
      <c r="L883" s="1">
        <v>1.5282</v>
      </c>
      <c r="M883" s="1">
        <v>0.34903000000000001</v>
      </c>
    </row>
    <row r="884" spans="1:13" x14ac:dyDescent="0.15">
      <c r="A884" t="s">
        <v>813</v>
      </c>
      <c r="B884" t="s">
        <v>814</v>
      </c>
      <c r="C884" t="s">
        <v>744</v>
      </c>
      <c r="D884" t="s">
        <v>814</v>
      </c>
      <c r="E884" t="s">
        <v>891</v>
      </c>
      <c r="F884">
        <v>2929.07</v>
      </c>
      <c r="J884">
        <v>883</v>
      </c>
      <c r="K884" t="s">
        <v>242</v>
      </c>
      <c r="L884" s="1">
        <v>1.4993000000000001</v>
      </c>
      <c r="M884" s="1">
        <v>0.34400999999999998</v>
      </c>
    </row>
    <row r="885" spans="1:13" x14ac:dyDescent="0.15">
      <c r="A885" t="s">
        <v>892</v>
      </c>
      <c r="B885">
        <v>3866.64</v>
      </c>
      <c r="J885">
        <v>884</v>
      </c>
      <c r="K885" t="s">
        <v>242</v>
      </c>
      <c r="L885" s="1">
        <v>1.4705999999999999</v>
      </c>
      <c r="M885" s="1">
        <v>0.33903</v>
      </c>
    </row>
    <row r="886" spans="1:13" x14ac:dyDescent="0.15">
      <c r="A886" t="s">
        <v>893</v>
      </c>
      <c r="B886">
        <v>1</v>
      </c>
      <c r="J886">
        <v>885</v>
      </c>
      <c r="K886" t="s">
        <v>242</v>
      </c>
      <c r="L886" s="1">
        <v>1.4420999999999999</v>
      </c>
      <c r="M886" s="1">
        <v>0.33410000000000001</v>
      </c>
    </row>
    <row r="887" spans="1:13" x14ac:dyDescent="0.15">
      <c r="A887" t="s">
        <v>815</v>
      </c>
      <c r="B887" t="s">
        <v>814</v>
      </c>
      <c r="C887" t="s">
        <v>743</v>
      </c>
      <c r="D887" t="s">
        <v>814</v>
      </c>
      <c r="E887" t="s">
        <v>893</v>
      </c>
      <c r="F887">
        <v>2735.05</v>
      </c>
      <c r="J887">
        <v>886</v>
      </c>
      <c r="K887" t="s">
        <v>242</v>
      </c>
      <c r="L887" s="1">
        <v>1.4138999999999999</v>
      </c>
      <c r="M887" s="1">
        <v>0.32921</v>
      </c>
    </row>
    <row r="888" spans="1:13" x14ac:dyDescent="0.15">
      <c r="A888" t="s">
        <v>815</v>
      </c>
      <c r="B888" t="s">
        <v>814</v>
      </c>
      <c r="C888" t="s">
        <v>744</v>
      </c>
      <c r="D888" t="s">
        <v>814</v>
      </c>
      <c r="E888" t="s">
        <v>893</v>
      </c>
      <c r="F888">
        <v>3328.28</v>
      </c>
      <c r="J888">
        <v>887</v>
      </c>
      <c r="K888" t="s">
        <v>242</v>
      </c>
      <c r="L888" s="1">
        <v>1.3858999999999999</v>
      </c>
      <c r="M888" s="1">
        <v>0.32438</v>
      </c>
    </row>
    <row r="889" spans="1:13" x14ac:dyDescent="0.15">
      <c r="A889" t="s">
        <v>889</v>
      </c>
      <c r="B889">
        <v>736.39700000000005</v>
      </c>
      <c r="J889">
        <v>888</v>
      </c>
      <c r="K889" t="s">
        <v>242</v>
      </c>
      <c r="L889" s="1">
        <v>1.3581000000000001</v>
      </c>
      <c r="M889" s="1">
        <v>0.31958999999999999</v>
      </c>
    </row>
    <row r="890" spans="1:13" x14ac:dyDescent="0.15">
      <c r="A890" t="s">
        <v>890</v>
      </c>
      <c r="B890">
        <v>3656.48</v>
      </c>
      <c r="J890">
        <v>889</v>
      </c>
      <c r="K890" t="s">
        <v>242</v>
      </c>
      <c r="L890" s="1">
        <v>1.3305</v>
      </c>
      <c r="M890" s="1">
        <v>0.31485000000000002</v>
      </c>
    </row>
    <row r="891" spans="1:13" x14ac:dyDescent="0.15">
      <c r="A891" t="s">
        <v>891</v>
      </c>
      <c r="B891">
        <v>1</v>
      </c>
      <c r="J891">
        <v>890</v>
      </c>
      <c r="K891" t="s">
        <v>242</v>
      </c>
      <c r="L891" s="1">
        <v>1.3031999999999999</v>
      </c>
      <c r="M891" s="1">
        <v>0.31015999999999999</v>
      </c>
    </row>
    <row r="892" spans="1:13" x14ac:dyDescent="0.15">
      <c r="A892" t="s">
        <v>813</v>
      </c>
      <c r="B892" t="s">
        <v>814</v>
      </c>
      <c r="C892" t="s">
        <v>743</v>
      </c>
      <c r="D892" t="s">
        <v>814</v>
      </c>
      <c r="E892" t="s">
        <v>891</v>
      </c>
      <c r="F892">
        <v>2407</v>
      </c>
      <c r="J892">
        <v>891</v>
      </c>
      <c r="K892" t="s">
        <v>242</v>
      </c>
      <c r="L892" s="1">
        <v>1.2761</v>
      </c>
      <c r="M892" s="1">
        <v>0.30551</v>
      </c>
    </row>
    <row r="893" spans="1:13" x14ac:dyDescent="0.15">
      <c r="A893" t="s">
        <v>813</v>
      </c>
      <c r="B893" t="s">
        <v>814</v>
      </c>
      <c r="C893" t="s">
        <v>744</v>
      </c>
      <c r="D893" t="s">
        <v>814</v>
      </c>
      <c r="E893" t="s">
        <v>891</v>
      </c>
      <c r="F893">
        <v>2929.07</v>
      </c>
      <c r="J893">
        <v>892</v>
      </c>
      <c r="K893" t="s">
        <v>242</v>
      </c>
      <c r="L893" s="1">
        <v>1.2493000000000001</v>
      </c>
      <c r="M893" s="1">
        <v>0.30092000000000002</v>
      </c>
    </row>
    <row r="894" spans="1:13" x14ac:dyDescent="0.15">
      <c r="A894" t="s">
        <v>892</v>
      </c>
      <c r="B894">
        <v>3895.6</v>
      </c>
      <c r="J894">
        <v>893</v>
      </c>
      <c r="K894" t="s">
        <v>242</v>
      </c>
      <c r="L894" s="1">
        <v>1.2225999999999999</v>
      </c>
      <c r="M894" s="1">
        <v>0.29636000000000001</v>
      </c>
    </row>
    <row r="895" spans="1:13" x14ac:dyDescent="0.15">
      <c r="A895" t="s">
        <v>893</v>
      </c>
      <c r="B895">
        <v>1</v>
      </c>
      <c r="J895">
        <v>894</v>
      </c>
      <c r="K895" t="s">
        <v>938</v>
      </c>
      <c r="L895" s="1">
        <v>1.1803999999999999</v>
      </c>
      <c r="M895" s="1">
        <v>0.11251</v>
      </c>
    </row>
    <row r="896" spans="1:13" x14ac:dyDescent="0.15">
      <c r="A896" t="s">
        <v>815</v>
      </c>
      <c r="B896" t="s">
        <v>814</v>
      </c>
      <c r="C896" t="s">
        <v>743</v>
      </c>
      <c r="D896" t="s">
        <v>814</v>
      </c>
      <c r="E896" t="s">
        <v>893</v>
      </c>
      <c r="F896">
        <v>2752.19</v>
      </c>
      <c r="J896">
        <v>895</v>
      </c>
      <c r="K896" t="s">
        <v>938</v>
      </c>
      <c r="L896" s="1">
        <v>1.1599999999999999</v>
      </c>
      <c r="M896" s="1">
        <v>0.11249000000000001</v>
      </c>
    </row>
    <row r="897" spans="1:13" x14ac:dyDescent="0.15">
      <c r="A897" t="s">
        <v>815</v>
      </c>
      <c r="B897" t="s">
        <v>814</v>
      </c>
      <c r="C897" t="s">
        <v>744</v>
      </c>
      <c r="D897" t="s">
        <v>814</v>
      </c>
      <c r="E897" t="s">
        <v>893</v>
      </c>
      <c r="F897">
        <v>3349.13</v>
      </c>
      <c r="J897">
        <v>896</v>
      </c>
      <c r="K897" t="s">
        <v>938</v>
      </c>
      <c r="L897" s="1">
        <v>1.1396999999999999</v>
      </c>
      <c r="M897" s="1">
        <v>0.11246</v>
      </c>
    </row>
    <row r="898" spans="1:13" x14ac:dyDescent="0.15">
      <c r="A898" t="s">
        <v>889</v>
      </c>
      <c r="B898">
        <v>699.577</v>
      </c>
      <c r="J898">
        <v>897</v>
      </c>
      <c r="K898" t="s">
        <v>938</v>
      </c>
      <c r="L898" s="1">
        <v>1.1195999999999999</v>
      </c>
      <c r="M898" s="1">
        <v>0.11242000000000001</v>
      </c>
    </row>
    <row r="899" spans="1:13" x14ac:dyDescent="0.15">
      <c r="A899" t="s">
        <v>890</v>
      </c>
      <c r="B899">
        <v>3662.69</v>
      </c>
      <c r="J899">
        <v>898</v>
      </c>
      <c r="K899" t="s">
        <v>938</v>
      </c>
      <c r="L899" s="1">
        <v>1.0995999999999999</v>
      </c>
      <c r="M899" s="1">
        <v>0.11237</v>
      </c>
    </row>
    <row r="900" spans="1:13" x14ac:dyDescent="0.15">
      <c r="A900" t="s">
        <v>891</v>
      </c>
      <c r="B900">
        <v>1</v>
      </c>
      <c r="J900">
        <v>899</v>
      </c>
      <c r="K900" t="s">
        <v>938</v>
      </c>
      <c r="L900" s="1">
        <v>1.0797000000000001</v>
      </c>
      <c r="M900" s="1">
        <v>0.11232</v>
      </c>
    </row>
    <row r="901" spans="1:13" x14ac:dyDescent="0.15">
      <c r="A901" t="s">
        <v>813</v>
      </c>
      <c r="B901" t="s">
        <v>814</v>
      </c>
      <c r="C901" t="s">
        <v>743</v>
      </c>
      <c r="D901" t="s">
        <v>814</v>
      </c>
      <c r="E901" t="s">
        <v>891</v>
      </c>
      <c r="F901">
        <v>2407</v>
      </c>
      <c r="J901">
        <v>900</v>
      </c>
      <c r="K901" t="s">
        <v>938</v>
      </c>
      <c r="L901" s="1">
        <v>1.06</v>
      </c>
      <c r="M901" s="1">
        <v>0.11225</v>
      </c>
    </row>
    <row r="902" spans="1:13" x14ac:dyDescent="0.15">
      <c r="A902" t="s">
        <v>813</v>
      </c>
      <c r="B902" t="s">
        <v>814</v>
      </c>
      <c r="C902" t="s">
        <v>744</v>
      </c>
      <c r="D902" t="s">
        <v>814</v>
      </c>
      <c r="E902" t="s">
        <v>891</v>
      </c>
      <c r="F902">
        <v>2929.07</v>
      </c>
      <c r="J902">
        <v>901</v>
      </c>
      <c r="K902" t="s">
        <v>938</v>
      </c>
      <c r="L902" s="1">
        <v>1.0404</v>
      </c>
      <c r="M902" s="1">
        <v>0.11218</v>
      </c>
    </row>
    <row r="903" spans="1:13" x14ac:dyDescent="0.15">
      <c r="A903" t="s">
        <v>892</v>
      </c>
      <c r="B903">
        <v>3923.1</v>
      </c>
      <c r="J903">
        <v>902</v>
      </c>
      <c r="K903" t="s">
        <v>938</v>
      </c>
      <c r="L903" s="1">
        <v>1.0208999999999999</v>
      </c>
      <c r="M903" s="1">
        <v>0.11210000000000001</v>
      </c>
    </row>
    <row r="904" spans="1:13" x14ac:dyDescent="0.15">
      <c r="A904" t="s">
        <v>893</v>
      </c>
      <c r="B904">
        <v>1</v>
      </c>
      <c r="J904">
        <v>903</v>
      </c>
      <c r="K904" t="s">
        <v>938</v>
      </c>
      <c r="L904" s="1">
        <v>1.0016</v>
      </c>
      <c r="M904" s="1">
        <v>0.112</v>
      </c>
    </row>
    <row r="905" spans="1:13" x14ac:dyDescent="0.15">
      <c r="A905" t="s">
        <v>815</v>
      </c>
      <c r="B905" t="s">
        <v>814</v>
      </c>
      <c r="C905" t="s">
        <v>743</v>
      </c>
      <c r="D905" t="s">
        <v>814</v>
      </c>
      <c r="E905" t="s">
        <v>893</v>
      </c>
      <c r="F905">
        <v>2768.47</v>
      </c>
      <c r="J905">
        <v>904</v>
      </c>
      <c r="K905" t="s">
        <v>938</v>
      </c>
      <c r="L905" s="1">
        <v>0.98246</v>
      </c>
      <c r="M905" s="1">
        <v>0.1119</v>
      </c>
    </row>
    <row r="906" spans="1:13" x14ac:dyDescent="0.15">
      <c r="A906" t="s">
        <v>815</v>
      </c>
      <c r="B906" t="s">
        <v>814</v>
      </c>
      <c r="C906" t="s">
        <v>744</v>
      </c>
      <c r="D906" t="s">
        <v>814</v>
      </c>
      <c r="E906" t="s">
        <v>893</v>
      </c>
      <c r="F906">
        <v>3368.95</v>
      </c>
      <c r="J906">
        <v>905</v>
      </c>
      <c r="K906" t="s">
        <v>938</v>
      </c>
      <c r="L906" s="1">
        <v>0.96345000000000003</v>
      </c>
      <c r="M906" s="1">
        <v>0.11178</v>
      </c>
    </row>
    <row r="907" spans="1:13" x14ac:dyDescent="0.15">
      <c r="J907">
        <v>906</v>
      </c>
      <c r="K907" t="s">
        <v>938</v>
      </c>
      <c r="L907" s="1">
        <v>0.94457999999999998</v>
      </c>
      <c r="M907" s="1">
        <v>0.11165</v>
      </c>
    </row>
    <row r="908" spans="1:13" x14ac:dyDescent="0.15">
      <c r="A908" t="s">
        <v>208</v>
      </c>
      <c r="B908" t="s">
        <v>271</v>
      </c>
      <c r="C908" t="s">
        <v>173</v>
      </c>
      <c r="D908">
        <v>2015</v>
      </c>
      <c r="E908" t="s">
        <v>714</v>
      </c>
      <c r="F908" t="s">
        <v>715</v>
      </c>
      <c r="J908">
        <v>907</v>
      </c>
      <c r="K908" t="s">
        <v>938</v>
      </c>
      <c r="L908" s="1">
        <v>0.92586999999999997</v>
      </c>
      <c r="M908" s="1">
        <v>0.11151</v>
      </c>
    </row>
    <row r="909" spans="1:13" x14ac:dyDescent="0.15">
      <c r="A909">
        <v>2015</v>
      </c>
      <c r="B909">
        <v>0.61371399999999998</v>
      </c>
      <c r="C909">
        <v>0.125469</v>
      </c>
      <c r="G909" t="s">
        <v>716</v>
      </c>
      <c r="H909" t="s">
        <v>717</v>
      </c>
      <c r="J909">
        <v>908</v>
      </c>
      <c r="K909" t="s">
        <v>938</v>
      </c>
      <c r="L909" s="1">
        <v>0.9073</v>
      </c>
      <c r="M909" s="1">
        <v>0.11135</v>
      </c>
    </row>
    <row r="910" spans="1:13" x14ac:dyDescent="0.15">
      <c r="A910">
        <v>2016</v>
      </c>
      <c r="B910">
        <v>0.64229800000000004</v>
      </c>
      <c r="C910">
        <v>0.13385</v>
      </c>
      <c r="J910">
        <v>909</v>
      </c>
      <c r="K910" t="s">
        <v>938</v>
      </c>
      <c r="L910" s="1">
        <v>0.88888999999999996</v>
      </c>
      <c r="M910" s="1">
        <v>0.11118</v>
      </c>
    </row>
    <row r="911" spans="1:13" x14ac:dyDescent="0.15">
      <c r="A911">
        <v>2016</v>
      </c>
      <c r="B911">
        <v>0.63927500000000004</v>
      </c>
      <c r="C911">
        <v>0.13344700000000001</v>
      </c>
      <c r="J911">
        <v>910</v>
      </c>
      <c r="K911" t="s">
        <v>938</v>
      </c>
      <c r="L911" s="1">
        <v>0.87063000000000001</v>
      </c>
      <c r="M911" s="1">
        <v>0.11099000000000001</v>
      </c>
    </row>
    <row r="912" spans="1:13" x14ac:dyDescent="0.15">
      <c r="A912">
        <v>2015</v>
      </c>
      <c r="B912">
        <v>0.49744699999999997</v>
      </c>
      <c r="C912">
        <v>4.8036799999999998E-2</v>
      </c>
      <c r="J912">
        <v>911</v>
      </c>
      <c r="K912" t="s">
        <v>938</v>
      </c>
      <c r="L912" s="1">
        <v>0.85253000000000001</v>
      </c>
      <c r="M912" s="1">
        <v>0.11079</v>
      </c>
    </row>
    <row r="913" spans="1:18" x14ac:dyDescent="0.15">
      <c r="A913">
        <v>2016</v>
      </c>
      <c r="B913">
        <v>0.52061599999999997</v>
      </c>
      <c r="C913">
        <v>5.3196599999999997E-2</v>
      </c>
      <c r="J913">
        <v>912</v>
      </c>
      <c r="K913" t="s">
        <v>938</v>
      </c>
      <c r="L913" s="1">
        <v>0.83459000000000005</v>
      </c>
      <c r="M913" s="1">
        <v>0.11058</v>
      </c>
    </row>
    <row r="914" spans="1:18" x14ac:dyDescent="0.15">
      <c r="A914">
        <v>2016</v>
      </c>
      <c r="B914">
        <v>0.51816499999999999</v>
      </c>
      <c r="C914">
        <v>5.32819E-2</v>
      </c>
      <c r="J914">
        <v>913</v>
      </c>
      <c r="K914" t="s">
        <v>938</v>
      </c>
      <c r="L914" s="1">
        <v>0.81679999999999997</v>
      </c>
      <c r="M914" s="1">
        <v>0.11035</v>
      </c>
    </row>
    <row r="915" spans="1:18" x14ac:dyDescent="0.15">
      <c r="B915" t="s">
        <v>719</v>
      </c>
      <c r="C915" t="s">
        <v>156</v>
      </c>
      <c r="D915" t="s">
        <v>720</v>
      </c>
      <c r="E915" s="23">
        <v>0.05</v>
      </c>
      <c r="F915" t="s">
        <v>721</v>
      </c>
      <c r="J915">
        <v>914</v>
      </c>
      <c r="K915" t="s">
        <v>939</v>
      </c>
      <c r="L915" s="1">
        <v>1.444</v>
      </c>
      <c r="M915" s="1">
        <v>0.29374</v>
      </c>
    </row>
    <row r="916" spans="1:18" x14ac:dyDescent="0.15">
      <c r="A916" t="s">
        <v>726</v>
      </c>
      <c r="B916">
        <v>2351.35</v>
      </c>
      <c r="G916" t="s">
        <v>722</v>
      </c>
      <c r="H916" t="s">
        <v>723</v>
      </c>
      <c r="J916">
        <v>915</v>
      </c>
      <c r="K916" t="s">
        <v>939</v>
      </c>
      <c r="L916" s="1">
        <v>1.3932</v>
      </c>
      <c r="M916" s="1">
        <v>0.29111999999999999</v>
      </c>
    </row>
    <row r="917" spans="1:18" x14ac:dyDescent="0.15">
      <c r="A917" t="s">
        <v>727</v>
      </c>
      <c r="B917">
        <v>2407</v>
      </c>
      <c r="J917">
        <v>916</v>
      </c>
      <c r="K917" t="s">
        <v>939</v>
      </c>
      <c r="L917" s="1">
        <v>1.3452999999999999</v>
      </c>
      <c r="M917" s="1">
        <v>0.28867999999999999</v>
      </c>
    </row>
    <row r="918" spans="1:18" x14ac:dyDescent="0.15">
      <c r="A918" t="s">
        <v>728</v>
      </c>
      <c r="B918">
        <v>2462.64</v>
      </c>
      <c r="J918">
        <v>917</v>
      </c>
      <c r="K918" t="s">
        <v>939</v>
      </c>
      <c r="L918" s="1">
        <v>1.3</v>
      </c>
      <c r="M918" s="1">
        <v>0.28641</v>
      </c>
    </row>
    <row r="919" spans="1:18" x14ac:dyDescent="0.15">
      <c r="A919" t="s">
        <v>650</v>
      </c>
      <c r="B919" t="s">
        <v>729</v>
      </c>
      <c r="C919" t="s">
        <v>730</v>
      </c>
      <c r="D919" t="s">
        <v>731</v>
      </c>
      <c r="J919">
        <v>918</v>
      </c>
      <c r="K919" t="s">
        <v>939</v>
      </c>
      <c r="L919" s="1">
        <v>1.2572000000000001</v>
      </c>
      <c r="M919" s="1">
        <v>0.28427999999999998</v>
      </c>
    </row>
    <row r="920" spans="1:18" x14ac:dyDescent="0.15">
      <c r="A920" t="s">
        <v>726</v>
      </c>
      <c r="B920">
        <v>2351.35</v>
      </c>
      <c r="J920">
        <v>919</v>
      </c>
      <c r="K920" t="s">
        <v>939</v>
      </c>
      <c r="L920" s="1">
        <v>1.2168000000000001</v>
      </c>
      <c r="M920" s="1">
        <v>0.28227000000000002</v>
      </c>
    </row>
    <row r="921" spans="1:18" x14ac:dyDescent="0.15">
      <c r="A921" t="s">
        <v>727</v>
      </c>
      <c r="B921">
        <v>2407</v>
      </c>
      <c r="J921">
        <v>920</v>
      </c>
      <c r="K921" t="s">
        <v>939</v>
      </c>
      <c r="L921" s="1">
        <v>1.1786000000000001</v>
      </c>
      <c r="M921" s="1">
        <v>0.28034999999999999</v>
      </c>
    </row>
    <row r="922" spans="1:18" x14ac:dyDescent="0.15">
      <c r="A922" t="s">
        <v>728</v>
      </c>
      <c r="B922">
        <v>2462.64</v>
      </c>
      <c r="J922">
        <v>921</v>
      </c>
      <c r="K922" t="s">
        <v>939</v>
      </c>
      <c r="L922" s="1">
        <v>1.1426000000000001</v>
      </c>
      <c r="M922" s="1">
        <v>0.27851999999999999</v>
      </c>
    </row>
    <row r="923" spans="1:18" x14ac:dyDescent="0.15">
      <c r="A923" t="s">
        <v>732</v>
      </c>
      <c r="B923" t="s">
        <v>733</v>
      </c>
      <c r="C923" t="s">
        <v>734</v>
      </c>
      <c r="J923">
        <v>922</v>
      </c>
      <c r="K923" t="s">
        <v>939</v>
      </c>
      <c r="L923" s="1">
        <v>1.1085</v>
      </c>
      <c r="M923" s="1">
        <v>0.27676000000000001</v>
      </c>
    </row>
    <row r="924" spans="1:18" x14ac:dyDescent="0.15">
      <c r="A924">
        <v>1637</v>
      </c>
      <c r="B924">
        <v>6297.4</v>
      </c>
      <c r="C924">
        <v>6191.71</v>
      </c>
      <c r="J924">
        <v>923</v>
      </c>
      <c r="K924" t="s">
        <v>939</v>
      </c>
      <c r="L924" s="1">
        <v>1.0764</v>
      </c>
      <c r="M924" s="1">
        <v>0.27506999999999998</v>
      </c>
    </row>
    <row r="925" spans="1:18" x14ac:dyDescent="0.15">
      <c r="A925">
        <v>1554</v>
      </c>
      <c r="B925">
        <v>6297.4</v>
      </c>
      <c r="C925">
        <v>6191.71</v>
      </c>
      <c r="J925">
        <v>924</v>
      </c>
      <c r="K925" t="s">
        <v>939</v>
      </c>
      <c r="L925" s="1">
        <v>1.046</v>
      </c>
      <c r="M925" s="1">
        <v>0.27342</v>
      </c>
    </row>
    <row r="926" spans="1:18" x14ac:dyDescent="0.15">
      <c r="A926">
        <v>1001.77</v>
      </c>
      <c r="B926">
        <v>6297.4</v>
      </c>
      <c r="C926">
        <v>6191.71</v>
      </c>
      <c r="J926">
        <v>925</v>
      </c>
      <c r="K926" t="s">
        <v>939</v>
      </c>
      <c r="L926" s="1">
        <v>1.0172000000000001</v>
      </c>
      <c r="M926" s="1">
        <v>0.27182000000000001</v>
      </c>
    </row>
    <row r="927" spans="1:18" x14ac:dyDescent="0.15">
      <c r="A927">
        <v>951.68600000000004</v>
      </c>
      <c r="B927">
        <v>6297.4</v>
      </c>
      <c r="C927">
        <v>6191.71</v>
      </c>
      <c r="J927">
        <v>926</v>
      </c>
      <c r="K927" t="s">
        <v>939</v>
      </c>
      <c r="L927" s="1">
        <v>0.99006000000000005</v>
      </c>
      <c r="M927" s="1">
        <v>0.27026</v>
      </c>
    </row>
    <row r="928" spans="1:18" x14ac:dyDescent="0.15">
      <c r="A928">
        <v>904.10199999999998</v>
      </c>
      <c r="B928">
        <v>6297.4</v>
      </c>
      <c r="C928">
        <v>6191.71</v>
      </c>
      <c r="J928">
        <v>927</v>
      </c>
      <c r="K928" t="s">
        <v>939</v>
      </c>
      <c r="L928" s="1">
        <v>0.96435000000000004</v>
      </c>
      <c r="M928" s="1">
        <v>0.26872000000000001</v>
      </c>
      <c r="N928">
        <v>1.0217099999999999</v>
      </c>
      <c r="O928">
        <v>1.0217099999999999</v>
      </c>
      <c r="P928">
        <v>1.0217099999999999</v>
      </c>
      <c r="Q928">
        <v>1.0217099999999999</v>
      </c>
      <c r="R928">
        <v>1.0217099999999999</v>
      </c>
    </row>
    <row r="929" spans="1:18" x14ac:dyDescent="0.15">
      <c r="A929">
        <v>858.89700000000005</v>
      </c>
      <c r="B929">
        <v>6297.4</v>
      </c>
      <c r="C929">
        <v>6191.71</v>
      </c>
      <c r="J929">
        <v>928</v>
      </c>
      <c r="K929" t="s">
        <v>939</v>
      </c>
      <c r="L929" s="1">
        <v>0.94001000000000001</v>
      </c>
      <c r="M929" s="1">
        <v>0.26722000000000001</v>
      </c>
      <c r="N929">
        <v>1.0217099999999999</v>
      </c>
      <c r="O929">
        <v>1.0217099999999999</v>
      </c>
      <c r="P929">
        <v>1.0217099999999999</v>
      </c>
      <c r="Q929">
        <v>1.0217099999999999</v>
      </c>
      <c r="R929">
        <v>1.0217099999999999</v>
      </c>
    </row>
    <row r="930" spans="1:18" x14ac:dyDescent="0.15">
      <c r="A930">
        <v>815.952</v>
      </c>
      <c r="B930">
        <v>6297.4</v>
      </c>
      <c r="C930">
        <v>6191.71</v>
      </c>
      <c r="J930">
        <v>929</v>
      </c>
      <c r="K930" t="s">
        <v>939</v>
      </c>
      <c r="L930" s="1">
        <v>0.91695000000000004</v>
      </c>
      <c r="M930" s="1">
        <v>0.26573000000000002</v>
      </c>
      <c r="N930">
        <v>1.0217099999999999</v>
      </c>
      <c r="O930">
        <v>1.0217099999999999</v>
      </c>
      <c r="P930">
        <v>1.0217099999999999</v>
      </c>
      <c r="Q930">
        <v>1.0217099999999999</v>
      </c>
      <c r="R930">
        <v>1.0217099999999999</v>
      </c>
    </row>
    <row r="931" spans="1:18" x14ac:dyDescent="0.15">
      <c r="A931">
        <v>775.154</v>
      </c>
      <c r="B931">
        <v>6297.4</v>
      </c>
      <c r="C931">
        <v>6191.71</v>
      </c>
      <c r="J931">
        <v>930</v>
      </c>
      <c r="K931" t="s">
        <v>939</v>
      </c>
      <c r="L931" s="1">
        <v>0.89510000000000001</v>
      </c>
      <c r="M931" s="1">
        <v>0.26427</v>
      </c>
      <c r="N931">
        <v>1.0217099999999999</v>
      </c>
      <c r="O931">
        <v>1.0217099999999999</v>
      </c>
      <c r="P931">
        <v>1.0217099999999999</v>
      </c>
      <c r="Q931">
        <v>1.0217099999999999</v>
      </c>
      <c r="R931">
        <v>1.0217099999999999</v>
      </c>
    </row>
    <row r="932" spans="1:18" x14ac:dyDescent="0.15">
      <c r="A932">
        <v>736.39700000000005</v>
      </c>
      <c r="B932">
        <v>6297.4</v>
      </c>
      <c r="C932">
        <v>6191.71</v>
      </c>
      <c r="J932">
        <v>931</v>
      </c>
      <c r="K932" t="s">
        <v>939</v>
      </c>
      <c r="L932" s="1">
        <v>0.87436999999999998</v>
      </c>
      <c r="M932" s="1">
        <v>0.26282</v>
      </c>
      <c r="N932">
        <v>1.0217099999999999</v>
      </c>
      <c r="O932">
        <v>1.0217099999999999</v>
      </c>
      <c r="P932">
        <v>1.0217099999999999</v>
      </c>
      <c r="Q932">
        <v>1.0217099999999999</v>
      </c>
      <c r="R932">
        <v>1.0217099999999999</v>
      </c>
    </row>
    <row r="933" spans="1:18" x14ac:dyDescent="0.15">
      <c r="A933">
        <v>699.577</v>
      </c>
      <c r="B933">
        <v>6297.4</v>
      </c>
      <c r="C933">
        <v>6191.71</v>
      </c>
      <c r="J933">
        <v>932</v>
      </c>
      <c r="K933" t="s">
        <v>939</v>
      </c>
      <c r="L933" s="1">
        <v>0.85468999999999995</v>
      </c>
      <c r="M933" s="1">
        <v>0.26138</v>
      </c>
    </row>
    <row r="934" spans="1:18" x14ac:dyDescent="0.15">
      <c r="B934" t="s">
        <v>735</v>
      </c>
      <c r="C934" t="s">
        <v>736</v>
      </c>
      <c r="D934" t="s">
        <v>737</v>
      </c>
      <c r="E934" t="s">
        <v>161</v>
      </c>
      <c r="F934" t="s">
        <v>738</v>
      </c>
      <c r="J934">
        <v>933</v>
      </c>
      <c r="K934" t="s">
        <v>939</v>
      </c>
      <c r="L934" s="1">
        <v>0.83599000000000001</v>
      </c>
      <c r="M934" s="1">
        <v>0.25994</v>
      </c>
    </row>
    <row r="935" spans="1:18" x14ac:dyDescent="0.15">
      <c r="A935" t="s">
        <v>742</v>
      </c>
      <c r="B935" t="s">
        <v>743</v>
      </c>
      <c r="C935" t="s">
        <v>744</v>
      </c>
      <c r="G935" t="s">
        <v>739</v>
      </c>
      <c r="H935" t="s">
        <v>740</v>
      </c>
      <c r="J935">
        <v>934</v>
      </c>
      <c r="K935" t="s">
        <v>940</v>
      </c>
      <c r="L935" s="1">
        <v>1.464</v>
      </c>
      <c r="M935" s="1">
        <v>0.29879</v>
      </c>
    </row>
    <row r="936" spans="1:18" x14ac:dyDescent="0.15">
      <c r="A936">
        <v>0</v>
      </c>
      <c r="B936">
        <v>0.38874500000000001</v>
      </c>
      <c r="C936">
        <v>0.47306300000000001</v>
      </c>
      <c r="D936" s="1">
        <v>2.1438599999999998E-5</v>
      </c>
      <c r="E936">
        <v>5.8689399999999996E-3</v>
      </c>
      <c r="F936">
        <v>6.1838999999999998E-2</v>
      </c>
      <c r="J936">
        <v>935</v>
      </c>
      <c r="K936" t="s">
        <v>940</v>
      </c>
      <c r="L936" s="1">
        <v>1.4065000000000001</v>
      </c>
      <c r="M936" s="1">
        <v>0.29609000000000002</v>
      </c>
    </row>
    <row r="937" spans="1:18" x14ac:dyDescent="0.15">
      <c r="A937">
        <v>-0.5</v>
      </c>
      <c r="B937">
        <v>0.31817600000000001</v>
      </c>
      <c r="C937">
        <v>0.387187</v>
      </c>
      <c r="D937">
        <v>2.9451899999999999E-3</v>
      </c>
      <c r="E937">
        <v>3.3854000000000002E-2</v>
      </c>
      <c r="F937">
        <v>0.20732100000000001</v>
      </c>
      <c r="G937">
        <v>0.355298</v>
      </c>
      <c r="H937">
        <v>0.70351699999999995</v>
      </c>
      <c r="J937">
        <v>936</v>
      </c>
      <c r="K937" t="s">
        <v>940</v>
      </c>
      <c r="L937" s="1">
        <v>1.3522000000000001</v>
      </c>
      <c r="M937" s="1">
        <v>0.29338999999999998</v>
      </c>
    </row>
    <row r="938" spans="1:18" x14ac:dyDescent="0.15">
      <c r="A938">
        <v>-1</v>
      </c>
      <c r="B938">
        <v>0.27278200000000002</v>
      </c>
      <c r="C938">
        <v>0.33194699999999999</v>
      </c>
      <c r="D938">
        <v>5.8689399999999996E-3</v>
      </c>
      <c r="E938">
        <v>6.1838999999999998E-2</v>
      </c>
      <c r="F938">
        <v>0.35280299999999998</v>
      </c>
      <c r="G938">
        <v>0.52940699999999996</v>
      </c>
      <c r="H938">
        <v>0.85175900000000004</v>
      </c>
      <c r="J938">
        <v>937</v>
      </c>
      <c r="K938" t="s">
        <v>940</v>
      </c>
      <c r="L938" s="1">
        <v>1.3008999999999999</v>
      </c>
      <c r="M938" s="1">
        <v>0.29065999999999997</v>
      </c>
    </row>
    <row r="939" spans="1:18" x14ac:dyDescent="0.15">
      <c r="A939">
        <v>1</v>
      </c>
      <c r="B939">
        <v>0.76719999999999999</v>
      </c>
      <c r="C939">
        <v>0.93360299999999996</v>
      </c>
      <c r="D939" s="1">
        <v>2.1438599999999998E-5</v>
      </c>
      <c r="E939" s="1">
        <v>2.1438599999999998E-5</v>
      </c>
      <c r="F939">
        <v>5.8689399999999996E-3</v>
      </c>
      <c r="G939">
        <v>0.70351699999999995</v>
      </c>
      <c r="H939">
        <v>1</v>
      </c>
      <c r="J939">
        <v>938</v>
      </c>
      <c r="K939" t="s">
        <v>940</v>
      </c>
      <c r="L939" s="1">
        <v>1.2524</v>
      </c>
      <c r="M939" s="1">
        <v>0.28793000000000002</v>
      </c>
    </row>
    <row r="940" spans="1:18" x14ac:dyDescent="0.15">
      <c r="A940">
        <v>0.5</v>
      </c>
      <c r="B940">
        <v>0.50700599999999996</v>
      </c>
      <c r="C940">
        <v>0.61697400000000002</v>
      </c>
      <c r="D940" s="1">
        <v>2.1438599999999998E-5</v>
      </c>
      <c r="E940">
        <v>2.9451899999999999E-3</v>
      </c>
      <c r="F940">
        <v>3.3854000000000002E-2</v>
      </c>
      <c r="G940">
        <v>5.6843900000000003E-2</v>
      </c>
      <c r="H940">
        <v>0.355298</v>
      </c>
      <c r="J940">
        <v>939</v>
      </c>
      <c r="K940" t="s">
        <v>940</v>
      </c>
      <c r="L940" s="1">
        <v>1.2065999999999999</v>
      </c>
      <c r="M940" s="1">
        <v>0.28517999999999999</v>
      </c>
    </row>
    <row r="941" spans="1:18" x14ac:dyDescent="0.15">
      <c r="B941">
        <v>0.69647999999999999</v>
      </c>
      <c r="C941">
        <v>0.79904200000000003</v>
      </c>
      <c r="D941">
        <v>1.48641E-4</v>
      </c>
      <c r="E941">
        <v>2.8032299999999999E-3</v>
      </c>
      <c r="F941">
        <v>3.1150899999999999E-2</v>
      </c>
      <c r="G941">
        <v>0.206071</v>
      </c>
      <c r="H941">
        <v>0.52940699999999996</v>
      </c>
      <c r="J941">
        <v>940</v>
      </c>
      <c r="K941" t="s">
        <v>940</v>
      </c>
      <c r="L941" s="1">
        <v>1.1633</v>
      </c>
      <c r="M941" s="1">
        <v>0.28242</v>
      </c>
    </row>
    <row r="942" spans="1:18" x14ac:dyDescent="0.15">
      <c r="J942">
        <v>941</v>
      </c>
      <c r="K942" t="s">
        <v>940</v>
      </c>
      <c r="L942" s="1">
        <v>1.1224000000000001</v>
      </c>
      <c r="M942" s="1">
        <v>0.27965000000000001</v>
      </c>
    </row>
    <row r="943" spans="1:18" x14ac:dyDescent="0.15">
      <c r="J943">
        <v>942</v>
      </c>
      <c r="K943" t="s">
        <v>940</v>
      </c>
      <c r="L943" s="1">
        <v>1.0837000000000001</v>
      </c>
      <c r="M943" s="1">
        <v>0.27687</v>
      </c>
    </row>
    <row r="944" spans="1:18" x14ac:dyDescent="0.15">
      <c r="J944">
        <v>943</v>
      </c>
      <c r="K944" t="s">
        <v>940</v>
      </c>
      <c r="L944" s="1">
        <v>1.0469999999999999</v>
      </c>
      <c r="M944" s="1">
        <v>0.27409</v>
      </c>
    </row>
    <row r="945" spans="10:13" x14ac:dyDescent="0.15">
      <c r="J945">
        <v>944</v>
      </c>
      <c r="K945" t="s">
        <v>940</v>
      </c>
      <c r="L945" s="1">
        <v>1.0123</v>
      </c>
      <c r="M945" s="1">
        <v>0.27129999999999999</v>
      </c>
    </row>
    <row r="946" spans="10:13" x14ac:dyDescent="0.15">
      <c r="J946">
        <v>945</v>
      </c>
      <c r="K946" t="s">
        <v>940</v>
      </c>
      <c r="L946" s="1">
        <v>0.97938999999999998</v>
      </c>
      <c r="M946" s="1">
        <v>0.26851000000000003</v>
      </c>
    </row>
    <row r="947" spans="10:13" x14ac:dyDescent="0.15">
      <c r="J947">
        <v>946</v>
      </c>
      <c r="K947" t="s">
        <v>940</v>
      </c>
      <c r="L947" s="1">
        <v>0.94820000000000004</v>
      </c>
      <c r="M947" s="1">
        <v>0.26571</v>
      </c>
    </row>
    <row r="948" spans="10:13" x14ac:dyDescent="0.15">
      <c r="J948">
        <v>947</v>
      </c>
      <c r="K948" t="s">
        <v>940</v>
      </c>
      <c r="L948" s="1">
        <v>0.91859000000000002</v>
      </c>
      <c r="M948" s="1">
        <v>0.26291999999999999</v>
      </c>
    </row>
    <row r="949" spans="10:13" x14ac:dyDescent="0.15">
      <c r="J949">
        <v>948</v>
      </c>
      <c r="K949" t="s">
        <v>940</v>
      </c>
      <c r="L949" s="1">
        <v>0.89046999999999998</v>
      </c>
      <c r="M949" s="1">
        <v>0.26012999999999997</v>
      </c>
    </row>
    <row r="950" spans="10:13" x14ac:dyDescent="0.15">
      <c r="J950">
        <v>949</v>
      </c>
      <c r="K950" t="s">
        <v>940</v>
      </c>
      <c r="L950" s="1">
        <v>0.86373999999999995</v>
      </c>
      <c r="M950" s="1">
        <v>0.25734000000000001</v>
      </c>
    </row>
    <row r="951" spans="10:13" x14ac:dyDescent="0.15">
      <c r="J951">
        <v>950</v>
      </c>
      <c r="K951" t="s">
        <v>940</v>
      </c>
      <c r="L951" s="1">
        <v>0.83828999999999998</v>
      </c>
      <c r="M951" s="1">
        <v>0.25455</v>
      </c>
    </row>
    <row r="952" spans="10:13" x14ac:dyDescent="0.15">
      <c r="J952">
        <v>951</v>
      </c>
      <c r="K952" t="s">
        <v>940</v>
      </c>
      <c r="L952" s="1">
        <v>0.81403999999999999</v>
      </c>
      <c r="M952" s="1">
        <v>0.25175999999999998</v>
      </c>
    </row>
    <row r="953" spans="10:13" x14ac:dyDescent="0.15">
      <c r="J953">
        <v>952</v>
      </c>
      <c r="K953" t="s">
        <v>940</v>
      </c>
      <c r="L953" s="1">
        <v>0.79091</v>
      </c>
      <c r="M953" s="1">
        <v>0.24897</v>
      </c>
    </row>
    <row r="954" spans="10:13" x14ac:dyDescent="0.15">
      <c r="J954">
        <v>953</v>
      </c>
      <c r="K954" t="s">
        <v>940</v>
      </c>
      <c r="L954" s="1">
        <v>0.76880999999999999</v>
      </c>
      <c r="M954" s="1">
        <v>0.24618999999999999</v>
      </c>
    </row>
    <row r="955" spans="10:13" x14ac:dyDescent="0.15">
      <c r="J955">
        <v>954</v>
      </c>
      <c r="K955" t="s">
        <v>834</v>
      </c>
      <c r="L955" s="1">
        <v>1.9313</v>
      </c>
      <c r="M955" s="1">
        <v>0.42834</v>
      </c>
    </row>
    <row r="956" spans="10:13" x14ac:dyDescent="0.15">
      <c r="J956">
        <v>955</v>
      </c>
      <c r="K956" t="s">
        <v>834</v>
      </c>
      <c r="L956" s="1">
        <v>1.8791</v>
      </c>
      <c r="M956" s="1">
        <v>0.41910999999999998</v>
      </c>
    </row>
    <row r="957" spans="10:13" x14ac:dyDescent="0.15">
      <c r="J957">
        <v>956</v>
      </c>
      <c r="K957" t="s">
        <v>834</v>
      </c>
      <c r="L957" s="1">
        <v>1.8282</v>
      </c>
      <c r="M957" s="1">
        <v>0.41012999999999999</v>
      </c>
    </row>
    <row r="958" spans="10:13" x14ac:dyDescent="0.15">
      <c r="J958">
        <v>957</v>
      </c>
      <c r="K958" t="s">
        <v>834</v>
      </c>
      <c r="L958" s="1">
        <v>1.7786</v>
      </c>
      <c r="M958" s="1">
        <v>0.40137</v>
      </c>
    </row>
    <row r="959" spans="10:13" x14ac:dyDescent="0.15">
      <c r="J959">
        <v>958</v>
      </c>
      <c r="K959" t="s">
        <v>834</v>
      </c>
      <c r="L959" s="1">
        <v>1.7302999999999999</v>
      </c>
      <c r="M959" s="1">
        <v>0.39284000000000002</v>
      </c>
    </row>
    <row r="960" spans="10:13" x14ac:dyDescent="0.15">
      <c r="J960">
        <v>959</v>
      </c>
      <c r="K960" t="s">
        <v>834</v>
      </c>
      <c r="L960" s="1">
        <v>1.6832</v>
      </c>
      <c r="M960" s="1">
        <v>0.38452999999999998</v>
      </c>
    </row>
    <row r="961" spans="10:13" x14ac:dyDescent="0.15">
      <c r="J961">
        <v>960</v>
      </c>
      <c r="K961" t="s">
        <v>834</v>
      </c>
      <c r="L961" s="1">
        <v>1.6374</v>
      </c>
      <c r="M961" s="1">
        <v>0.37644</v>
      </c>
    </row>
    <row r="962" spans="10:13" x14ac:dyDescent="0.15">
      <c r="J962">
        <v>961</v>
      </c>
      <c r="K962" t="s">
        <v>834</v>
      </c>
      <c r="L962" s="1">
        <v>1.5927</v>
      </c>
      <c r="M962" s="1">
        <v>0.36853999999999998</v>
      </c>
    </row>
    <row r="963" spans="10:13" x14ac:dyDescent="0.15">
      <c r="J963">
        <v>962</v>
      </c>
      <c r="K963" t="s">
        <v>834</v>
      </c>
      <c r="L963" s="1">
        <v>1.5492999999999999</v>
      </c>
      <c r="M963" s="1">
        <v>0.36086000000000001</v>
      </c>
    </row>
    <row r="964" spans="10:13" x14ac:dyDescent="0.15">
      <c r="J964">
        <v>963</v>
      </c>
      <c r="K964" t="s">
        <v>834</v>
      </c>
      <c r="L964" s="1">
        <v>1.5069999999999999</v>
      </c>
      <c r="M964" s="1">
        <v>0.35336000000000001</v>
      </c>
    </row>
    <row r="965" spans="10:13" x14ac:dyDescent="0.15">
      <c r="J965">
        <v>964</v>
      </c>
      <c r="K965" t="s">
        <v>834</v>
      </c>
      <c r="L965" s="1">
        <v>1.4659</v>
      </c>
      <c r="M965" s="1">
        <v>0.34605999999999998</v>
      </c>
    </row>
    <row r="966" spans="10:13" x14ac:dyDescent="0.15">
      <c r="J966">
        <v>965</v>
      </c>
      <c r="K966" t="s">
        <v>834</v>
      </c>
      <c r="L966" s="1">
        <v>1.4258999999999999</v>
      </c>
      <c r="M966" s="1">
        <v>0.33894999999999997</v>
      </c>
    </row>
    <row r="967" spans="10:13" x14ac:dyDescent="0.15">
      <c r="J967">
        <v>966</v>
      </c>
      <c r="K967" t="s">
        <v>834</v>
      </c>
      <c r="L967" s="1">
        <v>1.3869</v>
      </c>
      <c r="M967" s="1">
        <v>0.33201000000000003</v>
      </c>
    </row>
    <row r="968" spans="10:13" x14ac:dyDescent="0.15">
      <c r="J968">
        <v>967</v>
      </c>
      <c r="K968" t="s">
        <v>834</v>
      </c>
      <c r="L968" s="1">
        <v>1.3491</v>
      </c>
      <c r="M968" s="1">
        <v>0.32525999999999999</v>
      </c>
    </row>
    <row r="969" spans="10:13" x14ac:dyDescent="0.15">
      <c r="J969">
        <v>968</v>
      </c>
      <c r="K969" t="s">
        <v>834</v>
      </c>
      <c r="L969" s="1">
        <v>1.3123</v>
      </c>
      <c r="M969" s="1">
        <v>0.31867000000000001</v>
      </c>
    </row>
    <row r="970" spans="10:13" x14ac:dyDescent="0.15">
      <c r="J970">
        <v>969</v>
      </c>
      <c r="K970" t="s">
        <v>834</v>
      </c>
      <c r="L970" s="1">
        <v>1.2766</v>
      </c>
      <c r="M970" s="1">
        <v>0.31225999999999998</v>
      </c>
    </row>
    <row r="971" spans="10:13" x14ac:dyDescent="0.15">
      <c r="J971">
        <v>970</v>
      </c>
      <c r="K971" t="s">
        <v>834</v>
      </c>
      <c r="L971" s="1">
        <v>1.2418</v>
      </c>
      <c r="M971" s="1">
        <v>0.30601</v>
      </c>
    </row>
    <row r="972" spans="10:13" x14ac:dyDescent="0.15">
      <c r="J972">
        <v>971</v>
      </c>
      <c r="K972" t="s">
        <v>834</v>
      </c>
      <c r="L972" s="1">
        <v>1.2081</v>
      </c>
      <c r="M972" s="1">
        <v>0.29992000000000002</v>
      </c>
    </row>
    <row r="973" spans="10:13" x14ac:dyDescent="0.15">
      <c r="J973">
        <v>972</v>
      </c>
      <c r="K973" t="s">
        <v>834</v>
      </c>
      <c r="L973" s="1">
        <v>1.1753</v>
      </c>
      <c r="M973" s="1">
        <v>0.29398999999999997</v>
      </c>
    </row>
    <row r="974" spans="10:13" x14ac:dyDescent="0.15">
      <c r="J974">
        <v>973</v>
      </c>
      <c r="K974" t="s">
        <v>834</v>
      </c>
      <c r="L974" s="1">
        <v>1.1434</v>
      </c>
      <c r="M974" s="1">
        <v>0.28821000000000002</v>
      </c>
    </row>
    <row r="975" spans="10:13" x14ac:dyDescent="0.15">
      <c r="J975">
        <v>974</v>
      </c>
      <c r="K975" t="s">
        <v>941</v>
      </c>
      <c r="L975" s="1">
        <v>3.6444000000000001</v>
      </c>
      <c r="M975" s="1">
        <v>0.66139999999999999</v>
      </c>
    </row>
    <row r="976" spans="10:13" x14ac:dyDescent="0.15">
      <c r="J976">
        <v>975</v>
      </c>
      <c r="K976" t="s">
        <v>941</v>
      </c>
      <c r="L976" s="1">
        <v>3.5459000000000001</v>
      </c>
      <c r="M976" s="1">
        <v>0.64871999999999996</v>
      </c>
    </row>
    <row r="977" spans="10:13" x14ac:dyDescent="0.15">
      <c r="J977">
        <v>976</v>
      </c>
      <c r="K977" t="s">
        <v>941</v>
      </c>
      <c r="L977" s="1">
        <v>3.4498000000000002</v>
      </c>
      <c r="M977" s="1">
        <v>0.63636000000000004</v>
      </c>
    </row>
    <row r="978" spans="10:13" x14ac:dyDescent="0.15">
      <c r="J978">
        <v>977</v>
      </c>
      <c r="K978" t="s">
        <v>941</v>
      </c>
      <c r="L978" s="1">
        <v>3.3561999999999999</v>
      </c>
      <c r="M978" s="1">
        <v>0.62431999999999999</v>
      </c>
    </row>
    <row r="979" spans="10:13" x14ac:dyDescent="0.15">
      <c r="J979">
        <v>978</v>
      </c>
      <c r="K979" t="s">
        <v>941</v>
      </c>
      <c r="L979" s="1">
        <v>3.2650000000000001</v>
      </c>
      <c r="M979" s="1">
        <v>0.61258000000000001</v>
      </c>
    </row>
    <row r="980" spans="10:13" x14ac:dyDescent="0.15">
      <c r="J980">
        <v>979</v>
      </c>
      <c r="K980" t="s">
        <v>941</v>
      </c>
      <c r="L980" s="1">
        <v>3.1762000000000001</v>
      </c>
      <c r="M980" s="1">
        <v>0.60114000000000001</v>
      </c>
    </row>
    <row r="981" spans="10:13" x14ac:dyDescent="0.15">
      <c r="J981">
        <v>980</v>
      </c>
      <c r="K981" t="s">
        <v>941</v>
      </c>
      <c r="L981" s="1">
        <v>3.0897000000000001</v>
      </c>
      <c r="M981" s="1">
        <v>0.58996999999999999</v>
      </c>
    </row>
    <row r="982" spans="10:13" x14ac:dyDescent="0.15">
      <c r="J982">
        <v>981</v>
      </c>
      <c r="K982" t="s">
        <v>941</v>
      </c>
      <c r="L982" s="1">
        <v>3.0055000000000001</v>
      </c>
      <c r="M982" s="1">
        <v>0.57908000000000004</v>
      </c>
    </row>
    <row r="983" spans="10:13" x14ac:dyDescent="0.15">
      <c r="J983">
        <v>982</v>
      </c>
      <c r="K983" t="s">
        <v>941</v>
      </c>
      <c r="L983" s="1">
        <v>2.9235000000000002</v>
      </c>
      <c r="M983" s="1">
        <v>0.56845000000000001</v>
      </c>
    </row>
    <row r="984" spans="10:13" x14ac:dyDescent="0.15">
      <c r="J984">
        <v>983</v>
      </c>
      <c r="K984" t="s">
        <v>941</v>
      </c>
      <c r="L984" s="1">
        <v>2.8437000000000001</v>
      </c>
      <c r="M984" s="1">
        <v>0.55808000000000002</v>
      </c>
    </row>
    <row r="985" spans="10:13" x14ac:dyDescent="0.15">
      <c r="J985">
        <v>984</v>
      </c>
      <c r="K985" t="s">
        <v>941</v>
      </c>
      <c r="L985" s="1">
        <v>2.7660999999999998</v>
      </c>
      <c r="M985" s="1">
        <v>0.54795000000000005</v>
      </c>
    </row>
    <row r="986" spans="10:13" x14ac:dyDescent="0.15">
      <c r="J986">
        <v>985</v>
      </c>
      <c r="K986" t="s">
        <v>941</v>
      </c>
      <c r="L986" s="1">
        <v>2.6905999999999999</v>
      </c>
      <c r="M986" s="1">
        <v>0.53805999999999998</v>
      </c>
    </row>
    <row r="987" spans="10:13" x14ac:dyDescent="0.15">
      <c r="J987">
        <v>986</v>
      </c>
      <c r="K987" t="s">
        <v>941</v>
      </c>
      <c r="L987" s="1">
        <v>2.6171000000000002</v>
      </c>
      <c r="M987" s="1">
        <v>0.52841000000000005</v>
      </c>
    </row>
    <row r="988" spans="10:13" x14ac:dyDescent="0.15">
      <c r="J988">
        <v>987</v>
      </c>
      <c r="K988" t="s">
        <v>941</v>
      </c>
      <c r="L988" s="1">
        <v>2.5457000000000001</v>
      </c>
      <c r="M988" s="1">
        <v>0.51898</v>
      </c>
    </row>
    <row r="989" spans="10:13" x14ac:dyDescent="0.15">
      <c r="J989">
        <v>988</v>
      </c>
      <c r="K989" t="s">
        <v>941</v>
      </c>
      <c r="L989" s="1">
        <v>2.4763000000000002</v>
      </c>
      <c r="M989" s="1">
        <v>0.50976999999999995</v>
      </c>
    </row>
    <row r="990" spans="10:13" x14ac:dyDescent="0.15">
      <c r="J990">
        <v>989</v>
      </c>
      <c r="K990" t="s">
        <v>941</v>
      </c>
      <c r="L990" s="1">
        <v>2.4089</v>
      </c>
      <c r="M990" s="1">
        <v>0.50077000000000005</v>
      </c>
    </row>
    <row r="991" spans="10:13" x14ac:dyDescent="0.15">
      <c r="J991">
        <v>990</v>
      </c>
      <c r="K991" t="s">
        <v>941</v>
      </c>
      <c r="L991" s="1">
        <v>2.3433000000000002</v>
      </c>
      <c r="M991" s="1">
        <v>0.49197999999999997</v>
      </c>
    </row>
    <row r="992" spans="10:13" x14ac:dyDescent="0.15">
      <c r="J992">
        <v>991</v>
      </c>
      <c r="K992" t="s">
        <v>941</v>
      </c>
      <c r="L992" s="1">
        <v>2.2795999999999998</v>
      </c>
      <c r="M992" s="1">
        <v>0.4834</v>
      </c>
    </row>
    <row r="993" spans="10:13" x14ac:dyDescent="0.15">
      <c r="J993">
        <v>992</v>
      </c>
      <c r="K993" t="s">
        <v>941</v>
      </c>
      <c r="L993" s="1">
        <v>2.2176999999999998</v>
      </c>
      <c r="M993" s="1">
        <v>0.47502</v>
      </c>
    </row>
    <row r="994" spans="10:13" x14ac:dyDescent="0.15">
      <c r="J994">
        <v>993</v>
      </c>
      <c r="K994" t="s">
        <v>941</v>
      </c>
      <c r="L994" s="1">
        <v>2.1576</v>
      </c>
      <c r="M994" s="1">
        <v>0.46683000000000002</v>
      </c>
    </row>
    <row r="995" spans="10:13" x14ac:dyDescent="0.15">
      <c r="J995">
        <v>994</v>
      </c>
      <c r="K995" t="s">
        <v>942</v>
      </c>
      <c r="L995" s="1">
        <v>0.58945000000000003</v>
      </c>
      <c r="M995" s="1">
        <v>0.25982</v>
      </c>
    </row>
    <row r="996" spans="10:13" x14ac:dyDescent="0.15">
      <c r="J996">
        <v>995</v>
      </c>
      <c r="K996" t="s">
        <v>942</v>
      </c>
      <c r="L996" s="1">
        <v>0.63027999999999995</v>
      </c>
      <c r="M996" s="1">
        <v>0.27772999999999998</v>
      </c>
    </row>
    <row r="997" spans="10:13" x14ac:dyDescent="0.15">
      <c r="J997">
        <v>996</v>
      </c>
      <c r="K997" t="s">
        <v>942</v>
      </c>
      <c r="L997" s="1">
        <v>0.67327999999999999</v>
      </c>
      <c r="M997" s="1">
        <v>0.29671999999999998</v>
      </c>
    </row>
    <row r="998" spans="10:13" x14ac:dyDescent="0.15">
      <c r="J998">
        <v>997</v>
      </c>
      <c r="K998" t="s">
        <v>942</v>
      </c>
      <c r="L998" s="1">
        <v>0.71852000000000005</v>
      </c>
      <c r="M998" s="1">
        <v>0.31684000000000001</v>
      </c>
    </row>
    <row r="999" spans="10:13" x14ac:dyDescent="0.15">
      <c r="J999">
        <v>998</v>
      </c>
      <c r="K999" t="s">
        <v>942</v>
      </c>
      <c r="L999" s="1">
        <v>0.7661</v>
      </c>
      <c r="M999" s="1">
        <v>0.33815000000000001</v>
      </c>
    </row>
    <row r="1000" spans="10:13" x14ac:dyDescent="0.15">
      <c r="J1000">
        <v>999</v>
      </c>
      <c r="K1000" t="s">
        <v>942</v>
      </c>
      <c r="L1000" s="1">
        <v>0.81611999999999996</v>
      </c>
      <c r="M1000" s="1">
        <v>0.36074000000000001</v>
      </c>
    </row>
    <row r="1001" spans="10:13" x14ac:dyDescent="0.15">
      <c r="J1001">
        <v>1000</v>
      </c>
      <c r="K1001" t="s">
        <v>942</v>
      </c>
      <c r="L1001" s="1">
        <v>0.86870000000000003</v>
      </c>
      <c r="M1001" s="1">
        <v>0.38467000000000001</v>
      </c>
    </row>
    <row r="1002" spans="10:13" x14ac:dyDescent="0.15">
      <c r="J1002">
        <v>1001</v>
      </c>
      <c r="K1002" t="s">
        <v>942</v>
      </c>
      <c r="L1002" s="1">
        <v>0.92395000000000005</v>
      </c>
      <c r="M1002" s="1">
        <v>0.41003000000000001</v>
      </c>
    </row>
    <row r="1003" spans="10:13" x14ac:dyDescent="0.15">
      <c r="J1003">
        <v>1002</v>
      </c>
      <c r="K1003" t="s">
        <v>942</v>
      </c>
      <c r="L1003" s="1">
        <v>0.98199999999999998</v>
      </c>
      <c r="M1003" s="1">
        <v>0.43692999999999999</v>
      </c>
    </row>
    <row r="1004" spans="10:13" x14ac:dyDescent="0.15">
      <c r="J1004">
        <v>1003</v>
      </c>
      <c r="K1004" t="s">
        <v>942</v>
      </c>
      <c r="L1004" s="1">
        <v>1.0429999999999999</v>
      </c>
      <c r="M1004" s="1">
        <v>0.46545999999999998</v>
      </c>
    </row>
    <row r="1005" spans="10:13" x14ac:dyDescent="0.15">
      <c r="J1005">
        <v>1004</v>
      </c>
      <c r="K1005" t="s">
        <v>942</v>
      </c>
      <c r="L1005" s="1">
        <v>1.1071</v>
      </c>
      <c r="M1005" s="1">
        <v>0.49573</v>
      </c>
    </row>
    <row r="1006" spans="10:13" x14ac:dyDescent="0.15">
      <c r="J1006">
        <v>1005</v>
      </c>
      <c r="K1006" t="s">
        <v>942</v>
      </c>
      <c r="L1006" s="1">
        <v>1.1745000000000001</v>
      </c>
      <c r="M1006" s="1">
        <v>0.52788999999999997</v>
      </c>
    </row>
    <row r="1007" spans="10:13" x14ac:dyDescent="0.15">
      <c r="J1007">
        <v>1006</v>
      </c>
      <c r="K1007" t="s">
        <v>942</v>
      </c>
      <c r="L1007" s="1">
        <v>1.2454000000000001</v>
      </c>
      <c r="M1007" s="1">
        <v>0.56206</v>
      </c>
    </row>
    <row r="1008" spans="10:13" x14ac:dyDescent="0.15">
      <c r="J1008">
        <v>1007</v>
      </c>
      <c r="K1008" t="s">
        <v>942</v>
      </c>
      <c r="L1008" s="1">
        <v>1.32</v>
      </c>
      <c r="M1008" s="1">
        <v>0.59841999999999995</v>
      </c>
    </row>
    <row r="1009" spans="10:13" x14ac:dyDescent="0.15">
      <c r="J1009">
        <v>1008</v>
      </c>
      <c r="K1009" t="s">
        <v>942</v>
      </c>
      <c r="L1009" s="1">
        <v>1.3985000000000001</v>
      </c>
      <c r="M1009" s="1">
        <v>0.63714000000000004</v>
      </c>
    </row>
    <row r="1010" spans="10:13" x14ac:dyDescent="0.15">
      <c r="J1010">
        <v>1009</v>
      </c>
      <c r="K1010" t="s">
        <v>942</v>
      </c>
      <c r="L1010" s="1">
        <v>1.4813000000000001</v>
      </c>
      <c r="M1010" s="1">
        <v>0.67840999999999996</v>
      </c>
    </row>
    <row r="1011" spans="10:13" x14ac:dyDescent="0.15">
      <c r="J1011">
        <v>1010</v>
      </c>
      <c r="K1011" t="s">
        <v>942</v>
      </c>
      <c r="L1011" s="1">
        <v>1.5685</v>
      </c>
      <c r="M1011" s="1">
        <v>0.72245999999999999</v>
      </c>
    </row>
    <row r="1012" spans="10:13" x14ac:dyDescent="0.15">
      <c r="J1012">
        <v>1011</v>
      </c>
      <c r="K1012" t="s">
        <v>942</v>
      </c>
      <c r="L1012" s="1">
        <v>1.6606000000000001</v>
      </c>
      <c r="M1012" s="1">
        <v>0.76954999999999996</v>
      </c>
    </row>
    <row r="1013" spans="10:13" x14ac:dyDescent="0.15">
      <c r="J1013">
        <v>1012</v>
      </c>
      <c r="K1013" t="s">
        <v>942</v>
      </c>
      <c r="L1013" s="1">
        <v>1.7579</v>
      </c>
      <c r="M1013" s="1">
        <v>0.81994999999999996</v>
      </c>
    </row>
    <row r="1014" spans="10:13" x14ac:dyDescent="0.15">
      <c r="J1014">
        <v>1013</v>
      </c>
      <c r="K1014" t="s">
        <v>942</v>
      </c>
      <c r="L1014" s="1">
        <v>1.8609</v>
      </c>
      <c r="M1014" s="1">
        <v>0.87399000000000004</v>
      </c>
    </row>
    <row r="1015" spans="10:13" x14ac:dyDescent="0.15">
      <c r="J1015">
        <v>1014</v>
      </c>
      <c r="K1015" t="s">
        <v>943</v>
      </c>
      <c r="L1015" s="1">
        <v>8.1641999999999992</v>
      </c>
      <c r="M1015" s="1">
        <v>3.5714000000000001</v>
      </c>
    </row>
    <row r="1016" spans="10:13" x14ac:dyDescent="0.15">
      <c r="J1016">
        <v>1015</v>
      </c>
      <c r="K1016" t="s">
        <v>943</v>
      </c>
      <c r="L1016" s="1">
        <v>8.7296999999999993</v>
      </c>
      <c r="M1016" s="1">
        <v>3.8184</v>
      </c>
    </row>
    <row r="1017" spans="10:13" x14ac:dyDescent="0.15">
      <c r="J1017">
        <v>1016</v>
      </c>
      <c r="K1017" t="s">
        <v>943</v>
      </c>
      <c r="L1017" s="1">
        <v>9.3252000000000006</v>
      </c>
      <c r="M1017" s="1">
        <v>4.0801999999999996</v>
      </c>
    </row>
    <row r="1018" spans="10:13" x14ac:dyDescent="0.15">
      <c r="J1018">
        <v>1017</v>
      </c>
      <c r="K1018" t="s">
        <v>943</v>
      </c>
      <c r="L1018" s="1">
        <v>9.9518000000000004</v>
      </c>
      <c r="M1018" s="1">
        <v>4.3577000000000004</v>
      </c>
    </row>
    <row r="1019" spans="10:13" x14ac:dyDescent="0.15">
      <c r="J1019">
        <v>1018</v>
      </c>
      <c r="K1019" t="s">
        <v>943</v>
      </c>
      <c r="L1019" s="1">
        <v>10.611000000000001</v>
      </c>
      <c r="M1019" s="1">
        <v>4.6516999999999999</v>
      </c>
    </row>
    <row r="1020" spans="10:13" x14ac:dyDescent="0.15">
      <c r="J1020">
        <v>1019</v>
      </c>
      <c r="K1020" t="s">
        <v>943</v>
      </c>
      <c r="L1020" s="1">
        <v>11.304</v>
      </c>
      <c r="M1020" s="1">
        <v>4.9631999999999996</v>
      </c>
    </row>
    <row r="1021" spans="10:13" x14ac:dyDescent="0.15">
      <c r="J1021">
        <v>1020</v>
      </c>
      <c r="K1021" t="s">
        <v>943</v>
      </c>
      <c r="L1021" s="1">
        <v>12.032</v>
      </c>
      <c r="M1021" s="1">
        <v>5.2934000000000001</v>
      </c>
    </row>
    <row r="1022" spans="10:13" x14ac:dyDescent="0.15">
      <c r="J1022">
        <v>1021</v>
      </c>
      <c r="K1022" t="s">
        <v>943</v>
      </c>
      <c r="L1022" s="1">
        <v>12.797000000000001</v>
      </c>
      <c r="M1022" s="1">
        <v>5.6433999999999997</v>
      </c>
    </row>
    <row r="1023" spans="10:13" x14ac:dyDescent="0.15">
      <c r="J1023">
        <v>1022</v>
      </c>
      <c r="K1023" t="s">
        <v>943</v>
      </c>
      <c r="L1023" s="1">
        <v>13.601000000000001</v>
      </c>
      <c r="M1023" s="1">
        <v>6.0145</v>
      </c>
    </row>
    <row r="1024" spans="10:13" x14ac:dyDescent="0.15">
      <c r="J1024">
        <v>1023</v>
      </c>
      <c r="K1024" t="s">
        <v>943</v>
      </c>
      <c r="L1024" s="1">
        <v>14.446</v>
      </c>
      <c r="M1024" s="1">
        <v>6.4081999999999999</v>
      </c>
    </row>
    <row r="1025" spans="10:13" x14ac:dyDescent="0.15">
      <c r="J1025">
        <v>1024</v>
      </c>
      <c r="K1025" t="s">
        <v>943</v>
      </c>
      <c r="L1025" s="1">
        <v>15.334</v>
      </c>
      <c r="M1025" s="1">
        <v>6.8261000000000003</v>
      </c>
    </row>
    <row r="1026" spans="10:13" x14ac:dyDescent="0.15">
      <c r="J1026">
        <v>1025</v>
      </c>
      <c r="K1026" t="s">
        <v>943</v>
      </c>
      <c r="L1026" s="1">
        <v>16.268000000000001</v>
      </c>
      <c r="M1026" s="1">
        <v>7.2698999999999998</v>
      </c>
    </row>
    <row r="1027" spans="10:13" x14ac:dyDescent="0.15">
      <c r="J1027">
        <v>1026</v>
      </c>
      <c r="K1027" t="s">
        <v>943</v>
      </c>
      <c r="L1027" s="1">
        <v>17.248999999999999</v>
      </c>
      <c r="M1027" s="1">
        <v>7.7416999999999998</v>
      </c>
    </row>
    <row r="1028" spans="10:13" x14ac:dyDescent="0.15">
      <c r="J1028">
        <v>1027</v>
      </c>
      <c r="K1028" t="s">
        <v>943</v>
      </c>
      <c r="L1028" s="1">
        <v>18.282</v>
      </c>
      <c r="M1028" s="1">
        <v>8.2436000000000007</v>
      </c>
    </row>
    <row r="1029" spans="10:13" x14ac:dyDescent="0.15">
      <c r="J1029">
        <v>1028</v>
      </c>
      <c r="K1029" t="s">
        <v>943</v>
      </c>
      <c r="L1029" s="1">
        <v>19.37</v>
      </c>
      <c r="M1029" s="1">
        <v>8.7781000000000002</v>
      </c>
    </row>
    <row r="1030" spans="10:13" x14ac:dyDescent="0.15">
      <c r="J1030">
        <v>1029</v>
      </c>
      <c r="K1030" t="s">
        <v>943</v>
      </c>
      <c r="L1030" s="1">
        <v>20.515999999999998</v>
      </c>
      <c r="M1030" s="1">
        <v>9.3480000000000008</v>
      </c>
    </row>
    <row r="1031" spans="10:13" x14ac:dyDescent="0.15">
      <c r="J1031">
        <v>1030</v>
      </c>
      <c r="K1031" t="s">
        <v>943</v>
      </c>
      <c r="L1031" s="1">
        <v>21.725000000000001</v>
      </c>
      <c r="M1031" s="1">
        <v>9.9563000000000006</v>
      </c>
    </row>
    <row r="1032" spans="10:13" x14ac:dyDescent="0.15">
      <c r="J1032">
        <v>1031</v>
      </c>
      <c r="K1032" t="s">
        <v>943</v>
      </c>
      <c r="L1032" s="1">
        <v>23</v>
      </c>
      <c r="M1032" s="1">
        <v>10.606999999999999</v>
      </c>
    </row>
    <row r="1033" spans="10:13" x14ac:dyDescent="0.15">
      <c r="J1033">
        <v>1032</v>
      </c>
      <c r="K1033" t="s">
        <v>943</v>
      </c>
      <c r="L1033" s="1">
        <v>24.347999999999999</v>
      </c>
      <c r="M1033" s="1">
        <v>11.303000000000001</v>
      </c>
    </row>
    <row r="1034" spans="10:13" x14ac:dyDescent="0.15">
      <c r="J1034">
        <v>1033</v>
      </c>
      <c r="K1034" t="s">
        <v>943</v>
      </c>
      <c r="L1034" s="1">
        <v>25.774000000000001</v>
      </c>
      <c r="M1034" s="1">
        <v>12.048999999999999</v>
      </c>
    </row>
    <row r="1035" spans="10:13" x14ac:dyDescent="0.15">
      <c r="J1035">
        <v>1034</v>
      </c>
      <c r="K1035" t="s">
        <v>944</v>
      </c>
      <c r="L1035" s="1">
        <v>1.1820999999999999</v>
      </c>
      <c r="M1035" s="1">
        <v>6.1052000000000002E-2</v>
      </c>
    </row>
    <row r="1036" spans="10:13" x14ac:dyDescent="0.15">
      <c r="J1036">
        <v>1035</v>
      </c>
      <c r="K1036" t="s">
        <v>944</v>
      </c>
      <c r="L1036" s="1">
        <v>1.1801999999999999</v>
      </c>
      <c r="M1036" s="1">
        <v>6.1110999999999999E-2</v>
      </c>
    </row>
    <row r="1037" spans="10:13" x14ac:dyDescent="0.15">
      <c r="J1037">
        <v>1036</v>
      </c>
      <c r="K1037" t="s">
        <v>944</v>
      </c>
      <c r="L1037" s="1">
        <v>1.1781999999999999</v>
      </c>
      <c r="M1037" s="1">
        <v>6.1196E-2</v>
      </c>
    </row>
    <row r="1038" spans="10:13" x14ac:dyDescent="0.15">
      <c r="J1038">
        <v>1037</v>
      </c>
      <c r="K1038" t="s">
        <v>944</v>
      </c>
      <c r="L1038" s="1">
        <v>1.1760999999999999</v>
      </c>
      <c r="M1038" s="1">
        <v>6.1309000000000002E-2</v>
      </c>
    </row>
    <row r="1039" spans="10:13" x14ac:dyDescent="0.15">
      <c r="J1039">
        <v>1038</v>
      </c>
      <c r="K1039" t="s">
        <v>944</v>
      </c>
      <c r="L1039" s="1">
        <v>1.1738</v>
      </c>
      <c r="M1039" s="1">
        <v>6.1452E-2</v>
      </c>
    </row>
    <row r="1040" spans="10:13" x14ac:dyDescent="0.15">
      <c r="J1040">
        <v>1039</v>
      </c>
      <c r="K1040" t="s">
        <v>944</v>
      </c>
      <c r="L1040" s="1">
        <v>1.1714</v>
      </c>
      <c r="M1040" s="1">
        <v>6.1627000000000001E-2</v>
      </c>
    </row>
    <row r="1041" spans="10:13" x14ac:dyDescent="0.15">
      <c r="J1041">
        <v>1040</v>
      </c>
      <c r="K1041" t="s">
        <v>944</v>
      </c>
      <c r="L1041" s="1">
        <v>1.1688000000000001</v>
      </c>
      <c r="M1041" s="1">
        <v>6.1835000000000001E-2</v>
      </c>
    </row>
    <row r="1042" spans="10:13" x14ac:dyDescent="0.15">
      <c r="J1042">
        <v>1041</v>
      </c>
      <c r="K1042" t="s">
        <v>944</v>
      </c>
      <c r="L1042" s="1">
        <v>1.1660999999999999</v>
      </c>
      <c r="M1042" s="1">
        <v>6.2078000000000001E-2</v>
      </c>
    </row>
    <row r="1043" spans="10:13" x14ac:dyDescent="0.15">
      <c r="J1043">
        <v>1042</v>
      </c>
      <c r="K1043" t="s">
        <v>944</v>
      </c>
      <c r="L1043" s="1">
        <v>1.1632</v>
      </c>
      <c r="M1043" s="1">
        <v>6.2358999999999998E-2</v>
      </c>
    </row>
    <row r="1044" spans="10:13" x14ac:dyDescent="0.15">
      <c r="J1044">
        <v>1043</v>
      </c>
      <c r="K1044" t="s">
        <v>944</v>
      </c>
      <c r="L1044" s="1">
        <v>1.1600999999999999</v>
      </c>
      <c r="M1044" s="1">
        <v>6.2681000000000001E-2</v>
      </c>
    </row>
    <row r="1045" spans="10:13" x14ac:dyDescent="0.15">
      <c r="J1045">
        <v>1044</v>
      </c>
      <c r="K1045" t="s">
        <v>944</v>
      </c>
      <c r="L1045" s="1">
        <v>1.1568000000000001</v>
      </c>
      <c r="M1045" s="1">
        <v>6.3045000000000004E-2</v>
      </c>
    </row>
    <row r="1046" spans="10:13" x14ac:dyDescent="0.15">
      <c r="J1046">
        <v>1045</v>
      </c>
      <c r="K1046" t="s">
        <v>944</v>
      </c>
      <c r="L1046" s="1">
        <v>1.1534</v>
      </c>
      <c r="M1046" s="1">
        <v>6.3453999999999997E-2</v>
      </c>
    </row>
    <row r="1047" spans="10:13" x14ac:dyDescent="0.15">
      <c r="J1047">
        <v>1046</v>
      </c>
      <c r="K1047" t="s">
        <v>944</v>
      </c>
      <c r="L1047" s="1">
        <v>1.1496999999999999</v>
      </c>
      <c r="M1047" s="1">
        <v>6.3910999999999996E-2</v>
      </c>
    </row>
    <row r="1048" spans="10:13" x14ac:dyDescent="0.15">
      <c r="J1048">
        <v>1047</v>
      </c>
      <c r="K1048" t="s">
        <v>944</v>
      </c>
      <c r="L1048" s="1">
        <v>1.1458999999999999</v>
      </c>
      <c r="M1048" s="1">
        <v>6.4419000000000004E-2</v>
      </c>
    </row>
    <row r="1049" spans="10:13" x14ac:dyDescent="0.15">
      <c r="J1049">
        <v>1048</v>
      </c>
      <c r="K1049" t="s">
        <v>944</v>
      </c>
      <c r="L1049" s="1">
        <v>1.1417999999999999</v>
      </c>
      <c r="M1049" s="1">
        <v>6.4980999999999997E-2</v>
      </c>
    </row>
    <row r="1050" spans="10:13" x14ac:dyDescent="0.15">
      <c r="J1050">
        <v>1049</v>
      </c>
      <c r="K1050" t="s">
        <v>944</v>
      </c>
      <c r="L1050" s="1">
        <v>1.1375</v>
      </c>
      <c r="M1050" s="1">
        <v>6.5601000000000007E-2</v>
      </c>
    </row>
    <row r="1051" spans="10:13" x14ac:dyDescent="0.15">
      <c r="J1051">
        <v>1050</v>
      </c>
      <c r="K1051" t="s">
        <v>944</v>
      </c>
      <c r="L1051" s="1">
        <v>1.1329</v>
      </c>
      <c r="M1051" s="1">
        <v>6.6282999999999995E-2</v>
      </c>
    </row>
    <row r="1052" spans="10:13" x14ac:dyDescent="0.15">
      <c r="J1052">
        <v>1051</v>
      </c>
      <c r="K1052" t="s">
        <v>944</v>
      </c>
      <c r="L1052" s="1">
        <v>1.1281000000000001</v>
      </c>
      <c r="M1052" s="1">
        <v>6.7030000000000006E-2</v>
      </c>
    </row>
    <row r="1053" spans="10:13" x14ac:dyDescent="0.15">
      <c r="J1053">
        <v>1052</v>
      </c>
      <c r="K1053" t="s">
        <v>944</v>
      </c>
      <c r="L1053" s="1">
        <v>1.123</v>
      </c>
      <c r="M1053" s="1">
        <v>6.7846000000000004E-2</v>
      </c>
    </row>
    <row r="1054" spans="10:13" x14ac:dyDescent="0.15">
      <c r="J1054">
        <v>1053</v>
      </c>
      <c r="K1054" t="s">
        <v>944</v>
      </c>
      <c r="L1054" s="1">
        <v>1.1176999999999999</v>
      </c>
      <c r="M1054" s="1">
        <v>6.8735000000000004E-2</v>
      </c>
    </row>
    <row r="1055" spans="10:13" x14ac:dyDescent="0.15">
      <c r="J1055">
        <v>1054</v>
      </c>
      <c r="K1055" t="s">
        <v>945</v>
      </c>
      <c r="L1055" s="1">
        <v>1.4824999999999999</v>
      </c>
      <c r="M1055" s="1">
        <v>0.15733</v>
      </c>
    </row>
    <row r="1056" spans="10:13" x14ac:dyDescent="0.15">
      <c r="J1056">
        <v>1055</v>
      </c>
      <c r="K1056" t="s">
        <v>945</v>
      </c>
      <c r="L1056" s="1">
        <v>1.46</v>
      </c>
      <c r="M1056" s="1">
        <v>0.16239000000000001</v>
      </c>
    </row>
    <row r="1057" spans="10:13" x14ac:dyDescent="0.15">
      <c r="J1057">
        <v>1056</v>
      </c>
      <c r="K1057" t="s">
        <v>945</v>
      </c>
      <c r="L1057" s="1">
        <v>1.4363999999999999</v>
      </c>
      <c r="M1057" s="1">
        <v>0.16707</v>
      </c>
    </row>
    <row r="1058" spans="10:13" x14ac:dyDescent="0.15">
      <c r="J1058">
        <v>1057</v>
      </c>
      <c r="K1058" t="s">
        <v>945</v>
      </c>
      <c r="L1058" s="1">
        <v>1.4117999999999999</v>
      </c>
      <c r="M1058" s="1">
        <v>0.17132</v>
      </c>
    </row>
    <row r="1059" spans="10:13" x14ac:dyDescent="0.15">
      <c r="J1059">
        <v>1058</v>
      </c>
      <c r="K1059" t="s">
        <v>945</v>
      </c>
      <c r="L1059" s="1">
        <v>1.3865000000000001</v>
      </c>
      <c r="M1059" s="1">
        <v>0.17508000000000001</v>
      </c>
    </row>
    <row r="1060" spans="10:13" x14ac:dyDescent="0.15">
      <c r="J1060">
        <v>1059</v>
      </c>
      <c r="K1060" t="s">
        <v>945</v>
      </c>
      <c r="L1060" s="1">
        <v>1.3604000000000001</v>
      </c>
      <c r="M1060" s="1">
        <v>0.17831</v>
      </c>
    </row>
    <row r="1061" spans="10:13" x14ac:dyDescent="0.15">
      <c r="J1061">
        <v>1060</v>
      </c>
      <c r="K1061" t="s">
        <v>945</v>
      </c>
      <c r="L1061" s="1">
        <v>1.3338000000000001</v>
      </c>
      <c r="M1061" s="1">
        <v>0.18099000000000001</v>
      </c>
    </row>
    <row r="1062" spans="10:13" x14ac:dyDescent="0.15">
      <c r="J1062">
        <v>1061</v>
      </c>
      <c r="K1062" t="s">
        <v>945</v>
      </c>
      <c r="L1062" s="1">
        <v>1.3068</v>
      </c>
      <c r="M1062" s="1">
        <v>0.18310000000000001</v>
      </c>
    </row>
    <row r="1063" spans="10:13" x14ac:dyDescent="0.15">
      <c r="J1063">
        <v>1062</v>
      </c>
      <c r="K1063" t="s">
        <v>945</v>
      </c>
      <c r="L1063" s="1">
        <v>1.2794000000000001</v>
      </c>
      <c r="M1063" s="1">
        <v>0.18462999999999999</v>
      </c>
    </row>
    <row r="1064" spans="10:13" x14ac:dyDescent="0.15">
      <c r="J1064">
        <v>1063</v>
      </c>
      <c r="K1064" t="s">
        <v>945</v>
      </c>
      <c r="L1064" s="1">
        <v>1.2519</v>
      </c>
      <c r="M1064" s="1">
        <v>0.18557999999999999</v>
      </c>
    </row>
    <row r="1065" spans="10:13" x14ac:dyDescent="0.15">
      <c r="J1065">
        <v>1064</v>
      </c>
      <c r="K1065" t="s">
        <v>945</v>
      </c>
      <c r="L1065" s="1">
        <v>1.2242999999999999</v>
      </c>
      <c r="M1065" s="1">
        <v>0.18597</v>
      </c>
    </row>
    <row r="1066" spans="10:13" x14ac:dyDescent="0.15">
      <c r="J1066">
        <v>1065</v>
      </c>
      <c r="K1066" t="s">
        <v>945</v>
      </c>
      <c r="L1066" s="1">
        <v>1.1968000000000001</v>
      </c>
      <c r="M1066" s="1">
        <v>0.18582000000000001</v>
      </c>
    </row>
    <row r="1067" spans="10:13" x14ac:dyDescent="0.15">
      <c r="J1067">
        <v>1066</v>
      </c>
      <c r="K1067" t="s">
        <v>945</v>
      </c>
      <c r="L1067" s="1">
        <v>1.1695</v>
      </c>
      <c r="M1067" s="1">
        <v>0.18515999999999999</v>
      </c>
    </row>
    <row r="1068" spans="10:13" x14ac:dyDescent="0.15">
      <c r="J1068">
        <v>1067</v>
      </c>
      <c r="K1068" t="s">
        <v>945</v>
      </c>
      <c r="L1068" s="1">
        <v>1.1425000000000001</v>
      </c>
      <c r="M1068" s="1">
        <v>0.18403</v>
      </c>
    </row>
    <row r="1069" spans="10:13" x14ac:dyDescent="0.15">
      <c r="J1069">
        <v>1068</v>
      </c>
      <c r="K1069" t="s">
        <v>945</v>
      </c>
      <c r="L1069" s="1">
        <v>1.1158999999999999</v>
      </c>
      <c r="M1069" s="1">
        <v>0.18246999999999999</v>
      </c>
    </row>
    <row r="1070" spans="10:13" x14ac:dyDescent="0.15">
      <c r="J1070">
        <v>1069</v>
      </c>
      <c r="K1070" t="s">
        <v>945</v>
      </c>
      <c r="L1070" s="1">
        <v>1.0896999999999999</v>
      </c>
      <c r="M1070" s="1">
        <v>0.18052000000000001</v>
      </c>
    </row>
    <row r="1071" spans="10:13" x14ac:dyDescent="0.15">
      <c r="J1071">
        <v>1070</v>
      </c>
      <c r="K1071" t="s">
        <v>945</v>
      </c>
      <c r="L1071" s="1">
        <v>1.0640000000000001</v>
      </c>
      <c r="M1071" s="1">
        <v>0.17821999999999999</v>
      </c>
    </row>
    <row r="1072" spans="10:13" x14ac:dyDescent="0.15">
      <c r="J1072">
        <v>1071</v>
      </c>
      <c r="K1072" t="s">
        <v>945</v>
      </c>
      <c r="L1072" s="1">
        <v>1.0388999999999999</v>
      </c>
      <c r="M1072" s="1">
        <v>0.17563999999999999</v>
      </c>
    </row>
    <row r="1073" spans="10:13" x14ac:dyDescent="0.15">
      <c r="J1073">
        <v>1072</v>
      </c>
      <c r="K1073" t="s">
        <v>945</v>
      </c>
      <c r="L1073" s="1">
        <v>1.0145</v>
      </c>
      <c r="M1073" s="1">
        <v>0.17280999999999999</v>
      </c>
    </row>
    <row r="1074" spans="10:13" x14ac:dyDescent="0.15">
      <c r="J1074">
        <v>1073</v>
      </c>
      <c r="K1074" t="s">
        <v>945</v>
      </c>
      <c r="L1074" s="1">
        <v>0.99080000000000001</v>
      </c>
      <c r="M1074" s="1">
        <v>0.16977999999999999</v>
      </c>
    </row>
    <row r="1075" spans="10:13" x14ac:dyDescent="0.15">
      <c r="J1075">
        <v>1074</v>
      </c>
      <c r="K1075" t="s">
        <v>946</v>
      </c>
      <c r="L1075" s="1">
        <v>0.44180000000000003</v>
      </c>
      <c r="M1075" s="1">
        <v>9.2966999999999994E-2</v>
      </c>
    </row>
    <row r="1076" spans="10:13" x14ac:dyDescent="0.15">
      <c r="J1076">
        <v>1075</v>
      </c>
      <c r="K1076" t="s">
        <v>946</v>
      </c>
      <c r="L1076" s="1">
        <v>0.53510000000000002</v>
      </c>
      <c r="M1076" s="1">
        <v>0.11259</v>
      </c>
    </row>
    <row r="1077" spans="10:13" x14ac:dyDescent="0.15">
      <c r="J1077">
        <v>1076</v>
      </c>
      <c r="K1077" t="s">
        <v>946</v>
      </c>
      <c r="L1077" s="1">
        <v>0.63017999999999996</v>
      </c>
      <c r="M1077" s="1">
        <v>0.1326</v>
      </c>
    </row>
    <row r="1078" spans="10:13" x14ac:dyDescent="0.15">
      <c r="J1078">
        <v>1077</v>
      </c>
      <c r="K1078" t="s">
        <v>946</v>
      </c>
      <c r="L1078" s="1">
        <v>0.72709999999999997</v>
      </c>
      <c r="M1078" s="1">
        <v>0.153</v>
      </c>
    </row>
    <row r="1079" spans="10:13" x14ac:dyDescent="0.15">
      <c r="J1079">
        <v>1078</v>
      </c>
      <c r="K1079" t="s">
        <v>946</v>
      </c>
      <c r="L1079" s="1">
        <v>0.82594000000000001</v>
      </c>
      <c r="M1079" s="1">
        <v>0.17380999999999999</v>
      </c>
    </row>
    <row r="1080" spans="10:13" x14ac:dyDescent="0.15">
      <c r="J1080">
        <v>1079</v>
      </c>
      <c r="K1080" t="s">
        <v>946</v>
      </c>
      <c r="L1080" s="1">
        <v>0.92676000000000003</v>
      </c>
      <c r="M1080" s="1">
        <v>0.19503999999999999</v>
      </c>
    </row>
    <row r="1081" spans="10:13" x14ac:dyDescent="0.15">
      <c r="J1081">
        <v>1080</v>
      </c>
      <c r="K1081" t="s">
        <v>946</v>
      </c>
      <c r="L1081" s="1">
        <v>1.0296000000000001</v>
      </c>
      <c r="M1081" s="1">
        <v>0.21672</v>
      </c>
    </row>
    <row r="1082" spans="10:13" x14ac:dyDescent="0.15">
      <c r="J1082">
        <v>1081</v>
      </c>
      <c r="K1082" t="s">
        <v>946</v>
      </c>
      <c r="L1082" s="1">
        <v>1.1347</v>
      </c>
      <c r="M1082" s="1">
        <v>0.23887</v>
      </c>
    </row>
    <row r="1083" spans="10:13" x14ac:dyDescent="0.15">
      <c r="J1083">
        <v>1082</v>
      </c>
      <c r="K1083" t="s">
        <v>946</v>
      </c>
      <c r="L1083" s="1">
        <v>1.2419</v>
      </c>
      <c r="M1083" s="1">
        <v>0.26151000000000002</v>
      </c>
    </row>
    <row r="1084" spans="10:13" x14ac:dyDescent="0.15">
      <c r="J1084">
        <v>1083</v>
      </c>
      <c r="K1084" t="s">
        <v>946</v>
      </c>
      <c r="L1084" s="1">
        <v>1.3514999999999999</v>
      </c>
      <c r="M1084" s="1">
        <v>0.28466000000000002</v>
      </c>
    </row>
    <row r="1085" spans="10:13" x14ac:dyDescent="0.15">
      <c r="J1085">
        <v>1084</v>
      </c>
      <c r="K1085" t="s">
        <v>946</v>
      </c>
      <c r="L1085" s="1">
        <v>1.4635</v>
      </c>
      <c r="M1085" s="1">
        <v>0.30835000000000001</v>
      </c>
    </row>
    <row r="1086" spans="10:13" x14ac:dyDescent="0.15">
      <c r="J1086">
        <v>1085</v>
      </c>
      <c r="K1086" t="s">
        <v>946</v>
      </c>
      <c r="L1086" s="1">
        <v>1.5780000000000001</v>
      </c>
      <c r="M1086" s="1">
        <v>0.33260000000000001</v>
      </c>
    </row>
    <row r="1087" spans="10:13" x14ac:dyDescent="0.15">
      <c r="J1087">
        <v>1086</v>
      </c>
      <c r="K1087" t="s">
        <v>946</v>
      </c>
      <c r="L1087" s="1">
        <v>1.6951000000000001</v>
      </c>
      <c r="M1087" s="1">
        <v>0.35744999999999999</v>
      </c>
    </row>
    <row r="1088" spans="10:13" x14ac:dyDescent="0.15">
      <c r="J1088">
        <v>1087</v>
      </c>
      <c r="K1088" t="s">
        <v>946</v>
      </c>
      <c r="L1088" s="1">
        <v>1.8149</v>
      </c>
      <c r="M1088" s="1">
        <v>0.38291999999999998</v>
      </c>
    </row>
    <row r="1089" spans="10:13" x14ac:dyDescent="0.15">
      <c r="J1089">
        <v>1088</v>
      </c>
      <c r="K1089" t="s">
        <v>946</v>
      </c>
      <c r="L1089" s="1">
        <v>1.9376</v>
      </c>
      <c r="M1089" s="1">
        <v>0.40905999999999998</v>
      </c>
    </row>
    <row r="1090" spans="10:13" x14ac:dyDescent="0.15">
      <c r="J1090">
        <v>1089</v>
      </c>
      <c r="K1090" t="s">
        <v>946</v>
      </c>
      <c r="L1090" s="1">
        <v>2.0632000000000001</v>
      </c>
      <c r="M1090" s="1">
        <v>0.43587999999999999</v>
      </c>
    </row>
    <row r="1091" spans="10:13" x14ac:dyDescent="0.15">
      <c r="J1091">
        <v>1090</v>
      </c>
      <c r="K1091" t="s">
        <v>946</v>
      </c>
      <c r="L1091" s="1">
        <v>2.1920000000000002</v>
      </c>
      <c r="M1091" s="1">
        <v>0.46344999999999997</v>
      </c>
    </row>
    <row r="1092" spans="10:13" x14ac:dyDescent="0.15">
      <c r="J1092">
        <v>1091</v>
      </c>
      <c r="K1092" t="s">
        <v>946</v>
      </c>
      <c r="L1092" s="1">
        <v>2.3239999999999998</v>
      </c>
      <c r="M1092" s="1">
        <v>0.49180000000000001</v>
      </c>
    </row>
    <row r="1093" spans="10:13" x14ac:dyDescent="0.15">
      <c r="J1093">
        <v>1092</v>
      </c>
      <c r="K1093" t="s">
        <v>946</v>
      </c>
      <c r="L1093" s="1">
        <v>2.4594</v>
      </c>
      <c r="M1093" s="1">
        <v>0.52098</v>
      </c>
    </row>
    <row r="1094" spans="10:13" x14ac:dyDescent="0.15">
      <c r="J1094">
        <v>1093</v>
      </c>
      <c r="K1094" t="s">
        <v>946</v>
      </c>
      <c r="L1094" s="1">
        <v>2.5983999999999998</v>
      </c>
      <c r="M1094" s="1">
        <v>0.55103999999999997</v>
      </c>
    </row>
    <row r="1095" spans="10:13" x14ac:dyDescent="0.15">
      <c r="J1095">
        <v>1094</v>
      </c>
      <c r="K1095" t="s">
        <v>243</v>
      </c>
      <c r="L1095" s="1">
        <v>2489.1999999999998</v>
      </c>
      <c r="M1095" s="1">
        <v>58.256999999999998</v>
      </c>
    </row>
    <row r="1096" spans="10:13" x14ac:dyDescent="0.15">
      <c r="J1096">
        <v>1095</v>
      </c>
      <c r="K1096" t="s">
        <v>186</v>
      </c>
      <c r="L1096" s="1">
        <v>2271.5</v>
      </c>
      <c r="M1096" s="1">
        <v>406.26</v>
      </c>
    </row>
    <row r="1097" spans="10:13" x14ac:dyDescent="0.15">
      <c r="J1097">
        <v>1096</v>
      </c>
      <c r="K1097" t="s">
        <v>187</v>
      </c>
      <c r="L1097" s="1">
        <v>6.5704000000000002</v>
      </c>
      <c r="M1097" s="1">
        <v>1.7548999999999999</v>
      </c>
    </row>
    <row r="1098" spans="10:13" x14ac:dyDescent="0.15">
      <c r="J1098">
        <v>1097</v>
      </c>
      <c r="K1098" t="s">
        <v>947</v>
      </c>
      <c r="L1098" s="27">
        <v>6223</v>
      </c>
      <c r="M1098" s="1">
        <v>145.63999999999999</v>
      </c>
    </row>
    <row r="1099" spans="10:13" x14ac:dyDescent="0.15">
      <c r="J1099">
        <v>1098</v>
      </c>
      <c r="K1099" t="s">
        <v>188</v>
      </c>
      <c r="L1099" s="1">
        <v>2945.1</v>
      </c>
      <c r="M1099" s="1">
        <v>296.87</v>
      </c>
    </row>
    <row r="1100" spans="10:13" x14ac:dyDescent="0.15">
      <c r="J1100">
        <v>1099</v>
      </c>
      <c r="K1100" t="s">
        <v>125</v>
      </c>
      <c r="L1100" s="1">
        <v>5387</v>
      </c>
      <c r="M1100" s="1">
        <v>1799.7</v>
      </c>
    </row>
    <row r="1101" spans="10:13" x14ac:dyDescent="0.15">
      <c r="J1101">
        <v>1100</v>
      </c>
      <c r="K1101" t="s">
        <v>125</v>
      </c>
      <c r="L1101" s="1">
        <v>20612</v>
      </c>
      <c r="M1101" s="1">
        <v>4307.8</v>
      </c>
    </row>
    <row r="1102" spans="10:13" x14ac:dyDescent="0.15">
      <c r="J1102">
        <v>1101</v>
      </c>
      <c r="K1102" t="s">
        <v>125</v>
      </c>
      <c r="L1102" s="1">
        <v>14560</v>
      </c>
      <c r="M1102" s="1">
        <v>4547.8999999999996</v>
      </c>
    </row>
    <row r="1103" spans="10:13" x14ac:dyDescent="0.15">
      <c r="J1103">
        <v>1102</v>
      </c>
      <c r="K1103" t="s">
        <v>125</v>
      </c>
      <c r="L1103" s="1">
        <v>28785</v>
      </c>
      <c r="M1103" s="1">
        <v>6801</v>
      </c>
    </row>
    <row r="1104" spans="10:13" x14ac:dyDescent="0.15">
      <c r="J1104">
        <v>1103</v>
      </c>
      <c r="K1104" t="s">
        <v>125</v>
      </c>
      <c r="L1104" s="1">
        <v>26732</v>
      </c>
      <c r="M1104" s="1">
        <v>6595.5</v>
      </c>
    </row>
    <row r="1105" spans="10:13" x14ac:dyDescent="0.15">
      <c r="J1105">
        <v>1104</v>
      </c>
      <c r="K1105" t="s">
        <v>125</v>
      </c>
      <c r="L1105" s="1">
        <v>29207</v>
      </c>
      <c r="M1105" s="1">
        <v>6772.7</v>
      </c>
    </row>
    <row r="1106" spans="10:13" x14ac:dyDescent="0.15">
      <c r="J1106">
        <v>1105</v>
      </c>
      <c r="K1106" t="s">
        <v>125</v>
      </c>
      <c r="L1106" s="1">
        <v>20148</v>
      </c>
      <c r="M1106" s="1">
        <v>5434.3</v>
      </c>
    </row>
    <row r="1107" spans="10:13" x14ac:dyDescent="0.15">
      <c r="J1107">
        <v>1106</v>
      </c>
      <c r="K1107" t="s">
        <v>125</v>
      </c>
      <c r="L1107" s="1">
        <v>9833.1</v>
      </c>
      <c r="M1107" s="1">
        <v>3254.8</v>
      </c>
    </row>
    <row r="1108" spans="10:13" x14ac:dyDescent="0.15">
      <c r="J1108">
        <v>1107</v>
      </c>
      <c r="K1108" t="s">
        <v>125</v>
      </c>
      <c r="L1108" s="1">
        <v>10799</v>
      </c>
      <c r="M1108" s="1">
        <v>3243.8</v>
      </c>
    </row>
    <row r="1109" spans="10:13" x14ac:dyDescent="0.15">
      <c r="J1109">
        <v>1108</v>
      </c>
      <c r="K1109" t="s">
        <v>125</v>
      </c>
      <c r="L1109" s="1">
        <v>28784</v>
      </c>
      <c r="M1109" s="1">
        <v>4523.8999999999996</v>
      </c>
    </row>
    <row r="1110" spans="10:13" x14ac:dyDescent="0.15">
      <c r="J1110">
        <v>1109</v>
      </c>
      <c r="K1110" t="s">
        <v>125</v>
      </c>
      <c r="L1110" s="1">
        <v>21417</v>
      </c>
      <c r="M1110" s="1">
        <v>3589.3</v>
      </c>
    </row>
    <row r="1111" spans="10:13" x14ac:dyDescent="0.15">
      <c r="J1111">
        <v>1110</v>
      </c>
      <c r="K1111" t="s">
        <v>125</v>
      </c>
      <c r="L1111" s="1">
        <v>18184</v>
      </c>
      <c r="M1111" s="1">
        <v>2758.1</v>
      </c>
    </row>
    <row r="1112" spans="10:13" x14ac:dyDescent="0.15">
      <c r="J1112">
        <v>1111</v>
      </c>
      <c r="K1112" t="s">
        <v>125</v>
      </c>
      <c r="L1112" s="1">
        <v>13996</v>
      </c>
      <c r="M1112" s="1">
        <v>2131.9</v>
      </c>
    </row>
    <row r="1113" spans="10:13" x14ac:dyDescent="0.15">
      <c r="J1113">
        <v>1112</v>
      </c>
      <c r="K1113" t="s">
        <v>125</v>
      </c>
      <c r="L1113" s="1">
        <v>13986</v>
      </c>
      <c r="M1113" s="1">
        <v>1811</v>
      </c>
    </row>
    <row r="1114" spans="10:13" x14ac:dyDescent="0.15">
      <c r="J1114">
        <v>1113</v>
      </c>
      <c r="K1114" t="s">
        <v>125</v>
      </c>
      <c r="L1114" s="1">
        <v>27145</v>
      </c>
      <c r="M1114" s="1">
        <v>2409.9</v>
      </c>
    </row>
    <row r="1115" spans="10:13" x14ac:dyDescent="0.15">
      <c r="J1115">
        <v>1114</v>
      </c>
      <c r="K1115" t="s">
        <v>125</v>
      </c>
      <c r="L1115" s="1">
        <v>67256</v>
      </c>
      <c r="M1115" s="1">
        <v>4439.7</v>
      </c>
    </row>
    <row r="1116" spans="10:13" x14ac:dyDescent="0.15">
      <c r="J1116">
        <v>1115</v>
      </c>
      <c r="K1116" t="s">
        <v>125</v>
      </c>
      <c r="L1116" s="1">
        <v>26869</v>
      </c>
      <c r="M1116" s="1">
        <v>2098.1999999999998</v>
      </c>
    </row>
    <row r="1117" spans="10:13" x14ac:dyDescent="0.15">
      <c r="J1117">
        <v>1116</v>
      </c>
      <c r="K1117" t="s">
        <v>125</v>
      </c>
      <c r="L1117" s="1">
        <v>30766</v>
      </c>
      <c r="M1117" s="1">
        <v>2395.5</v>
      </c>
    </row>
    <row r="1118" spans="10:13" x14ac:dyDescent="0.15">
      <c r="J1118">
        <v>1117</v>
      </c>
      <c r="K1118" t="s">
        <v>125</v>
      </c>
      <c r="L1118" s="1">
        <v>15905</v>
      </c>
      <c r="M1118" s="1">
        <v>1734.4</v>
      </c>
    </row>
    <row r="1119" spans="10:13" x14ac:dyDescent="0.15">
      <c r="J1119">
        <v>1118</v>
      </c>
      <c r="K1119" t="s">
        <v>125</v>
      </c>
      <c r="L1119" s="1">
        <v>53686</v>
      </c>
      <c r="M1119" s="1">
        <v>2893.6</v>
      </c>
    </row>
    <row r="1120" spans="10:13" x14ac:dyDescent="0.15">
      <c r="J1120">
        <v>1119</v>
      </c>
      <c r="K1120" t="s">
        <v>125</v>
      </c>
      <c r="L1120" s="1">
        <v>13313</v>
      </c>
      <c r="M1120" s="1">
        <v>1462.2</v>
      </c>
    </row>
    <row r="1121" spans="10:13" x14ac:dyDescent="0.15">
      <c r="J1121">
        <v>1120</v>
      </c>
      <c r="K1121" t="s">
        <v>125</v>
      </c>
      <c r="L1121" s="1">
        <v>35373</v>
      </c>
      <c r="M1121" s="1">
        <v>2103.1</v>
      </c>
    </row>
    <row r="1122" spans="10:13" x14ac:dyDescent="0.15">
      <c r="J1122">
        <v>1121</v>
      </c>
      <c r="K1122" t="s">
        <v>125</v>
      </c>
      <c r="L1122" s="1">
        <v>14550</v>
      </c>
      <c r="M1122" s="1">
        <v>1261.7</v>
      </c>
    </row>
    <row r="1123" spans="10:13" x14ac:dyDescent="0.15">
      <c r="J1123">
        <v>1122</v>
      </c>
      <c r="K1123" t="s">
        <v>125</v>
      </c>
      <c r="L1123" s="1">
        <v>8504.6</v>
      </c>
      <c r="M1123" s="1">
        <v>953.46</v>
      </c>
    </row>
    <row r="1124" spans="10:13" x14ac:dyDescent="0.15">
      <c r="J1124">
        <v>1123</v>
      </c>
      <c r="K1124" t="s">
        <v>125</v>
      </c>
      <c r="L1124" s="1">
        <v>5460.9</v>
      </c>
      <c r="M1124" s="1">
        <v>728.21</v>
      </c>
    </row>
    <row r="1125" spans="10:13" x14ac:dyDescent="0.15">
      <c r="J1125">
        <v>1124</v>
      </c>
      <c r="K1125" t="s">
        <v>125</v>
      </c>
      <c r="L1125" s="1">
        <v>10358</v>
      </c>
      <c r="M1125" s="1">
        <v>1073.3</v>
      </c>
    </row>
    <row r="1126" spans="10:13" x14ac:dyDescent="0.15">
      <c r="J1126">
        <v>1125</v>
      </c>
      <c r="K1126" t="s">
        <v>125</v>
      </c>
      <c r="L1126" s="1">
        <v>50241</v>
      </c>
      <c r="M1126" s="1">
        <v>1864.4</v>
      </c>
    </row>
    <row r="1127" spans="10:13" x14ac:dyDescent="0.15">
      <c r="J1127">
        <v>1126</v>
      </c>
      <c r="K1127" t="s">
        <v>125</v>
      </c>
      <c r="L1127" s="1">
        <v>25576</v>
      </c>
      <c r="M1127" s="1">
        <v>1434.5</v>
      </c>
    </row>
    <row r="1128" spans="10:13" x14ac:dyDescent="0.15">
      <c r="J1128">
        <v>1127</v>
      </c>
      <c r="K1128" t="s">
        <v>125</v>
      </c>
      <c r="L1128" s="1">
        <v>22018</v>
      </c>
      <c r="M1128" s="1">
        <v>1437.5</v>
      </c>
    </row>
    <row r="1129" spans="10:13" x14ac:dyDescent="0.15">
      <c r="J1129">
        <v>1128</v>
      </c>
      <c r="K1129" t="s">
        <v>125</v>
      </c>
      <c r="L1129" s="1">
        <v>47610</v>
      </c>
      <c r="M1129" s="1">
        <v>2049.1</v>
      </c>
    </row>
    <row r="1130" spans="10:13" x14ac:dyDescent="0.15">
      <c r="J1130">
        <v>1129</v>
      </c>
      <c r="K1130" t="s">
        <v>125</v>
      </c>
      <c r="L1130" s="1">
        <v>14630</v>
      </c>
      <c r="M1130" s="1">
        <v>1102.8</v>
      </c>
    </row>
    <row r="1131" spans="10:13" x14ac:dyDescent="0.15">
      <c r="J1131">
        <v>1130</v>
      </c>
      <c r="K1131" t="s">
        <v>125</v>
      </c>
      <c r="L1131" s="1">
        <v>10695</v>
      </c>
      <c r="M1131" s="1">
        <v>863.77</v>
      </c>
    </row>
    <row r="1132" spans="10:13" x14ac:dyDescent="0.15">
      <c r="J1132">
        <v>1131</v>
      </c>
      <c r="K1132" t="s">
        <v>125</v>
      </c>
      <c r="L1132" s="1">
        <v>23152</v>
      </c>
      <c r="M1132" s="1">
        <v>1169.8</v>
      </c>
    </row>
    <row r="1133" spans="10:13" x14ac:dyDescent="0.15">
      <c r="J1133">
        <v>1132</v>
      </c>
      <c r="K1133" t="s">
        <v>125</v>
      </c>
      <c r="L1133" s="1">
        <v>31501</v>
      </c>
      <c r="M1133" s="1">
        <v>1337.4</v>
      </c>
    </row>
    <row r="1134" spans="10:13" x14ac:dyDescent="0.15">
      <c r="J1134">
        <v>1133</v>
      </c>
      <c r="K1134" t="s">
        <v>125</v>
      </c>
      <c r="L1134" s="1">
        <v>15718</v>
      </c>
      <c r="M1134" s="1">
        <v>953.04</v>
      </c>
    </row>
    <row r="1135" spans="10:13" x14ac:dyDescent="0.15">
      <c r="J1135">
        <v>1134</v>
      </c>
      <c r="K1135" t="s">
        <v>125</v>
      </c>
      <c r="L1135" s="1">
        <v>17221</v>
      </c>
      <c r="M1135" s="1">
        <v>992.32</v>
      </c>
    </row>
    <row r="1136" spans="10:13" x14ac:dyDescent="0.15">
      <c r="J1136">
        <v>1135</v>
      </c>
      <c r="K1136" t="s">
        <v>125</v>
      </c>
      <c r="L1136" s="1">
        <v>26559</v>
      </c>
      <c r="M1136" s="1">
        <v>1207</v>
      </c>
    </row>
    <row r="1137" spans="9:13" x14ac:dyDescent="0.15">
      <c r="J1137">
        <v>1136</v>
      </c>
      <c r="K1137" t="s">
        <v>125</v>
      </c>
      <c r="L1137" s="1">
        <v>35982</v>
      </c>
      <c r="M1137" s="1">
        <v>1315.6</v>
      </c>
    </row>
    <row r="1138" spans="9:13" x14ac:dyDescent="0.15">
      <c r="J1138">
        <v>1137</v>
      </c>
      <c r="K1138" t="s">
        <v>125</v>
      </c>
      <c r="L1138" s="1">
        <v>23249</v>
      </c>
      <c r="M1138" s="1">
        <v>1050.2</v>
      </c>
    </row>
    <row r="1139" spans="9:13" x14ac:dyDescent="0.15">
      <c r="J1139">
        <v>1138</v>
      </c>
      <c r="K1139" t="s">
        <v>125</v>
      </c>
      <c r="L1139" s="1">
        <v>13974</v>
      </c>
      <c r="M1139" s="1">
        <v>769.02</v>
      </c>
    </row>
    <row r="1140" spans="9:13" x14ac:dyDescent="0.15">
      <c r="J1140">
        <v>1139</v>
      </c>
      <c r="K1140" t="s">
        <v>125</v>
      </c>
      <c r="L1140" s="1">
        <v>6261.3</v>
      </c>
      <c r="M1140" s="1">
        <v>510.75</v>
      </c>
    </row>
    <row r="1141" spans="9:13" x14ac:dyDescent="0.15">
      <c r="J1141">
        <v>1140</v>
      </c>
      <c r="K1141" t="s">
        <v>125</v>
      </c>
      <c r="L1141" s="1">
        <v>4255.3999999999996</v>
      </c>
      <c r="M1141" s="1">
        <v>427.12</v>
      </c>
    </row>
    <row r="1142" spans="9:13" x14ac:dyDescent="0.15">
      <c r="J1142">
        <v>1141</v>
      </c>
      <c r="K1142" t="s">
        <v>125</v>
      </c>
      <c r="L1142" s="1">
        <v>10929</v>
      </c>
      <c r="M1142" s="1">
        <v>746.35</v>
      </c>
    </row>
    <row r="1143" spans="9:13" x14ac:dyDescent="0.15">
      <c r="J1143">
        <v>1142</v>
      </c>
      <c r="K1143" t="s">
        <v>125</v>
      </c>
      <c r="L1143" s="1">
        <v>25597</v>
      </c>
      <c r="M1143" s="1">
        <v>1527.4</v>
      </c>
    </row>
    <row r="1144" spans="9:13" x14ac:dyDescent="0.15">
      <c r="J1144">
        <v>1143</v>
      </c>
      <c r="K1144" t="s">
        <v>125</v>
      </c>
      <c r="L1144" s="1">
        <v>10165</v>
      </c>
      <c r="M1144" s="1">
        <v>1193.5</v>
      </c>
    </row>
    <row r="1145" spans="9:13" x14ac:dyDescent="0.15">
      <c r="J1145">
        <v>1144</v>
      </c>
      <c r="K1145" t="s">
        <v>125</v>
      </c>
      <c r="L1145" s="1">
        <v>56155</v>
      </c>
      <c r="M1145" s="1">
        <v>5112.2</v>
      </c>
    </row>
    <row r="1146" spans="9:13" x14ac:dyDescent="0.15">
      <c r="J1146">
        <v>1145</v>
      </c>
      <c r="K1146" t="s">
        <v>125</v>
      </c>
      <c r="L1146" s="1">
        <v>20541</v>
      </c>
      <c r="M1146" s="1">
        <v>3191.8</v>
      </c>
    </row>
    <row r="1147" spans="9:13" x14ac:dyDescent="0.15">
      <c r="J1147">
        <v>1146</v>
      </c>
      <c r="K1147" t="s">
        <v>125</v>
      </c>
      <c r="L1147" s="1">
        <v>24237</v>
      </c>
      <c r="M1147" s="1">
        <v>4633.7</v>
      </c>
    </row>
    <row r="1148" spans="9:13" x14ac:dyDescent="0.15">
      <c r="J1148">
        <v>1147</v>
      </c>
      <c r="K1148" t="s">
        <v>125</v>
      </c>
      <c r="L1148" s="1">
        <v>18111</v>
      </c>
      <c r="M1148" s="1">
        <v>3348.4</v>
      </c>
    </row>
    <row r="1149" spans="9:13" x14ac:dyDescent="0.15">
      <c r="J1149">
        <v>1148</v>
      </c>
      <c r="K1149" t="s">
        <v>125</v>
      </c>
      <c r="L1149" s="1">
        <v>31003</v>
      </c>
      <c r="M1149" s="1">
        <v>6069.7</v>
      </c>
    </row>
    <row r="1150" spans="9:13" x14ac:dyDescent="0.15">
      <c r="J1150">
        <v>1149</v>
      </c>
      <c r="K1150" t="s">
        <v>125</v>
      </c>
      <c r="L1150" s="1">
        <v>23728</v>
      </c>
      <c r="M1150" s="1">
        <v>5038.3999999999996</v>
      </c>
    </row>
    <row r="1151" spans="9:13" x14ac:dyDescent="0.15">
      <c r="I1151" s="31"/>
      <c r="J1151" s="31">
        <v>1298</v>
      </c>
      <c r="K1151" s="31" t="s">
        <v>254</v>
      </c>
      <c r="L1151" s="31">
        <v>1868.9</v>
      </c>
      <c r="M1151" s="31">
        <v>443.49</v>
      </c>
    </row>
    <row r="1152" spans="9:13" x14ac:dyDescent="0.15">
      <c r="I1152" s="31"/>
      <c r="J1152" s="31">
        <v>1299</v>
      </c>
      <c r="K1152" s="31" t="s">
        <v>254</v>
      </c>
      <c r="L1152" s="31">
        <v>2323.6999999999998</v>
      </c>
      <c r="M1152" s="31">
        <v>511.99</v>
      </c>
    </row>
    <row r="1153" spans="9:13" x14ac:dyDescent="0.15">
      <c r="I1153" s="31"/>
      <c r="J1153" s="31">
        <v>1300</v>
      </c>
      <c r="K1153" s="31" t="s">
        <v>254</v>
      </c>
      <c r="L1153" s="31">
        <v>2562.9</v>
      </c>
      <c r="M1153" s="31">
        <v>555.11</v>
      </c>
    </row>
    <row r="1154" spans="9:13" x14ac:dyDescent="0.15">
      <c r="I1154" s="31"/>
      <c r="J1154" s="31">
        <v>1301</v>
      </c>
      <c r="K1154" s="31" t="s">
        <v>254</v>
      </c>
      <c r="L1154" s="31">
        <v>3888.1</v>
      </c>
      <c r="M1154" s="31">
        <v>723.67</v>
      </c>
    </row>
    <row r="1155" spans="9:13" x14ac:dyDescent="0.15">
      <c r="I1155" s="31"/>
      <c r="J1155" s="31">
        <v>1302</v>
      </c>
      <c r="K1155" s="31" t="s">
        <v>254</v>
      </c>
      <c r="L1155" s="31">
        <v>4495</v>
      </c>
      <c r="M1155" s="31">
        <v>830.51</v>
      </c>
    </row>
    <row r="1156" spans="9:13" x14ac:dyDescent="0.15">
      <c r="I1156" s="31"/>
      <c r="J1156" s="31">
        <v>1303</v>
      </c>
      <c r="K1156" s="31" t="s">
        <v>254</v>
      </c>
      <c r="L1156" s="31">
        <v>5690</v>
      </c>
      <c r="M1156" s="31">
        <v>936.78</v>
      </c>
    </row>
    <row r="1157" spans="9:13" x14ac:dyDescent="0.15">
      <c r="I1157" s="31"/>
      <c r="J1157" s="31">
        <v>1304</v>
      </c>
      <c r="K1157" s="31" t="s">
        <v>254</v>
      </c>
      <c r="L1157" s="31">
        <v>6423.9</v>
      </c>
      <c r="M1157" s="31">
        <v>975.33</v>
      </c>
    </row>
    <row r="1158" spans="9:13" x14ac:dyDescent="0.15">
      <c r="I1158" s="31"/>
      <c r="J1158" s="31">
        <v>1305</v>
      </c>
      <c r="K1158" s="31" t="s">
        <v>254</v>
      </c>
      <c r="L1158" s="31">
        <v>6858.4</v>
      </c>
      <c r="M1158" s="31">
        <v>932.93</v>
      </c>
    </row>
    <row r="1159" spans="9:13" x14ac:dyDescent="0.15">
      <c r="I1159" s="31"/>
      <c r="J1159" s="31">
        <v>1306</v>
      </c>
      <c r="K1159" s="31" t="s">
        <v>254</v>
      </c>
      <c r="L1159" s="31">
        <v>6430.6</v>
      </c>
      <c r="M1159" s="31">
        <v>831.53</v>
      </c>
    </row>
    <row r="1160" spans="9:13" x14ac:dyDescent="0.15">
      <c r="I1160" s="31"/>
      <c r="J1160" s="31">
        <v>1307</v>
      </c>
      <c r="K1160" s="31" t="s">
        <v>254</v>
      </c>
      <c r="L1160" s="31">
        <v>5161.2</v>
      </c>
      <c r="M1160" s="31">
        <v>733.88</v>
      </c>
    </row>
    <row r="1161" spans="9:13" x14ac:dyDescent="0.15">
      <c r="I1161" s="31"/>
      <c r="J1161" s="31">
        <v>1308</v>
      </c>
      <c r="K1161" s="31" t="s">
        <v>254</v>
      </c>
      <c r="L1161" s="31">
        <v>3845.8</v>
      </c>
      <c r="M1161" s="31">
        <v>636.17999999999995</v>
      </c>
    </row>
    <row r="1162" spans="9:13" x14ac:dyDescent="0.15">
      <c r="I1162" s="31"/>
      <c r="J1162" s="31">
        <v>1309</v>
      </c>
      <c r="K1162" s="31" t="s">
        <v>254</v>
      </c>
      <c r="L1162" s="31">
        <v>3868.4</v>
      </c>
      <c r="M1162" s="31">
        <v>498.71</v>
      </c>
    </row>
    <row r="1163" spans="9:13" x14ac:dyDescent="0.15">
      <c r="I1163" s="31"/>
      <c r="J1163" s="31">
        <v>1310</v>
      </c>
      <c r="K1163" s="31" t="s">
        <v>254</v>
      </c>
      <c r="L1163" s="31">
        <v>3871.5</v>
      </c>
      <c r="M1163" s="31">
        <v>420.58</v>
      </c>
    </row>
    <row r="1164" spans="9:13" x14ac:dyDescent="0.15">
      <c r="I1164" s="31"/>
      <c r="J1164" s="31">
        <v>1311</v>
      </c>
      <c r="K1164" s="31" t="s">
        <v>254</v>
      </c>
      <c r="L1164" s="31">
        <v>3939.3</v>
      </c>
      <c r="M1164" s="31">
        <v>383.92</v>
      </c>
    </row>
    <row r="1165" spans="9:13" x14ac:dyDescent="0.15">
      <c r="I1165" s="31"/>
      <c r="J1165" s="31">
        <v>1312</v>
      </c>
      <c r="K1165" s="31" t="s">
        <v>254</v>
      </c>
      <c r="L1165" s="31">
        <v>3888.3</v>
      </c>
      <c r="M1165" s="31">
        <v>366.95</v>
      </c>
    </row>
    <row r="1166" spans="9:13" x14ac:dyDescent="0.15">
      <c r="I1166" s="31"/>
      <c r="J1166" s="31">
        <v>1313</v>
      </c>
      <c r="K1166" s="31" t="s">
        <v>254</v>
      </c>
      <c r="L1166" s="31">
        <v>3859.2</v>
      </c>
      <c r="M1166" s="31">
        <v>357.13</v>
      </c>
    </row>
    <row r="1167" spans="9:13" x14ac:dyDescent="0.15">
      <c r="I1167" s="31"/>
      <c r="J1167" s="31">
        <v>1314</v>
      </c>
      <c r="K1167" s="31" t="s">
        <v>254</v>
      </c>
      <c r="L1167" s="31">
        <v>4887.3</v>
      </c>
      <c r="M1167" s="31">
        <v>382.46</v>
      </c>
    </row>
    <row r="1168" spans="9:13" x14ac:dyDescent="0.15">
      <c r="I1168" s="31"/>
      <c r="J1168" s="31">
        <v>1315</v>
      </c>
      <c r="K1168" s="31" t="s">
        <v>254</v>
      </c>
      <c r="L1168" s="31">
        <v>9054.2999999999993</v>
      </c>
      <c r="M1168" s="31">
        <v>498.11</v>
      </c>
    </row>
    <row r="1169" spans="9:13" x14ac:dyDescent="0.15">
      <c r="I1169" s="31"/>
      <c r="J1169" s="31">
        <v>1316</v>
      </c>
      <c r="K1169" s="31" t="s">
        <v>254</v>
      </c>
      <c r="L1169" s="31">
        <v>10289</v>
      </c>
      <c r="M1169" s="31">
        <v>533.91</v>
      </c>
    </row>
    <row r="1170" spans="9:13" x14ac:dyDescent="0.15">
      <c r="I1170" s="31"/>
      <c r="J1170" s="31">
        <v>1317</v>
      </c>
      <c r="K1170" s="31" t="s">
        <v>254</v>
      </c>
      <c r="L1170" s="31">
        <v>11383</v>
      </c>
      <c r="M1170" s="31">
        <v>548.78</v>
      </c>
    </row>
    <row r="1171" spans="9:13" x14ac:dyDescent="0.15">
      <c r="I1171" s="31"/>
      <c r="J1171" s="31">
        <v>1318</v>
      </c>
      <c r="K1171" s="31" t="s">
        <v>254</v>
      </c>
      <c r="L1171" s="31">
        <v>11040</v>
      </c>
      <c r="M1171" s="31">
        <v>527.41</v>
      </c>
    </row>
    <row r="1172" spans="9:13" x14ac:dyDescent="0.15">
      <c r="I1172" s="31"/>
      <c r="J1172" s="31">
        <v>1319</v>
      </c>
      <c r="K1172" s="31" t="s">
        <v>254</v>
      </c>
      <c r="L1172" s="31">
        <v>12951</v>
      </c>
      <c r="M1172" s="31">
        <v>522.98</v>
      </c>
    </row>
    <row r="1173" spans="9:13" x14ac:dyDescent="0.15">
      <c r="I1173" s="31"/>
      <c r="J1173" s="31">
        <v>1320</v>
      </c>
      <c r="K1173" s="31" t="s">
        <v>254</v>
      </c>
      <c r="L1173" s="31">
        <v>12019</v>
      </c>
      <c r="M1173" s="31">
        <v>486.69</v>
      </c>
    </row>
    <row r="1174" spans="9:13" x14ac:dyDescent="0.15">
      <c r="I1174" s="31"/>
      <c r="J1174" s="31">
        <v>1321</v>
      </c>
      <c r="K1174" s="31" t="s">
        <v>254</v>
      </c>
      <c r="L1174" s="31">
        <v>12334</v>
      </c>
      <c r="M1174" s="31">
        <v>451.88</v>
      </c>
    </row>
    <row r="1175" spans="9:13" x14ac:dyDescent="0.15">
      <c r="I1175" s="31"/>
      <c r="J1175" s="31">
        <v>1322</v>
      </c>
      <c r="K1175" s="31" t="s">
        <v>254</v>
      </c>
      <c r="L1175" s="31">
        <v>11536</v>
      </c>
      <c r="M1175" s="31">
        <v>411.79</v>
      </c>
    </row>
    <row r="1176" spans="9:13" x14ac:dyDescent="0.15">
      <c r="I1176" s="31"/>
      <c r="J1176" s="31">
        <v>1323</v>
      </c>
      <c r="K1176" s="31" t="s">
        <v>254</v>
      </c>
      <c r="L1176" s="31">
        <v>9699.9</v>
      </c>
      <c r="M1176" s="31">
        <v>366.29</v>
      </c>
    </row>
    <row r="1177" spans="9:13" x14ac:dyDescent="0.15">
      <c r="I1177" s="31"/>
      <c r="J1177" s="31">
        <v>1324</v>
      </c>
      <c r="K1177" s="31" t="s">
        <v>254</v>
      </c>
      <c r="L1177" s="31">
        <v>7700.5</v>
      </c>
      <c r="M1177" s="31">
        <v>320.76</v>
      </c>
    </row>
    <row r="1178" spans="9:13" x14ac:dyDescent="0.15">
      <c r="I1178" s="31"/>
      <c r="J1178" s="31">
        <v>1325</v>
      </c>
      <c r="K1178" s="31" t="s">
        <v>254</v>
      </c>
      <c r="L1178" s="31">
        <v>6063.2</v>
      </c>
      <c r="M1178" s="31">
        <v>281.62</v>
      </c>
    </row>
    <row r="1179" spans="9:13" x14ac:dyDescent="0.15">
      <c r="I1179" s="31"/>
      <c r="J1179" s="31">
        <v>1326</v>
      </c>
      <c r="K1179" s="31" t="s">
        <v>254</v>
      </c>
      <c r="L1179" s="31">
        <v>9472.2000000000007</v>
      </c>
      <c r="M1179" s="31">
        <v>318.35000000000002</v>
      </c>
    </row>
    <row r="1180" spans="9:13" x14ac:dyDescent="0.15">
      <c r="I1180" s="31"/>
      <c r="J1180" s="31">
        <v>1327</v>
      </c>
      <c r="K1180" s="31" t="s">
        <v>254</v>
      </c>
      <c r="L1180" s="31">
        <v>11712</v>
      </c>
      <c r="M1180" s="31">
        <v>373.44</v>
      </c>
    </row>
    <row r="1181" spans="9:13" x14ac:dyDescent="0.15">
      <c r="I1181" s="31"/>
      <c r="J1181" s="31">
        <v>1328</v>
      </c>
      <c r="K1181" s="31" t="s">
        <v>254</v>
      </c>
      <c r="L1181" s="31">
        <v>11418</v>
      </c>
      <c r="M1181" s="31">
        <v>370.59</v>
      </c>
    </row>
    <row r="1182" spans="9:13" x14ac:dyDescent="0.15">
      <c r="I1182" s="31"/>
      <c r="J1182" s="31">
        <v>1329</v>
      </c>
      <c r="K1182" s="31" t="s">
        <v>254</v>
      </c>
      <c r="L1182" s="31">
        <v>13177</v>
      </c>
      <c r="M1182" s="31">
        <v>411.45</v>
      </c>
    </row>
    <row r="1183" spans="9:13" x14ac:dyDescent="0.15">
      <c r="I1183" s="31"/>
      <c r="J1183" s="31">
        <v>1330</v>
      </c>
      <c r="K1183" s="31" t="s">
        <v>254</v>
      </c>
      <c r="L1183" s="31">
        <v>11358</v>
      </c>
      <c r="M1183" s="31">
        <v>373.27</v>
      </c>
    </row>
    <row r="1184" spans="9:13" x14ac:dyDescent="0.15">
      <c r="I1184" s="31"/>
      <c r="J1184" s="31">
        <v>1331</v>
      </c>
      <c r="K1184" s="31" t="s">
        <v>254</v>
      </c>
      <c r="L1184" s="31">
        <v>9940</v>
      </c>
      <c r="M1184" s="31">
        <v>343.76</v>
      </c>
    </row>
    <row r="1185" spans="9:13" x14ac:dyDescent="0.15">
      <c r="I1185" s="31"/>
      <c r="J1185" s="31">
        <v>1332</v>
      </c>
      <c r="K1185" s="31" t="s">
        <v>254</v>
      </c>
      <c r="L1185" s="31">
        <v>9989.7999999999993</v>
      </c>
      <c r="M1185" s="31">
        <v>337.21</v>
      </c>
    </row>
    <row r="1186" spans="9:13" x14ac:dyDescent="0.15">
      <c r="I1186" s="31"/>
      <c r="J1186" s="31">
        <v>1333</v>
      </c>
      <c r="K1186" s="31" t="s">
        <v>254</v>
      </c>
      <c r="L1186" s="31">
        <v>10853</v>
      </c>
      <c r="M1186" s="31">
        <v>337.01</v>
      </c>
    </row>
    <row r="1187" spans="9:13" x14ac:dyDescent="0.15">
      <c r="I1187" s="31"/>
      <c r="J1187" s="31">
        <v>1334</v>
      </c>
      <c r="K1187" s="31" t="s">
        <v>254</v>
      </c>
      <c r="L1187" s="31">
        <v>10068</v>
      </c>
      <c r="M1187" s="31">
        <v>314.02</v>
      </c>
    </row>
    <row r="1188" spans="9:13" x14ac:dyDescent="0.15">
      <c r="I1188" s="31"/>
      <c r="J1188" s="31">
        <v>1335</v>
      </c>
      <c r="K1188" s="31" t="s">
        <v>254</v>
      </c>
      <c r="L1188" s="31">
        <v>9854</v>
      </c>
      <c r="M1188" s="31">
        <v>314.87</v>
      </c>
    </row>
    <row r="1189" spans="9:13" x14ac:dyDescent="0.15">
      <c r="I1189" s="31"/>
      <c r="J1189" s="31">
        <v>1336</v>
      </c>
      <c r="K1189" s="31" t="s">
        <v>254</v>
      </c>
      <c r="L1189" s="31">
        <v>10276</v>
      </c>
      <c r="M1189" s="31">
        <v>316.69</v>
      </c>
    </row>
    <row r="1190" spans="9:13" x14ac:dyDescent="0.15">
      <c r="I1190" s="31"/>
      <c r="J1190" s="31">
        <v>1337</v>
      </c>
      <c r="K1190" s="31" t="s">
        <v>254</v>
      </c>
      <c r="L1190" s="31">
        <v>12365</v>
      </c>
      <c r="M1190" s="31">
        <v>342.95</v>
      </c>
    </row>
    <row r="1191" spans="9:13" x14ac:dyDescent="0.15">
      <c r="I1191" s="31"/>
      <c r="J1191" s="31">
        <v>1338</v>
      </c>
      <c r="K1191" s="31" t="s">
        <v>254</v>
      </c>
      <c r="L1191" s="31">
        <v>11591</v>
      </c>
      <c r="M1191" s="31">
        <v>322.27999999999997</v>
      </c>
    </row>
    <row r="1192" spans="9:13" x14ac:dyDescent="0.15">
      <c r="I1192" s="31"/>
      <c r="J1192" s="31">
        <v>1339</v>
      </c>
      <c r="K1192" s="31" t="s">
        <v>254</v>
      </c>
      <c r="L1192" s="31">
        <v>9705.2000000000007</v>
      </c>
      <c r="M1192" s="31">
        <v>287.52999999999997</v>
      </c>
    </row>
    <row r="1193" spans="9:13" x14ac:dyDescent="0.15">
      <c r="I1193" s="31"/>
      <c r="J1193" s="31">
        <v>1340</v>
      </c>
      <c r="K1193" s="31" t="s">
        <v>254</v>
      </c>
      <c r="L1193" s="31">
        <v>7445.9</v>
      </c>
      <c r="M1193" s="31">
        <v>247.67</v>
      </c>
    </row>
    <row r="1194" spans="9:13" x14ac:dyDescent="0.15">
      <c r="I1194" s="31"/>
      <c r="J1194" s="31">
        <v>1341</v>
      </c>
      <c r="K1194" s="31" t="s">
        <v>254</v>
      </c>
      <c r="L1194" s="31">
        <v>6045.3</v>
      </c>
      <c r="M1194" s="31">
        <v>236.01</v>
      </c>
    </row>
    <row r="1195" spans="9:13" x14ac:dyDescent="0.15">
      <c r="I1195" s="31"/>
      <c r="J1195" s="31">
        <v>1342</v>
      </c>
      <c r="K1195" s="31" t="s">
        <v>254</v>
      </c>
      <c r="L1195" s="31">
        <v>4848.8</v>
      </c>
      <c r="M1195" s="31">
        <v>215.09</v>
      </c>
    </row>
    <row r="1196" spans="9:13" x14ac:dyDescent="0.15">
      <c r="I1196" s="31"/>
      <c r="J1196" s="31">
        <v>1343</v>
      </c>
      <c r="K1196" s="31" t="s">
        <v>254</v>
      </c>
      <c r="L1196" s="31">
        <v>6331.1</v>
      </c>
      <c r="M1196" s="31">
        <v>297.02999999999997</v>
      </c>
    </row>
    <row r="1197" spans="9:13" x14ac:dyDescent="0.15">
      <c r="I1197" s="31"/>
      <c r="J1197" s="31">
        <v>1344</v>
      </c>
      <c r="K1197" s="31" t="s">
        <v>254</v>
      </c>
      <c r="L1197" s="31">
        <v>6680.3</v>
      </c>
      <c r="M1197" s="31">
        <v>366.02</v>
      </c>
    </row>
    <row r="1198" spans="9:13" x14ac:dyDescent="0.15">
      <c r="I1198" s="31"/>
      <c r="J1198" s="31">
        <v>1345</v>
      </c>
      <c r="K1198" s="31" t="s">
        <v>254</v>
      </c>
      <c r="L1198" s="31">
        <v>10053</v>
      </c>
      <c r="M1198" s="31">
        <v>656.7</v>
      </c>
    </row>
    <row r="1199" spans="9:13" x14ac:dyDescent="0.15">
      <c r="I1199" s="31"/>
      <c r="J1199" s="31">
        <v>1346</v>
      </c>
      <c r="K1199" s="31" t="s">
        <v>254</v>
      </c>
      <c r="L1199" s="31">
        <v>10164</v>
      </c>
      <c r="M1199" s="31">
        <v>769.38</v>
      </c>
    </row>
    <row r="1200" spans="9:13" x14ac:dyDescent="0.15">
      <c r="I1200" s="31"/>
      <c r="J1200" s="31">
        <v>1347</v>
      </c>
      <c r="K1200" s="31" t="s">
        <v>254</v>
      </c>
      <c r="L1200" s="31">
        <v>10337</v>
      </c>
      <c r="M1200" s="31">
        <v>897.27</v>
      </c>
    </row>
    <row r="1201" spans="9:13" x14ac:dyDescent="0.15">
      <c r="I1201" s="31"/>
      <c r="J1201" s="31">
        <v>1348</v>
      </c>
      <c r="K1201" s="31" t="s">
        <v>254</v>
      </c>
      <c r="L1201" s="31">
        <v>9804.9</v>
      </c>
      <c r="M1201" s="31">
        <v>980.31</v>
      </c>
    </row>
    <row r="1202" spans="9:13" x14ac:dyDescent="0.15">
      <c r="I1202" s="31"/>
      <c r="J1202" s="31">
        <v>1349</v>
      </c>
      <c r="K1202" s="31" t="s">
        <v>254</v>
      </c>
      <c r="L1202" s="31">
        <v>10970</v>
      </c>
      <c r="M1202" s="31">
        <v>1159</v>
      </c>
    </row>
    <row r="1203" spans="9:13" x14ac:dyDescent="0.15">
      <c r="I1203" s="31"/>
      <c r="J1203" s="31">
        <v>1350</v>
      </c>
      <c r="K1203" s="31" t="s">
        <v>254</v>
      </c>
      <c r="L1203" s="31">
        <v>11292</v>
      </c>
      <c r="M1203" s="31">
        <v>1311.6</v>
      </c>
    </row>
    <row r="1204" spans="9:13" x14ac:dyDescent="0.15">
      <c r="I1204" s="31"/>
      <c r="J1204" s="31">
        <v>1351</v>
      </c>
      <c r="K1204" s="31" t="s">
        <v>254</v>
      </c>
      <c r="L1204" s="31">
        <v>10327</v>
      </c>
      <c r="M1204" s="31">
        <v>1445.4</v>
      </c>
    </row>
    <row r="1205" spans="9:13" x14ac:dyDescent="0.15">
      <c r="I1205" s="31"/>
      <c r="J1205" s="31">
        <v>1352</v>
      </c>
      <c r="K1205" s="31" t="s">
        <v>733</v>
      </c>
      <c r="L1205" s="31">
        <v>6297.4</v>
      </c>
      <c r="M1205" s="31">
        <v>1158.5999999999999</v>
      </c>
    </row>
    <row r="1206" spans="9:13" x14ac:dyDescent="0.15">
      <c r="I1206" s="31"/>
      <c r="J1206" s="31">
        <v>1353</v>
      </c>
      <c r="K1206" s="31" t="s">
        <v>733</v>
      </c>
      <c r="L1206" s="31">
        <v>6297.4</v>
      </c>
      <c r="M1206" s="31">
        <v>1158.5999999999999</v>
      </c>
    </row>
    <row r="1207" spans="9:13" x14ac:dyDescent="0.15">
      <c r="I1207" s="31"/>
      <c r="J1207" s="31">
        <v>1354</v>
      </c>
      <c r="K1207" s="31" t="s">
        <v>733</v>
      </c>
      <c r="L1207" s="31">
        <v>6297.4</v>
      </c>
      <c r="M1207" s="31">
        <v>1158.5999999999999</v>
      </c>
    </row>
    <row r="1208" spans="9:13" x14ac:dyDescent="0.15">
      <c r="I1208" s="31"/>
      <c r="J1208" s="31">
        <v>1355</v>
      </c>
      <c r="K1208" s="31" t="s">
        <v>733</v>
      </c>
      <c r="L1208" s="31">
        <v>6297.4</v>
      </c>
      <c r="M1208" s="31">
        <v>1158.5999999999999</v>
      </c>
    </row>
    <row r="1209" spans="9:13" x14ac:dyDescent="0.15">
      <c r="I1209" s="31"/>
      <c r="J1209" s="31">
        <v>1356</v>
      </c>
      <c r="K1209" s="31" t="s">
        <v>733</v>
      </c>
      <c r="L1209" s="31">
        <v>6297.4</v>
      </c>
      <c r="M1209" s="31">
        <v>1158.5999999999999</v>
      </c>
    </row>
    <row r="1210" spans="9:13" x14ac:dyDescent="0.15">
      <c r="I1210" s="31"/>
      <c r="J1210" s="31">
        <v>1357</v>
      </c>
      <c r="K1210" s="31" t="s">
        <v>733</v>
      </c>
      <c r="L1210" s="31">
        <v>6297.4</v>
      </c>
      <c r="M1210" s="31">
        <v>1158.5999999999999</v>
      </c>
    </row>
    <row r="1211" spans="9:13" x14ac:dyDescent="0.15">
      <c r="I1211" s="31"/>
      <c r="J1211" s="31">
        <v>1358</v>
      </c>
      <c r="K1211" s="31" t="s">
        <v>733</v>
      </c>
      <c r="L1211" s="31">
        <v>6297.4</v>
      </c>
      <c r="M1211" s="31">
        <v>1158.5999999999999</v>
      </c>
    </row>
    <row r="1212" spans="9:13" x14ac:dyDescent="0.15">
      <c r="I1212" s="31"/>
      <c r="J1212" s="31">
        <v>1359</v>
      </c>
      <c r="K1212" s="31" t="s">
        <v>733</v>
      </c>
      <c r="L1212" s="31">
        <v>6297.4</v>
      </c>
      <c r="M1212" s="31">
        <v>1158.5999999999999</v>
      </c>
    </row>
    <row r="1213" spans="9:13" x14ac:dyDescent="0.15">
      <c r="I1213" s="31"/>
      <c r="J1213" s="31">
        <v>1360</v>
      </c>
      <c r="K1213" s="31" t="s">
        <v>733</v>
      </c>
      <c r="L1213" s="31">
        <v>6297.4</v>
      </c>
      <c r="M1213" s="31">
        <v>1158.5999999999999</v>
      </c>
    </row>
    <row r="1214" spans="9:13" x14ac:dyDescent="0.15">
      <c r="I1214" s="31"/>
      <c r="J1214" s="31">
        <v>1361</v>
      </c>
      <c r="K1214" s="31" t="s">
        <v>733</v>
      </c>
      <c r="L1214" s="31">
        <v>6297.4</v>
      </c>
      <c r="M1214" s="31">
        <v>1158.5999999999999</v>
      </c>
    </row>
    <row r="1215" spans="9:13" x14ac:dyDescent="0.15">
      <c r="I1215" s="31"/>
      <c r="J1215" s="31">
        <v>1362</v>
      </c>
      <c r="K1215" s="31" t="s">
        <v>948</v>
      </c>
      <c r="L1215" s="31">
        <v>6221.5</v>
      </c>
      <c r="M1215" s="31">
        <v>1408.3</v>
      </c>
    </row>
    <row r="1216" spans="9:13" x14ac:dyDescent="0.15">
      <c r="I1216" s="31"/>
      <c r="J1216" s="31">
        <v>1363</v>
      </c>
      <c r="K1216" s="31" t="s">
        <v>948</v>
      </c>
      <c r="L1216" s="31">
        <v>6313.7</v>
      </c>
      <c r="M1216" s="31">
        <v>1415.8</v>
      </c>
    </row>
    <row r="1217" spans="9:13" x14ac:dyDescent="0.15">
      <c r="I1217" s="31"/>
      <c r="J1217" s="31">
        <v>1364</v>
      </c>
      <c r="K1217" s="31" t="s">
        <v>948</v>
      </c>
      <c r="L1217" s="31">
        <v>6932.3</v>
      </c>
      <c r="M1217" s="31">
        <v>1468.1</v>
      </c>
    </row>
    <row r="1218" spans="9:13" x14ac:dyDescent="0.15">
      <c r="I1218" s="31"/>
      <c r="J1218" s="31">
        <v>1365</v>
      </c>
      <c r="K1218" s="31" t="s">
        <v>948</v>
      </c>
      <c r="L1218" s="31">
        <v>6988.8</v>
      </c>
      <c r="M1218" s="31">
        <v>1473</v>
      </c>
    </row>
    <row r="1219" spans="9:13" x14ac:dyDescent="0.15">
      <c r="I1219" s="31"/>
      <c r="J1219" s="31">
        <v>1366</v>
      </c>
      <c r="K1219" s="31" t="s">
        <v>948</v>
      </c>
      <c r="L1219" s="31">
        <v>7042.5</v>
      </c>
      <c r="M1219" s="31">
        <v>1477.8</v>
      </c>
    </row>
    <row r="1220" spans="9:13" x14ac:dyDescent="0.15">
      <c r="I1220" s="31"/>
      <c r="J1220" s="31">
        <v>1367</v>
      </c>
      <c r="K1220" s="31" t="s">
        <v>948</v>
      </c>
      <c r="L1220" s="31">
        <v>7093.7</v>
      </c>
      <c r="M1220" s="31">
        <v>1482.3</v>
      </c>
    </row>
    <row r="1221" spans="9:13" x14ac:dyDescent="0.15">
      <c r="I1221" s="31"/>
      <c r="J1221" s="31">
        <v>1368</v>
      </c>
      <c r="K1221" s="31" t="s">
        <v>948</v>
      </c>
      <c r="L1221" s="31">
        <v>7142.3</v>
      </c>
      <c r="M1221" s="31">
        <v>1486.6</v>
      </c>
    </row>
    <row r="1222" spans="9:13" x14ac:dyDescent="0.15">
      <c r="I1222" s="31"/>
      <c r="J1222" s="31">
        <v>1369</v>
      </c>
      <c r="K1222" s="31" t="s">
        <v>948</v>
      </c>
      <c r="L1222" s="31">
        <v>7188.5</v>
      </c>
      <c r="M1222" s="31">
        <v>1490.7</v>
      </c>
    </row>
    <row r="1223" spans="9:13" x14ac:dyDescent="0.15">
      <c r="I1223" s="31"/>
      <c r="J1223" s="31">
        <v>1370</v>
      </c>
      <c r="K1223" s="31" t="s">
        <v>948</v>
      </c>
      <c r="L1223" s="31">
        <v>7232.5</v>
      </c>
      <c r="M1223" s="31">
        <v>1494.7</v>
      </c>
    </row>
    <row r="1224" spans="9:13" x14ac:dyDescent="0.15">
      <c r="I1224" s="31"/>
      <c r="J1224" s="31">
        <v>1371</v>
      </c>
      <c r="K1224" s="31" t="s">
        <v>948</v>
      </c>
      <c r="L1224" s="31">
        <v>7274.3</v>
      </c>
      <c r="M1224" s="31">
        <v>1498.4</v>
      </c>
    </row>
    <row r="1225" spans="9:13" x14ac:dyDescent="0.15">
      <c r="I1225" s="31"/>
      <c r="J1225" s="31">
        <v>1372</v>
      </c>
      <c r="K1225" s="31" t="s">
        <v>207</v>
      </c>
      <c r="L1225" s="31">
        <v>4440.2</v>
      </c>
      <c r="M1225" s="31">
        <v>1043.3</v>
      </c>
    </row>
    <row r="1226" spans="9:13" x14ac:dyDescent="0.15">
      <c r="I1226" s="31"/>
      <c r="J1226" s="31">
        <v>1373</v>
      </c>
      <c r="K1226" s="31" t="s">
        <v>207</v>
      </c>
      <c r="L1226" s="31">
        <v>11811</v>
      </c>
      <c r="M1226" s="31">
        <v>2603.1999999999998</v>
      </c>
    </row>
    <row r="1227" spans="9:13" x14ac:dyDescent="0.15">
      <c r="I1227" s="31"/>
      <c r="J1227" s="31">
        <v>1374</v>
      </c>
      <c r="K1227" s="31" t="s">
        <v>207</v>
      </c>
      <c r="L1227" s="31">
        <v>17455</v>
      </c>
      <c r="M1227" s="31">
        <v>3602</v>
      </c>
    </row>
    <row r="1228" spans="9:13" x14ac:dyDescent="0.15">
      <c r="I1228" s="31"/>
      <c r="J1228" s="31">
        <v>1375</v>
      </c>
      <c r="K1228" s="31" t="s">
        <v>207</v>
      </c>
      <c r="L1228" s="31">
        <v>21668</v>
      </c>
      <c r="M1228" s="31">
        <v>4181.1000000000004</v>
      </c>
    </row>
    <row r="1229" spans="9:13" x14ac:dyDescent="0.15">
      <c r="I1229" s="31"/>
      <c r="J1229" s="31">
        <v>1376</v>
      </c>
      <c r="K1229" s="31" t="s">
        <v>207</v>
      </c>
      <c r="L1229" s="31">
        <v>24702</v>
      </c>
      <c r="M1229" s="31">
        <v>4455</v>
      </c>
    </row>
    <row r="1230" spans="9:13" x14ac:dyDescent="0.15">
      <c r="I1230" s="31"/>
      <c r="J1230" s="31">
        <v>1377</v>
      </c>
      <c r="K1230" s="31" t="s">
        <v>207</v>
      </c>
      <c r="L1230" s="31">
        <v>26770</v>
      </c>
      <c r="M1230" s="31">
        <v>4516.3</v>
      </c>
    </row>
    <row r="1231" spans="9:13" x14ac:dyDescent="0.15">
      <c r="I1231" s="31"/>
      <c r="J1231" s="31">
        <v>1378</v>
      </c>
      <c r="K1231" s="31" t="s">
        <v>207</v>
      </c>
      <c r="L1231" s="31">
        <v>28053</v>
      </c>
      <c r="M1231" s="31">
        <v>4438.8999999999996</v>
      </c>
    </row>
    <row r="1232" spans="9:13" x14ac:dyDescent="0.15">
      <c r="I1232" s="31"/>
      <c r="J1232" s="31">
        <v>1379</v>
      </c>
      <c r="K1232" s="31" t="s">
        <v>207</v>
      </c>
      <c r="L1232" s="31">
        <v>28701</v>
      </c>
      <c r="M1232" s="31">
        <v>4281.8999999999996</v>
      </c>
    </row>
    <row r="1233" spans="9:13" x14ac:dyDescent="0.15">
      <c r="I1233" s="31"/>
      <c r="J1233" s="31">
        <v>1380</v>
      </c>
      <c r="K1233" s="31" t="s">
        <v>207</v>
      </c>
      <c r="L1233" s="31">
        <v>28842</v>
      </c>
      <c r="M1233" s="31">
        <v>4091.1</v>
      </c>
    </row>
    <row r="1234" spans="9:13" x14ac:dyDescent="0.15">
      <c r="I1234" s="31"/>
      <c r="J1234" s="31">
        <v>1381</v>
      </c>
      <c r="K1234" s="31" t="s">
        <v>207</v>
      </c>
      <c r="L1234" s="31">
        <v>28583</v>
      </c>
      <c r="M1234" s="31">
        <v>3900.8</v>
      </c>
    </row>
    <row r="1235" spans="9:13" x14ac:dyDescent="0.15">
      <c r="I1235" s="31"/>
      <c r="J1235" s="31">
        <v>1382</v>
      </c>
      <c r="K1235" s="31" t="s">
        <v>207</v>
      </c>
      <c r="L1235" s="31">
        <v>28012</v>
      </c>
      <c r="M1235" s="31">
        <v>3734.4</v>
      </c>
    </row>
    <row r="1236" spans="9:13" x14ac:dyDescent="0.15">
      <c r="I1236" s="31"/>
      <c r="J1236" s="31">
        <v>1383</v>
      </c>
      <c r="K1236" s="31" t="s">
        <v>207</v>
      </c>
      <c r="L1236" s="31">
        <v>27203</v>
      </c>
      <c r="M1236" s="31">
        <v>3605.1</v>
      </c>
    </row>
    <row r="1237" spans="9:13" x14ac:dyDescent="0.15">
      <c r="I1237" s="31"/>
      <c r="J1237" s="31">
        <v>1384</v>
      </c>
      <c r="K1237" s="31" t="s">
        <v>207</v>
      </c>
      <c r="L1237" s="31">
        <v>26218</v>
      </c>
      <c r="M1237" s="31">
        <v>3517.1</v>
      </c>
    </row>
    <row r="1238" spans="9:13" x14ac:dyDescent="0.15">
      <c r="I1238" s="31"/>
      <c r="J1238" s="31">
        <v>1385</v>
      </c>
      <c r="K1238" s="31" t="s">
        <v>207</v>
      </c>
      <c r="L1238" s="31">
        <v>25107</v>
      </c>
      <c r="M1238" s="31">
        <v>3467.2</v>
      </c>
    </row>
    <row r="1239" spans="9:13" x14ac:dyDescent="0.15">
      <c r="I1239" s="31"/>
      <c r="J1239" s="31">
        <v>1386</v>
      </c>
      <c r="K1239" s="31" t="s">
        <v>207</v>
      </c>
      <c r="L1239" s="31">
        <v>23911</v>
      </c>
      <c r="M1239" s="31">
        <v>3447.6</v>
      </c>
    </row>
    <row r="1240" spans="9:13" x14ac:dyDescent="0.15">
      <c r="I1240" s="31"/>
      <c r="J1240" s="31">
        <v>1387</v>
      </c>
      <c r="K1240" s="31" t="s">
        <v>207</v>
      </c>
      <c r="L1240" s="31">
        <v>22664</v>
      </c>
      <c r="M1240" s="31">
        <v>3448.3</v>
      </c>
    </row>
    <row r="1241" spans="9:13" x14ac:dyDescent="0.15">
      <c r="I1241" s="31"/>
      <c r="J1241" s="31">
        <v>1388</v>
      </c>
      <c r="K1241" s="31" t="s">
        <v>207</v>
      </c>
      <c r="L1241" s="31">
        <v>21393</v>
      </c>
      <c r="M1241" s="31">
        <v>3459.5</v>
      </c>
    </row>
    <row r="1242" spans="9:13" x14ac:dyDescent="0.15">
      <c r="I1242" s="31"/>
      <c r="J1242" s="31">
        <v>1389</v>
      </c>
      <c r="K1242" s="31" t="s">
        <v>207</v>
      </c>
      <c r="L1242" s="31">
        <v>20118</v>
      </c>
      <c r="M1242" s="31">
        <v>3472.7</v>
      </c>
    </row>
    <row r="1243" spans="9:13" x14ac:dyDescent="0.15">
      <c r="I1243" s="31"/>
      <c r="J1243" s="31">
        <v>1390</v>
      </c>
      <c r="K1243" s="31" t="s">
        <v>207</v>
      </c>
      <c r="L1243" s="31">
        <v>18858</v>
      </c>
      <c r="M1243" s="31">
        <v>3481.5</v>
      </c>
    </row>
    <row r="1244" spans="9:13" x14ac:dyDescent="0.15">
      <c r="I1244" s="31"/>
      <c r="J1244" s="31">
        <v>1391</v>
      </c>
      <c r="K1244" s="31" t="s">
        <v>207</v>
      </c>
      <c r="L1244" s="31">
        <v>17625</v>
      </c>
      <c r="M1244" s="31">
        <v>3481.3</v>
      </c>
    </row>
    <row r="1245" spans="9:13" x14ac:dyDescent="0.15">
      <c r="I1245" s="31"/>
      <c r="J1245" s="31">
        <v>1392</v>
      </c>
      <c r="K1245" s="31" t="s">
        <v>249</v>
      </c>
      <c r="L1245" s="31">
        <v>9.7247E-2</v>
      </c>
      <c r="M1245" s="31">
        <v>2.1569000000000001E-2</v>
      </c>
    </row>
    <row r="1246" spans="9:13" x14ac:dyDescent="0.15">
      <c r="I1246" s="31"/>
      <c r="J1246" s="31">
        <v>1393</v>
      </c>
      <c r="K1246" s="31" t="s">
        <v>249</v>
      </c>
      <c r="L1246" s="31">
        <v>0.10691000000000001</v>
      </c>
      <c r="M1246" s="31">
        <v>2.2388000000000002E-2</v>
      </c>
    </row>
    <row r="1247" spans="9:13" x14ac:dyDescent="0.15">
      <c r="I1247" s="31"/>
      <c r="J1247" s="31">
        <v>1394</v>
      </c>
      <c r="K1247" s="31" t="s">
        <v>249</v>
      </c>
      <c r="L1247" s="31">
        <v>9.3106999999999995E-2</v>
      </c>
      <c r="M1247" s="31">
        <v>1.7646999999999999E-2</v>
      </c>
    </row>
    <row r="1248" spans="9:13" x14ac:dyDescent="0.15">
      <c r="I1248" s="31"/>
      <c r="J1248" s="31">
        <v>1395</v>
      </c>
      <c r="K1248" s="31" t="s">
        <v>249</v>
      </c>
      <c r="L1248" s="31">
        <v>0.14330999999999999</v>
      </c>
      <c r="M1248" s="31">
        <v>2.4865000000000002E-2</v>
      </c>
    </row>
    <row r="1249" spans="9:13" x14ac:dyDescent="0.15">
      <c r="I1249" s="31"/>
      <c r="J1249" s="31">
        <v>1396</v>
      </c>
      <c r="K1249" s="31" t="s">
        <v>249</v>
      </c>
      <c r="L1249" s="31">
        <v>0.14979000000000001</v>
      </c>
      <c r="M1249" s="31">
        <v>2.4442999999999999E-2</v>
      </c>
    </row>
    <row r="1250" spans="9:13" x14ac:dyDescent="0.15">
      <c r="I1250" s="31"/>
      <c r="J1250" s="31">
        <v>1397</v>
      </c>
      <c r="K1250" s="31" t="s">
        <v>249</v>
      </c>
      <c r="L1250" s="31">
        <v>0.15242</v>
      </c>
      <c r="M1250" s="31">
        <v>2.3057000000000001E-2</v>
      </c>
    </row>
    <row r="1251" spans="9:13" x14ac:dyDescent="0.15">
      <c r="I1251" s="31"/>
      <c r="J1251" s="31">
        <v>1398</v>
      </c>
      <c r="K1251" s="31" t="s">
        <v>249</v>
      </c>
      <c r="L1251" s="31">
        <v>0.19228000000000001</v>
      </c>
      <c r="M1251" s="31">
        <v>2.6096999999999999E-2</v>
      </c>
    </row>
    <row r="1252" spans="9:13" x14ac:dyDescent="0.15">
      <c r="I1252" s="31"/>
      <c r="J1252" s="31">
        <v>1399</v>
      </c>
      <c r="K1252" s="31" t="s">
        <v>249</v>
      </c>
      <c r="L1252" s="31">
        <v>0.25808999999999999</v>
      </c>
      <c r="M1252" s="31">
        <v>3.1621000000000003E-2</v>
      </c>
    </row>
    <row r="1253" spans="9:13" x14ac:dyDescent="0.15">
      <c r="I1253" s="31"/>
      <c r="J1253" s="31">
        <v>1400</v>
      </c>
      <c r="K1253" s="31" t="s">
        <v>249</v>
      </c>
      <c r="L1253" s="31">
        <v>0.30501</v>
      </c>
      <c r="M1253" s="31">
        <v>3.6715999999999999E-2</v>
      </c>
    </row>
    <row r="1254" spans="9:13" x14ac:dyDescent="0.15">
      <c r="I1254" s="31"/>
      <c r="J1254" s="31">
        <v>1401</v>
      </c>
      <c r="K1254" s="31" t="s">
        <v>249</v>
      </c>
      <c r="L1254" s="31">
        <v>0.35371999999999998</v>
      </c>
      <c r="M1254" s="31">
        <v>4.5259000000000001E-2</v>
      </c>
    </row>
    <row r="1255" spans="9:13" x14ac:dyDescent="0.15">
      <c r="I1255" s="31"/>
      <c r="J1255" s="31">
        <v>1402</v>
      </c>
      <c r="K1255" s="31" t="s">
        <v>249</v>
      </c>
      <c r="L1255" s="31">
        <v>0.35247000000000001</v>
      </c>
      <c r="M1255" s="31">
        <v>4.2228000000000002E-2</v>
      </c>
    </row>
    <row r="1256" spans="9:13" x14ac:dyDescent="0.15">
      <c r="I1256" s="31"/>
      <c r="J1256" s="31">
        <v>1403</v>
      </c>
      <c r="K1256" s="31" t="s">
        <v>249</v>
      </c>
      <c r="L1256" s="31">
        <v>0.32506000000000002</v>
      </c>
      <c r="M1256" s="31">
        <v>3.3077000000000002E-2</v>
      </c>
    </row>
    <row r="1257" spans="9:13" x14ac:dyDescent="0.15">
      <c r="I1257" s="31"/>
      <c r="J1257" s="31">
        <v>1404</v>
      </c>
      <c r="K1257" s="31" t="s">
        <v>249</v>
      </c>
      <c r="L1257" s="31">
        <v>0.29113</v>
      </c>
      <c r="M1257" s="31">
        <v>2.7584999999999998E-2</v>
      </c>
    </row>
    <row r="1258" spans="9:13" x14ac:dyDescent="0.15">
      <c r="I1258" s="31"/>
      <c r="J1258" s="31">
        <v>1405</v>
      </c>
      <c r="K1258" s="31" t="s">
        <v>249</v>
      </c>
      <c r="L1258" s="31">
        <v>0.24668999999999999</v>
      </c>
      <c r="M1258" s="31">
        <v>2.3241999999999999E-2</v>
      </c>
    </row>
    <row r="1259" spans="9:13" x14ac:dyDescent="0.15">
      <c r="I1259" s="31"/>
      <c r="J1259" s="31">
        <v>1406</v>
      </c>
      <c r="K1259" s="31" t="s">
        <v>249</v>
      </c>
      <c r="L1259" s="31">
        <v>0.24895</v>
      </c>
      <c r="M1259" s="31">
        <v>2.2710999999999999E-2</v>
      </c>
    </row>
    <row r="1260" spans="9:13" x14ac:dyDescent="0.15">
      <c r="I1260" s="31"/>
      <c r="J1260" s="31">
        <v>1407</v>
      </c>
      <c r="K1260" s="31" t="s">
        <v>249</v>
      </c>
      <c r="L1260" s="31">
        <v>0.21851000000000001</v>
      </c>
      <c r="M1260" s="31">
        <v>1.8776000000000001E-2</v>
      </c>
    </row>
    <row r="1261" spans="9:13" x14ac:dyDescent="0.15">
      <c r="I1261" s="31"/>
      <c r="J1261" s="31">
        <v>1408</v>
      </c>
      <c r="K1261" s="31" t="s">
        <v>249</v>
      </c>
      <c r="L1261" s="31">
        <v>0.15548000000000001</v>
      </c>
      <c r="M1261" s="31">
        <v>1.1384999999999999E-2</v>
      </c>
    </row>
    <row r="1262" spans="9:13" x14ac:dyDescent="0.15">
      <c r="I1262" s="31"/>
      <c r="J1262" s="31">
        <v>1409</v>
      </c>
      <c r="K1262" s="31" t="s">
        <v>249</v>
      </c>
      <c r="L1262" s="31">
        <v>0.11650000000000001</v>
      </c>
      <c r="M1262" s="31">
        <v>7.9261000000000002E-3</v>
      </c>
    </row>
    <row r="1263" spans="9:13" x14ac:dyDescent="0.15">
      <c r="I1263" s="31"/>
      <c r="J1263" s="31">
        <v>1410</v>
      </c>
      <c r="K1263" s="31" t="s">
        <v>249</v>
      </c>
      <c r="L1263" s="31">
        <v>0.10019</v>
      </c>
      <c r="M1263" s="31">
        <v>6.6230999999999998E-3</v>
      </c>
    </row>
    <row r="1264" spans="9:13" x14ac:dyDescent="0.15">
      <c r="I1264" s="31"/>
      <c r="J1264" s="31">
        <v>1411</v>
      </c>
      <c r="K1264" s="31" t="s">
        <v>249</v>
      </c>
      <c r="L1264" s="31">
        <v>9.7086000000000006E-2</v>
      </c>
      <c r="M1264" s="31">
        <v>6.3010000000000002E-3</v>
      </c>
    </row>
    <row r="1265" spans="9:13" x14ac:dyDescent="0.15">
      <c r="I1265" s="31"/>
      <c r="J1265" s="31">
        <v>1412</v>
      </c>
      <c r="K1265" s="31" t="s">
        <v>249</v>
      </c>
      <c r="L1265" s="31">
        <v>0.1018</v>
      </c>
      <c r="M1265" s="31">
        <v>6.3122999999999999E-3</v>
      </c>
    </row>
    <row r="1266" spans="9:13" x14ac:dyDescent="0.15">
      <c r="I1266" s="31"/>
      <c r="J1266" s="31">
        <v>1413</v>
      </c>
      <c r="K1266" s="31" t="s">
        <v>249</v>
      </c>
      <c r="L1266" s="31">
        <v>0.10125000000000001</v>
      </c>
      <c r="M1266" s="31">
        <v>6.0765999999999997E-3</v>
      </c>
    </row>
    <row r="1267" spans="9:13" x14ac:dyDescent="0.15">
      <c r="I1267" s="31"/>
      <c r="J1267" s="31">
        <v>1414</v>
      </c>
      <c r="K1267" s="31" t="s">
        <v>249</v>
      </c>
      <c r="L1267" s="31">
        <v>0.10192</v>
      </c>
      <c r="M1267" s="31">
        <v>5.9588000000000002E-3</v>
      </c>
    </row>
    <row r="1268" spans="9:13" x14ac:dyDescent="0.15">
      <c r="I1268" s="31"/>
      <c r="J1268" s="31">
        <v>1415</v>
      </c>
      <c r="K1268" s="31" t="s">
        <v>249</v>
      </c>
      <c r="L1268" s="31">
        <v>7.9047999999999993E-2</v>
      </c>
      <c r="M1268" s="31">
        <v>4.6058000000000002E-3</v>
      </c>
    </row>
    <row r="1269" spans="9:13" x14ac:dyDescent="0.15">
      <c r="I1269" s="31"/>
      <c r="J1269" s="31">
        <v>1416</v>
      </c>
      <c r="K1269" s="31" t="s">
        <v>249</v>
      </c>
      <c r="L1269" s="31">
        <v>0.12096999999999999</v>
      </c>
      <c r="M1269" s="31">
        <v>6.7784000000000004E-3</v>
      </c>
    </row>
    <row r="1270" spans="9:13" x14ac:dyDescent="0.15">
      <c r="I1270" s="31"/>
      <c r="J1270" s="31">
        <v>1417</v>
      </c>
      <c r="K1270" s="31" t="s">
        <v>249</v>
      </c>
      <c r="L1270" s="31">
        <v>0.14451</v>
      </c>
      <c r="M1270" s="31">
        <v>8.1609000000000004E-3</v>
      </c>
    </row>
    <row r="1271" spans="9:13" x14ac:dyDescent="0.15">
      <c r="I1271" s="31"/>
      <c r="J1271" s="31">
        <v>1418</v>
      </c>
      <c r="K1271" s="31" t="s">
        <v>249</v>
      </c>
      <c r="L1271" s="31">
        <v>0.20985999999999999</v>
      </c>
      <c r="M1271" s="31">
        <v>1.1707E-2</v>
      </c>
    </row>
    <row r="1272" spans="9:13" x14ac:dyDescent="0.15">
      <c r="I1272" s="31"/>
      <c r="J1272" s="31">
        <v>1419</v>
      </c>
      <c r="K1272" s="31" t="s">
        <v>249</v>
      </c>
      <c r="L1272" s="31">
        <v>0.18426000000000001</v>
      </c>
      <c r="M1272" s="31">
        <v>1.0159E-2</v>
      </c>
    </row>
    <row r="1273" spans="9:13" x14ac:dyDescent="0.15">
      <c r="I1273" s="31"/>
      <c r="J1273" s="31">
        <v>1420</v>
      </c>
      <c r="K1273" s="31" t="s">
        <v>249</v>
      </c>
      <c r="L1273" s="31">
        <v>0.16933999999999999</v>
      </c>
      <c r="M1273" s="31">
        <v>8.7194999999999998E-3</v>
      </c>
    </row>
    <row r="1274" spans="9:13" x14ac:dyDescent="0.15">
      <c r="I1274" s="31"/>
      <c r="J1274" s="31">
        <v>1421</v>
      </c>
      <c r="K1274" s="31" t="s">
        <v>249</v>
      </c>
      <c r="L1274" s="31">
        <v>0.12346</v>
      </c>
      <c r="M1274" s="31">
        <v>6.5379000000000001E-3</v>
      </c>
    </row>
    <row r="1275" spans="9:13" x14ac:dyDescent="0.15">
      <c r="I1275" s="31"/>
      <c r="J1275" s="31">
        <v>1422</v>
      </c>
      <c r="K1275" s="31" t="s">
        <v>249</v>
      </c>
      <c r="L1275" s="31">
        <v>0.11292000000000001</v>
      </c>
      <c r="M1275" s="31">
        <v>6.0101E-3</v>
      </c>
    </row>
    <row r="1276" spans="9:13" x14ac:dyDescent="0.15">
      <c r="I1276" s="31"/>
      <c r="J1276" s="31">
        <v>1423</v>
      </c>
      <c r="K1276" s="31" t="s">
        <v>249</v>
      </c>
      <c r="L1276" s="31">
        <v>0.10832</v>
      </c>
      <c r="M1276" s="31">
        <v>5.8104999999999997E-3</v>
      </c>
    </row>
    <row r="1277" spans="9:13" x14ac:dyDescent="0.15">
      <c r="I1277" s="31"/>
      <c r="J1277" s="31">
        <v>1424</v>
      </c>
      <c r="K1277" s="31" t="s">
        <v>249</v>
      </c>
      <c r="L1277" s="31">
        <v>0.11022</v>
      </c>
      <c r="M1277" s="31">
        <v>6.0025E-3</v>
      </c>
    </row>
    <row r="1278" spans="9:13" x14ac:dyDescent="0.15">
      <c r="I1278" s="31"/>
      <c r="J1278" s="31">
        <v>1425</v>
      </c>
      <c r="K1278" s="31" t="s">
        <v>249</v>
      </c>
      <c r="L1278" s="31">
        <v>0.12045</v>
      </c>
      <c r="M1278" s="31">
        <v>6.5786000000000004E-3</v>
      </c>
    </row>
    <row r="1279" spans="9:13" x14ac:dyDescent="0.15">
      <c r="I1279" s="31"/>
      <c r="J1279" s="31">
        <v>1426</v>
      </c>
      <c r="K1279" s="31" t="s">
        <v>249</v>
      </c>
      <c r="L1279" s="31">
        <v>0.1182</v>
      </c>
      <c r="M1279" s="31">
        <v>6.3166000000000003E-3</v>
      </c>
    </row>
    <row r="1280" spans="9:13" x14ac:dyDescent="0.15">
      <c r="I1280" s="31"/>
      <c r="J1280" s="31">
        <v>1427</v>
      </c>
      <c r="K1280" s="31" t="s">
        <v>249</v>
      </c>
      <c r="L1280" s="31">
        <v>0.10513</v>
      </c>
      <c r="M1280" s="31">
        <v>5.6305000000000001E-3</v>
      </c>
    </row>
    <row r="1281" spans="9:13" x14ac:dyDescent="0.15">
      <c r="I1281" s="31"/>
      <c r="J1281" s="31">
        <v>1428</v>
      </c>
      <c r="K1281" s="31" t="s">
        <v>249</v>
      </c>
      <c r="L1281" s="31">
        <v>0.12414</v>
      </c>
      <c r="M1281" s="31">
        <v>6.5109E-3</v>
      </c>
    </row>
    <row r="1282" spans="9:13" x14ac:dyDescent="0.15">
      <c r="I1282" s="31"/>
      <c r="J1282" s="31">
        <v>1429</v>
      </c>
      <c r="K1282" s="31" t="s">
        <v>249</v>
      </c>
      <c r="L1282" s="31">
        <v>0.14976999999999999</v>
      </c>
      <c r="M1282" s="31">
        <v>7.6905999999999997E-3</v>
      </c>
    </row>
    <row r="1283" spans="9:13" x14ac:dyDescent="0.15">
      <c r="I1283" s="31"/>
      <c r="J1283" s="31">
        <v>1430</v>
      </c>
      <c r="K1283" s="31" t="s">
        <v>249</v>
      </c>
      <c r="L1283" s="31">
        <v>0.15193000000000001</v>
      </c>
      <c r="M1283" s="31">
        <v>7.6134000000000002E-3</v>
      </c>
    </row>
    <row r="1284" spans="9:13" x14ac:dyDescent="0.15">
      <c r="I1284" s="31"/>
      <c r="J1284" s="31">
        <v>1431</v>
      </c>
      <c r="K1284" s="31" t="s">
        <v>249</v>
      </c>
      <c r="L1284" s="31">
        <v>0.13858000000000001</v>
      </c>
      <c r="M1284" s="31">
        <v>6.9236000000000002E-3</v>
      </c>
    </row>
    <row r="1285" spans="9:13" x14ac:dyDescent="0.15">
      <c r="I1285" s="31"/>
      <c r="J1285" s="31">
        <v>1432</v>
      </c>
      <c r="K1285" s="31" t="s">
        <v>249</v>
      </c>
      <c r="L1285" s="31">
        <v>0.14516000000000001</v>
      </c>
      <c r="M1285" s="31">
        <v>7.2803E-3</v>
      </c>
    </row>
    <row r="1286" spans="9:13" x14ac:dyDescent="0.15">
      <c r="I1286" s="31"/>
      <c r="J1286" s="31">
        <v>1433</v>
      </c>
      <c r="K1286" s="31" t="s">
        <v>249</v>
      </c>
      <c r="L1286" s="31">
        <v>0.17796000000000001</v>
      </c>
      <c r="M1286" s="31">
        <v>8.8456999999999997E-3</v>
      </c>
    </row>
    <row r="1287" spans="9:13" x14ac:dyDescent="0.15">
      <c r="I1287" s="31"/>
      <c r="J1287" s="31">
        <v>1434</v>
      </c>
      <c r="K1287" s="31" t="s">
        <v>249</v>
      </c>
      <c r="L1287" s="31">
        <v>0.22767000000000001</v>
      </c>
      <c r="M1287" s="31">
        <v>1.1164E-2</v>
      </c>
    </row>
    <row r="1288" spans="9:13" x14ac:dyDescent="0.15">
      <c r="I1288" s="31"/>
      <c r="J1288" s="31">
        <v>1435</v>
      </c>
      <c r="K1288" s="31" t="s">
        <v>249</v>
      </c>
      <c r="L1288" s="31">
        <v>0.24268000000000001</v>
      </c>
      <c r="M1288" s="31">
        <v>1.2462000000000001E-2</v>
      </c>
    </row>
    <row r="1289" spans="9:13" x14ac:dyDescent="0.15">
      <c r="I1289" s="31"/>
      <c r="J1289" s="31">
        <v>1436</v>
      </c>
      <c r="K1289" s="31" t="s">
        <v>249</v>
      </c>
      <c r="L1289" s="31">
        <v>0.19861000000000001</v>
      </c>
      <c r="M1289" s="31">
        <v>1.1036000000000001E-2</v>
      </c>
    </row>
    <row r="1290" spans="9:13" x14ac:dyDescent="0.15">
      <c r="I1290" s="31"/>
      <c r="J1290" s="31">
        <v>1437</v>
      </c>
      <c r="K1290" s="31" t="s">
        <v>249</v>
      </c>
      <c r="L1290" s="31">
        <v>0.13714999999999999</v>
      </c>
      <c r="M1290" s="31">
        <v>8.5147999999999995E-3</v>
      </c>
    </row>
    <row r="1291" spans="9:13" x14ac:dyDescent="0.15">
      <c r="I1291" s="31"/>
      <c r="J1291" s="31">
        <v>1438</v>
      </c>
      <c r="K1291" s="31" t="s">
        <v>249</v>
      </c>
      <c r="L1291" s="31">
        <v>0.10970000000000001</v>
      </c>
      <c r="M1291" s="31">
        <v>7.5797E-3</v>
      </c>
    </row>
    <row r="1292" spans="9:13" x14ac:dyDescent="0.15">
      <c r="I1292" s="31"/>
      <c r="J1292" s="31">
        <v>1439</v>
      </c>
      <c r="K1292" s="31" t="s">
        <v>249</v>
      </c>
      <c r="L1292" s="31">
        <v>0.12723000000000001</v>
      </c>
      <c r="M1292" s="31">
        <v>9.8372000000000008E-3</v>
      </c>
    </row>
    <row r="1293" spans="9:13" x14ac:dyDescent="0.15">
      <c r="I1293" s="31"/>
      <c r="J1293" s="31">
        <v>1440</v>
      </c>
      <c r="K1293" s="31" t="s">
        <v>249</v>
      </c>
      <c r="L1293" s="31">
        <v>0.12953000000000001</v>
      </c>
      <c r="M1293" s="31">
        <v>1.1206000000000001E-2</v>
      </c>
    </row>
    <row r="1294" spans="9:13" x14ac:dyDescent="0.15">
      <c r="I1294" s="31"/>
      <c r="J1294" s="31">
        <v>1441</v>
      </c>
      <c r="K1294" s="31" t="s">
        <v>249</v>
      </c>
      <c r="L1294" s="31">
        <v>0.13805999999999999</v>
      </c>
      <c r="M1294" s="31">
        <v>1.3131E-2</v>
      </c>
    </row>
    <row r="1295" spans="9:13" x14ac:dyDescent="0.15">
      <c r="I1295" s="31"/>
      <c r="J1295" s="31">
        <v>1442</v>
      </c>
      <c r="K1295" s="31" t="s">
        <v>249</v>
      </c>
      <c r="L1295" s="31">
        <v>0.13599</v>
      </c>
      <c r="M1295" s="31">
        <v>1.3995E-2</v>
      </c>
    </row>
    <row r="1296" spans="9:13" x14ac:dyDescent="0.15">
      <c r="I1296" s="31"/>
      <c r="J1296" s="31">
        <v>1443</v>
      </c>
      <c r="K1296" s="31" t="s">
        <v>249</v>
      </c>
      <c r="L1296" s="31">
        <v>0.13106999999999999</v>
      </c>
      <c r="M1296" s="31">
        <v>1.4744999999999999E-2</v>
      </c>
    </row>
    <row r="1297" spans="9:13" x14ac:dyDescent="0.15">
      <c r="I1297" s="31" t="s">
        <v>330</v>
      </c>
      <c r="J1297" s="31">
        <v>1444</v>
      </c>
      <c r="K1297" s="31" t="s">
        <v>54</v>
      </c>
      <c r="L1297" s="31">
        <v>3483.4</v>
      </c>
      <c r="M1297" s="31">
        <v>397.65</v>
      </c>
    </row>
    <row r="1298" spans="9:13" x14ac:dyDescent="0.15">
      <c r="I1298" s="31"/>
      <c r="J1298" s="31">
        <v>1445</v>
      </c>
      <c r="K1298" s="31" t="s">
        <v>54</v>
      </c>
      <c r="L1298" s="31">
        <v>3695.8</v>
      </c>
      <c r="M1298" s="31">
        <v>444.73</v>
      </c>
    </row>
    <row r="1299" spans="9:13" x14ac:dyDescent="0.15">
      <c r="I1299" s="31"/>
      <c r="J1299" s="31">
        <v>1446</v>
      </c>
      <c r="K1299" s="31" t="s">
        <v>54</v>
      </c>
      <c r="L1299" s="31">
        <v>4058.5</v>
      </c>
      <c r="M1299" s="31">
        <v>504.6</v>
      </c>
    </row>
    <row r="1300" spans="9:13" x14ac:dyDescent="0.15">
      <c r="I1300" s="31"/>
      <c r="J1300" s="31">
        <v>1447</v>
      </c>
      <c r="K1300" s="31" t="s">
        <v>54</v>
      </c>
      <c r="L1300" s="31">
        <v>4302.5</v>
      </c>
      <c r="M1300" s="31">
        <v>570.29999999999995</v>
      </c>
    </row>
    <row r="1301" spans="9:13" x14ac:dyDescent="0.15">
      <c r="I1301" s="31"/>
      <c r="J1301" s="31">
        <v>1448</v>
      </c>
      <c r="K1301" s="31" t="s">
        <v>54</v>
      </c>
      <c r="L1301" s="31">
        <v>4526.8</v>
      </c>
      <c r="M1301" s="31">
        <v>760.43</v>
      </c>
    </row>
    <row r="1302" spans="9:13" x14ac:dyDescent="0.15">
      <c r="I1302" s="31"/>
      <c r="J1302" s="31">
        <v>1449</v>
      </c>
      <c r="K1302" s="31" t="s">
        <v>54</v>
      </c>
      <c r="L1302" s="31">
        <v>4705.5</v>
      </c>
      <c r="M1302" s="31">
        <v>979.21</v>
      </c>
    </row>
    <row r="1303" spans="9:13" x14ac:dyDescent="0.15">
      <c r="I1303" s="31"/>
      <c r="J1303" s="31">
        <v>1450</v>
      </c>
      <c r="K1303" s="31" t="s">
        <v>54</v>
      </c>
      <c r="L1303" s="31">
        <v>3483.4</v>
      </c>
      <c r="M1303" s="31">
        <v>397.65</v>
      </c>
    </row>
    <row r="1304" spans="9:13" x14ac:dyDescent="0.15">
      <c r="I1304" s="31"/>
      <c r="J1304" s="31">
        <v>1451</v>
      </c>
      <c r="K1304" s="31" t="s">
        <v>54</v>
      </c>
      <c r="L1304" s="31">
        <v>3679.3</v>
      </c>
      <c r="M1304" s="31">
        <v>444.87</v>
      </c>
    </row>
    <row r="1305" spans="9:13" x14ac:dyDescent="0.15">
      <c r="I1305" s="31"/>
      <c r="J1305" s="31">
        <v>1452</v>
      </c>
      <c r="K1305" s="31" t="s">
        <v>54</v>
      </c>
      <c r="L1305" s="31">
        <v>3982.5</v>
      </c>
      <c r="M1305" s="31">
        <v>505.08</v>
      </c>
    </row>
    <row r="1306" spans="9:13" x14ac:dyDescent="0.15">
      <c r="I1306" s="31"/>
      <c r="J1306" s="31">
        <v>1453</v>
      </c>
      <c r="K1306" s="31" t="s">
        <v>54</v>
      </c>
      <c r="L1306" s="31">
        <v>4169.8999999999996</v>
      </c>
      <c r="M1306" s="31">
        <v>569.87</v>
      </c>
    </row>
    <row r="1307" spans="9:13" x14ac:dyDescent="0.15">
      <c r="I1307" s="31"/>
      <c r="J1307" s="31">
        <v>1454</v>
      </c>
      <c r="K1307" s="31" t="s">
        <v>54</v>
      </c>
      <c r="L1307" s="31">
        <v>4347.6000000000004</v>
      </c>
      <c r="M1307" s="31">
        <v>757.93</v>
      </c>
    </row>
    <row r="1308" spans="9:13" x14ac:dyDescent="0.15">
      <c r="I1308" s="31"/>
      <c r="J1308" s="31">
        <v>1455</v>
      </c>
      <c r="K1308" s="31" t="s">
        <v>54</v>
      </c>
      <c r="L1308" s="31">
        <v>4492.8999999999996</v>
      </c>
      <c r="M1308" s="31">
        <v>970.59</v>
      </c>
    </row>
    <row r="1309" spans="9:13" x14ac:dyDescent="0.15">
      <c r="I1309" s="31"/>
      <c r="J1309" s="31">
        <v>1456</v>
      </c>
      <c r="K1309" s="31" t="s">
        <v>54</v>
      </c>
      <c r="L1309" s="31">
        <v>3483.4</v>
      </c>
      <c r="M1309" s="31">
        <v>397.65</v>
      </c>
    </row>
    <row r="1310" spans="9:13" x14ac:dyDescent="0.15">
      <c r="I1310" s="31"/>
      <c r="J1310" s="31">
        <v>1457</v>
      </c>
      <c r="K1310" s="31" t="s">
        <v>54</v>
      </c>
      <c r="L1310" s="31">
        <v>3662.6</v>
      </c>
      <c r="M1310" s="31">
        <v>445.05</v>
      </c>
    </row>
    <row r="1311" spans="9:13" x14ac:dyDescent="0.15">
      <c r="I1311" s="31"/>
      <c r="J1311" s="31">
        <v>1458</v>
      </c>
      <c r="K1311" s="31" t="s">
        <v>54</v>
      </c>
      <c r="L1311" s="31">
        <v>3907.1</v>
      </c>
      <c r="M1311" s="31">
        <v>505.63</v>
      </c>
    </row>
    <row r="1312" spans="9:13" x14ac:dyDescent="0.15">
      <c r="I1312" s="31"/>
      <c r="J1312" s="31">
        <v>1459</v>
      </c>
      <c r="K1312" s="31" t="s">
        <v>54</v>
      </c>
      <c r="L1312" s="31">
        <v>4040.7</v>
      </c>
      <c r="M1312" s="31">
        <v>569.38</v>
      </c>
    </row>
    <row r="1313" spans="9:13" x14ac:dyDescent="0.15">
      <c r="I1313" s="31"/>
      <c r="J1313" s="31">
        <v>1460</v>
      </c>
      <c r="K1313" s="31" t="s">
        <v>54</v>
      </c>
      <c r="L1313" s="31">
        <v>4175.8</v>
      </c>
      <c r="M1313" s="31">
        <v>755.24</v>
      </c>
    </row>
    <row r="1314" spans="9:13" x14ac:dyDescent="0.15">
      <c r="I1314" s="31"/>
      <c r="J1314" s="31">
        <v>1461</v>
      </c>
      <c r="K1314" s="31" t="s">
        <v>54</v>
      </c>
      <c r="L1314" s="31">
        <v>4292.2</v>
      </c>
      <c r="M1314" s="31">
        <v>961.8</v>
      </c>
    </row>
    <row r="1315" spans="9:13" x14ac:dyDescent="0.15">
      <c r="I1315" s="31"/>
      <c r="J1315" s="31">
        <v>1462</v>
      </c>
      <c r="K1315" s="31" t="s">
        <v>54</v>
      </c>
      <c r="L1315" s="31">
        <v>3483.4</v>
      </c>
      <c r="M1315" s="31">
        <v>397.65</v>
      </c>
    </row>
    <row r="1316" spans="9:13" x14ac:dyDescent="0.15">
      <c r="I1316" s="31"/>
      <c r="J1316" s="31">
        <v>1463</v>
      </c>
      <c r="K1316" s="31" t="s">
        <v>54</v>
      </c>
      <c r="L1316" s="31">
        <v>3645.7</v>
      </c>
      <c r="M1316" s="31">
        <v>445.28</v>
      </c>
    </row>
    <row r="1317" spans="9:13" x14ac:dyDescent="0.15">
      <c r="I1317" s="31"/>
      <c r="J1317" s="31">
        <v>1464</v>
      </c>
      <c r="K1317" s="31" t="s">
        <v>54</v>
      </c>
      <c r="L1317" s="31">
        <v>3832.3</v>
      </c>
      <c r="M1317" s="31">
        <v>506.23</v>
      </c>
    </row>
    <row r="1318" spans="9:13" x14ac:dyDescent="0.15">
      <c r="I1318" s="31"/>
      <c r="J1318" s="31">
        <v>1465</v>
      </c>
      <c r="K1318" s="31" t="s">
        <v>54</v>
      </c>
      <c r="L1318" s="31">
        <v>3914.7</v>
      </c>
      <c r="M1318" s="31">
        <v>568.78</v>
      </c>
    </row>
    <row r="1319" spans="9:13" x14ac:dyDescent="0.15">
      <c r="I1319" s="31"/>
      <c r="J1319" s="31">
        <v>1466</v>
      </c>
      <c r="K1319" s="31" t="s">
        <v>54</v>
      </c>
      <c r="L1319" s="31">
        <v>4011.3</v>
      </c>
      <c r="M1319" s="31">
        <v>752.31</v>
      </c>
    </row>
    <row r="1320" spans="9:13" x14ac:dyDescent="0.15">
      <c r="I1320" s="31"/>
      <c r="J1320" s="31">
        <v>1467</v>
      </c>
      <c r="K1320" s="31" t="s">
        <v>54</v>
      </c>
      <c r="L1320" s="31">
        <v>4102.5</v>
      </c>
      <c r="M1320" s="31">
        <v>952.77</v>
      </c>
    </row>
    <row r="1321" spans="9:13" x14ac:dyDescent="0.15">
      <c r="I1321" s="31"/>
      <c r="J1321" s="31">
        <v>1468</v>
      </c>
      <c r="K1321" s="31" t="s">
        <v>54</v>
      </c>
      <c r="L1321" s="31">
        <v>3483.4</v>
      </c>
      <c r="M1321" s="31">
        <v>397.65</v>
      </c>
    </row>
    <row r="1322" spans="9:13" x14ac:dyDescent="0.15">
      <c r="I1322" s="31"/>
      <c r="J1322" s="31">
        <v>1469</v>
      </c>
      <c r="K1322" s="31" t="s">
        <v>54</v>
      </c>
      <c r="L1322" s="31">
        <v>3628.5</v>
      </c>
      <c r="M1322" s="31">
        <v>445.55</v>
      </c>
    </row>
    <row r="1323" spans="9:13" x14ac:dyDescent="0.15">
      <c r="I1323" s="31"/>
      <c r="J1323" s="31">
        <v>1470</v>
      </c>
      <c r="K1323" s="31" t="s">
        <v>54</v>
      </c>
      <c r="L1323" s="31">
        <v>3758</v>
      </c>
      <c r="M1323" s="31">
        <v>506.89</v>
      </c>
    </row>
    <row r="1324" spans="9:13" x14ac:dyDescent="0.15">
      <c r="I1324" s="31"/>
      <c r="J1324" s="31">
        <v>1471</v>
      </c>
      <c r="K1324" s="31" t="s">
        <v>54</v>
      </c>
      <c r="L1324" s="31">
        <v>3792</v>
      </c>
      <c r="M1324" s="31">
        <v>568.03</v>
      </c>
    </row>
    <row r="1325" spans="9:13" x14ac:dyDescent="0.15">
      <c r="I1325" s="31"/>
      <c r="J1325" s="31">
        <v>1472</v>
      </c>
      <c r="K1325" s="31" t="s">
        <v>54</v>
      </c>
      <c r="L1325" s="31">
        <v>3853.8</v>
      </c>
      <c r="M1325" s="31">
        <v>749.07</v>
      </c>
    </row>
    <row r="1326" spans="9:13" x14ac:dyDescent="0.15">
      <c r="I1326" s="31"/>
      <c r="J1326" s="31">
        <v>1473</v>
      </c>
      <c r="K1326" s="31" t="s">
        <v>54</v>
      </c>
      <c r="L1326" s="31">
        <v>3923.5</v>
      </c>
      <c r="M1326" s="31">
        <v>943.45</v>
      </c>
    </row>
    <row r="1327" spans="9:13" x14ac:dyDescent="0.15">
      <c r="I1327" s="31"/>
      <c r="J1327" s="31">
        <v>1474</v>
      </c>
      <c r="K1327" s="31" t="s">
        <v>54</v>
      </c>
      <c r="L1327" s="31">
        <v>3483.4</v>
      </c>
      <c r="M1327" s="31">
        <v>397.65</v>
      </c>
    </row>
    <row r="1328" spans="9:13" x14ac:dyDescent="0.15">
      <c r="I1328" s="31"/>
      <c r="J1328" s="31">
        <v>1475</v>
      </c>
      <c r="K1328" s="31" t="s">
        <v>54</v>
      </c>
      <c r="L1328" s="31">
        <v>3611.1</v>
      </c>
      <c r="M1328" s="31">
        <v>445.87</v>
      </c>
    </row>
    <row r="1329" spans="9:13" x14ac:dyDescent="0.15">
      <c r="I1329" s="31"/>
      <c r="J1329" s="31">
        <v>1476</v>
      </c>
      <c r="K1329" s="31" t="s">
        <v>54</v>
      </c>
      <c r="L1329" s="31">
        <v>3684.2</v>
      </c>
      <c r="M1329" s="31">
        <v>507.59</v>
      </c>
    </row>
    <row r="1330" spans="9:13" x14ac:dyDescent="0.15">
      <c r="I1330" s="31"/>
      <c r="J1330" s="31">
        <v>1477</v>
      </c>
      <c r="K1330" s="31" t="s">
        <v>54</v>
      </c>
      <c r="L1330" s="31">
        <v>3672.6</v>
      </c>
      <c r="M1330" s="31">
        <v>567.11</v>
      </c>
    </row>
    <row r="1331" spans="9:13" x14ac:dyDescent="0.15">
      <c r="I1331" s="31"/>
      <c r="J1331" s="31">
        <v>1478</v>
      </c>
      <c r="K1331" s="31" t="s">
        <v>54</v>
      </c>
      <c r="L1331" s="31">
        <v>3703</v>
      </c>
      <c r="M1331" s="31">
        <v>745.5</v>
      </c>
    </row>
    <row r="1332" spans="9:13" x14ac:dyDescent="0.15">
      <c r="I1332" s="31"/>
      <c r="J1332" s="31">
        <v>1479</v>
      </c>
      <c r="K1332" s="31" t="s">
        <v>54</v>
      </c>
      <c r="L1332" s="31">
        <v>3754.6</v>
      </c>
      <c r="M1332" s="31">
        <v>933.82</v>
      </c>
    </row>
    <row r="1333" spans="9:13" x14ac:dyDescent="0.15">
      <c r="I1333" s="31"/>
      <c r="J1333" s="31">
        <v>1480</v>
      </c>
      <c r="K1333" s="31" t="s">
        <v>54</v>
      </c>
      <c r="L1333" s="31">
        <v>3483.4</v>
      </c>
      <c r="M1333" s="31">
        <v>397.65</v>
      </c>
    </row>
    <row r="1334" spans="9:13" x14ac:dyDescent="0.15">
      <c r="I1334" s="31"/>
      <c r="J1334" s="31">
        <v>1481</v>
      </c>
      <c r="K1334" s="31" t="s">
        <v>54</v>
      </c>
      <c r="L1334" s="31">
        <v>3593.5</v>
      </c>
      <c r="M1334" s="31">
        <v>446.24</v>
      </c>
    </row>
    <row r="1335" spans="9:13" x14ac:dyDescent="0.15">
      <c r="I1335" s="31"/>
      <c r="J1335" s="31">
        <v>1482</v>
      </c>
      <c r="K1335" s="31" t="s">
        <v>54</v>
      </c>
      <c r="L1335" s="31">
        <v>3610.9</v>
      </c>
      <c r="M1335" s="31">
        <v>508.33</v>
      </c>
    </row>
    <row r="1336" spans="9:13" x14ac:dyDescent="0.15">
      <c r="I1336" s="31"/>
      <c r="J1336" s="31">
        <v>1483</v>
      </c>
      <c r="K1336" s="31" t="s">
        <v>54</v>
      </c>
      <c r="L1336" s="31">
        <v>3556.3</v>
      </c>
      <c r="M1336" s="31">
        <v>565.98</v>
      </c>
    </row>
    <row r="1337" spans="9:13" x14ac:dyDescent="0.15">
      <c r="I1337" s="31"/>
      <c r="J1337" s="31">
        <v>1484</v>
      </c>
      <c r="K1337" s="31" t="s">
        <v>54</v>
      </c>
      <c r="L1337" s="31">
        <v>3558.9</v>
      </c>
      <c r="M1337" s="31">
        <v>741.56</v>
      </c>
    </row>
    <row r="1338" spans="9:13" x14ac:dyDescent="0.15">
      <c r="I1338" s="31"/>
      <c r="J1338" s="31">
        <v>1485</v>
      </c>
      <c r="K1338" s="31" t="s">
        <v>54</v>
      </c>
      <c r="L1338" s="31">
        <v>3595.2</v>
      </c>
      <c r="M1338" s="31">
        <v>923.87</v>
      </c>
    </row>
    <row r="1339" spans="9:13" x14ac:dyDescent="0.15">
      <c r="I1339" s="31"/>
      <c r="J1339" s="31">
        <v>1486</v>
      </c>
      <c r="K1339" s="31" t="s">
        <v>54</v>
      </c>
      <c r="L1339" s="31">
        <v>3483.4</v>
      </c>
      <c r="M1339" s="31">
        <v>397.65</v>
      </c>
    </row>
    <row r="1340" spans="9:13" x14ac:dyDescent="0.15">
      <c r="I1340" s="31"/>
      <c r="J1340" s="31">
        <v>1487</v>
      </c>
      <c r="K1340" s="31" t="s">
        <v>54</v>
      </c>
      <c r="L1340" s="31">
        <v>3575.6</v>
      </c>
      <c r="M1340" s="31">
        <v>446.67</v>
      </c>
    </row>
    <row r="1341" spans="9:13" x14ac:dyDescent="0.15">
      <c r="I1341" s="31"/>
      <c r="J1341" s="31">
        <v>1488</v>
      </c>
      <c r="K1341" s="31" t="s">
        <v>54</v>
      </c>
      <c r="L1341" s="31">
        <v>3538.3</v>
      </c>
      <c r="M1341" s="31">
        <v>509.1</v>
      </c>
    </row>
    <row r="1342" spans="9:13" x14ac:dyDescent="0.15">
      <c r="I1342" s="31"/>
      <c r="J1342" s="31">
        <v>1489</v>
      </c>
      <c r="K1342" s="31" t="s">
        <v>54</v>
      </c>
      <c r="L1342" s="31">
        <v>3443.1</v>
      </c>
      <c r="M1342" s="31">
        <v>564.63</v>
      </c>
    </row>
    <row r="1343" spans="9:13" x14ac:dyDescent="0.15">
      <c r="I1343" s="31"/>
      <c r="J1343" s="31">
        <v>1490</v>
      </c>
      <c r="K1343" s="31" t="s">
        <v>54</v>
      </c>
      <c r="L1343" s="31">
        <v>3421</v>
      </c>
      <c r="M1343" s="31">
        <v>737.26</v>
      </c>
    </row>
    <row r="1344" spans="9:13" x14ac:dyDescent="0.15">
      <c r="I1344" s="31"/>
      <c r="J1344" s="31">
        <v>1491</v>
      </c>
      <c r="K1344" s="31" t="s">
        <v>54</v>
      </c>
      <c r="L1344" s="31">
        <v>3444.8</v>
      </c>
      <c r="M1344" s="31">
        <v>913.6</v>
      </c>
    </row>
    <row r="1345" spans="9:13" x14ac:dyDescent="0.15">
      <c r="I1345" s="31"/>
      <c r="J1345" s="31">
        <v>1492</v>
      </c>
      <c r="K1345" s="31" t="s">
        <v>54</v>
      </c>
      <c r="L1345" s="31">
        <v>3483.4</v>
      </c>
      <c r="M1345" s="31">
        <v>397.65</v>
      </c>
    </row>
    <row r="1346" spans="9:13" x14ac:dyDescent="0.15">
      <c r="I1346" s="31"/>
      <c r="J1346" s="31">
        <v>1493</v>
      </c>
      <c r="K1346" s="31" t="s">
        <v>54</v>
      </c>
      <c r="L1346" s="31">
        <v>3557.5</v>
      </c>
      <c r="M1346" s="31">
        <v>447.16</v>
      </c>
    </row>
    <row r="1347" spans="9:13" x14ac:dyDescent="0.15">
      <c r="I1347" s="31"/>
      <c r="J1347" s="31">
        <v>1494</v>
      </c>
      <c r="K1347" s="31" t="s">
        <v>54</v>
      </c>
      <c r="L1347" s="31">
        <v>3466.2</v>
      </c>
      <c r="M1347" s="31">
        <v>509.88</v>
      </c>
    </row>
    <row r="1348" spans="9:13" x14ac:dyDescent="0.15">
      <c r="I1348" s="31"/>
      <c r="J1348" s="31">
        <v>1495</v>
      </c>
      <c r="K1348" s="31" t="s">
        <v>54</v>
      </c>
      <c r="L1348" s="31">
        <v>3333.1</v>
      </c>
      <c r="M1348" s="31">
        <v>563.03</v>
      </c>
    </row>
    <row r="1349" spans="9:13" x14ac:dyDescent="0.15">
      <c r="I1349" s="31"/>
      <c r="J1349" s="31">
        <v>1496</v>
      </c>
      <c r="K1349" s="31" t="s">
        <v>54</v>
      </c>
      <c r="L1349" s="31">
        <v>3289.3</v>
      </c>
      <c r="M1349" s="31">
        <v>732.59</v>
      </c>
    </row>
    <row r="1350" spans="9:13" x14ac:dyDescent="0.15">
      <c r="I1350" s="31"/>
      <c r="J1350" s="31">
        <v>1497</v>
      </c>
      <c r="K1350" s="31" t="s">
        <v>54</v>
      </c>
      <c r="L1350" s="31">
        <v>3303</v>
      </c>
      <c r="M1350" s="31">
        <v>903.04</v>
      </c>
    </row>
    <row r="1351" spans="9:13" x14ac:dyDescent="0.15">
      <c r="I1351" s="31"/>
      <c r="J1351" s="31">
        <v>1498</v>
      </c>
      <c r="K1351" s="31" t="s">
        <v>54</v>
      </c>
      <c r="L1351" s="31">
        <v>3483.4</v>
      </c>
      <c r="M1351" s="31">
        <v>397.65</v>
      </c>
    </row>
    <row r="1352" spans="9:13" x14ac:dyDescent="0.15">
      <c r="I1352" s="31"/>
      <c r="J1352" s="31">
        <v>1499</v>
      </c>
      <c r="K1352" s="31" t="s">
        <v>54</v>
      </c>
      <c r="L1352" s="31">
        <v>3539.1</v>
      </c>
      <c r="M1352" s="31">
        <v>447.71</v>
      </c>
    </row>
    <row r="1353" spans="9:13" x14ac:dyDescent="0.15">
      <c r="I1353" s="31"/>
      <c r="J1353" s="31">
        <v>1500</v>
      </c>
      <c r="K1353" s="31" t="s">
        <v>54</v>
      </c>
      <c r="L1353" s="31">
        <v>3394.6</v>
      </c>
      <c r="M1353" s="31">
        <v>510.68</v>
      </c>
    </row>
    <row r="1354" spans="9:13" x14ac:dyDescent="0.15">
      <c r="I1354" s="31"/>
      <c r="J1354" s="31">
        <v>1501</v>
      </c>
      <c r="K1354" s="31" t="s">
        <v>54</v>
      </c>
      <c r="L1354" s="31">
        <v>3226.1</v>
      </c>
      <c r="M1354" s="31">
        <v>561.16</v>
      </c>
    </row>
    <row r="1355" spans="9:13" x14ac:dyDescent="0.15">
      <c r="I1355" s="31"/>
      <c r="J1355" s="31">
        <v>1502</v>
      </c>
      <c r="K1355" s="31" t="s">
        <v>54</v>
      </c>
      <c r="L1355" s="31">
        <v>3163.5</v>
      </c>
      <c r="M1355" s="31">
        <v>727.55</v>
      </c>
    </row>
    <row r="1356" spans="9:13" x14ac:dyDescent="0.15">
      <c r="I1356" s="31"/>
      <c r="J1356" s="31">
        <v>1503</v>
      </c>
      <c r="K1356" s="31" t="s">
        <v>54</v>
      </c>
      <c r="L1356" s="31">
        <v>3169.4</v>
      </c>
      <c r="M1356" s="31">
        <v>892.22</v>
      </c>
    </row>
    <row r="1357" spans="9:13" x14ac:dyDescent="0.15">
      <c r="I1357" s="31"/>
      <c r="J1357" s="31">
        <v>1504</v>
      </c>
      <c r="K1357" s="31" t="s">
        <v>54</v>
      </c>
      <c r="L1357" s="31">
        <v>3483.4</v>
      </c>
      <c r="M1357" s="31">
        <v>397.65</v>
      </c>
    </row>
    <row r="1358" spans="9:13" x14ac:dyDescent="0.15">
      <c r="I1358" s="31"/>
      <c r="J1358" s="31">
        <v>1505</v>
      </c>
      <c r="K1358" s="31" t="s">
        <v>54</v>
      </c>
      <c r="L1358" s="31">
        <v>3520.5</v>
      </c>
      <c r="M1358" s="31">
        <v>448.32</v>
      </c>
    </row>
    <row r="1359" spans="9:13" x14ac:dyDescent="0.15">
      <c r="I1359" s="31"/>
      <c r="J1359" s="31">
        <v>1506</v>
      </c>
      <c r="K1359" s="31" t="s">
        <v>54</v>
      </c>
      <c r="L1359" s="31">
        <v>3323.7</v>
      </c>
      <c r="M1359" s="31">
        <v>511.48</v>
      </c>
    </row>
    <row r="1360" spans="9:13" x14ac:dyDescent="0.15">
      <c r="I1360" s="31"/>
      <c r="J1360" s="31">
        <v>1507</v>
      </c>
      <c r="K1360" s="31" t="s">
        <v>54</v>
      </c>
      <c r="L1360" s="31">
        <v>3122.2</v>
      </c>
      <c r="M1360" s="31">
        <v>559.02</v>
      </c>
    </row>
    <row r="1361" spans="9:13" x14ac:dyDescent="0.15">
      <c r="I1361" s="31"/>
      <c r="J1361" s="31">
        <v>1508</v>
      </c>
      <c r="K1361" s="31" t="s">
        <v>54</v>
      </c>
      <c r="L1361" s="31">
        <v>3043.4</v>
      </c>
      <c r="M1361" s="31">
        <v>722.16</v>
      </c>
    </row>
    <row r="1362" spans="9:13" x14ac:dyDescent="0.15">
      <c r="I1362" s="31"/>
      <c r="J1362" s="31">
        <v>1509</v>
      </c>
      <c r="K1362" s="31" t="s">
        <v>54</v>
      </c>
      <c r="L1362" s="31">
        <v>3043.4</v>
      </c>
      <c r="M1362" s="31">
        <v>881.16</v>
      </c>
    </row>
    <row r="1363" spans="9:13" x14ac:dyDescent="0.15">
      <c r="I1363" s="31"/>
      <c r="J1363" s="31">
        <v>1510</v>
      </c>
      <c r="K1363" s="31" t="s">
        <v>54</v>
      </c>
      <c r="L1363" s="31">
        <v>3483.4</v>
      </c>
      <c r="M1363" s="31">
        <v>397.65</v>
      </c>
    </row>
    <row r="1364" spans="9:13" x14ac:dyDescent="0.15">
      <c r="I1364" s="31"/>
      <c r="J1364" s="31">
        <v>1511</v>
      </c>
      <c r="K1364" s="31" t="s">
        <v>54</v>
      </c>
      <c r="L1364" s="31">
        <v>3501.6</v>
      </c>
      <c r="M1364" s="31">
        <v>449</v>
      </c>
    </row>
    <row r="1365" spans="9:13" x14ac:dyDescent="0.15">
      <c r="I1365" s="31"/>
      <c r="J1365" s="31">
        <v>1512</v>
      </c>
      <c r="K1365" s="31" t="s">
        <v>54</v>
      </c>
      <c r="L1365" s="31">
        <v>3253.3</v>
      </c>
      <c r="M1365" s="31">
        <v>512.27</v>
      </c>
    </row>
    <row r="1366" spans="9:13" x14ac:dyDescent="0.15">
      <c r="I1366" s="31"/>
      <c r="J1366" s="31">
        <v>1513</v>
      </c>
      <c r="K1366" s="31" t="s">
        <v>54</v>
      </c>
      <c r="L1366" s="31">
        <v>3021.2</v>
      </c>
      <c r="M1366" s="31">
        <v>556.59</v>
      </c>
    </row>
    <row r="1367" spans="9:13" x14ac:dyDescent="0.15">
      <c r="I1367" s="31"/>
      <c r="J1367" s="31">
        <v>1514</v>
      </c>
      <c r="K1367" s="31" t="s">
        <v>54</v>
      </c>
      <c r="L1367" s="31">
        <v>2928.8</v>
      </c>
      <c r="M1367" s="31">
        <v>716.44</v>
      </c>
    </row>
    <row r="1368" spans="9:13" x14ac:dyDescent="0.15">
      <c r="I1368" s="31"/>
      <c r="J1368" s="31">
        <v>1515</v>
      </c>
      <c r="K1368" s="31" t="s">
        <v>54</v>
      </c>
      <c r="L1368" s="31">
        <v>2924.6</v>
      </c>
      <c r="M1368" s="31">
        <v>869.9</v>
      </c>
    </row>
    <row r="1369" spans="9:13" x14ac:dyDescent="0.15">
      <c r="I1369" s="31"/>
      <c r="J1369" s="31">
        <v>1516</v>
      </c>
      <c r="K1369" s="31" t="s">
        <v>54</v>
      </c>
      <c r="L1369" s="31">
        <v>3483.4</v>
      </c>
      <c r="M1369" s="31">
        <v>397.65</v>
      </c>
    </row>
    <row r="1370" spans="9:13" x14ac:dyDescent="0.15">
      <c r="I1370" s="31"/>
      <c r="J1370" s="31">
        <v>1517</v>
      </c>
      <c r="K1370" s="31" t="s">
        <v>54</v>
      </c>
      <c r="L1370" s="31">
        <v>3482.3</v>
      </c>
      <c r="M1370" s="31">
        <v>449.76</v>
      </c>
    </row>
    <row r="1371" spans="9:13" x14ac:dyDescent="0.15">
      <c r="I1371" s="31"/>
      <c r="J1371" s="31">
        <v>1518</v>
      </c>
      <c r="K1371" s="31" t="s">
        <v>54</v>
      </c>
      <c r="L1371" s="31">
        <v>3183.5</v>
      </c>
      <c r="M1371" s="31">
        <v>513.05999999999995</v>
      </c>
    </row>
    <row r="1372" spans="9:13" x14ac:dyDescent="0.15">
      <c r="I1372" s="31"/>
      <c r="J1372" s="31">
        <v>1519</v>
      </c>
      <c r="K1372" s="31" t="s">
        <v>54</v>
      </c>
      <c r="L1372" s="31">
        <v>2923.2</v>
      </c>
      <c r="M1372" s="31">
        <v>553.86</v>
      </c>
    </row>
    <row r="1373" spans="9:13" x14ac:dyDescent="0.15">
      <c r="I1373" s="31"/>
      <c r="J1373" s="31">
        <v>1520</v>
      </c>
      <c r="K1373" s="31" t="s">
        <v>54</v>
      </c>
      <c r="L1373" s="31">
        <v>2819.5</v>
      </c>
      <c r="M1373" s="31">
        <v>710.4</v>
      </c>
    </row>
    <row r="1374" spans="9:13" x14ac:dyDescent="0.15">
      <c r="I1374" s="31"/>
      <c r="J1374" s="31">
        <v>1521</v>
      </c>
      <c r="K1374" s="31" t="s">
        <v>54</v>
      </c>
      <c r="L1374" s="31">
        <v>2812.6</v>
      </c>
      <c r="M1374" s="31">
        <v>858.47</v>
      </c>
    </row>
    <row r="1375" spans="9:13" x14ac:dyDescent="0.15">
      <c r="I1375" s="31"/>
      <c r="J1375" s="31">
        <v>1522</v>
      </c>
      <c r="K1375" s="31" t="s">
        <v>54</v>
      </c>
      <c r="L1375" s="31">
        <v>3483.4</v>
      </c>
      <c r="M1375" s="31">
        <v>397.65</v>
      </c>
    </row>
    <row r="1376" spans="9:13" x14ac:dyDescent="0.15">
      <c r="I1376" s="31"/>
      <c r="J1376" s="31">
        <v>1523</v>
      </c>
      <c r="K1376" s="31" t="s">
        <v>54</v>
      </c>
      <c r="L1376" s="31">
        <v>3462.8</v>
      </c>
      <c r="M1376" s="31">
        <v>450.6</v>
      </c>
    </row>
    <row r="1377" spans="9:13" x14ac:dyDescent="0.15">
      <c r="I1377" s="31"/>
      <c r="J1377" s="31">
        <v>1524</v>
      </c>
      <c r="K1377" s="31" t="s">
        <v>54</v>
      </c>
      <c r="L1377" s="31">
        <v>3114.3</v>
      </c>
      <c r="M1377" s="31">
        <v>513.82000000000005</v>
      </c>
    </row>
    <row r="1378" spans="9:13" x14ac:dyDescent="0.15">
      <c r="I1378" s="31"/>
      <c r="J1378" s="31">
        <v>1525</v>
      </c>
      <c r="K1378" s="31" t="s">
        <v>54</v>
      </c>
      <c r="L1378" s="31">
        <v>2828.1</v>
      </c>
      <c r="M1378" s="31">
        <v>550.85</v>
      </c>
    </row>
    <row r="1379" spans="9:13" x14ac:dyDescent="0.15">
      <c r="I1379" s="31"/>
      <c r="J1379" s="31">
        <v>1526</v>
      </c>
      <c r="K1379" s="31" t="s">
        <v>54</v>
      </c>
      <c r="L1379" s="31">
        <v>2715.3</v>
      </c>
      <c r="M1379" s="31">
        <v>704.08</v>
      </c>
    </row>
    <row r="1380" spans="9:13" x14ac:dyDescent="0.15">
      <c r="I1380" s="31"/>
      <c r="J1380" s="31">
        <v>1527</v>
      </c>
      <c r="K1380" s="31" t="s">
        <v>54</v>
      </c>
      <c r="L1380" s="31">
        <v>2707</v>
      </c>
      <c r="M1380" s="31">
        <v>846.93</v>
      </c>
    </row>
    <row r="1381" spans="9:13" x14ac:dyDescent="0.15">
      <c r="I1381" s="31"/>
      <c r="J1381" s="31">
        <v>1528</v>
      </c>
      <c r="K1381" s="31" t="s">
        <v>54</v>
      </c>
      <c r="L1381" s="31">
        <v>3483.4</v>
      </c>
      <c r="M1381" s="31">
        <v>397.65</v>
      </c>
    </row>
    <row r="1382" spans="9:13" x14ac:dyDescent="0.15">
      <c r="I1382" s="31"/>
      <c r="J1382" s="31">
        <v>1529</v>
      </c>
      <c r="K1382" s="31" t="s">
        <v>54</v>
      </c>
      <c r="L1382" s="31">
        <v>3443</v>
      </c>
      <c r="M1382" s="31">
        <v>451.52</v>
      </c>
    </row>
    <row r="1383" spans="9:13" x14ac:dyDescent="0.15">
      <c r="I1383" s="31"/>
      <c r="J1383" s="31">
        <v>1530</v>
      </c>
      <c r="K1383" s="31" t="s">
        <v>54</v>
      </c>
      <c r="L1383" s="31">
        <v>3045.8</v>
      </c>
      <c r="M1383" s="31">
        <v>514.54999999999995</v>
      </c>
    </row>
    <row r="1384" spans="9:13" x14ac:dyDescent="0.15">
      <c r="I1384" s="31"/>
      <c r="J1384" s="31">
        <v>1531</v>
      </c>
      <c r="K1384" s="31" t="s">
        <v>54</v>
      </c>
      <c r="L1384" s="31">
        <v>2735.8</v>
      </c>
      <c r="M1384" s="31">
        <v>547.53</v>
      </c>
    </row>
    <row r="1385" spans="9:13" x14ac:dyDescent="0.15">
      <c r="I1385" s="31"/>
      <c r="J1385" s="31">
        <v>1532</v>
      </c>
      <c r="K1385" s="31" t="s">
        <v>54</v>
      </c>
      <c r="L1385" s="31">
        <v>2616</v>
      </c>
      <c r="M1385" s="31">
        <v>697.51</v>
      </c>
    </row>
    <row r="1386" spans="9:13" x14ac:dyDescent="0.15">
      <c r="I1386" s="31"/>
      <c r="J1386" s="31">
        <v>1533</v>
      </c>
      <c r="K1386" s="31" t="s">
        <v>54</v>
      </c>
      <c r="L1386" s="31">
        <v>2607.5</v>
      </c>
      <c r="M1386" s="31">
        <v>835.3</v>
      </c>
    </row>
    <row r="1387" spans="9:13" x14ac:dyDescent="0.15">
      <c r="I1387" s="31"/>
      <c r="J1387" s="31">
        <v>1534</v>
      </c>
      <c r="K1387" s="31" t="s">
        <v>54</v>
      </c>
      <c r="L1387" s="31">
        <v>3483.4</v>
      </c>
      <c r="M1387" s="31">
        <v>397.65</v>
      </c>
    </row>
    <row r="1388" spans="9:13" x14ac:dyDescent="0.15">
      <c r="I1388" s="31"/>
      <c r="J1388" s="31">
        <v>1535</v>
      </c>
      <c r="K1388" s="31" t="s">
        <v>54</v>
      </c>
      <c r="L1388" s="31">
        <v>3422.9</v>
      </c>
      <c r="M1388" s="31">
        <v>452.53</v>
      </c>
    </row>
    <row r="1389" spans="9:13" x14ac:dyDescent="0.15">
      <c r="I1389" s="31"/>
      <c r="J1389" s="31">
        <v>1536</v>
      </c>
      <c r="K1389" s="31" t="s">
        <v>54</v>
      </c>
      <c r="L1389" s="31">
        <v>2977.8</v>
      </c>
      <c r="M1389" s="31">
        <v>515.24</v>
      </c>
    </row>
    <row r="1390" spans="9:13" x14ac:dyDescent="0.15">
      <c r="I1390" s="31"/>
      <c r="J1390" s="31">
        <v>1537</v>
      </c>
      <c r="K1390" s="31" t="s">
        <v>54</v>
      </c>
      <c r="L1390" s="31">
        <v>2646.3</v>
      </c>
      <c r="M1390" s="31">
        <v>543.91999999999996</v>
      </c>
    </row>
    <row r="1391" spans="9:13" x14ac:dyDescent="0.15">
      <c r="I1391" s="31"/>
      <c r="J1391" s="31">
        <v>1538</v>
      </c>
      <c r="K1391" s="31" t="s">
        <v>54</v>
      </c>
      <c r="L1391" s="31">
        <v>2521.4</v>
      </c>
      <c r="M1391" s="31">
        <v>690.7</v>
      </c>
    </row>
    <row r="1392" spans="9:13" x14ac:dyDescent="0.15">
      <c r="I1392" s="31"/>
      <c r="J1392" s="31">
        <v>1539</v>
      </c>
      <c r="K1392" s="31" t="s">
        <v>54</v>
      </c>
      <c r="L1392" s="31">
        <v>2513.6</v>
      </c>
      <c r="M1392" s="31">
        <v>823.62</v>
      </c>
    </row>
    <row r="1393" spans="9:13" x14ac:dyDescent="0.15">
      <c r="I1393" s="31"/>
      <c r="J1393" s="31">
        <v>1540</v>
      </c>
      <c r="K1393" s="31" t="s">
        <v>54</v>
      </c>
      <c r="L1393" s="31">
        <v>3483.4</v>
      </c>
      <c r="M1393" s="31">
        <v>397.65</v>
      </c>
    </row>
    <row r="1394" spans="9:13" x14ac:dyDescent="0.15">
      <c r="I1394" s="31"/>
      <c r="J1394" s="31">
        <v>1541</v>
      </c>
      <c r="K1394" s="31" t="s">
        <v>54</v>
      </c>
      <c r="L1394" s="31">
        <v>3402.5</v>
      </c>
      <c r="M1394" s="31">
        <v>453.64</v>
      </c>
    </row>
    <row r="1395" spans="9:13" x14ac:dyDescent="0.15">
      <c r="I1395" s="31"/>
      <c r="J1395" s="31">
        <v>1542</v>
      </c>
      <c r="K1395" s="31" t="s">
        <v>54</v>
      </c>
      <c r="L1395" s="31">
        <v>2910.5</v>
      </c>
      <c r="M1395" s="31">
        <v>515.89</v>
      </c>
    </row>
    <row r="1396" spans="9:13" x14ac:dyDescent="0.15">
      <c r="I1396" s="31"/>
      <c r="J1396" s="31">
        <v>1543</v>
      </c>
      <c r="K1396" s="31" t="s">
        <v>54</v>
      </c>
      <c r="L1396" s="31">
        <v>2559.6</v>
      </c>
      <c r="M1396" s="31">
        <v>540.01</v>
      </c>
    </row>
    <row r="1397" spans="9:13" x14ac:dyDescent="0.15">
      <c r="I1397" s="31"/>
      <c r="J1397" s="31">
        <v>1544</v>
      </c>
      <c r="K1397" s="31" t="s">
        <v>54</v>
      </c>
      <c r="L1397" s="31">
        <v>2431.3000000000002</v>
      </c>
      <c r="M1397" s="31">
        <v>683.7</v>
      </c>
    </row>
    <row r="1398" spans="9:13" x14ac:dyDescent="0.15">
      <c r="I1398" s="31"/>
      <c r="J1398" s="31">
        <v>1545</v>
      </c>
      <c r="K1398" s="31" t="s">
        <v>54</v>
      </c>
      <c r="L1398" s="31">
        <v>2425</v>
      </c>
      <c r="M1398" s="31">
        <v>811.92</v>
      </c>
    </row>
    <row r="1399" spans="9:13" x14ac:dyDescent="0.15">
      <c r="I1399" s="31"/>
      <c r="J1399" s="31">
        <v>1546</v>
      </c>
      <c r="K1399" s="31" t="s">
        <v>54</v>
      </c>
      <c r="L1399" s="31">
        <v>3483.4</v>
      </c>
      <c r="M1399" s="31">
        <v>397.65</v>
      </c>
    </row>
    <row r="1400" spans="9:13" x14ac:dyDescent="0.15">
      <c r="I1400" s="31"/>
      <c r="J1400" s="31">
        <v>1547</v>
      </c>
      <c r="K1400" s="31" t="s">
        <v>54</v>
      </c>
      <c r="L1400" s="31">
        <v>3381.7</v>
      </c>
      <c r="M1400" s="31">
        <v>454.85</v>
      </c>
    </row>
    <row r="1401" spans="9:13" x14ac:dyDescent="0.15">
      <c r="I1401" s="31"/>
      <c r="J1401" s="31">
        <v>1548</v>
      </c>
      <c r="K1401" s="31" t="s">
        <v>54</v>
      </c>
      <c r="L1401" s="31">
        <v>2843.8</v>
      </c>
      <c r="M1401" s="31">
        <v>516.48</v>
      </c>
    </row>
    <row r="1402" spans="9:13" x14ac:dyDescent="0.15">
      <c r="I1402" s="31"/>
      <c r="J1402" s="31">
        <v>1549</v>
      </c>
      <c r="K1402" s="31" t="s">
        <v>54</v>
      </c>
      <c r="L1402" s="31">
        <v>2475.5</v>
      </c>
      <c r="M1402" s="31">
        <v>535.80999999999995</v>
      </c>
    </row>
    <row r="1403" spans="9:13" x14ac:dyDescent="0.15">
      <c r="I1403" s="31"/>
      <c r="J1403" s="31">
        <v>1550</v>
      </c>
      <c r="K1403" s="31" t="s">
        <v>54</v>
      </c>
      <c r="L1403" s="31">
        <v>2345.5</v>
      </c>
      <c r="M1403" s="31">
        <v>676.54</v>
      </c>
    </row>
    <row r="1404" spans="9:13" x14ac:dyDescent="0.15">
      <c r="I1404" s="31"/>
      <c r="J1404" s="31">
        <v>1551</v>
      </c>
      <c r="K1404" s="31" t="s">
        <v>54</v>
      </c>
      <c r="L1404" s="31">
        <v>2341.4</v>
      </c>
      <c r="M1404" s="31">
        <v>800.24</v>
      </c>
    </row>
    <row r="1405" spans="9:13" x14ac:dyDescent="0.15">
      <c r="I1405" s="31"/>
      <c r="J1405" s="31">
        <v>1552</v>
      </c>
      <c r="K1405" s="31" t="s">
        <v>54</v>
      </c>
      <c r="L1405" s="31">
        <v>3483.4</v>
      </c>
      <c r="M1405" s="31">
        <v>397.65</v>
      </c>
    </row>
    <row r="1406" spans="9:13" x14ac:dyDescent="0.15">
      <c r="I1406" s="31"/>
      <c r="J1406" s="31">
        <v>1553</v>
      </c>
      <c r="K1406" s="31" t="s">
        <v>54</v>
      </c>
      <c r="L1406" s="31">
        <v>3360.6</v>
      </c>
      <c r="M1406" s="31">
        <v>456.16</v>
      </c>
    </row>
    <row r="1407" spans="9:13" x14ac:dyDescent="0.15">
      <c r="I1407" s="31"/>
      <c r="J1407" s="31">
        <v>1554</v>
      </c>
      <c r="K1407" s="31" t="s">
        <v>54</v>
      </c>
      <c r="L1407" s="31">
        <v>2777.7</v>
      </c>
      <c r="M1407" s="31">
        <v>517.01</v>
      </c>
    </row>
    <row r="1408" spans="9:13" x14ac:dyDescent="0.15">
      <c r="I1408" s="31"/>
      <c r="J1408" s="31">
        <v>1555</v>
      </c>
      <c r="K1408" s="31" t="s">
        <v>54</v>
      </c>
      <c r="L1408" s="31">
        <v>2394.1999999999998</v>
      </c>
      <c r="M1408" s="31">
        <v>531.34</v>
      </c>
    </row>
    <row r="1409" spans="9:13" x14ac:dyDescent="0.15">
      <c r="I1409" s="31"/>
      <c r="J1409" s="31">
        <v>1556</v>
      </c>
      <c r="K1409" s="31" t="s">
        <v>54</v>
      </c>
      <c r="L1409" s="31">
        <v>2263.9</v>
      </c>
      <c r="M1409" s="31">
        <v>669.24</v>
      </c>
    </row>
    <row r="1410" spans="9:13" x14ac:dyDescent="0.15">
      <c r="I1410" s="31"/>
      <c r="J1410" s="31">
        <v>1557</v>
      </c>
      <c r="K1410" s="31" t="s">
        <v>54</v>
      </c>
      <c r="L1410" s="31">
        <v>2262.4</v>
      </c>
      <c r="M1410" s="31">
        <v>788.6</v>
      </c>
    </row>
    <row r="1411" spans="9:13" x14ac:dyDescent="0.15">
      <c r="I1411" s="31"/>
      <c r="J1411" s="31">
        <v>1558</v>
      </c>
      <c r="K1411" s="31" t="s">
        <v>54</v>
      </c>
      <c r="L1411" s="31">
        <v>3483.4</v>
      </c>
      <c r="M1411" s="31">
        <v>397.65</v>
      </c>
    </row>
    <row r="1412" spans="9:13" x14ac:dyDescent="0.15">
      <c r="I1412" s="31"/>
      <c r="J1412" s="31">
        <v>1559</v>
      </c>
      <c r="K1412" s="31" t="s">
        <v>54</v>
      </c>
      <c r="L1412" s="31">
        <v>3339.2</v>
      </c>
      <c r="M1412" s="31">
        <v>457.6</v>
      </c>
    </row>
    <row r="1413" spans="9:13" x14ac:dyDescent="0.15">
      <c r="I1413" s="31"/>
      <c r="J1413" s="31">
        <v>1560</v>
      </c>
      <c r="K1413" s="31" t="s">
        <v>54</v>
      </c>
      <c r="L1413" s="31">
        <v>2712.3</v>
      </c>
      <c r="M1413" s="31">
        <v>517.47</v>
      </c>
    </row>
    <row r="1414" spans="9:13" x14ac:dyDescent="0.15">
      <c r="I1414" s="31"/>
      <c r="J1414" s="31">
        <v>1561</v>
      </c>
      <c r="K1414" s="31" t="s">
        <v>54</v>
      </c>
      <c r="L1414" s="31">
        <v>2315.4</v>
      </c>
      <c r="M1414" s="31">
        <v>526.59</v>
      </c>
    </row>
    <row r="1415" spans="9:13" x14ac:dyDescent="0.15">
      <c r="I1415" s="31"/>
      <c r="J1415" s="31">
        <v>1562</v>
      </c>
      <c r="K1415" s="31" t="s">
        <v>54</v>
      </c>
      <c r="L1415" s="31">
        <v>2186.3000000000002</v>
      </c>
      <c r="M1415" s="31">
        <v>661.83</v>
      </c>
    </row>
    <row r="1416" spans="9:13" x14ac:dyDescent="0.15">
      <c r="I1416" s="31"/>
      <c r="J1416" s="31">
        <v>1563</v>
      </c>
      <c r="K1416" s="31" t="s">
        <v>54</v>
      </c>
      <c r="L1416" s="31">
        <v>2187.6999999999998</v>
      </c>
      <c r="M1416" s="31">
        <v>777.03</v>
      </c>
    </row>
    <row r="1417" spans="9:13" x14ac:dyDescent="0.15">
      <c r="J1417">
        <v>1413</v>
      </c>
      <c r="K1417" t="s">
        <v>54</v>
      </c>
      <c r="L1417" s="1">
        <v>2241.9</v>
      </c>
      <c r="M1417" s="1">
        <v>724.81</v>
      </c>
    </row>
  </sheetData>
  <conditionalFormatting sqref="D56:D17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N27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.83203125" defaultRowHeight="13" x14ac:dyDescent="0.15"/>
  <cols>
    <col min="1" max="1" width="10.5" customWidth="1"/>
    <col min="2" max="2" width="31.83203125" customWidth="1"/>
    <col min="3" max="3" width="7.1640625" customWidth="1"/>
    <col min="4" max="4" width="14.1640625" customWidth="1"/>
    <col min="5" max="6" width="10.5" customWidth="1"/>
    <col min="7" max="10" width="14.1640625" customWidth="1"/>
  </cols>
  <sheetData>
    <row r="1" spans="1:14" x14ac:dyDescent="0.15">
      <c r="A1" s="206" t="s">
        <v>280</v>
      </c>
      <c r="B1" s="206"/>
      <c r="C1" s="116" t="s">
        <v>280</v>
      </c>
      <c r="D1" s="206" t="s">
        <v>280</v>
      </c>
      <c r="E1" s="206" t="s">
        <v>280</v>
      </c>
      <c r="F1" s="206"/>
      <c r="G1" s="206"/>
      <c r="H1" s="206"/>
      <c r="I1" s="206"/>
      <c r="J1" s="206"/>
    </row>
    <row r="2" spans="1:14" s="71" customFormat="1" x14ac:dyDescent="0.15">
      <c r="A2" s="165" t="str">
        <f>pm.rep!A4</f>
        <v>Model_16.1</v>
      </c>
      <c r="B2" s="94" t="s">
        <v>280</v>
      </c>
      <c r="C2" s="166" t="s">
        <v>280</v>
      </c>
      <c r="D2" s="219" t="s">
        <v>963</v>
      </c>
      <c r="E2" s="165" t="s">
        <v>964</v>
      </c>
      <c r="F2" s="165" t="s">
        <v>969</v>
      </c>
      <c r="G2" s="165" t="s">
        <v>967</v>
      </c>
      <c r="H2" s="165" t="s">
        <v>965</v>
      </c>
      <c r="I2" s="165" t="s">
        <v>906</v>
      </c>
      <c r="J2" s="165" t="s">
        <v>907</v>
      </c>
      <c r="K2" s="165" t="s">
        <v>908</v>
      </c>
      <c r="L2" s="71" t="s">
        <v>909</v>
      </c>
      <c r="M2" s="71" t="s">
        <v>910</v>
      </c>
      <c r="N2" s="71" t="s">
        <v>859</v>
      </c>
    </row>
    <row r="3" spans="1:14" ht="16" x14ac:dyDescent="0.2">
      <c r="A3" s="42" t="s">
        <v>976</v>
      </c>
      <c r="B3" s="54" t="s">
        <v>276</v>
      </c>
      <c r="C3" s="67" t="s">
        <v>280</v>
      </c>
      <c r="D3" s="219" t="s">
        <v>963</v>
      </c>
      <c r="E3" s="42" t="s">
        <v>854</v>
      </c>
      <c r="F3" s="42" t="s">
        <v>970</v>
      </c>
      <c r="G3" s="42" t="s">
        <v>854</v>
      </c>
      <c r="H3" s="42" t="s">
        <v>854</v>
      </c>
      <c r="I3" s="42" t="s">
        <v>854</v>
      </c>
      <c r="J3" s="42" t="s">
        <v>854</v>
      </c>
      <c r="K3" s="42" t="s">
        <v>854</v>
      </c>
      <c r="L3" t="s">
        <v>854</v>
      </c>
      <c r="M3" t="s">
        <v>854</v>
      </c>
      <c r="N3" t="s">
        <v>860</v>
      </c>
    </row>
    <row r="4" spans="1:14" x14ac:dyDescent="0.15">
      <c r="A4" s="11">
        <f>Stdev!D748</f>
        <v>0.55305000000000004</v>
      </c>
      <c r="B4" s="116" t="s">
        <v>823</v>
      </c>
      <c r="C4" s="67" t="s">
        <v>280</v>
      </c>
      <c r="D4" s="11">
        <v>0.55772999999999995</v>
      </c>
      <c r="E4" s="11">
        <v>0.55305000000000004</v>
      </c>
      <c r="F4" s="11">
        <v>0.55103000000000002</v>
      </c>
      <c r="G4" s="11">
        <v>0.48953999999999998</v>
      </c>
      <c r="H4" s="11">
        <v>0.67242999999999997</v>
      </c>
      <c r="I4" s="11">
        <v>0.64436000000000004</v>
      </c>
      <c r="J4" s="11">
        <v>0.36809999999999998</v>
      </c>
      <c r="K4" s="11">
        <v>0.60587000000000002</v>
      </c>
      <c r="L4">
        <v>0.49086999999999997</v>
      </c>
      <c r="M4">
        <v>0.44772000000000001</v>
      </c>
      <c r="N4">
        <v>0.64385000000000003</v>
      </c>
    </row>
    <row r="5" spans="1:14" x14ac:dyDescent="0.15">
      <c r="A5" s="83">
        <f>StdDev!AI20</f>
        <v>1.6818971529950821E-2</v>
      </c>
      <c r="B5" s="71" t="s">
        <v>864</v>
      </c>
      <c r="C5" s="67"/>
      <c r="D5" s="83">
        <v>0.17069857137751471</v>
      </c>
      <c r="E5" s="83">
        <v>0.1411420717695899</v>
      </c>
      <c r="F5" s="83">
        <v>0.17253504223792249</v>
      </c>
      <c r="G5" s="83">
        <v>0.41460780038371164</v>
      </c>
      <c r="H5" s="83">
        <v>1.392725487600035E-3</v>
      </c>
      <c r="I5" s="83">
        <v>3.4223225418905036E-3</v>
      </c>
      <c r="J5" s="83">
        <v>0.8368615561622007</v>
      </c>
      <c r="K5" s="83">
        <v>9.0323763605158428E-3</v>
      </c>
      <c r="L5">
        <v>0.12071468363214501</v>
      </c>
      <c r="M5">
        <v>0.55134541064683262</v>
      </c>
      <c r="N5">
        <v>8.4926459460829655E-3</v>
      </c>
    </row>
    <row r="6" spans="1:14" x14ac:dyDescent="0.15">
      <c r="A6" s="83">
        <f>StdDev!AI21</f>
        <v>1.1427066314413108E-2</v>
      </c>
      <c r="B6" s="71" t="str">
        <f>StdDev!AJ21</f>
        <v>2016 SSB/B0, C = 1,000</v>
      </c>
      <c r="C6" s="67"/>
      <c r="D6" s="83">
        <v>0.14767628048954576</v>
      </c>
      <c r="E6" s="83">
        <v>0.12090636572210586</v>
      </c>
      <c r="F6" s="83">
        <v>0.17019374003617274</v>
      </c>
      <c r="G6" s="83">
        <v>0.37588887085510131</v>
      </c>
      <c r="H6" s="83">
        <v>1.4921789465957582E-3</v>
      </c>
      <c r="I6" s="83">
        <v>4.1508525781328185E-3</v>
      </c>
      <c r="J6" s="83">
        <v>0.80389875004188649</v>
      </c>
      <c r="K6" s="83">
        <v>9.0504265535652582E-3</v>
      </c>
      <c r="L6">
        <v>0.11534540968260158</v>
      </c>
      <c r="M6">
        <v>0.50118133908170948</v>
      </c>
      <c r="N6">
        <v>6.3594522302682661E-3</v>
      </c>
    </row>
    <row r="7" spans="1:14" x14ac:dyDescent="0.15">
      <c r="A7" s="83">
        <f>StdDev!AI22</f>
        <v>1.1867956472467574E-2</v>
      </c>
      <c r="B7" s="71" t="str">
        <f>StdDev!AJ22</f>
        <v>2016 SSB/B0, C = 1,300</v>
      </c>
      <c r="C7" s="67"/>
      <c r="D7" s="83">
        <v>0.15053249201071134</v>
      </c>
      <c r="E7" s="83">
        <v>0.12349898517926108</v>
      </c>
      <c r="F7" s="83">
        <v>0.17372738559741624</v>
      </c>
      <c r="G7" s="83">
        <v>0.37923130651406117</v>
      </c>
      <c r="H7" s="83">
        <v>1.5993689296607257E-3</v>
      </c>
      <c r="I7" s="83">
        <v>4.4272970263236813E-3</v>
      </c>
      <c r="J7" s="83">
        <v>0.80672026864802304</v>
      </c>
      <c r="K7" s="83">
        <v>9.5204228500251811E-3</v>
      </c>
      <c r="L7">
        <v>0.11803817912720112</v>
      </c>
      <c r="M7">
        <v>0.50647031566223666</v>
      </c>
      <c r="N7">
        <v>6.717268108343475E-3</v>
      </c>
    </row>
    <row r="8" spans="1:14" s="27" customFormat="1" x14ac:dyDescent="0.15">
      <c r="A8" s="43">
        <f>A15*0.35</f>
        <v>0</v>
      </c>
      <c r="B8" s="96" t="s">
        <v>10</v>
      </c>
      <c r="C8" s="117" t="s">
        <v>280</v>
      </c>
      <c r="D8" s="43">
        <v>2235.8595</v>
      </c>
      <c r="E8" s="43">
        <v>2229.1044999999999</v>
      </c>
      <c r="F8" s="43">
        <v>2162.7094999999999</v>
      </c>
      <c r="G8" s="43">
        <v>2228.6214999999997</v>
      </c>
      <c r="H8" s="43">
        <v>2232.8424999999997</v>
      </c>
      <c r="I8" s="43">
        <v>2231.348</v>
      </c>
      <c r="J8" s="43">
        <v>2223.62</v>
      </c>
      <c r="K8" s="43">
        <v>2231.0014999999999</v>
      </c>
      <c r="L8" s="27">
        <v>2227.0254999999997</v>
      </c>
      <c r="M8" s="27">
        <v>2228.0509999999999</v>
      </c>
      <c r="N8" s="27">
        <v>2212.2379999999998</v>
      </c>
    </row>
    <row r="9" spans="1:14" x14ac:dyDescent="0.15">
      <c r="A9" s="27">
        <f>Stdev!D87</f>
        <v>3611.1</v>
      </c>
      <c r="B9" s="92" t="s">
        <v>852</v>
      </c>
      <c r="C9" s="67" t="s">
        <v>280</v>
      </c>
      <c r="D9" s="27">
        <v>2674.8</v>
      </c>
      <c r="E9" s="27">
        <v>2687.8</v>
      </c>
      <c r="F9" s="27">
        <v>2517</v>
      </c>
      <c r="G9" s="27">
        <v>2682.9</v>
      </c>
      <c r="H9" s="27">
        <v>2728.6</v>
      </c>
      <c r="I9" s="27">
        <v>2711.9</v>
      </c>
      <c r="J9" s="27">
        <v>2644.4</v>
      </c>
      <c r="K9" s="27">
        <v>2688.6</v>
      </c>
      <c r="L9">
        <v>2641.3</v>
      </c>
      <c r="M9">
        <v>2663.5</v>
      </c>
      <c r="N9">
        <v>2692.1</v>
      </c>
    </row>
    <row r="10" spans="1:14" x14ac:dyDescent="0.15">
      <c r="A10" s="43">
        <f>Stdev!D53</f>
        <v>3490.3</v>
      </c>
      <c r="B10" s="92" t="s">
        <v>865</v>
      </c>
      <c r="C10" s="67" t="s">
        <v>280</v>
      </c>
      <c r="D10" s="43">
        <v>2638.3</v>
      </c>
      <c r="E10" s="43">
        <v>2649.5</v>
      </c>
      <c r="F10" s="43">
        <v>2514.1</v>
      </c>
      <c r="G10" s="43">
        <v>2645.5</v>
      </c>
      <c r="H10" s="43">
        <v>2683.9</v>
      </c>
      <c r="I10" s="43">
        <v>2669.7</v>
      </c>
      <c r="J10" s="43">
        <v>2614.8000000000002</v>
      </c>
      <c r="K10" s="43">
        <v>2650.8</v>
      </c>
      <c r="L10">
        <v>2612.9</v>
      </c>
      <c r="M10">
        <v>2629.5</v>
      </c>
      <c r="N10">
        <v>2631.1</v>
      </c>
    </row>
    <row r="11" spans="1:14" x14ac:dyDescent="0.15">
      <c r="A11" s="43">
        <f>Stdev!D629</f>
        <v>1948.1</v>
      </c>
      <c r="B11" s="92" t="s">
        <v>241</v>
      </c>
      <c r="C11" s="67" t="s">
        <v>280</v>
      </c>
      <c r="D11" s="43">
        <v>2146</v>
      </c>
      <c r="E11" s="43">
        <v>2122.4</v>
      </c>
      <c r="F11" s="43">
        <v>2058.3000000000002</v>
      </c>
      <c r="G11" s="43">
        <v>2525</v>
      </c>
      <c r="H11" s="43">
        <v>1677.4</v>
      </c>
      <c r="I11" s="43">
        <v>1755.7</v>
      </c>
      <c r="J11" s="43">
        <v>2470.6</v>
      </c>
      <c r="K11" s="43">
        <v>1834.3</v>
      </c>
      <c r="L11">
        <v>2180.5</v>
      </c>
      <c r="M11">
        <v>1614.9</v>
      </c>
      <c r="N11">
        <v>1731.1</v>
      </c>
    </row>
    <row r="12" spans="1:14" x14ac:dyDescent="0.15">
      <c r="A12" s="44">
        <f>Stdev!E629/Stdev!D629</f>
        <v>0.19830090857758842</v>
      </c>
      <c r="B12" s="92" t="s">
        <v>660</v>
      </c>
      <c r="C12" s="67" t="s">
        <v>280</v>
      </c>
      <c r="D12" s="44">
        <v>0.19355545200372787</v>
      </c>
      <c r="E12" s="44">
        <v>0.19295608744817186</v>
      </c>
      <c r="F12" s="44">
        <v>0.19514162172666763</v>
      </c>
      <c r="G12" s="44">
        <v>0.27409108910891089</v>
      </c>
      <c r="H12" s="44">
        <v>0.11401573864313819</v>
      </c>
      <c r="I12" s="44">
        <v>0.11852252662755595</v>
      </c>
      <c r="J12" s="44">
        <v>0.21433255079737715</v>
      </c>
      <c r="K12" s="44">
        <v>0.12918824619745953</v>
      </c>
      <c r="L12">
        <v>0.18403577161201559</v>
      </c>
      <c r="M12">
        <v>0.22792123351291099</v>
      </c>
      <c r="N12">
        <v>0.11869331638842355</v>
      </c>
    </row>
    <row r="13" spans="1:14" x14ac:dyDescent="0.15">
      <c r="A13" s="83">
        <f>A9/A11</f>
        <v>1.8536522765771779</v>
      </c>
      <c r="B13" s="92" t="s">
        <v>842</v>
      </c>
      <c r="C13" s="67"/>
      <c r="D13" s="83">
        <v>1.24641192917055</v>
      </c>
      <c r="E13" s="83">
        <v>1.2663965322276669</v>
      </c>
      <c r="F13" s="83">
        <v>1.2228538113977554</v>
      </c>
      <c r="G13" s="83">
        <v>1.0625346534653466</v>
      </c>
      <c r="H13" s="83">
        <v>1.6266841540479311</v>
      </c>
      <c r="I13" s="83">
        <v>1.5446260750697727</v>
      </c>
      <c r="J13" s="83">
        <v>1.0703472840605521</v>
      </c>
      <c r="K13" s="83">
        <v>1.4657362481600611</v>
      </c>
      <c r="L13">
        <v>1.2113276771382711</v>
      </c>
      <c r="M13">
        <v>1.6493281317728652</v>
      </c>
      <c r="N13">
        <v>1.5551383513373001</v>
      </c>
    </row>
    <row r="14" spans="1:14" x14ac:dyDescent="0.15">
      <c r="A14" s="43">
        <f>pm.rep!E864</f>
        <v>0</v>
      </c>
      <c r="B14" s="92" t="s">
        <v>114</v>
      </c>
      <c r="C14" s="67" t="s">
        <v>280</v>
      </c>
      <c r="D14" s="43">
        <v>5391.75</v>
      </c>
      <c r="E14" s="43">
        <v>5334.25</v>
      </c>
      <c r="F14" s="43">
        <v>5227.01</v>
      </c>
      <c r="G14" s="43">
        <v>6279.69</v>
      </c>
      <c r="H14" s="43">
        <v>4346.13</v>
      </c>
      <c r="I14" s="43">
        <v>4510.67</v>
      </c>
      <c r="J14" s="43">
        <v>8033.06</v>
      </c>
      <c r="K14" s="43">
        <v>4618</v>
      </c>
      <c r="L14">
        <v>5214.43</v>
      </c>
      <c r="M14">
        <v>6731.82</v>
      </c>
      <c r="N14">
        <v>4441.5600000000004</v>
      </c>
    </row>
    <row r="15" spans="1:14" x14ac:dyDescent="0.15">
      <c r="A15" s="43">
        <f>pm.rep!I864</f>
        <v>0</v>
      </c>
      <c r="B15" s="92" t="s">
        <v>502</v>
      </c>
      <c r="C15" s="67" t="s">
        <v>280</v>
      </c>
      <c r="D15" s="43">
        <v>6388.17</v>
      </c>
      <c r="E15" s="43">
        <v>6368.87</v>
      </c>
      <c r="F15" s="43">
        <v>6179.17</v>
      </c>
      <c r="G15" s="43">
        <v>6367.49</v>
      </c>
      <c r="H15" s="43">
        <v>6379.55</v>
      </c>
      <c r="I15" s="43">
        <v>6375.28</v>
      </c>
      <c r="J15" s="43">
        <v>6353.2</v>
      </c>
      <c r="K15" s="43">
        <v>6374.29</v>
      </c>
      <c r="L15">
        <v>6362.93</v>
      </c>
      <c r="M15">
        <v>6365.86</v>
      </c>
      <c r="N15">
        <v>6320.68</v>
      </c>
    </row>
    <row r="16" spans="1:14" x14ac:dyDescent="0.15">
      <c r="A16" s="83">
        <f>Stdev!D748</f>
        <v>0.55305000000000004</v>
      </c>
      <c r="B16" s="92" t="s">
        <v>843</v>
      </c>
      <c r="C16" s="67" t="s">
        <v>280</v>
      </c>
      <c r="D16" s="83">
        <v>0.55772999999999995</v>
      </c>
      <c r="E16" s="83">
        <v>0.55305000000000004</v>
      </c>
      <c r="F16" s="83">
        <v>0.55103000000000002</v>
      </c>
      <c r="G16" s="83">
        <v>0.48953999999999998</v>
      </c>
      <c r="H16" s="83">
        <v>0.67242999999999997</v>
      </c>
      <c r="I16" s="83">
        <v>0.64436000000000004</v>
      </c>
      <c r="J16" s="83">
        <v>0.36809999999999998</v>
      </c>
      <c r="K16" s="83">
        <v>0.60587000000000002</v>
      </c>
      <c r="L16">
        <v>0.49086999999999997</v>
      </c>
      <c r="M16">
        <v>0.44772000000000001</v>
      </c>
      <c r="N16">
        <v>0.64385000000000003</v>
      </c>
    </row>
    <row r="17" spans="1:14" x14ac:dyDescent="0.15">
      <c r="A17" s="44">
        <f>Stdev!E748/A16</f>
        <v>0.17934183166079015</v>
      </c>
      <c r="B17" s="92" t="s">
        <v>660</v>
      </c>
      <c r="C17" s="67" t="s">
        <v>280</v>
      </c>
      <c r="D17" s="44">
        <v>0.17978233195273699</v>
      </c>
      <c r="E17" s="44">
        <v>0.17934183166079015</v>
      </c>
      <c r="F17" s="44">
        <v>0.17612108233671486</v>
      </c>
      <c r="G17" s="44">
        <v>0.22760142174286066</v>
      </c>
      <c r="H17" s="44">
        <v>0.13023957884092024</v>
      </c>
      <c r="I17" s="44">
        <v>0.13191073313054813</v>
      </c>
      <c r="J17" s="44">
        <v>0.11494430861179028</v>
      </c>
      <c r="K17" s="44">
        <v>0.14286233020284878</v>
      </c>
      <c r="L17">
        <v>0.18573349359300834</v>
      </c>
      <c r="M17">
        <v>8.6817653890824631E-2</v>
      </c>
      <c r="N17">
        <v>0.14219616370272578</v>
      </c>
    </row>
    <row r="18" spans="1:14" x14ac:dyDescent="0.15">
      <c r="A18" s="43">
        <f>pm.rep!J864</f>
        <v>0</v>
      </c>
      <c r="B18" s="92" t="s">
        <v>151</v>
      </c>
      <c r="C18" s="67" t="s">
        <v>280</v>
      </c>
      <c r="D18" s="43">
        <v>2555.27</v>
      </c>
      <c r="E18" s="43">
        <v>2547.5500000000002</v>
      </c>
      <c r="F18" s="43">
        <v>2471.67</v>
      </c>
      <c r="G18" s="43">
        <v>2547</v>
      </c>
      <c r="H18" s="43">
        <v>2551.8200000000002</v>
      </c>
      <c r="I18" s="43">
        <v>2550.11</v>
      </c>
      <c r="J18" s="43">
        <v>2541.2800000000002</v>
      </c>
      <c r="K18" s="43">
        <v>2549.7199999999998</v>
      </c>
      <c r="L18">
        <v>2545.17</v>
      </c>
      <c r="M18">
        <v>2546.35</v>
      </c>
      <c r="N18">
        <v>2528.27</v>
      </c>
    </row>
    <row r="19" spans="1:14" x14ac:dyDescent="0.15">
      <c r="A19" s="151" t="s">
        <v>280</v>
      </c>
      <c r="B19" s="92" t="s">
        <v>660</v>
      </c>
      <c r="C19" s="67" t="s">
        <v>280</v>
      </c>
      <c r="D19" s="151" t="s">
        <v>280</v>
      </c>
      <c r="E19" s="151" t="s">
        <v>280</v>
      </c>
      <c r="F19" s="151" t="s">
        <v>280</v>
      </c>
      <c r="G19" s="151" t="s">
        <v>280</v>
      </c>
      <c r="H19" s="151" t="s">
        <v>280</v>
      </c>
      <c r="I19" s="151" t="s">
        <v>280</v>
      </c>
      <c r="J19" s="151" t="s">
        <v>280</v>
      </c>
      <c r="K19" s="151" t="s">
        <v>280</v>
      </c>
      <c r="L19" t="s">
        <v>280</v>
      </c>
      <c r="M19" t="s">
        <v>280</v>
      </c>
      <c r="N19" t="s">
        <v>280</v>
      </c>
    </row>
    <row r="20" spans="1:14" x14ac:dyDescent="0.15">
      <c r="A20" s="149" t="e">
        <f>A30/A18</f>
        <v>#DIV/0!</v>
      </c>
      <c r="B20" s="92" t="s">
        <v>153</v>
      </c>
      <c r="C20" s="67" t="s">
        <v>280</v>
      </c>
      <c r="D20" s="149">
        <v>1.0520218998383732</v>
      </c>
      <c r="E20" s="149">
        <v>1.060234342799945</v>
      </c>
      <c r="F20" s="149">
        <v>1.023720804152658</v>
      </c>
      <c r="G20" s="149">
        <v>1.0585394581861012</v>
      </c>
      <c r="H20" s="149">
        <v>1.0744488247603672</v>
      </c>
      <c r="I20" s="149">
        <v>1.0686205693087749</v>
      </c>
      <c r="J20" s="149">
        <v>1.045811559529056</v>
      </c>
      <c r="K20" s="149">
        <v>1.0596849850179628</v>
      </c>
      <c r="L20">
        <v>1.0429951633879073</v>
      </c>
      <c r="M20">
        <v>1.0511909203369529</v>
      </c>
      <c r="N20">
        <v>1.0700597641865781</v>
      </c>
    </row>
    <row r="21" spans="1:14" x14ac:dyDescent="0.15">
      <c r="A21" s="43">
        <f>Stdev!D335</f>
        <v>10337</v>
      </c>
      <c r="B21" s="92" t="s">
        <v>828</v>
      </c>
      <c r="C21" s="67" t="s">
        <v>280</v>
      </c>
      <c r="D21" s="43">
        <v>8217.2000000000007</v>
      </c>
      <c r="E21" s="43">
        <v>8261</v>
      </c>
      <c r="F21" s="43">
        <v>7926.3</v>
      </c>
      <c r="G21" s="43">
        <v>8248.7999999999993</v>
      </c>
      <c r="H21" s="43">
        <v>8363.7999999999993</v>
      </c>
      <c r="I21" s="43">
        <v>8321.7000000000007</v>
      </c>
      <c r="J21" s="43">
        <v>8153.1</v>
      </c>
      <c r="K21" s="43">
        <v>8263.9</v>
      </c>
      <c r="L21">
        <v>8145.8</v>
      </c>
      <c r="M21">
        <v>8200.7000000000007</v>
      </c>
      <c r="N21">
        <v>8186.6</v>
      </c>
    </row>
    <row r="22" spans="1:14" x14ac:dyDescent="0.15">
      <c r="A22" s="43">
        <f>Stdev!D336</f>
        <v>9804.9</v>
      </c>
      <c r="B22" s="92" t="s">
        <v>844</v>
      </c>
      <c r="C22" s="67" t="s">
        <v>280</v>
      </c>
      <c r="D22" s="43">
        <v>7997.4</v>
      </c>
      <c r="E22" s="43">
        <v>8045.3</v>
      </c>
      <c r="F22" s="43">
        <v>7632.1</v>
      </c>
      <c r="G22" s="43">
        <v>8031.8</v>
      </c>
      <c r="H22" s="43">
        <v>8154.8</v>
      </c>
      <c r="I22" s="43">
        <v>8110.3</v>
      </c>
      <c r="J22" s="43">
        <v>7934.4</v>
      </c>
      <c r="K22" s="43">
        <v>8049</v>
      </c>
      <c r="L22">
        <v>7925.3</v>
      </c>
      <c r="M22">
        <v>7983.1</v>
      </c>
      <c r="N22">
        <v>8072.1</v>
      </c>
    </row>
    <row r="23" spans="1:14" x14ac:dyDescent="0.15">
      <c r="A23" s="43">
        <f>Stdev!D337</f>
        <v>10970</v>
      </c>
      <c r="B23" s="92" t="s">
        <v>849</v>
      </c>
      <c r="C23" s="67"/>
      <c r="D23" s="43">
        <v>7725.9</v>
      </c>
      <c r="E23" s="43">
        <v>7778.4</v>
      </c>
      <c r="F23" s="43">
        <v>7287.3</v>
      </c>
      <c r="G23" s="43">
        <v>7764</v>
      </c>
      <c r="H23" s="43">
        <v>7890.2</v>
      </c>
      <c r="I23" s="43">
        <v>7845.2</v>
      </c>
      <c r="J23" s="43">
        <v>7674.7</v>
      </c>
      <c r="K23" s="43">
        <v>7784.5</v>
      </c>
      <c r="L23">
        <v>7664.8</v>
      </c>
      <c r="M23">
        <v>7719.4</v>
      </c>
      <c r="N23">
        <v>7868.7</v>
      </c>
    </row>
    <row r="24" spans="1:14" x14ac:dyDescent="0.15">
      <c r="A24" s="32">
        <f>A22/A21</f>
        <v>0.94852471703589047</v>
      </c>
      <c r="B24" s="92" t="s">
        <v>866</v>
      </c>
      <c r="C24" s="67" t="s">
        <v>280</v>
      </c>
      <c r="D24" s="32">
        <v>0.97325122912914364</v>
      </c>
      <c r="E24" s="32">
        <v>0.97388935964168988</v>
      </c>
      <c r="F24" s="32">
        <v>0.96288306019201897</v>
      </c>
      <c r="G24" s="32">
        <v>0.97369314324507816</v>
      </c>
      <c r="H24" s="32">
        <v>0.97501135847342124</v>
      </c>
      <c r="I24" s="32">
        <v>0.97459653676532432</v>
      </c>
      <c r="J24" s="32">
        <v>0.97317584722375527</v>
      </c>
      <c r="K24" s="32">
        <v>0.97399532908191055</v>
      </c>
      <c r="L24">
        <v>0.97293083552260062</v>
      </c>
      <c r="M24">
        <v>0.97346567975904497</v>
      </c>
      <c r="N24">
        <v>0.98601372975349966</v>
      </c>
    </row>
    <row r="25" spans="1:14" x14ac:dyDescent="0.15">
      <c r="A25" s="204">
        <f>Stdev!D437</f>
        <v>2714.1</v>
      </c>
      <c r="B25" s="92" t="s">
        <v>845</v>
      </c>
      <c r="C25" s="67" t="s">
        <v>280</v>
      </c>
      <c r="D25" s="204">
        <v>2701.3</v>
      </c>
      <c r="E25" s="204">
        <v>2714.1</v>
      </c>
      <c r="F25" s="204">
        <v>2543.5</v>
      </c>
      <c r="G25" s="204">
        <v>2709.2</v>
      </c>
      <c r="H25" s="204">
        <v>2754.8</v>
      </c>
      <c r="I25" s="204">
        <v>2738.2</v>
      </c>
      <c r="J25" s="204">
        <v>2670.8</v>
      </c>
      <c r="K25" s="204">
        <v>2714.9</v>
      </c>
      <c r="L25">
        <v>2667.7</v>
      </c>
      <c r="M25">
        <v>2689.8</v>
      </c>
      <c r="N25">
        <v>2718.5</v>
      </c>
    </row>
    <row r="26" spans="1:14" x14ac:dyDescent="0.15">
      <c r="A26" s="204">
        <f>Stdev!D438</f>
        <v>2833.9</v>
      </c>
      <c r="B26" s="92" t="s">
        <v>867</v>
      </c>
      <c r="C26" s="67"/>
      <c r="D26" s="204">
        <v>2812.3</v>
      </c>
      <c r="E26" s="204">
        <v>2833.9</v>
      </c>
      <c r="F26" s="204">
        <v>2625.7</v>
      </c>
      <c r="G26" s="204">
        <v>2829</v>
      </c>
      <c r="H26" s="204">
        <v>2877.1</v>
      </c>
      <c r="I26" s="204">
        <v>2859.4</v>
      </c>
      <c r="J26" s="204">
        <v>2789.5</v>
      </c>
      <c r="K26" s="204">
        <v>2834.9</v>
      </c>
      <c r="L26">
        <v>2785.7</v>
      </c>
      <c r="M26">
        <v>2808.5</v>
      </c>
      <c r="N26">
        <v>2839.4</v>
      </c>
    </row>
    <row r="27" spans="1:14" x14ac:dyDescent="0.15">
      <c r="A27" s="132">
        <f>Stdev!$D$630</f>
        <v>3494.8</v>
      </c>
      <c r="B27" s="92" t="s">
        <v>820</v>
      </c>
      <c r="C27" s="67" t="s">
        <v>280</v>
      </c>
      <c r="D27" s="132">
        <v>4043.4</v>
      </c>
      <c r="E27" s="132">
        <v>3959.1</v>
      </c>
      <c r="F27" s="132">
        <v>3804.3</v>
      </c>
      <c r="G27" s="132">
        <v>4761.7</v>
      </c>
      <c r="H27" s="132">
        <v>3021.2</v>
      </c>
      <c r="I27" s="132">
        <v>3194.8</v>
      </c>
      <c r="J27" s="132">
        <v>4863.8</v>
      </c>
      <c r="K27" s="132">
        <v>3414.2</v>
      </c>
      <c r="L27">
        <v>4258.7</v>
      </c>
      <c r="M27">
        <v>2993</v>
      </c>
      <c r="N27">
        <v>3129.1</v>
      </c>
    </row>
    <row r="28" spans="1:14" x14ac:dyDescent="0.15">
      <c r="A28" s="45">
        <f>A29/A11</f>
        <v>1.8714131718084288</v>
      </c>
      <c r="B28" s="92" t="s">
        <v>274</v>
      </c>
      <c r="C28" s="67" t="s">
        <v>280</v>
      </c>
      <c r="D28" s="45">
        <v>1.2587604846225537</v>
      </c>
      <c r="E28" s="45">
        <v>1.2787881643422541</v>
      </c>
      <c r="F28" s="45">
        <v>1.2357285138220861</v>
      </c>
      <c r="G28" s="45">
        <v>1.0729504950495048</v>
      </c>
      <c r="H28" s="45">
        <v>1.6423035650411351</v>
      </c>
      <c r="I28" s="45">
        <v>1.5596058552144443</v>
      </c>
      <c r="J28" s="45">
        <v>1.0810329474621549</v>
      </c>
      <c r="K28" s="45">
        <v>1.4800741427247452</v>
      </c>
      <c r="L28">
        <v>1.2234349919743177</v>
      </c>
      <c r="M28">
        <v>1.6656139699052572</v>
      </c>
      <c r="N28">
        <v>1.5703887701461499</v>
      </c>
    </row>
    <row r="29" spans="1:14" x14ac:dyDescent="0.15">
      <c r="A29" s="43">
        <f>StdDev!AT64</f>
        <v>3645.7</v>
      </c>
      <c r="B29" s="92" t="s">
        <v>868</v>
      </c>
      <c r="C29" s="67" t="s">
        <v>280</v>
      </c>
      <c r="D29" s="43">
        <v>2701.3</v>
      </c>
      <c r="E29" s="43">
        <v>2714.1</v>
      </c>
      <c r="F29" s="43">
        <v>2543.5</v>
      </c>
      <c r="G29" s="43">
        <v>2709.2</v>
      </c>
      <c r="H29" s="43">
        <v>2754.8</v>
      </c>
      <c r="I29" s="43">
        <v>2738.2</v>
      </c>
      <c r="J29" s="43">
        <v>2670.8</v>
      </c>
      <c r="K29" s="43">
        <v>2714.9</v>
      </c>
      <c r="L29">
        <v>2667.7</v>
      </c>
      <c r="M29">
        <v>2689.8</v>
      </c>
      <c r="N29">
        <v>2718.5</v>
      </c>
    </row>
    <row r="30" spans="1:14" x14ac:dyDescent="0.15">
      <c r="A30" s="43">
        <f>Stdev!D81</f>
        <v>3628.5</v>
      </c>
      <c r="B30" s="92" t="s">
        <v>869</v>
      </c>
      <c r="C30" s="67" t="s">
        <v>280</v>
      </c>
      <c r="D30" s="43">
        <v>2688.2</v>
      </c>
      <c r="E30" s="43">
        <v>2701</v>
      </c>
      <c r="F30" s="43">
        <v>2530.3000000000002</v>
      </c>
      <c r="G30" s="43">
        <v>2696.1</v>
      </c>
      <c r="H30" s="43">
        <v>2741.8</v>
      </c>
      <c r="I30" s="43">
        <v>2725.1</v>
      </c>
      <c r="J30" s="43">
        <v>2657.7</v>
      </c>
      <c r="K30" s="43">
        <v>2701.9</v>
      </c>
      <c r="L30">
        <v>2654.6</v>
      </c>
      <c r="M30">
        <v>2676.7</v>
      </c>
      <c r="N30">
        <v>2705.4</v>
      </c>
    </row>
    <row r="31" spans="1:14" x14ac:dyDescent="0.15">
      <c r="A31" s="44">
        <f>Stdev!E81/A30</f>
        <v>0.1227917872399063</v>
      </c>
      <c r="B31" s="94" t="s">
        <v>280</v>
      </c>
      <c r="C31" s="67" t="s">
        <v>280</v>
      </c>
      <c r="D31" s="44">
        <v>0.1512610668849044</v>
      </c>
      <c r="E31" s="44">
        <v>0.133639392817475</v>
      </c>
      <c r="F31" s="44">
        <v>0.13375884282496145</v>
      </c>
      <c r="G31" s="44">
        <v>0.134312525499796</v>
      </c>
      <c r="H31" s="44">
        <v>0.13120212998759939</v>
      </c>
      <c r="I31" s="44">
        <v>0.13179699827529268</v>
      </c>
      <c r="J31" s="44">
        <v>0.13183579787033903</v>
      </c>
      <c r="K31" s="44">
        <v>0.13181835004996484</v>
      </c>
      <c r="L31">
        <v>0.13190687862578168</v>
      </c>
      <c r="M31">
        <v>0.13157619456793815</v>
      </c>
      <c r="N31">
        <v>0.14978931026835218</v>
      </c>
    </row>
    <row r="32" spans="1:14" x14ac:dyDescent="0.15">
      <c r="A32" s="91" t="s">
        <v>280</v>
      </c>
      <c r="B32" s="21" t="s">
        <v>507</v>
      </c>
      <c r="C32" s="67" t="s">
        <v>280</v>
      </c>
      <c r="D32" s="91" t="s">
        <v>280</v>
      </c>
      <c r="E32" s="91" t="s">
        <v>280</v>
      </c>
      <c r="F32" s="91" t="s">
        <v>280</v>
      </c>
      <c r="G32" s="91" t="s">
        <v>280</v>
      </c>
      <c r="H32" s="91" t="s">
        <v>280</v>
      </c>
      <c r="I32" s="91" t="s">
        <v>280</v>
      </c>
      <c r="J32" s="91" t="s">
        <v>280</v>
      </c>
      <c r="K32" s="91" t="s">
        <v>280</v>
      </c>
      <c r="L32" t="s">
        <v>280</v>
      </c>
      <c r="M32" t="s">
        <v>280</v>
      </c>
      <c r="N32" t="s">
        <v>280</v>
      </c>
    </row>
    <row r="33" spans="1:14" x14ac:dyDescent="0.15">
      <c r="A33" s="43">
        <f>AVERAGE(A200:A248)</f>
        <v>22165.587959183675</v>
      </c>
      <c r="B33" s="92" t="s">
        <v>152</v>
      </c>
      <c r="C33" s="67" t="s">
        <v>280</v>
      </c>
      <c r="D33" s="43">
        <v>22132.618775510211</v>
      </c>
      <c r="E33" s="43">
        <v>22072.631020408156</v>
      </c>
      <c r="F33" s="43">
        <v>22080.217959183676</v>
      </c>
      <c r="G33" s="43">
        <v>22067.853469387755</v>
      </c>
      <c r="H33" s="43">
        <v>22102.853877551021</v>
      </c>
      <c r="I33" s="43">
        <v>22091.306938775517</v>
      </c>
      <c r="J33" s="43">
        <v>22058.589591836728</v>
      </c>
      <c r="K33" s="43">
        <v>22078.77612244898</v>
      </c>
      <c r="L33">
        <v>22074.858775510205</v>
      </c>
      <c r="M33">
        <v>22039.677959183668</v>
      </c>
      <c r="N33">
        <v>22030.596122448969</v>
      </c>
    </row>
    <row r="34" spans="1:14" x14ac:dyDescent="0.15">
      <c r="A34" s="46">
        <f>STDEV(pm.rep!B63:B109)/A33</f>
        <v>0.59622154963616847</v>
      </c>
      <c r="B34" s="92" t="s">
        <v>278</v>
      </c>
      <c r="C34" s="67" t="s">
        <v>280</v>
      </c>
      <c r="D34" s="46">
        <v>0.60944599846404357</v>
      </c>
      <c r="E34" s="46">
        <v>0.61174946590994794</v>
      </c>
      <c r="F34" s="46">
        <v>0.61187359931999152</v>
      </c>
      <c r="G34" s="46">
        <v>0.61262257630646211</v>
      </c>
      <c r="H34" s="46">
        <v>0.60745101580981908</v>
      </c>
      <c r="I34" s="46">
        <v>0.60907863505448501</v>
      </c>
      <c r="J34" s="46">
        <v>0.60713192944461392</v>
      </c>
      <c r="K34" s="46">
        <v>0.61183231747561395</v>
      </c>
      <c r="L34">
        <v>0.61119272325306062</v>
      </c>
      <c r="M34">
        <v>0.6117189819241885</v>
      </c>
      <c r="N34">
        <v>0.60693297176928651</v>
      </c>
    </row>
    <row r="35" spans="1:14" x14ac:dyDescent="0.15">
      <c r="A35" s="105" t="e">
        <f>Summary!$C$101</f>
        <v>#REF!</v>
      </c>
      <c r="B35" s="92" t="s">
        <v>18</v>
      </c>
      <c r="C35" s="67" t="s">
        <v>280</v>
      </c>
      <c r="D35" s="105">
        <v>0.60823449709666544</v>
      </c>
      <c r="E35" s="105">
        <v>0.61413578204729458</v>
      </c>
      <c r="F35" s="105">
        <v>0.61395271920161376</v>
      </c>
      <c r="G35" s="105">
        <v>0.61569573862207971</v>
      </c>
      <c r="H35" s="105">
        <v>0.60655671825408575</v>
      </c>
      <c r="I35" s="105">
        <v>0.60931155125191028</v>
      </c>
      <c r="J35" s="105">
        <v>0.60982331150942526</v>
      </c>
      <c r="K35" s="105">
        <v>0.61068595398672987</v>
      </c>
      <c r="L35">
        <v>0.61135216488169708</v>
      </c>
      <c r="M35">
        <v>0.6111377106857615</v>
      </c>
      <c r="N35">
        <v>0.60917922786256307</v>
      </c>
    </row>
    <row r="36" spans="1:14" x14ac:dyDescent="0.15">
      <c r="A36" s="105">
        <f>pm.rep!H4</f>
        <v>0.9</v>
      </c>
      <c r="B36" s="92" t="s">
        <v>19</v>
      </c>
      <c r="C36" s="67" t="s">
        <v>280</v>
      </c>
      <c r="D36" s="105">
        <v>0.9</v>
      </c>
      <c r="E36" s="105">
        <v>0.9</v>
      </c>
      <c r="F36" s="105">
        <v>0.9</v>
      </c>
      <c r="G36" s="105">
        <v>1.05</v>
      </c>
      <c r="H36" s="105">
        <v>0.60601099999999997</v>
      </c>
      <c r="I36" s="105">
        <v>0.67430400000000001</v>
      </c>
      <c r="J36" s="105">
        <v>0.67430400000000001</v>
      </c>
      <c r="K36" s="105">
        <v>0.67430400000000001</v>
      </c>
      <c r="L36">
        <v>0.67430400000000001</v>
      </c>
      <c r="M36">
        <v>0.67430400000000001</v>
      </c>
      <c r="N36">
        <v>0.67430400000000001</v>
      </c>
    </row>
    <row r="37" spans="1:14" x14ac:dyDescent="0.15">
      <c r="A37" s="43">
        <f>AVERAGE(pm.rep!B77:B111)</f>
        <v>23640.469999999998</v>
      </c>
      <c r="B37" s="93" t="s">
        <v>288</v>
      </c>
      <c r="C37" s="67" t="s">
        <v>280</v>
      </c>
      <c r="D37" s="43">
        <v>23511.355142857148</v>
      </c>
      <c r="E37" s="43">
        <v>23436.37571428571</v>
      </c>
      <c r="F37" s="43">
        <v>23448.390857142855</v>
      </c>
      <c r="G37" s="43">
        <v>23431.730857142862</v>
      </c>
      <c r="H37" s="43">
        <v>23473.469428571425</v>
      </c>
      <c r="I37" s="43">
        <v>23458.56342857143</v>
      </c>
      <c r="J37" s="43">
        <v>23377.296857142854</v>
      </c>
      <c r="K37" s="43">
        <v>23455.945142857145</v>
      </c>
      <c r="L37">
        <v>23414.24771428571</v>
      </c>
      <c r="M37">
        <v>23425.495428571427</v>
      </c>
      <c r="N37">
        <v>23257.655999999995</v>
      </c>
    </row>
    <row r="38" spans="1:14" x14ac:dyDescent="0.15">
      <c r="A38" s="46">
        <f>STDEV(pm.rep!B77:B109)/A37</f>
        <v>0.63470445297970879</v>
      </c>
      <c r="B38" s="92" t="s">
        <v>289</v>
      </c>
      <c r="C38" s="67" t="s">
        <v>280</v>
      </c>
      <c r="D38" s="46">
        <v>0.64340879957047903</v>
      </c>
      <c r="E38" s="46">
        <v>0.64666983536903799</v>
      </c>
      <c r="F38" s="46">
        <v>0.64668888625343368</v>
      </c>
      <c r="G38" s="46">
        <v>0.64770162056513125</v>
      </c>
      <c r="H38" s="46">
        <v>0.64136487378962526</v>
      </c>
      <c r="I38" s="46">
        <v>0.64339841775279416</v>
      </c>
      <c r="J38" s="46">
        <v>0.64255533751412419</v>
      </c>
      <c r="K38" s="46">
        <v>0.64640836445040628</v>
      </c>
      <c r="L38">
        <v>0.64690626533057882</v>
      </c>
      <c r="M38">
        <v>0.64586576023579878</v>
      </c>
      <c r="N38">
        <v>0.64672450553653316</v>
      </c>
    </row>
    <row r="39" spans="1:14" x14ac:dyDescent="0.15">
      <c r="A39" s="43">
        <f>$A$237</f>
        <v>35963.4</v>
      </c>
      <c r="B39" s="92" t="s">
        <v>411</v>
      </c>
      <c r="C39" s="67" t="s">
        <v>280</v>
      </c>
      <c r="D39" s="43">
        <v>36129.5</v>
      </c>
      <c r="E39" s="43">
        <v>35783.599999999999</v>
      </c>
      <c r="F39" s="43">
        <v>35790.800000000003</v>
      </c>
      <c r="G39" s="43">
        <v>35773.800000000003</v>
      </c>
      <c r="H39" s="43">
        <v>35857.699999999997</v>
      </c>
      <c r="I39" s="43">
        <v>35827.4</v>
      </c>
      <c r="J39" s="43">
        <v>35740.1</v>
      </c>
      <c r="K39" s="43">
        <v>35808.300000000003</v>
      </c>
      <c r="L39">
        <v>35785</v>
      </c>
      <c r="M39">
        <v>35730.699999999997</v>
      </c>
      <c r="N39">
        <v>35894.1</v>
      </c>
    </row>
    <row r="40" spans="1:14" x14ac:dyDescent="0.15">
      <c r="A40" s="57">
        <f>Stdev!E399/Stdev!D399</f>
        <v>4.6751087234586854E-2</v>
      </c>
      <c r="B40" s="92" t="s">
        <v>536</v>
      </c>
      <c r="C40" s="67" t="s">
        <v>280</v>
      </c>
      <c r="D40" s="57">
        <v>4.5655413172123127E-2</v>
      </c>
      <c r="E40" s="57">
        <v>4.5682378911829635E-2</v>
      </c>
      <c r="F40" s="57">
        <v>4.5692154571811854E-2</v>
      </c>
      <c r="G40" s="57">
        <v>4.5665916175961205E-2</v>
      </c>
      <c r="H40" s="57">
        <v>4.5860147713039347E-2</v>
      </c>
      <c r="I40" s="57">
        <v>4.5759121563202491E-2</v>
      </c>
      <c r="J40" s="57">
        <v>4.5711813067935959E-2</v>
      </c>
      <c r="K40" s="57">
        <v>4.5710084760422071E-2</v>
      </c>
      <c r="L40">
        <v>4.5708479266658011E-2</v>
      </c>
      <c r="M40">
        <v>4.5654150967909576E-2</v>
      </c>
      <c r="N40">
        <v>4.8296715249075479E-2</v>
      </c>
    </row>
    <row r="41" spans="1:14" x14ac:dyDescent="0.15">
      <c r="A41" s="82">
        <f>Stdev!$D$404</f>
        <v>27094</v>
      </c>
      <c r="B41" s="92" t="s">
        <v>535</v>
      </c>
      <c r="C41" s="67" t="s">
        <v>280</v>
      </c>
      <c r="D41" s="82">
        <v>25812</v>
      </c>
      <c r="E41" s="82">
        <v>24874</v>
      </c>
      <c r="F41" s="82">
        <v>24924</v>
      </c>
      <c r="G41" s="82">
        <v>24854</v>
      </c>
      <c r="H41" s="82">
        <v>25005</v>
      </c>
      <c r="I41" s="82">
        <v>24953</v>
      </c>
      <c r="J41" s="82">
        <v>24881</v>
      </c>
      <c r="K41" s="82">
        <v>24924</v>
      </c>
      <c r="L41">
        <v>24887</v>
      </c>
      <c r="M41">
        <v>24875</v>
      </c>
      <c r="N41">
        <v>25191</v>
      </c>
    </row>
    <row r="42" spans="1:14" x14ac:dyDescent="0.15">
      <c r="A42" s="57">
        <f>Stdev!E404/A41</f>
        <v>6.4796633941093959E-2</v>
      </c>
      <c r="B42" s="92" t="s">
        <v>431</v>
      </c>
      <c r="C42" s="67" t="s">
        <v>280</v>
      </c>
      <c r="D42" s="57">
        <v>8.4243762591042923E-2</v>
      </c>
      <c r="E42" s="57">
        <v>6.8099220069148508E-2</v>
      </c>
      <c r="F42" s="57">
        <v>6.8403948001925854E-2</v>
      </c>
      <c r="G42" s="57">
        <v>6.8105737507041117E-2</v>
      </c>
      <c r="H42" s="57">
        <v>6.8358328334333127E-2</v>
      </c>
      <c r="I42" s="57">
        <v>6.8164148599366814E-2</v>
      </c>
      <c r="J42" s="57">
        <v>6.784695148908805E-2</v>
      </c>
      <c r="K42" s="57">
        <v>6.7962606323222596E-2</v>
      </c>
      <c r="L42">
        <v>6.7738176558042346E-2</v>
      </c>
      <c r="M42">
        <v>6.7815075376884429E-2</v>
      </c>
      <c r="N42">
        <v>0.10649041324282481</v>
      </c>
    </row>
    <row r="43" spans="1:14" s="27" customFormat="1" x14ac:dyDescent="0.15">
      <c r="A43" s="82">
        <f>Stdev!D406</f>
        <v>62011</v>
      </c>
      <c r="B43" s="92" t="s">
        <v>676</v>
      </c>
      <c r="C43" s="67" t="s">
        <v>280</v>
      </c>
      <c r="D43" s="82">
        <v>45155</v>
      </c>
      <c r="E43" s="82">
        <v>47221</v>
      </c>
      <c r="F43" s="82">
        <v>47396</v>
      </c>
      <c r="G43" s="82">
        <v>47242</v>
      </c>
      <c r="H43" s="82">
        <v>47353</v>
      </c>
      <c r="I43" s="82">
        <v>47278</v>
      </c>
      <c r="J43" s="82">
        <v>46454</v>
      </c>
      <c r="K43" s="82">
        <v>46998</v>
      </c>
      <c r="L43" s="27">
        <v>46405</v>
      </c>
      <c r="M43" s="27">
        <v>46717</v>
      </c>
      <c r="N43" s="27">
        <v>46489</v>
      </c>
    </row>
    <row r="44" spans="1:14" x14ac:dyDescent="0.15">
      <c r="A44" s="57">
        <f>Stdev!E406/A43</f>
        <v>9.1894986373385362E-2</v>
      </c>
      <c r="B44" s="92" t="s">
        <v>677</v>
      </c>
      <c r="C44" s="67" t="s">
        <v>280</v>
      </c>
      <c r="D44" s="57">
        <v>0.14690731923375042</v>
      </c>
      <c r="E44" s="57">
        <v>0.12396179665826645</v>
      </c>
      <c r="F44" s="57">
        <v>0.12378470757025908</v>
      </c>
      <c r="G44" s="57">
        <v>0.12422844079420854</v>
      </c>
      <c r="H44" s="57">
        <v>0.12314320106434649</v>
      </c>
      <c r="I44" s="57">
        <v>0.12336816278184357</v>
      </c>
      <c r="J44" s="57">
        <v>0.1225018297670814</v>
      </c>
      <c r="K44" s="57">
        <v>0.12306906676879867</v>
      </c>
      <c r="L44">
        <v>0.12244154724706388</v>
      </c>
      <c r="M44">
        <v>0.12264272106513689</v>
      </c>
      <c r="N44">
        <v>0.13311751166942717</v>
      </c>
    </row>
    <row r="45" spans="1:14" x14ac:dyDescent="0.15">
      <c r="A45" s="82">
        <f>Stdev!D409</f>
        <v>10626</v>
      </c>
      <c r="B45" s="92" t="s">
        <v>848</v>
      </c>
      <c r="C45" s="67"/>
      <c r="D45" s="82">
        <v>17463</v>
      </c>
      <c r="E45" s="82">
        <v>17892</v>
      </c>
      <c r="F45" s="82">
        <v>17903</v>
      </c>
      <c r="G45" s="82">
        <v>17870</v>
      </c>
      <c r="H45" s="82">
        <v>18012</v>
      </c>
      <c r="I45" s="82">
        <v>17968</v>
      </c>
      <c r="J45" s="82">
        <v>17907</v>
      </c>
      <c r="K45" s="82">
        <v>17931</v>
      </c>
      <c r="L45">
        <v>17896</v>
      </c>
      <c r="M45">
        <v>17889</v>
      </c>
      <c r="N45">
        <v>18279</v>
      </c>
    </row>
    <row r="46" spans="1:14" x14ac:dyDescent="0.15">
      <c r="A46" s="214">
        <f>Stdev!E409/Stdev!D409</f>
        <v>0.25534537925842277</v>
      </c>
      <c r="B46" s="92" t="s">
        <v>871</v>
      </c>
      <c r="C46" s="67"/>
      <c r="D46" s="214">
        <v>0.21203115157762126</v>
      </c>
      <c r="E46" s="214">
        <v>0.20860160965794769</v>
      </c>
      <c r="F46" s="214">
        <v>0.20859632463832878</v>
      </c>
      <c r="G46" s="214">
        <v>0.2088975937325126</v>
      </c>
      <c r="H46" s="214">
        <v>0.20731734399289362</v>
      </c>
      <c r="I46" s="214">
        <v>0.2077359750667854</v>
      </c>
      <c r="J46" s="214">
        <v>0.20720388674819903</v>
      </c>
      <c r="K46" s="214">
        <v>0.20785789972673024</v>
      </c>
      <c r="L46">
        <v>0.20763857845328565</v>
      </c>
      <c r="M46">
        <v>0.20761920733411593</v>
      </c>
      <c r="N46">
        <v>0.2108868100005471</v>
      </c>
    </row>
    <row r="47" spans="1:14" x14ac:dyDescent="0.15">
      <c r="A47" s="152">
        <f>pm.rep!C864</f>
        <v>0</v>
      </c>
      <c r="B47" s="95" t="s">
        <v>112</v>
      </c>
      <c r="C47" s="67" t="s">
        <v>280</v>
      </c>
      <c r="D47" s="152">
        <v>0.672678</v>
      </c>
      <c r="E47" s="152">
        <v>0.67459999999999998</v>
      </c>
      <c r="F47" s="152">
        <v>0.67198899999999995</v>
      </c>
      <c r="G47" s="152">
        <v>0.65528600000000004</v>
      </c>
      <c r="H47" s="152">
        <v>0.72589099999999995</v>
      </c>
      <c r="I47" s="152">
        <v>0.71237600000000001</v>
      </c>
      <c r="J47" s="152">
        <v>0.66413199999999994</v>
      </c>
      <c r="K47" s="152">
        <v>0.67777399999999999</v>
      </c>
      <c r="L47">
        <v>0.57783799999999996</v>
      </c>
      <c r="M47">
        <v>0.86771500000000001</v>
      </c>
      <c r="N47">
        <v>0.71216800000000002</v>
      </c>
    </row>
    <row r="48" spans="1:14" s="77" customFormat="1" x14ac:dyDescent="0.15">
      <c r="A48" s="74">
        <f>pm.rep!F4</f>
        <v>1.1169899999999999</v>
      </c>
      <c r="B48" s="89" t="s">
        <v>13</v>
      </c>
      <c r="C48" s="76" t="s">
        <v>280</v>
      </c>
      <c r="D48" s="74">
        <v>1.4480599999999999</v>
      </c>
      <c r="E48" s="74">
        <v>1.49329</v>
      </c>
      <c r="F48" s="74">
        <v>1.4928300000000001</v>
      </c>
      <c r="G48" s="74">
        <v>1.49447</v>
      </c>
      <c r="H48" s="74">
        <v>1.48661</v>
      </c>
      <c r="I48" s="74">
        <v>1.4892700000000001</v>
      </c>
      <c r="J48" s="74">
        <v>1.49146</v>
      </c>
      <c r="K48" s="74">
        <v>1.4891300000000001</v>
      </c>
      <c r="L48" s="77">
        <v>1.4865299999999999</v>
      </c>
      <c r="M48" s="77">
        <v>1.4934099999999999</v>
      </c>
      <c r="N48" s="77">
        <v>1.6816899999999999</v>
      </c>
    </row>
    <row r="49" spans="1:14" s="77" customFormat="1" x14ac:dyDescent="0.15">
      <c r="A49" s="74">
        <f t="array" ref="A49">AVERAGE(pm.rep!C4*pm.rep!F189:P215)</f>
        <v>0.86495800336700324</v>
      </c>
      <c r="B49" s="75" t="s">
        <v>57</v>
      </c>
      <c r="C49" s="76" t="s">
        <v>280</v>
      </c>
      <c r="D49" s="74">
        <v>1.2530832398340395</v>
      </c>
      <c r="E49" s="74">
        <v>1.2975632963626262</v>
      </c>
      <c r="F49" s="74">
        <v>1.2971088587628279</v>
      </c>
      <c r="G49" s="74">
        <v>1.2987510408651852</v>
      </c>
      <c r="H49" s="74">
        <v>1.2908035101227939</v>
      </c>
      <c r="I49" s="74">
        <v>1.2935068316513127</v>
      </c>
      <c r="J49" s="74">
        <v>1.2961068491674073</v>
      </c>
      <c r="K49" s="74">
        <v>1.2934198132767685</v>
      </c>
      <c r="L49" s="77">
        <v>1.2914047776674749</v>
      </c>
      <c r="M49" s="77">
        <v>1.2974225178929291</v>
      </c>
      <c r="N49" s="77">
        <v>1.5133269530011111</v>
      </c>
    </row>
    <row r="50" spans="1:14" s="77" customFormat="1" x14ac:dyDescent="0.15">
      <c r="A50" s="74">
        <f t="array" ref="A50">AVERAGE(pm.rep!D4*pm.rep!C239:G268)</f>
        <v>0.41322984777240002</v>
      </c>
      <c r="B50" s="75" t="s">
        <v>56</v>
      </c>
      <c r="C50" s="76" t="s">
        <v>280</v>
      </c>
      <c r="D50" s="74">
        <v>0.42114938820729991</v>
      </c>
      <c r="E50" s="74">
        <v>0.42565923493282681</v>
      </c>
      <c r="F50" s="74">
        <v>0.42553868804202671</v>
      </c>
      <c r="G50" s="74">
        <v>0.42577220282965322</v>
      </c>
      <c r="H50" s="74">
        <v>0.42501228718620021</v>
      </c>
      <c r="I50" s="74">
        <v>0.42526357205098636</v>
      </c>
      <c r="J50" s="74">
        <v>0.42581592733626689</v>
      </c>
      <c r="K50" s="74">
        <v>0.4252721392187333</v>
      </c>
      <c r="L50" s="77">
        <v>0.42526035817655999</v>
      </c>
      <c r="M50" s="77">
        <v>0.42571413020010695</v>
      </c>
      <c r="N50" s="77">
        <v>0.43095990305870674</v>
      </c>
    </row>
    <row r="51" spans="1:14" s="77" customFormat="1" x14ac:dyDescent="0.15">
      <c r="A51" s="74">
        <f t="array" ref="A51">AVERAGE(pm.rep!E4*pm.rep!F189:P215)</f>
        <v>0.77290744273267997</v>
      </c>
      <c r="B51" s="75" t="s">
        <v>53</v>
      </c>
      <c r="C51" s="76" t="s">
        <v>280</v>
      </c>
      <c r="D51" s="74">
        <v>0.98586083624121246</v>
      </c>
      <c r="E51" s="74">
        <v>1.0083496551110429</v>
      </c>
      <c r="F51" s="74">
        <v>1.008499547649562</v>
      </c>
      <c r="G51" s="74">
        <v>1.0071570639303706</v>
      </c>
      <c r="H51" s="74">
        <v>1.0156759182455894</v>
      </c>
      <c r="I51" s="74">
        <v>1.0125972810151513</v>
      </c>
      <c r="J51" s="74">
        <v>1.0048052271146133</v>
      </c>
      <c r="K51" s="74">
        <v>1.0025742775994946</v>
      </c>
      <c r="L51" s="77">
        <v>0.98936419273616194</v>
      </c>
      <c r="M51" s="77">
        <v>1.0092234498430972</v>
      </c>
      <c r="N51" s="77">
        <v>0.76708317173341078</v>
      </c>
    </row>
    <row r="52" spans="1:14" s="77" customFormat="1" x14ac:dyDescent="0.15">
      <c r="A52" s="74">
        <f t="array" ref="A52">AVERAGE(pm.rep!D4*pm.rep!D239:H268)+AVERAGE(pm.rep!C4*pm.rep!D189:H215)</f>
        <v>0.81447666147281306</v>
      </c>
      <c r="B52" s="75" t="s">
        <v>12</v>
      </c>
      <c r="C52" s="76" t="s">
        <v>280</v>
      </c>
      <c r="D52" s="74">
        <v>1.0247681669192334</v>
      </c>
      <c r="E52" s="74">
        <v>1.0418077084916486</v>
      </c>
      <c r="F52" s="74">
        <v>1.0415422421490668</v>
      </c>
      <c r="G52" s="74">
        <v>1.0422916045257393</v>
      </c>
      <c r="H52" s="74">
        <v>1.0393118594686888</v>
      </c>
      <c r="I52" s="74">
        <v>1.0402531778379585</v>
      </c>
      <c r="J52" s="74">
        <v>1.042092874626015</v>
      </c>
      <c r="K52" s="74">
        <v>1.0401224535308251</v>
      </c>
      <c r="L52" s="77">
        <v>1.0401837397185556</v>
      </c>
      <c r="M52" s="77">
        <v>1.0412364665740808</v>
      </c>
      <c r="N52" s="77">
        <v>1.2007996541045509</v>
      </c>
    </row>
    <row r="53" spans="1:14" s="77" customFormat="1" x14ac:dyDescent="0.15">
      <c r="A53" s="74">
        <f>pm.rep!$G$4</f>
        <v>4.1466999999999997E-2</v>
      </c>
      <c r="B53" s="108" t="s">
        <v>11</v>
      </c>
      <c r="C53" s="76" t="s">
        <v>280</v>
      </c>
      <c r="D53" s="74">
        <v>4.34113E-2</v>
      </c>
      <c r="E53" s="74">
        <v>4.3277000000000003E-2</v>
      </c>
      <c r="F53" s="74">
        <v>4.32436E-2</v>
      </c>
      <c r="G53" s="74">
        <v>4.3323599999999997E-2</v>
      </c>
      <c r="H53" s="74">
        <v>4.3023699999999998E-2</v>
      </c>
      <c r="I53" s="74">
        <v>4.3117500000000003E-2</v>
      </c>
      <c r="J53" s="74">
        <v>4.3275599999999997E-2</v>
      </c>
      <c r="K53" s="74">
        <v>4.3154600000000001E-2</v>
      </c>
      <c r="L53" s="77">
        <v>4.3251699999999997E-2</v>
      </c>
      <c r="M53" s="77">
        <v>4.32238E-2</v>
      </c>
      <c r="N53" s="77">
        <v>4.3528699999999997E-2</v>
      </c>
    </row>
    <row r="54" spans="1:14" x14ac:dyDescent="0.15">
      <c r="A54" s="58">
        <f>pm.rep!E524</f>
        <v>0.3</v>
      </c>
      <c r="B54" s="56" t="s">
        <v>97</v>
      </c>
      <c r="C54" s="67" t="s">
        <v>280</v>
      </c>
      <c r="D54" s="58">
        <v>0.3</v>
      </c>
      <c r="E54" s="58">
        <v>0.3</v>
      </c>
      <c r="F54" s="58">
        <v>0.3</v>
      </c>
      <c r="G54" s="58">
        <v>0.3</v>
      </c>
      <c r="H54" s="58">
        <v>0.3</v>
      </c>
      <c r="I54" s="58">
        <v>0.3</v>
      </c>
      <c r="J54" s="58">
        <v>0.3</v>
      </c>
      <c r="K54" s="58">
        <v>0.3</v>
      </c>
      <c r="L54">
        <v>0.3</v>
      </c>
      <c r="M54">
        <v>0.3</v>
      </c>
      <c r="N54">
        <v>0.3</v>
      </c>
    </row>
    <row r="55" spans="1:14" ht="16" x14ac:dyDescent="0.2">
      <c r="A55" s="46" t="str">
        <f>""</f>
        <v/>
      </c>
      <c r="B55" s="54" t="s">
        <v>279</v>
      </c>
      <c r="C55" s="67" t="s">
        <v>280</v>
      </c>
      <c r="D55" s="46" t="s">
        <v>280</v>
      </c>
      <c r="E55" s="46" t="s">
        <v>280</v>
      </c>
      <c r="F55" s="46" t="s">
        <v>280</v>
      </c>
      <c r="G55" s="46" t="s">
        <v>280</v>
      </c>
      <c r="H55" s="46" t="s">
        <v>280</v>
      </c>
      <c r="I55" s="46" t="s">
        <v>280</v>
      </c>
      <c r="J55" s="46" t="s">
        <v>280</v>
      </c>
      <c r="K55" s="46" t="s">
        <v>280</v>
      </c>
      <c r="L55" t="s">
        <v>280</v>
      </c>
      <c r="M55" t="s">
        <v>280</v>
      </c>
      <c r="N55" t="s">
        <v>280</v>
      </c>
    </row>
    <row r="56" spans="1:14" x14ac:dyDescent="0.15">
      <c r="A56" s="43">
        <f>Stdev!B805</f>
        <v>6064.11</v>
      </c>
      <c r="B56" s="42" t="s">
        <v>846</v>
      </c>
      <c r="C56" s="67" t="s">
        <v>280</v>
      </c>
      <c r="D56" s="43">
        <v>5412.96</v>
      </c>
      <c r="E56" s="43">
        <v>5390.77</v>
      </c>
      <c r="F56" s="43">
        <v>5023.91</v>
      </c>
      <c r="G56" s="43">
        <v>5382.54</v>
      </c>
      <c r="H56" s="43">
        <v>5462.76</v>
      </c>
      <c r="I56" s="43">
        <v>5433.23</v>
      </c>
      <c r="J56" s="43">
        <v>5311.2</v>
      </c>
      <c r="K56" s="43">
        <v>5391.2</v>
      </c>
      <c r="L56">
        <v>5306.03</v>
      </c>
      <c r="M56">
        <v>5345.6</v>
      </c>
      <c r="N56">
        <v>5368.93</v>
      </c>
    </row>
    <row r="57" spans="1:14" x14ac:dyDescent="0.15">
      <c r="A57" s="43">
        <f>Stdev!B806</f>
        <v>1</v>
      </c>
      <c r="B57" s="42" t="s">
        <v>872</v>
      </c>
      <c r="C57" s="67" t="s">
        <v>280</v>
      </c>
      <c r="D57" s="43">
        <v>5292.57</v>
      </c>
      <c r="E57" s="43">
        <v>5193.2299999999996</v>
      </c>
      <c r="F57" s="43">
        <v>4732.1400000000003</v>
      </c>
      <c r="G57" s="43">
        <v>5183.8999999999996</v>
      </c>
      <c r="H57" s="43">
        <v>5274.52</v>
      </c>
      <c r="I57" s="43">
        <v>5241.29</v>
      </c>
      <c r="J57" s="43">
        <v>5094.8599999999997</v>
      </c>
      <c r="K57" s="43">
        <v>5190.84</v>
      </c>
      <c r="L57">
        <v>5085.54</v>
      </c>
      <c r="M57">
        <v>5139.8</v>
      </c>
      <c r="N57">
        <v>5212.0600000000004</v>
      </c>
    </row>
    <row r="58" spans="1:14" s="21" customFormat="1" x14ac:dyDescent="0.15">
      <c r="A58" s="84">
        <f>Stdev!C795</f>
        <v>2929.07</v>
      </c>
      <c r="B58" s="209" t="s">
        <v>894</v>
      </c>
      <c r="C58" s="67" t="s">
        <v>280</v>
      </c>
      <c r="D58" s="84">
        <v>2511.9299999999998</v>
      </c>
      <c r="E58" s="84">
        <v>2528.4499999999998</v>
      </c>
      <c r="F58" s="84">
        <v>2308.4299999999998</v>
      </c>
      <c r="G58" s="84">
        <v>2309.13</v>
      </c>
      <c r="H58" s="84">
        <v>3274.89</v>
      </c>
      <c r="I58" s="84">
        <v>3053.34</v>
      </c>
      <c r="J58" s="84">
        <v>1542.27</v>
      </c>
      <c r="K58" s="84">
        <v>2583.81</v>
      </c>
      <c r="L58" s="21">
        <v>1652.93</v>
      </c>
      <c r="M58" s="21">
        <v>2657.92</v>
      </c>
      <c r="N58" s="21">
        <v>3029.56</v>
      </c>
    </row>
    <row r="59" spans="1:14" s="30" customFormat="1" x14ac:dyDescent="0.15">
      <c r="A59" s="84">
        <f>Stdev!C796</f>
        <v>2357.39</v>
      </c>
      <c r="B59" s="209" t="s">
        <v>895</v>
      </c>
      <c r="C59" s="86" t="s">
        <v>280</v>
      </c>
      <c r="D59" s="84">
        <v>2791.26</v>
      </c>
      <c r="E59" s="84">
        <v>2795.22</v>
      </c>
      <c r="F59" s="84">
        <v>2581.6799999999998</v>
      </c>
      <c r="G59" s="84">
        <v>2578.83</v>
      </c>
      <c r="H59" s="84">
        <v>3545.92</v>
      </c>
      <c r="I59" s="84">
        <v>3309.95</v>
      </c>
      <c r="J59" s="84">
        <v>1610.22</v>
      </c>
      <c r="K59" s="84">
        <v>2812.87</v>
      </c>
      <c r="L59" s="30">
        <v>1813.13</v>
      </c>
      <c r="M59" s="30">
        <v>2906.87</v>
      </c>
      <c r="N59" s="30">
        <v>3293.2</v>
      </c>
    </row>
    <row r="60" spans="1:14" s="89" customFormat="1" x14ac:dyDescent="0.15">
      <c r="A60" s="88">
        <f>Stdev!C797</f>
        <v>2868.7</v>
      </c>
      <c r="B60" s="210" t="s">
        <v>896</v>
      </c>
      <c r="C60" s="76" t="s">
        <v>280</v>
      </c>
      <c r="D60" s="88">
        <v>2456.0700000000002</v>
      </c>
      <c r="E60" s="88">
        <v>2435.8000000000002</v>
      </c>
      <c r="F60" s="88">
        <v>2174.37</v>
      </c>
      <c r="G60" s="88">
        <v>2201.06</v>
      </c>
      <c r="H60" s="88">
        <v>3162.04</v>
      </c>
      <c r="I60" s="88">
        <v>2945.48</v>
      </c>
      <c r="J60" s="88">
        <v>1474.02</v>
      </c>
      <c r="K60" s="88">
        <v>2487.7800000000002</v>
      </c>
      <c r="L60" s="89">
        <v>1584.25</v>
      </c>
      <c r="M60" s="89">
        <v>2555.59</v>
      </c>
      <c r="N60" s="89">
        <v>2941.04</v>
      </c>
    </row>
    <row r="61" spans="1:14" s="30" customFormat="1" x14ac:dyDescent="0.15">
      <c r="A61" s="88">
        <f>Stdev!C798</f>
        <v>3695.84</v>
      </c>
      <c r="B61" s="211" t="s">
        <v>897</v>
      </c>
      <c r="C61" s="86" t="s">
        <v>280</v>
      </c>
      <c r="D61" s="85">
        <v>2729.19</v>
      </c>
      <c r="E61" s="88">
        <v>2692.79</v>
      </c>
      <c r="F61" s="88">
        <v>2431.75</v>
      </c>
      <c r="G61" s="88">
        <v>2458.13</v>
      </c>
      <c r="H61" s="88">
        <v>3423.73</v>
      </c>
      <c r="I61" s="88">
        <v>3193.02</v>
      </c>
      <c r="J61" s="85">
        <v>1538.97</v>
      </c>
      <c r="K61" s="88">
        <v>2708.33</v>
      </c>
      <c r="L61" s="30">
        <v>1737.78</v>
      </c>
      <c r="M61" s="30">
        <v>2794.95</v>
      </c>
      <c r="N61" s="30">
        <v>3196.98</v>
      </c>
    </row>
    <row r="62" spans="1:14" s="89" customFormat="1" x14ac:dyDescent="0.15">
      <c r="A62" s="170">
        <f>A58/A56</f>
        <v>0.48301729355173312</v>
      </c>
      <c r="B62" s="212" t="s">
        <v>771</v>
      </c>
      <c r="C62" s="76"/>
      <c r="D62" s="170">
        <v>0.46405848186574439</v>
      </c>
      <c r="E62" s="170">
        <v>0.4690331807886442</v>
      </c>
      <c r="F62" s="170">
        <v>0.45948872491744475</v>
      </c>
      <c r="G62" s="170">
        <v>0.42900377888506175</v>
      </c>
      <c r="H62" s="170">
        <v>0.59949366254420833</v>
      </c>
      <c r="I62" s="170">
        <v>0.56197510504801018</v>
      </c>
      <c r="J62" s="170">
        <v>0.2903807049254406</v>
      </c>
      <c r="K62" s="170">
        <v>0.47926435672948509</v>
      </c>
      <c r="L62" s="89">
        <v>0.31151915839149047</v>
      </c>
      <c r="M62" s="89">
        <v>0.49721640227476799</v>
      </c>
      <c r="N62" s="89">
        <v>0.56427630831469211</v>
      </c>
    </row>
    <row r="63" spans="1:14" x14ac:dyDescent="0.15">
      <c r="A63" s="193">
        <f>(A59-A58)/A59</f>
        <v>-0.24250548275847456</v>
      </c>
      <c r="B63" s="213" t="s">
        <v>790</v>
      </c>
      <c r="C63" s="67" t="s">
        <v>280</v>
      </c>
      <c r="D63" s="193">
        <v>0.10007308527331756</v>
      </c>
      <c r="E63" s="193">
        <v>9.5437926173968415E-2</v>
      </c>
      <c r="F63" s="193">
        <v>0.10584193238511358</v>
      </c>
      <c r="G63" s="193">
        <v>0.10458231058270605</v>
      </c>
      <c r="H63" s="193">
        <v>7.6434324519447761E-2</v>
      </c>
      <c r="I63" s="193">
        <v>7.7526850858774213E-2</v>
      </c>
      <c r="J63" s="193">
        <v>4.2199202593434466E-2</v>
      </c>
      <c r="K63" s="193">
        <v>8.1432842612705156E-2</v>
      </c>
      <c r="L63">
        <v>8.8355495744927307E-2</v>
      </c>
      <c r="M63">
        <v>8.5641944772211973E-2</v>
      </c>
      <c r="N63">
        <v>8.005587270739703E-2</v>
      </c>
    </row>
    <row r="64" spans="1:14" x14ac:dyDescent="0.15">
      <c r="A64" s="171">
        <f>A59/A56</f>
        <v>0.38874459731106459</v>
      </c>
      <c r="B64" s="171" t="s">
        <v>898</v>
      </c>
      <c r="C64" s="67" t="s">
        <v>280</v>
      </c>
      <c r="D64" s="171">
        <v>0.51566241021548287</v>
      </c>
      <c r="E64" s="171">
        <v>0.5185196177911503</v>
      </c>
      <c r="F64" s="171">
        <v>0.51387863237995901</v>
      </c>
      <c r="G64" s="171">
        <v>0.47911023420169657</v>
      </c>
      <c r="H64" s="171">
        <v>0.64910777702113953</v>
      </c>
      <c r="I64" s="171">
        <v>0.60920483763801647</v>
      </c>
      <c r="J64" s="171">
        <v>0.30317442385901494</v>
      </c>
      <c r="K64" s="171">
        <v>0.52175211455705595</v>
      </c>
      <c r="L64">
        <v>0.3417112228916912</v>
      </c>
      <c r="M64">
        <v>0.54378741394791974</v>
      </c>
      <c r="N64">
        <v>0.61338106475591969</v>
      </c>
    </row>
    <row r="65" spans="1:14" x14ac:dyDescent="0.15">
      <c r="A65" s="153" t="s">
        <v>280</v>
      </c>
      <c r="B65" s="153" t="s">
        <v>847</v>
      </c>
      <c r="C65" s="67" t="s">
        <v>280</v>
      </c>
      <c r="D65" s="153" t="s">
        <v>280</v>
      </c>
      <c r="E65" s="153" t="s">
        <v>280</v>
      </c>
      <c r="F65" s="153" t="s">
        <v>280</v>
      </c>
      <c r="G65" s="153" t="s">
        <v>280</v>
      </c>
      <c r="H65" s="153" t="s">
        <v>280</v>
      </c>
      <c r="I65" s="153" t="s">
        <v>280</v>
      </c>
      <c r="J65" s="153" t="s">
        <v>280</v>
      </c>
      <c r="K65" s="153" t="s">
        <v>280</v>
      </c>
      <c r="L65" t="s">
        <v>280</v>
      </c>
      <c r="M65" t="s">
        <v>280</v>
      </c>
      <c r="N65" t="s">
        <v>280</v>
      </c>
    </row>
    <row r="66" spans="1:14" x14ac:dyDescent="0.15">
      <c r="A66" s="153" t="s">
        <v>280</v>
      </c>
      <c r="B66" s="153" t="s">
        <v>816</v>
      </c>
      <c r="C66" s="67" t="s">
        <v>280</v>
      </c>
      <c r="D66" s="153" t="s">
        <v>280</v>
      </c>
      <c r="E66" s="153" t="s">
        <v>280</v>
      </c>
      <c r="F66" s="153" t="s">
        <v>280</v>
      </c>
      <c r="G66" s="153" t="s">
        <v>280</v>
      </c>
      <c r="H66" s="153" t="s">
        <v>280</v>
      </c>
      <c r="I66" s="153" t="s">
        <v>280</v>
      </c>
      <c r="J66" s="153" t="s">
        <v>280</v>
      </c>
      <c r="K66" s="153" t="s">
        <v>280</v>
      </c>
      <c r="L66" t="s">
        <v>280</v>
      </c>
      <c r="M66" t="s">
        <v>280</v>
      </c>
      <c r="N66" t="s">
        <v>280</v>
      </c>
    </row>
    <row r="67" spans="1:14" x14ac:dyDescent="0.15">
      <c r="A67" s="43">
        <f>Stdev!D747</f>
        <v>1952.4</v>
      </c>
      <c r="B67" s="42" t="s">
        <v>277</v>
      </c>
      <c r="C67" s="67" t="s">
        <v>280</v>
      </c>
      <c r="D67" s="43">
        <v>1978</v>
      </c>
      <c r="E67" s="43">
        <v>1952.4</v>
      </c>
      <c r="F67" s="43">
        <v>1848.6</v>
      </c>
      <c r="G67" s="43">
        <v>2158.8000000000002</v>
      </c>
      <c r="H67" s="43">
        <v>1884.7</v>
      </c>
      <c r="I67" s="43">
        <v>1869.3</v>
      </c>
      <c r="J67" s="43">
        <v>1443.1</v>
      </c>
      <c r="K67" s="43">
        <v>1707.3</v>
      </c>
      <c r="L67">
        <v>1389.5</v>
      </c>
      <c r="M67">
        <v>1556.3</v>
      </c>
      <c r="N67">
        <v>1840.9</v>
      </c>
    </row>
    <row r="68" spans="1:14" x14ac:dyDescent="0.15">
      <c r="A68" s="70" t="str">
        <f>StdDev!E342</f>
        <v>0.493</v>
      </c>
      <c r="B68" s="42" t="s">
        <v>239</v>
      </c>
      <c r="C68" s="67" t="s">
        <v>280</v>
      </c>
      <c r="D68" s="70" t="s">
        <v>960</v>
      </c>
      <c r="E68" s="70" t="s">
        <v>962</v>
      </c>
      <c r="F68" s="70" t="s">
        <v>971</v>
      </c>
      <c r="G68" s="70" t="s">
        <v>968</v>
      </c>
      <c r="H68" s="70" t="s">
        <v>966</v>
      </c>
      <c r="I68" s="70" t="s">
        <v>902</v>
      </c>
      <c r="J68" s="70" t="s">
        <v>903</v>
      </c>
      <c r="K68" s="70" t="s">
        <v>899</v>
      </c>
      <c r="L68" t="s">
        <v>905</v>
      </c>
      <c r="M68" t="s">
        <v>900</v>
      </c>
      <c r="N68" t="s">
        <v>901</v>
      </c>
    </row>
    <row r="69" spans="1:14" x14ac:dyDescent="0.15">
      <c r="A69" s="44">
        <f>StdDev!F342/A68/2</f>
        <v>0.31681541582150102</v>
      </c>
      <c r="B69" s="66" t="s">
        <v>280</v>
      </c>
      <c r="C69" s="67" t="s">
        <v>280</v>
      </c>
      <c r="D69" s="44">
        <v>0.32484662576687118</v>
      </c>
      <c r="E69" s="44">
        <v>0.31681541582150102</v>
      </c>
      <c r="F69" s="44">
        <v>0.33442386831275722</v>
      </c>
      <c r="G69" s="44">
        <v>0.33262693156732892</v>
      </c>
      <c r="H69" s="44">
        <v>0.28189102564102564</v>
      </c>
      <c r="I69" s="44">
        <v>0.28411965811965811</v>
      </c>
      <c r="J69" s="44">
        <v>0.20745117845117847</v>
      </c>
      <c r="K69" s="44">
        <v>0.29148000000000002</v>
      </c>
      <c r="L69">
        <v>0.30438957055214722</v>
      </c>
      <c r="M69">
        <v>0.29921153846153847</v>
      </c>
      <c r="N69">
        <v>0.28901360544217691</v>
      </c>
    </row>
    <row r="70" spans="1:14" x14ac:dyDescent="0.15">
      <c r="A70" s="48">
        <f>Stdev!D591</f>
        <v>0.39268999999999998</v>
      </c>
      <c r="B70" s="42" t="s">
        <v>285</v>
      </c>
      <c r="C70" s="67" t="s">
        <v>280</v>
      </c>
      <c r="D70" s="48">
        <v>0.38921</v>
      </c>
      <c r="E70" s="48">
        <v>0.39268999999999998</v>
      </c>
      <c r="F70" s="48">
        <v>0.38170999999999999</v>
      </c>
      <c r="G70" s="48">
        <v>0.39256999999999997</v>
      </c>
      <c r="H70" s="48">
        <v>0.39352999999999999</v>
      </c>
      <c r="I70" s="48">
        <v>0.39319999999999999</v>
      </c>
      <c r="J70" s="48">
        <v>0.39188000000000001</v>
      </c>
      <c r="K70" s="48">
        <v>0.39277000000000001</v>
      </c>
      <c r="L70">
        <v>0.39184000000000002</v>
      </c>
      <c r="M70">
        <v>0.39227000000000001</v>
      </c>
      <c r="N70">
        <v>0.39422000000000001</v>
      </c>
    </row>
    <row r="71" spans="1:14" x14ac:dyDescent="0.15">
      <c r="A71" s="104">
        <f>Stdev!B807</f>
        <v>1</v>
      </c>
      <c r="B71" s="42" t="s">
        <v>819</v>
      </c>
      <c r="C71" s="67" t="s">
        <v>280</v>
      </c>
      <c r="D71" s="104">
        <v>1</v>
      </c>
      <c r="E71" s="104">
        <v>1</v>
      </c>
      <c r="F71" s="104">
        <v>1</v>
      </c>
      <c r="G71" s="104">
        <v>1</v>
      </c>
      <c r="H71" s="104">
        <v>1</v>
      </c>
      <c r="I71" s="104">
        <v>1</v>
      </c>
      <c r="J71" s="104">
        <v>1</v>
      </c>
      <c r="K71" s="104">
        <v>1</v>
      </c>
      <c r="L71">
        <v>1</v>
      </c>
      <c r="M71">
        <v>1</v>
      </c>
      <c r="N71">
        <v>1</v>
      </c>
    </row>
    <row r="72" spans="1:14" x14ac:dyDescent="0.15">
      <c r="A72" s="66" t="s">
        <v>280</v>
      </c>
      <c r="B72" s="21" t="s">
        <v>275</v>
      </c>
      <c r="C72" s="67" t="s">
        <v>280</v>
      </c>
      <c r="D72" s="66" t="s">
        <v>280</v>
      </c>
      <c r="E72" s="66" t="s">
        <v>280</v>
      </c>
      <c r="F72" s="66" t="s">
        <v>280</v>
      </c>
      <c r="G72" s="66" t="s">
        <v>280</v>
      </c>
      <c r="H72" s="66" t="s">
        <v>280</v>
      </c>
      <c r="I72" s="66" t="s">
        <v>280</v>
      </c>
      <c r="J72" s="66" t="s">
        <v>280</v>
      </c>
      <c r="K72" s="66" t="s">
        <v>280</v>
      </c>
      <c r="L72" t="s">
        <v>280</v>
      </c>
      <c r="M72" t="s">
        <v>280</v>
      </c>
      <c r="N72" t="s">
        <v>280</v>
      </c>
    </row>
    <row r="73" spans="1:14" x14ac:dyDescent="0.15">
      <c r="A73" s="49">
        <f>StdDev!I342</f>
        <v>0</v>
      </c>
      <c r="B73" s="42" t="s">
        <v>63</v>
      </c>
      <c r="C73" s="67" t="s">
        <v>280</v>
      </c>
      <c r="D73" s="49">
        <v>0.5752938299999999</v>
      </c>
      <c r="E73" s="49">
        <v>0.55005981999999998</v>
      </c>
      <c r="F73" s="49">
        <v>0.54258012</v>
      </c>
      <c r="G73" s="49">
        <v>0.50570202000000009</v>
      </c>
      <c r="H73" s="49">
        <v>0.69426240000000006</v>
      </c>
      <c r="I73" s="49">
        <v>0.65156130000000001</v>
      </c>
      <c r="J73" s="49">
        <v>0.33053723999999995</v>
      </c>
      <c r="K73" s="49">
        <v>0.55684</v>
      </c>
      <c r="L73">
        <v>0.36243376000000005</v>
      </c>
      <c r="M73">
        <v>0.57983640000000003</v>
      </c>
      <c r="N73">
        <v>0.67421843999999997</v>
      </c>
    </row>
    <row r="74" spans="1:14" x14ac:dyDescent="0.15">
      <c r="A74" s="49">
        <f>EXP(Stdev!D565-Stdev!E573^2/2)</f>
        <v>0.62654126944423949</v>
      </c>
      <c r="B74" s="42" t="s">
        <v>62</v>
      </c>
      <c r="C74" s="67" t="s">
        <v>280</v>
      </c>
      <c r="D74" s="49">
        <v>0.62206543646904533</v>
      </c>
      <c r="E74" s="49">
        <v>0.62654126944423949</v>
      </c>
      <c r="F74" s="49">
        <v>0.62579612878022872</v>
      </c>
      <c r="G74" s="49">
        <v>0.6260130904742236</v>
      </c>
      <c r="H74" s="49">
        <v>0.62894100950530918</v>
      </c>
      <c r="I74" s="49">
        <v>0.62809046869991736</v>
      </c>
      <c r="J74" s="49">
        <v>0.63237063749392475</v>
      </c>
      <c r="K74" s="49">
        <v>0.62621269448001371</v>
      </c>
      <c r="L74">
        <v>0.63017648695757034</v>
      </c>
      <c r="M74">
        <v>0.62390448440055701</v>
      </c>
      <c r="N74">
        <v>0.63884598260108783</v>
      </c>
    </row>
    <row r="75" spans="1:14" x14ac:dyDescent="0.15">
      <c r="A75" s="49" t="str">
        <f>pm.rep!A852</f>
        <v>Future_Selectivity</v>
      </c>
      <c r="B75" s="42" t="s">
        <v>220</v>
      </c>
      <c r="C75" s="67" t="s">
        <v>280</v>
      </c>
      <c r="D75" s="49">
        <v>0.38921</v>
      </c>
      <c r="E75" s="49">
        <v>0.39268500000000001</v>
      </c>
      <c r="F75" s="49">
        <v>0.38170799999999999</v>
      </c>
      <c r="G75" s="49">
        <v>0.392567</v>
      </c>
      <c r="H75" s="49">
        <v>0.39352599999999999</v>
      </c>
      <c r="I75" s="49">
        <v>0.39319599999999999</v>
      </c>
      <c r="J75" s="49">
        <v>0.39188000000000001</v>
      </c>
      <c r="K75" s="49">
        <v>0.39277299999999998</v>
      </c>
      <c r="L75">
        <v>0.39184099999999999</v>
      </c>
      <c r="M75">
        <v>0.39226699999999998</v>
      </c>
      <c r="N75">
        <v>0.39422099999999999</v>
      </c>
    </row>
    <row r="76" spans="1:14" x14ac:dyDescent="0.15">
      <c r="A76" s="49">
        <f>pm.rep!B852</f>
        <v>0</v>
      </c>
      <c r="B76" s="42" t="s">
        <v>221</v>
      </c>
      <c r="C76" s="67" t="s">
        <v>280</v>
      </c>
      <c r="D76" s="49">
        <v>0.49802099999999999</v>
      </c>
      <c r="E76" s="49">
        <v>0.49895</v>
      </c>
      <c r="F76" s="49">
        <v>0.48545300000000002</v>
      </c>
      <c r="G76" s="49">
        <v>0.49881199999999998</v>
      </c>
      <c r="H76" s="49">
        <v>0.49997399999999997</v>
      </c>
      <c r="I76" s="49">
        <v>0.49957200000000002</v>
      </c>
      <c r="J76" s="49">
        <v>0.49768499999999999</v>
      </c>
      <c r="K76" s="49">
        <v>0.49896699999999999</v>
      </c>
      <c r="L76">
        <v>0.49753199999999997</v>
      </c>
      <c r="M76">
        <v>0.498367</v>
      </c>
      <c r="N76">
        <v>0.501973</v>
      </c>
    </row>
    <row r="77" spans="1:14" x14ac:dyDescent="0.15">
      <c r="A77" s="49">
        <f>StdDev!E347</f>
        <v>9.7247E-2</v>
      </c>
      <c r="B77" s="42" t="s">
        <v>315</v>
      </c>
      <c r="C77" s="67" t="s">
        <v>280</v>
      </c>
      <c r="D77" s="49">
        <v>0.11101</v>
      </c>
      <c r="E77" s="49">
        <v>0.11133999999999999</v>
      </c>
      <c r="F77" s="49">
        <v>0.11142000000000001</v>
      </c>
      <c r="G77" s="49">
        <v>0.11141</v>
      </c>
      <c r="H77" s="49">
        <v>0.11111</v>
      </c>
      <c r="I77" s="49">
        <v>0.11119</v>
      </c>
      <c r="J77" s="49">
        <v>0.11055</v>
      </c>
      <c r="K77" s="49">
        <v>0.11151</v>
      </c>
      <c r="L77">
        <v>0.11074000000000001</v>
      </c>
      <c r="M77">
        <v>0.11211</v>
      </c>
      <c r="N77">
        <v>0.11198</v>
      </c>
    </row>
    <row r="78" spans="1:14" x14ac:dyDescent="0.15">
      <c r="A78" s="43">
        <f>pm.rep!$E$864</f>
        <v>0</v>
      </c>
      <c r="B78" s="42" t="s">
        <v>114</v>
      </c>
      <c r="C78" s="67" t="s">
        <v>280</v>
      </c>
      <c r="D78" s="43">
        <v>5391.75</v>
      </c>
      <c r="E78" s="43">
        <v>5334.25</v>
      </c>
      <c r="F78" s="43">
        <v>5227.01</v>
      </c>
      <c r="G78" s="43">
        <v>6279.69</v>
      </c>
      <c r="H78" s="43">
        <v>4346.13</v>
      </c>
      <c r="I78" s="43">
        <v>4510.67</v>
      </c>
      <c r="J78" s="43">
        <v>8033.06</v>
      </c>
      <c r="K78" s="43">
        <v>4618</v>
      </c>
      <c r="L78">
        <v>5214.43</v>
      </c>
      <c r="M78">
        <v>6731.82</v>
      </c>
      <c r="N78">
        <v>4441.5600000000004</v>
      </c>
    </row>
    <row r="79" spans="1:14" x14ac:dyDescent="0.15">
      <c r="A79" s="43">
        <f>0.4*A78</f>
        <v>0</v>
      </c>
      <c r="B79" s="30" t="s">
        <v>258</v>
      </c>
      <c r="C79" s="67" t="s">
        <v>280</v>
      </c>
      <c r="D79" s="43">
        <v>2156.7000000000003</v>
      </c>
      <c r="E79" s="43">
        <v>2133.7000000000003</v>
      </c>
      <c r="F79" s="43">
        <v>2090.8040000000001</v>
      </c>
      <c r="G79" s="43">
        <v>2511.8760000000002</v>
      </c>
      <c r="H79" s="43">
        <v>1738.4520000000002</v>
      </c>
      <c r="I79" s="43">
        <v>1804.268</v>
      </c>
      <c r="J79" s="43">
        <v>3213.2240000000002</v>
      </c>
      <c r="K79" s="43">
        <v>1847.2</v>
      </c>
      <c r="L79">
        <v>2085.7720000000004</v>
      </c>
      <c r="M79">
        <v>2692.7280000000001</v>
      </c>
      <c r="N79">
        <v>1776.6240000000003</v>
      </c>
    </row>
    <row r="80" spans="1:14" x14ac:dyDescent="0.15">
      <c r="A80" s="49">
        <f>Summary!AJ48</f>
        <v>0</v>
      </c>
      <c r="B80" s="42" t="s">
        <v>213</v>
      </c>
      <c r="C80" s="67" t="s">
        <v>280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>
        <v>0</v>
      </c>
      <c r="M80">
        <v>0</v>
      </c>
      <c r="N80">
        <v>0</v>
      </c>
    </row>
    <row r="81" spans="1:14" x14ac:dyDescent="0.15">
      <c r="A81" s="42" t="str">
        <f>""</f>
        <v/>
      </c>
      <c r="B81" s="66" t="s">
        <v>280</v>
      </c>
      <c r="C81" s="67" t="s">
        <v>280</v>
      </c>
      <c r="D81" s="42" t="s">
        <v>280</v>
      </c>
      <c r="E81" s="42" t="s">
        <v>280</v>
      </c>
      <c r="F81" s="42" t="s">
        <v>280</v>
      </c>
      <c r="G81" s="42" t="s">
        <v>280</v>
      </c>
      <c r="H81" s="42" t="s">
        <v>280</v>
      </c>
      <c r="I81" s="42" t="s">
        <v>280</v>
      </c>
      <c r="J81" s="42" t="s">
        <v>280</v>
      </c>
      <c r="K81" s="42" t="s">
        <v>280</v>
      </c>
      <c r="L81" t="s">
        <v>280</v>
      </c>
      <c r="M81" t="s">
        <v>280</v>
      </c>
      <c r="N81" t="s">
        <v>280</v>
      </c>
    </row>
    <row r="82" spans="1:14" x14ac:dyDescent="0.15">
      <c r="A82" s="42" t="str">
        <f>""</f>
        <v/>
      </c>
      <c r="B82" s="30" t="s">
        <v>255</v>
      </c>
      <c r="C82" s="67" t="s">
        <v>280</v>
      </c>
      <c r="D82" s="42" t="s">
        <v>280</v>
      </c>
      <c r="E82" s="42" t="s">
        <v>280</v>
      </c>
      <c r="F82" s="42" t="s">
        <v>280</v>
      </c>
      <c r="G82" s="42" t="s">
        <v>280</v>
      </c>
      <c r="H82" s="42" t="s">
        <v>280</v>
      </c>
      <c r="I82" s="42" t="s">
        <v>280</v>
      </c>
      <c r="J82" s="42" t="s">
        <v>280</v>
      </c>
      <c r="K82" s="42" t="s">
        <v>280</v>
      </c>
      <c r="L82" t="s">
        <v>280</v>
      </c>
      <c r="M82" t="s">
        <v>280</v>
      </c>
      <c r="N82" t="s">
        <v>280</v>
      </c>
    </row>
    <row r="83" spans="1:14" x14ac:dyDescent="0.15">
      <c r="A83" s="50">
        <f>'Age Comps'!$AJ$51</f>
        <v>1140.2100153464833</v>
      </c>
      <c r="B83" s="42" t="s">
        <v>51</v>
      </c>
      <c r="C83" s="67" t="s">
        <v>280</v>
      </c>
      <c r="D83" s="50">
        <v>1884.6597971800118</v>
      </c>
      <c r="E83" s="50">
        <v>1874.8553838184855</v>
      </c>
      <c r="F83" s="50">
        <v>1876.0462873188344</v>
      </c>
      <c r="G83" s="50">
        <v>1878.2412885188744</v>
      </c>
      <c r="H83" s="50">
        <v>1860.6035924127034</v>
      </c>
      <c r="I83" s="50">
        <v>1865.6801474259498</v>
      </c>
      <c r="J83" s="50">
        <v>1842.7012978534458</v>
      </c>
      <c r="K83" s="50">
        <v>1880.5968820383107</v>
      </c>
      <c r="L83">
        <v>1851.2951616786177</v>
      </c>
      <c r="M83">
        <v>1900.3401536935378</v>
      </c>
      <c r="N83">
        <v>1828.5721903636015</v>
      </c>
    </row>
    <row r="84" spans="1:14" x14ac:dyDescent="0.15">
      <c r="A84" s="47">
        <f>AVERAGE('Age Comps'!AO3:AO51)</f>
        <v>0.59144763285967317</v>
      </c>
      <c r="B84" s="42" t="s">
        <v>420</v>
      </c>
      <c r="C84" s="67" t="s">
        <v>280</v>
      </c>
      <c r="D84" s="47">
        <v>0.56376595881759084</v>
      </c>
      <c r="E84" s="47">
        <v>0.5702075197543196</v>
      </c>
      <c r="F84" s="47">
        <v>0.57041533903055297</v>
      </c>
      <c r="G84" s="47">
        <v>0.57069664410431753</v>
      </c>
      <c r="H84" s="47">
        <v>0.56862896423913301</v>
      </c>
      <c r="I84" s="47">
        <v>0.56908746823064316</v>
      </c>
      <c r="J84" s="47">
        <v>0.5649826773517661</v>
      </c>
      <c r="K84" s="47">
        <v>0.5701669821194435</v>
      </c>
      <c r="L84">
        <v>0.56558175773210284</v>
      </c>
      <c r="M84">
        <v>0.5731458328753205</v>
      </c>
      <c r="N84">
        <v>0.54991341171615704</v>
      </c>
    </row>
    <row r="85" spans="1:14" x14ac:dyDescent="0.15">
      <c r="A85" s="79" t="s">
        <v>280</v>
      </c>
      <c r="B85" s="102" t="s">
        <v>52</v>
      </c>
      <c r="C85" s="67" t="s">
        <v>280</v>
      </c>
      <c r="D85" s="43" t="s">
        <v>280</v>
      </c>
      <c r="E85" s="79" t="s">
        <v>280</v>
      </c>
      <c r="F85" s="79" t="s">
        <v>280</v>
      </c>
      <c r="G85" s="79" t="s">
        <v>280</v>
      </c>
      <c r="H85" s="79" t="s">
        <v>280</v>
      </c>
      <c r="I85" s="79" t="s">
        <v>280</v>
      </c>
      <c r="J85" s="79" t="s">
        <v>280</v>
      </c>
      <c r="K85" s="79" t="s">
        <v>280</v>
      </c>
      <c r="L85" t="s">
        <v>280</v>
      </c>
      <c r="M85" t="s">
        <v>280</v>
      </c>
      <c r="N85" t="s">
        <v>280</v>
      </c>
    </row>
    <row r="86" spans="1:14" x14ac:dyDescent="0.15">
      <c r="A86" s="101" t="s">
        <v>280</v>
      </c>
      <c r="B86" s="42"/>
      <c r="C86" s="67" t="s">
        <v>280</v>
      </c>
      <c r="D86" s="101" t="s">
        <v>280</v>
      </c>
      <c r="E86" s="101" t="s">
        <v>280</v>
      </c>
      <c r="F86" s="101" t="s">
        <v>280</v>
      </c>
      <c r="G86" s="101" t="s">
        <v>280</v>
      </c>
      <c r="H86" s="101" t="s">
        <v>280</v>
      </c>
      <c r="I86" s="101" t="s">
        <v>280</v>
      </c>
      <c r="J86" s="101" t="s">
        <v>280</v>
      </c>
      <c r="K86" s="101" t="s">
        <v>280</v>
      </c>
      <c r="L86" t="s">
        <v>280</v>
      </c>
      <c r="M86" t="s">
        <v>280</v>
      </c>
      <c r="N86" t="s">
        <v>280</v>
      </c>
    </row>
    <row r="87" spans="1:14" x14ac:dyDescent="0.15">
      <c r="A87" s="50">
        <f>'Age Comps'!$AJ$100</f>
        <v>169.10781175285572</v>
      </c>
      <c r="B87" s="42" t="s">
        <v>259</v>
      </c>
      <c r="C87" s="67" t="s">
        <v>280</v>
      </c>
      <c r="D87" s="50">
        <v>220.23948359356459</v>
      </c>
      <c r="E87" s="50">
        <v>223.3529868508399</v>
      </c>
      <c r="F87" s="50">
        <v>223.24106593377303</v>
      </c>
      <c r="G87" s="50">
        <v>223.20350915825969</v>
      </c>
      <c r="H87" s="50">
        <v>223.99819134049281</v>
      </c>
      <c r="I87" s="50">
        <v>223.79370636047895</v>
      </c>
      <c r="J87" s="50">
        <v>222.96021362891474</v>
      </c>
      <c r="K87" s="50">
        <v>224.03282927484645</v>
      </c>
      <c r="L87">
        <v>223.68401020097559</v>
      </c>
      <c r="M87">
        <v>223.72741078965495</v>
      </c>
      <c r="N87">
        <v>257.53137436856628</v>
      </c>
    </row>
    <row r="88" spans="1:14" x14ac:dyDescent="0.15">
      <c r="A88" s="47">
        <f>AVERAGE('Age Comps'!AO64:AO95)</f>
        <v>0.81991003297695697</v>
      </c>
      <c r="B88" s="42" t="s">
        <v>421</v>
      </c>
      <c r="C88" s="67" t="s">
        <v>280</v>
      </c>
      <c r="D88" s="47">
        <v>0.8178337698451944</v>
      </c>
      <c r="E88" s="47">
        <v>0.81233719453760656</v>
      </c>
      <c r="F88" s="47">
        <v>0.81246347304783773</v>
      </c>
      <c r="G88" s="47">
        <v>0.81283988631500925</v>
      </c>
      <c r="H88" s="47">
        <v>0.81000381683101896</v>
      </c>
      <c r="I88" s="47">
        <v>0.81090385339743498</v>
      </c>
      <c r="J88" s="47">
        <v>0.81067442537408418</v>
      </c>
      <c r="K88" s="47">
        <v>0.81273104044801403</v>
      </c>
      <c r="L88">
        <v>0.81184890429076995</v>
      </c>
      <c r="M88">
        <v>0.81384768360253279</v>
      </c>
      <c r="N88">
        <v>0.77078196367614549</v>
      </c>
    </row>
    <row r="89" spans="1:14" x14ac:dyDescent="0.15">
      <c r="A89" s="50">
        <f>'Age Comps'!$AJ$124</f>
        <v>79.233092980948925</v>
      </c>
      <c r="B89" s="42" t="s">
        <v>260</v>
      </c>
      <c r="C89" s="67" t="s">
        <v>280</v>
      </c>
      <c r="D89" s="50">
        <v>134.55622128894942</v>
      </c>
      <c r="E89" s="50">
        <v>145.10401969115497</v>
      </c>
      <c r="F89" s="50">
        <v>144.25423109409493</v>
      </c>
      <c r="G89" s="50">
        <v>144.88280136663099</v>
      </c>
      <c r="H89" s="50">
        <v>145.53419021716954</v>
      </c>
      <c r="I89" s="50">
        <v>145.51004656333444</v>
      </c>
      <c r="J89" s="50">
        <v>144.79898520071464</v>
      </c>
      <c r="K89" s="50">
        <v>145.44761041761771</v>
      </c>
      <c r="L89">
        <v>145.14332498425361</v>
      </c>
      <c r="M89">
        <v>144.61758075611431</v>
      </c>
      <c r="N89">
        <v>160.67359365277701</v>
      </c>
    </row>
    <row r="90" spans="1:14" x14ac:dyDescent="0.15">
      <c r="A90" s="47">
        <f>AVERAGE('Age Comps'!AO102:AO119)</f>
        <v>0.66793233318333411</v>
      </c>
      <c r="B90" s="42" t="s">
        <v>422</v>
      </c>
      <c r="C90" s="67" t="s">
        <v>280</v>
      </c>
      <c r="D90" s="47">
        <v>0.58537435719375264</v>
      </c>
      <c r="E90" s="47">
        <v>0.58141406619823521</v>
      </c>
      <c r="F90" s="47">
        <v>0.5815652641222</v>
      </c>
      <c r="G90" s="47">
        <v>0.58100944446662717</v>
      </c>
      <c r="H90" s="47">
        <v>0.58361001749385111</v>
      </c>
      <c r="I90" s="47">
        <v>0.58276377912220745</v>
      </c>
      <c r="J90" s="47">
        <v>0.5815803388663503</v>
      </c>
      <c r="K90" s="47">
        <v>0.58402615897814547</v>
      </c>
      <c r="L90">
        <v>0.58240716243478341</v>
      </c>
      <c r="M90">
        <v>0.5861235634298696</v>
      </c>
      <c r="N90">
        <v>0.56831771507110773</v>
      </c>
    </row>
    <row r="91" spans="1:14" x14ac:dyDescent="0.15">
      <c r="A91" s="42" t="str">
        <f>""</f>
        <v/>
      </c>
      <c r="B91" s="21" t="s">
        <v>101</v>
      </c>
      <c r="C91" s="67" t="s">
        <v>280</v>
      </c>
      <c r="D91" s="42" t="s">
        <v>280</v>
      </c>
      <c r="E91" s="42" t="s">
        <v>280</v>
      </c>
      <c r="F91" s="42" t="s">
        <v>280</v>
      </c>
      <c r="G91" s="42" t="s">
        <v>280</v>
      </c>
      <c r="H91" s="42" t="s">
        <v>280</v>
      </c>
      <c r="I91" s="42" t="s">
        <v>280</v>
      </c>
      <c r="J91" s="42" t="s">
        <v>280</v>
      </c>
      <c r="K91" s="42" t="s">
        <v>280</v>
      </c>
      <c r="L91" t="s">
        <v>280</v>
      </c>
      <c r="M91" t="s">
        <v>280</v>
      </c>
      <c r="N91" t="s">
        <v>280</v>
      </c>
    </row>
    <row r="92" spans="1:14" x14ac:dyDescent="0.15">
      <c r="A92" s="49">
        <f>Summary!$BE$10</f>
        <v>0.8452685261461339</v>
      </c>
      <c r="B92" s="42" t="s">
        <v>425</v>
      </c>
      <c r="C92" s="67" t="s">
        <v>280</v>
      </c>
      <c r="D92" s="49">
        <v>0.14102468994471623</v>
      </c>
      <c r="E92" s="49">
        <v>0.1378919002670882</v>
      </c>
      <c r="F92" s="49">
        <v>0.13792506860226691</v>
      </c>
      <c r="G92" s="49">
        <v>0.13778312685788019</v>
      </c>
      <c r="H92" s="49">
        <v>0.13878181055974545</v>
      </c>
      <c r="I92" s="49">
        <v>0.13837747963126437</v>
      </c>
      <c r="J92" s="49">
        <v>0.13804907965949922</v>
      </c>
      <c r="K92" s="49">
        <v>0.13820458838302874</v>
      </c>
      <c r="L92">
        <v>0.13834267752249405</v>
      </c>
      <c r="M92">
        <v>0.13758408617897222</v>
      </c>
      <c r="N92">
        <v>0.42625328223883058</v>
      </c>
    </row>
    <row r="93" spans="1:14" x14ac:dyDescent="0.15">
      <c r="A93" s="49">
        <f>Summary!BE9</f>
        <v>1.5921298420180898</v>
      </c>
      <c r="B93" s="42" t="s">
        <v>423</v>
      </c>
      <c r="C93" s="67" t="s">
        <v>280</v>
      </c>
      <c r="D93" s="49">
        <v>0.53982129161297843</v>
      </c>
      <c r="E93" s="49">
        <v>0.53108654774753106</v>
      </c>
      <c r="F93" s="49">
        <v>0.53132778247075729</v>
      </c>
      <c r="G93" s="49">
        <v>0.53096542310333794</v>
      </c>
      <c r="H93" s="49">
        <v>0.53311130651923022</v>
      </c>
      <c r="I93" s="49">
        <v>0.53203430996611034</v>
      </c>
      <c r="J93" s="49">
        <v>0.53187766557227523</v>
      </c>
      <c r="K93" s="49">
        <v>0.53139007500766433</v>
      </c>
      <c r="L93">
        <v>0.53286630960078318</v>
      </c>
      <c r="M93">
        <v>0.5289961457488358</v>
      </c>
      <c r="N93">
        <v>1.9436134859609744</v>
      </c>
    </row>
    <row r="94" spans="1:14" x14ac:dyDescent="0.15">
      <c r="A94" s="49">
        <f>Summary!BG18</f>
        <v>0.43174892353534372</v>
      </c>
      <c r="B94" s="42" t="s">
        <v>426</v>
      </c>
      <c r="C94" s="67" t="s">
        <v>280</v>
      </c>
      <c r="D94" s="49">
        <v>0.30286260620753513</v>
      </c>
      <c r="E94" s="49">
        <v>0.30009395667805761</v>
      </c>
      <c r="F94" s="49">
        <v>0.30016638483625985</v>
      </c>
      <c r="G94" s="49">
        <v>0.29979246521328068</v>
      </c>
      <c r="H94" s="49">
        <v>0.30145714961987108</v>
      </c>
      <c r="I94" s="49">
        <v>0.30097715945728948</v>
      </c>
      <c r="J94" s="49">
        <v>0.30093037154567576</v>
      </c>
      <c r="K94" s="49">
        <v>0.30069387906559597</v>
      </c>
      <c r="L94">
        <v>0.30062447046759722</v>
      </c>
      <c r="M94">
        <v>0.30048215057065747</v>
      </c>
      <c r="N94">
        <v>0.28685128203523097</v>
      </c>
    </row>
    <row r="95" spans="1:14" x14ac:dyDescent="0.15">
      <c r="A95" s="49">
        <f>Summary!BG17</f>
        <v>1.4670370775886969</v>
      </c>
      <c r="B95" s="42" t="s">
        <v>424</v>
      </c>
      <c r="C95" s="67" t="s">
        <v>280</v>
      </c>
      <c r="D95" s="49">
        <v>1.0095407356573054</v>
      </c>
      <c r="E95" s="49">
        <v>0.9926016790142197</v>
      </c>
      <c r="F95" s="49">
        <v>0.99318287055884269</v>
      </c>
      <c r="G95" s="49">
        <v>0.99123709933474358</v>
      </c>
      <c r="H95" s="49">
        <v>0.99948335432348268</v>
      </c>
      <c r="I95" s="49">
        <v>0.99543582230540295</v>
      </c>
      <c r="J95" s="49">
        <v>0.99543582230540295</v>
      </c>
      <c r="K95" s="49">
        <v>0.99543582230540295</v>
      </c>
      <c r="L95">
        <v>0.99543582230540295</v>
      </c>
      <c r="M95">
        <v>0.99543582230540295</v>
      </c>
      <c r="N95">
        <v>0.99543582230540295</v>
      </c>
    </row>
    <row r="96" spans="1:14" x14ac:dyDescent="0.15">
      <c r="A96" s="49" t="e">
        <f>Summary!BE24</f>
        <v>#REF!</v>
      </c>
      <c r="B96" s="133" t="s">
        <v>817</v>
      </c>
      <c r="C96" s="67"/>
      <c r="D96" s="49">
        <v>0.60395900478322906</v>
      </c>
      <c r="E96" s="49">
        <v>0.585186885402878</v>
      </c>
      <c r="F96" s="49">
        <v>0.58500411619236392</v>
      </c>
      <c r="G96" s="49">
        <v>0.58467138627081994</v>
      </c>
      <c r="H96" s="49">
        <v>0.5867356551034475</v>
      </c>
      <c r="I96" s="49">
        <v>0.58626098264465343</v>
      </c>
      <c r="J96" s="49">
        <v>0.59233367564501782</v>
      </c>
      <c r="K96" s="49">
        <v>0.58785223879708337</v>
      </c>
      <c r="L96">
        <v>0.59263770152570461</v>
      </c>
      <c r="M96">
        <v>0.58932791413635099</v>
      </c>
      <c r="N96">
        <v>0.58596803659460572</v>
      </c>
    </row>
    <row r="97" spans="1:14" x14ac:dyDescent="0.15">
      <c r="A97" s="49">
        <f>Summary!BE25</f>
        <v>0.22896376557179893</v>
      </c>
      <c r="B97" s="133" t="s">
        <v>818</v>
      </c>
      <c r="C97" s="67"/>
      <c r="D97" s="49">
        <v>0.23531763021839933</v>
      </c>
      <c r="E97" s="49">
        <v>0.22463395685699095</v>
      </c>
      <c r="F97" s="49">
        <v>0.22476006795886588</v>
      </c>
      <c r="G97" s="49">
        <v>0.22450817023008515</v>
      </c>
      <c r="H97" s="49">
        <v>0.22526598501880468</v>
      </c>
      <c r="I97" s="49">
        <v>0.22503237671827503</v>
      </c>
      <c r="J97" s="49">
        <v>0.22531758709705568</v>
      </c>
      <c r="K97" s="49">
        <v>0.22503374399246029</v>
      </c>
      <c r="L97">
        <v>0.22529689473672052</v>
      </c>
      <c r="M97">
        <v>0.22503471367122152</v>
      </c>
      <c r="N97">
        <v>0.22413781809841851</v>
      </c>
    </row>
    <row r="98" spans="1:14" x14ac:dyDescent="0.15">
      <c r="A98" s="51" t="s">
        <v>287</v>
      </c>
      <c r="B98" s="55" t="s">
        <v>102</v>
      </c>
      <c r="C98" s="67" t="s">
        <v>280</v>
      </c>
      <c r="D98" s="51" t="s">
        <v>287</v>
      </c>
      <c r="E98" s="51" t="s">
        <v>287</v>
      </c>
      <c r="F98" s="51" t="s">
        <v>287</v>
      </c>
      <c r="G98" s="51" t="s">
        <v>287</v>
      </c>
      <c r="H98" s="51" t="s">
        <v>287</v>
      </c>
      <c r="I98" s="51" t="s">
        <v>287</v>
      </c>
      <c r="J98" s="51" t="s">
        <v>287</v>
      </c>
      <c r="K98" s="51" t="s">
        <v>287</v>
      </c>
      <c r="L98" t="s">
        <v>287</v>
      </c>
      <c r="M98" t="s">
        <v>287</v>
      </c>
      <c r="N98" t="s">
        <v>287</v>
      </c>
    </row>
    <row r="99" spans="1:14" x14ac:dyDescent="0.15">
      <c r="A99" s="47">
        <f>pm.rep!B636</f>
        <v>1.2351399999999999</v>
      </c>
      <c r="B99" s="42" t="str">
        <f>pm.rep!A636</f>
        <v>CPUE_like</v>
      </c>
      <c r="C99" s="67" t="s">
        <v>280</v>
      </c>
      <c r="D99" s="47">
        <v>1.11693</v>
      </c>
      <c r="E99" s="47">
        <v>1.11513</v>
      </c>
      <c r="F99" s="47">
        <v>1.1145099999999999</v>
      </c>
      <c r="G99" s="47">
        <v>1.1143400000000001</v>
      </c>
      <c r="H99" s="47">
        <v>1.11782</v>
      </c>
      <c r="I99" s="47">
        <v>1.1169800000000001</v>
      </c>
      <c r="J99" s="47">
        <v>1.1257699999999999</v>
      </c>
      <c r="K99" s="47">
        <v>1.1119000000000001</v>
      </c>
      <c r="L99">
        <v>1.1211100000000001</v>
      </c>
      <c r="M99">
        <v>1.1049100000000001</v>
      </c>
      <c r="N99">
        <v>1.11493</v>
      </c>
    </row>
    <row r="100" spans="1:14" x14ac:dyDescent="0.15">
      <c r="A100" s="47">
        <f>pm.rep!B637</f>
        <v>28.061699999999998</v>
      </c>
      <c r="B100" s="42" t="s">
        <v>118</v>
      </c>
      <c r="C100" s="67" t="s">
        <v>280</v>
      </c>
      <c r="D100" s="47">
        <v>9.4430899999999998</v>
      </c>
      <c r="E100" s="47">
        <v>9.1329799999999999</v>
      </c>
      <c r="F100" s="47">
        <v>9.1405499999999993</v>
      </c>
      <c r="G100" s="47">
        <v>9.1264699999999994</v>
      </c>
      <c r="H100" s="47">
        <v>9.2113600000000009</v>
      </c>
      <c r="I100" s="47">
        <v>9.1720400000000009</v>
      </c>
      <c r="J100" s="47">
        <v>9.1587800000000001</v>
      </c>
      <c r="K100" s="47">
        <v>9.1571499999999997</v>
      </c>
      <c r="L100">
        <v>9.20383</v>
      </c>
      <c r="M100">
        <v>9.0735899999999994</v>
      </c>
      <c r="N100">
        <v>7.3467300000000003E-7</v>
      </c>
    </row>
    <row r="101" spans="1:14" x14ac:dyDescent="0.15">
      <c r="A101" s="47">
        <f>pm.rep!B638</f>
        <v>8.2252099999999995E-6</v>
      </c>
      <c r="B101" s="42" t="s">
        <v>119</v>
      </c>
      <c r="C101" s="67" t="s">
        <v>280</v>
      </c>
      <c r="D101" s="47">
        <v>22.8918</v>
      </c>
      <c r="E101" s="47">
        <v>22.500699999999998</v>
      </c>
      <c r="F101" s="47">
        <v>22.5032</v>
      </c>
      <c r="G101" s="47">
        <v>22.472899999999999</v>
      </c>
      <c r="H101" s="47">
        <v>22.636600000000001</v>
      </c>
      <c r="I101" s="47">
        <v>22.586099999999998</v>
      </c>
      <c r="J101" s="47">
        <v>22.654900000000001</v>
      </c>
      <c r="K101" s="47">
        <v>22.540900000000001</v>
      </c>
      <c r="L101">
        <v>22.566199999999998</v>
      </c>
      <c r="M101">
        <v>22.567900000000002</v>
      </c>
      <c r="N101">
        <v>21.848400000000002</v>
      </c>
    </row>
    <row r="102" spans="1:14" x14ac:dyDescent="0.15">
      <c r="A102" s="107">
        <f>pm.rep!B639</f>
        <v>30.721599999999999</v>
      </c>
      <c r="B102" s="42" t="s">
        <v>15</v>
      </c>
      <c r="C102" s="67" t="s">
        <v>280</v>
      </c>
      <c r="D102" s="107">
        <v>27.296700000000001</v>
      </c>
      <c r="E102" s="107">
        <v>27.534099999999999</v>
      </c>
      <c r="F102" s="107">
        <v>27.527100000000001</v>
      </c>
      <c r="G102" s="107">
        <v>27.4941</v>
      </c>
      <c r="H102" s="107">
        <v>27.710599999999999</v>
      </c>
      <c r="I102" s="107">
        <v>27.647099999999998</v>
      </c>
      <c r="J102" s="107">
        <v>27.720300000000002</v>
      </c>
      <c r="K102" s="107">
        <v>27.600999999999999</v>
      </c>
      <c r="L102">
        <v>27.633099999999999</v>
      </c>
      <c r="M102">
        <v>27.626999999999999</v>
      </c>
      <c r="N102">
        <v>27.657399999999999</v>
      </c>
    </row>
    <row r="103" spans="1:14" x14ac:dyDescent="0.15">
      <c r="A103" s="20">
        <f>pm.rep!$B$667</f>
        <v>0</v>
      </c>
      <c r="B103" s="42" t="s">
        <v>17</v>
      </c>
      <c r="C103" s="67" t="s">
        <v>280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>
        <v>0</v>
      </c>
      <c r="M103">
        <v>0</v>
      </c>
      <c r="N103">
        <v>0</v>
      </c>
    </row>
    <row r="104" spans="1:14" x14ac:dyDescent="0.15">
      <c r="A104" s="47">
        <f>pm.rep!B666</f>
        <v>21.330500000000001</v>
      </c>
      <c r="B104" s="42" t="s">
        <v>16</v>
      </c>
      <c r="C104" s="67" t="s">
        <v>280</v>
      </c>
      <c r="D104" s="47">
        <v>21.083400000000001</v>
      </c>
      <c r="E104" s="47">
        <v>21.125699999999998</v>
      </c>
      <c r="F104" s="47">
        <v>21.0684</v>
      </c>
      <c r="G104" s="47">
        <v>20.7271</v>
      </c>
      <c r="H104" s="47">
        <v>22.494599999999998</v>
      </c>
      <c r="I104" s="47">
        <v>22.085899999999999</v>
      </c>
      <c r="J104" s="47">
        <v>20.9025</v>
      </c>
      <c r="K104" s="47">
        <v>21.196899999999999</v>
      </c>
      <c r="L104">
        <v>20.889299999999999</v>
      </c>
      <c r="M104">
        <v>3.4719899999999999</v>
      </c>
      <c r="N104">
        <v>22.079899999999999</v>
      </c>
    </row>
    <row r="105" spans="1:14" x14ac:dyDescent="0.15">
      <c r="A105" s="52" t="s">
        <v>280</v>
      </c>
      <c r="B105" s="66"/>
      <c r="C105" s="67" t="s">
        <v>280</v>
      </c>
      <c r="D105" s="52" t="s">
        <v>280</v>
      </c>
      <c r="E105" s="52" t="s">
        <v>280</v>
      </c>
      <c r="F105" s="52" t="s">
        <v>280</v>
      </c>
      <c r="G105" s="52" t="s">
        <v>280</v>
      </c>
      <c r="H105" s="52" t="s">
        <v>280</v>
      </c>
      <c r="I105" s="52" t="s">
        <v>280</v>
      </c>
      <c r="J105" s="52" t="s">
        <v>280</v>
      </c>
      <c r="K105" s="52" t="s">
        <v>280</v>
      </c>
      <c r="L105" t="s">
        <v>280</v>
      </c>
      <c r="M105" t="s">
        <v>280</v>
      </c>
      <c r="N105" t="s">
        <v>280</v>
      </c>
    </row>
    <row r="106" spans="1:14" x14ac:dyDescent="0.15">
      <c r="A106" s="52" t="s">
        <v>280</v>
      </c>
      <c r="B106" s="66"/>
      <c r="C106" s="67" t="s">
        <v>280</v>
      </c>
      <c r="D106" s="52" t="s">
        <v>280</v>
      </c>
      <c r="E106" s="52" t="s">
        <v>280</v>
      </c>
      <c r="F106" s="52" t="s">
        <v>280</v>
      </c>
      <c r="G106" s="52" t="s">
        <v>280</v>
      </c>
      <c r="H106" s="52" t="s">
        <v>280</v>
      </c>
      <c r="I106" s="52" t="s">
        <v>280</v>
      </c>
      <c r="J106" s="52" t="s">
        <v>280</v>
      </c>
      <c r="K106" s="52" t="s">
        <v>280</v>
      </c>
      <c r="L106" t="s">
        <v>280</v>
      </c>
      <c r="M106" t="s">
        <v>280</v>
      </c>
      <c r="N106" t="s">
        <v>280</v>
      </c>
    </row>
    <row r="107" spans="1:14" x14ac:dyDescent="0.15">
      <c r="A107" s="116" t="s">
        <v>280</v>
      </c>
      <c r="B107" t="str">
        <f>pm.rep!A634</f>
        <v>Catch_and_indices-----------------------------</v>
      </c>
      <c r="C107" s="67" t="s">
        <v>280</v>
      </c>
      <c r="D107" s="116" t="s">
        <v>280</v>
      </c>
      <c r="E107" s="116" t="s">
        <v>280</v>
      </c>
      <c r="F107" s="116" t="s">
        <v>280</v>
      </c>
      <c r="G107" s="116" t="s">
        <v>280</v>
      </c>
      <c r="H107" s="116" t="s">
        <v>280</v>
      </c>
      <c r="I107" s="116" t="s">
        <v>280</v>
      </c>
      <c r="J107" s="116" t="s">
        <v>280</v>
      </c>
      <c r="K107" s="116" t="s">
        <v>280</v>
      </c>
      <c r="L107" t="s">
        <v>280</v>
      </c>
      <c r="M107" t="s">
        <v>280</v>
      </c>
      <c r="N107" t="s">
        <v>280</v>
      </c>
    </row>
    <row r="108" spans="1:14" x14ac:dyDescent="0.15">
      <c r="A108" s="42">
        <f>pm.rep!B635</f>
        <v>0.54773700000000003</v>
      </c>
      <c r="B108" t="str">
        <f>pm.rep!A635</f>
        <v>Fishery_Catch</v>
      </c>
      <c r="C108" s="67" t="s">
        <v>280</v>
      </c>
      <c r="D108" s="42">
        <v>0.56887299999999996</v>
      </c>
      <c r="E108" s="42">
        <v>0.54938799999999999</v>
      </c>
      <c r="F108" s="42">
        <v>0.54994900000000002</v>
      </c>
      <c r="G108" s="42">
        <v>0.553091</v>
      </c>
      <c r="H108" s="42">
        <v>0.54031099999999999</v>
      </c>
      <c r="I108" s="42">
        <v>0.54177799999999998</v>
      </c>
      <c r="J108" s="42">
        <v>0.52349299999999999</v>
      </c>
      <c r="K108" s="42">
        <v>0.544296</v>
      </c>
      <c r="L108">
        <v>0.53604799999999997</v>
      </c>
      <c r="M108">
        <v>0.53430900000000003</v>
      </c>
      <c r="N108">
        <v>0.498031</v>
      </c>
    </row>
    <row r="109" spans="1:14" x14ac:dyDescent="0.15">
      <c r="A109" s="31">
        <f>pm.rep!B636</f>
        <v>1.2351399999999999</v>
      </c>
      <c r="B109" t="str">
        <f>pm.rep!A636</f>
        <v>CPUE_like</v>
      </c>
      <c r="C109" s="67" t="s">
        <v>280</v>
      </c>
      <c r="D109" s="31">
        <v>1.11693</v>
      </c>
      <c r="E109" s="31">
        <v>1.11513</v>
      </c>
      <c r="F109" s="31">
        <v>1.1145099999999999</v>
      </c>
      <c r="G109" s="31">
        <v>1.1143400000000001</v>
      </c>
      <c r="H109" s="31">
        <v>1.11782</v>
      </c>
      <c r="I109" s="31">
        <v>1.1169800000000001</v>
      </c>
      <c r="J109" s="31">
        <v>1.1257699999999999</v>
      </c>
      <c r="K109" s="31">
        <v>1.1119000000000001</v>
      </c>
      <c r="L109">
        <v>1.1211100000000001</v>
      </c>
      <c r="M109">
        <v>1.1049100000000001</v>
      </c>
      <c r="N109">
        <v>1.11493</v>
      </c>
    </row>
    <row r="110" spans="1:14" x14ac:dyDescent="0.15">
      <c r="A110" s="31">
        <f>pm.rep!B637</f>
        <v>28.061699999999998</v>
      </c>
      <c r="B110" t="str">
        <f>pm.rep!A637</f>
        <v>Bottom_Trawl_Like</v>
      </c>
      <c r="C110" s="67" t="s">
        <v>280</v>
      </c>
      <c r="D110" s="31">
        <v>9.4430899999999998</v>
      </c>
      <c r="E110" s="31">
        <v>9.1329799999999999</v>
      </c>
      <c r="F110" s="31">
        <v>9.1405499999999993</v>
      </c>
      <c r="G110" s="31">
        <v>9.1264699999999994</v>
      </c>
      <c r="H110" s="31">
        <v>9.2113600000000009</v>
      </c>
      <c r="I110" s="31">
        <v>9.1720400000000009</v>
      </c>
      <c r="J110" s="31">
        <v>9.1587800000000001</v>
      </c>
      <c r="K110" s="31">
        <v>9.1571499999999997</v>
      </c>
      <c r="L110">
        <v>9.20383</v>
      </c>
      <c r="M110">
        <v>9.0735899999999994</v>
      </c>
      <c r="N110">
        <v>7.3467300000000003E-7</v>
      </c>
    </row>
    <row r="111" spans="1:14" x14ac:dyDescent="0.15">
      <c r="A111" s="31">
        <f>pm.rep!B638</f>
        <v>8.2252099999999995E-6</v>
      </c>
      <c r="B111" t="str">
        <f>pm.rep!A638</f>
        <v>EIT_N2+_Like</v>
      </c>
      <c r="C111" s="67" t="s">
        <v>280</v>
      </c>
      <c r="D111" s="31">
        <v>22.8918</v>
      </c>
      <c r="E111" s="31">
        <v>22.500699999999998</v>
      </c>
      <c r="F111" s="31">
        <v>22.5032</v>
      </c>
      <c r="G111" s="31">
        <v>22.472899999999999</v>
      </c>
      <c r="H111" s="31">
        <v>22.636600000000001</v>
      </c>
      <c r="I111" s="31">
        <v>22.586099999999998</v>
      </c>
      <c r="J111" s="31">
        <v>22.654900000000001</v>
      </c>
      <c r="K111" s="31">
        <v>22.540900000000001</v>
      </c>
      <c r="L111">
        <v>22.566199999999998</v>
      </c>
      <c r="M111">
        <v>22.567900000000002</v>
      </c>
      <c r="N111">
        <v>21.848400000000002</v>
      </c>
    </row>
    <row r="112" spans="1:14" x14ac:dyDescent="0.15">
      <c r="A112" s="31">
        <f>pm.rep!B639</f>
        <v>30.721599999999999</v>
      </c>
      <c r="B112" t="str">
        <f>pm.rep!A639</f>
        <v>EIT_N1_Like</v>
      </c>
      <c r="C112" s="67" t="s">
        <v>280</v>
      </c>
      <c r="D112" s="31">
        <v>27.296700000000001</v>
      </c>
      <c r="E112" s="31">
        <v>27.534099999999999</v>
      </c>
      <c r="F112" s="31">
        <v>27.527100000000001</v>
      </c>
      <c r="G112" s="31">
        <v>27.4941</v>
      </c>
      <c r="H112" s="31">
        <v>27.710599999999999</v>
      </c>
      <c r="I112" s="31">
        <v>27.647099999999998</v>
      </c>
      <c r="J112" s="31">
        <v>27.720300000000002</v>
      </c>
      <c r="K112" s="31">
        <v>27.600999999999999</v>
      </c>
      <c r="L112">
        <v>27.633099999999999</v>
      </c>
      <c r="M112">
        <v>27.626999999999999</v>
      </c>
      <c r="N112">
        <v>27.657399999999999</v>
      </c>
    </row>
    <row r="113" spans="1:14" x14ac:dyDescent="0.15">
      <c r="A113" s="66" t="s">
        <v>280</v>
      </c>
      <c r="B113" s="116" t="s">
        <v>280</v>
      </c>
      <c r="C113" s="67" t="s">
        <v>280</v>
      </c>
      <c r="D113" s="66" t="s">
        <v>280</v>
      </c>
      <c r="E113" s="66" t="s">
        <v>280</v>
      </c>
      <c r="F113" s="66" t="s">
        <v>280</v>
      </c>
      <c r="G113" s="66" t="s">
        <v>280</v>
      </c>
      <c r="H113" s="66" t="s">
        <v>280</v>
      </c>
      <c r="I113" s="66" t="s">
        <v>280</v>
      </c>
      <c r="J113" s="66" t="s">
        <v>280</v>
      </c>
      <c r="K113" s="66" t="s">
        <v>280</v>
      </c>
      <c r="L113" t="s">
        <v>280</v>
      </c>
      <c r="M113" t="s">
        <v>280</v>
      </c>
      <c r="N113" t="s">
        <v>280</v>
      </c>
    </row>
    <row r="114" spans="1:14" x14ac:dyDescent="0.15">
      <c r="A114" s="42">
        <f>pm.rep!B641</f>
        <v>2.2147100000000002</v>
      </c>
      <c r="B114" t="str">
        <f>pm.rep!A641</f>
        <v>AVO_Biom_Like</v>
      </c>
      <c r="C114" s="67" t="s">
        <v>280</v>
      </c>
      <c r="D114" s="42">
        <v>1.1271599999999999</v>
      </c>
      <c r="E114" s="220">
        <v>1.2044999999999999</v>
      </c>
      <c r="F114" s="220">
        <v>1.2038599999999999</v>
      </c>
      <c r="G114" s="220">
        <v>1.2023600000000001</v>
      </c>
      <c r="H114" s="220">
        <v>1.21112</v>
      </c>
      <c r="I114" s="220">
        <v>1.2090399999999999</v>
      </c>
      <c r="J114" s="220">
        <v>1.23329</v>
      </c>
      <c r="K114" s="220">
        <v>1.2153</v>
      </c>
      <c r="L114">
        <v>1.23448</v>
      </c>
      <c r="M114">
        <v>1.22115</v>
      </c>
      <c r="N114">
        <v>1.2073700000000001</v>
      </c>
    </row>
    <row r="115" spans="1:14" x14ac:dyDescent="0.15">
      <c r="A115" s="66" t="s">
        <v>280</v>
      </c>
      <c r="B115">
        <f>pm.rep!A642</f>
        <v>0</v>
      </c>
      <c r="C115" s="67" t="s">
        <v>280</v>
      </c>
      <c r="D115" s="66" t="s">
        <v>280</v>
      </c>
      <c r="E115" s="221" t="s">
        <v>280</v>
      </c>
      <c r="F115" s="221" t="s">
        <v>280</v>
      </c>
      <c r="G115" s="221" t="s">
        <v>280</v>
      </c>
      <c r="H115" s="221" t="s">
        <v>280</v>
      </c>
      <c r="I115" s="221" t="s">
        <v>280</v>
      </c>
      <c r="J115" s="221" t="s">
        <v>280</v>
      </c>
      <c r="K115" s="221" t="s">
        <v>280</v>
      </c>
      <c r="L115" t="s">
        <v>280</v>
      </c>
      <c r="M115" t="s">
        <v>280</v>
      </c>
      <c r="N115" t="s">
        <v>280</v>
      </c>
    </row>
    <row r="116" spans="1:14" x14ac:dyDescent="0.15">
      <c r="A116" s="66" t="s">
        <v>280</v>
      </c>
      <c r="B116" t="str">
        <f>pm.rep!A643</f>
        <v>AgeComps--------------------------------------</v>
      </c>
      <c r="C116" s="67" t="s">
        <v>280</v>
      </c>
      <c r="D116" s="66" t="s">
        <v>280</v>
      </c>
      <c r="E116" s="221" t="s">
        <v>280</v>
      </c>
      <c r="F116" s="221" t="s">
        <v>280</v>
      </c>
      <c r="G116" s="221" t="s">
        <v>280</v>
      </c>
      <c r="H116" s="221" t="s">
        <v>280</v>
      </c>
      <c r="I116" s="221" t="s">
        <v>280</v>
      </c>
      <c r="J116" s="221" t="s">
        <v>280</v>
      </c>
      <c r="K116" s="221" t="s">
        <v>280</v>
      </c>
      <c r="L116" t="s">
        <v>280</v>
      </c>
      <c r="M116" t="s">
        <v>280</v>
      </c>
      <c r="N116" t="s">
        <v>280</v>
      </c>
    </row>
    <row r="117" spans="1:14" x14ac:dyDescent="0.15">
      <c r="A117" s="42">
        <f>pm.rep!B644</f>
        <v>113.078</v>
      </c>
      <c r="B117" t="str">
        <f>pm.rep!A644</f>
        <v>Fishery_age_Like</v>
      </c>
      <c r="C117" s="67" t="s">
        <v>280</v>
      </c>
      <c r="D117" s="42">
        <v>-1087.3900000000001</v>
      </c>
      <c r="E117" s="220">
        <v>-1089</v>
      </c>
      <c r="F117" s="220">
        <v>-1088.99</v>
      </c>
      <c r="G117" s="220">
        <v>-1088.96</v>
      </c>
      <c r="H117" s="220">
        <v>-1089.08</v>
      </c>
      <c r="I117" s="220">
        <v>-1089.07</v>
      </c>
      <c r="J117" s="220">
        <v>-1089.07</v>
      </c>
      <c r="K117" s="220">
        <v>-1089.26</v>
      </c>
      <c r="L117">
        <v>-1089.27</v>
      </c>
      <c r="M117">
        <v>-1089.29</v>
      </c>
      <c r="N117">
        <v>-1091.22</v>
      </c>
    </row>
    <row r="118" spans="1:14" x14ac:dyDescent="0.15">
      <c r="A118" s="42">
        <f>pm.rep!B645</f>
        <v>-1733.17</v>
      </c>
      <c r="B118" t="str">
        <f>pm.rep!A645</f>
        <v>Fishery_Length_Like</v>
      </c>
      <c r="C118" s="67" t="s">
        <v>280</v>
      </c>
      <c r="D118" s="42">
        <v>1.41612</v>
      </c>
      <c r="E118" s="220">
        <v>11.6096</v>
      </c>
      <c r="F118" s="220">
        <v>11.970800000000001</v>
      </c>
      <c r="G118" s="220">
        <v>11.6006</v>
      </c>
      <c r="H118" s="220">
        <v>11.589600000000001</v>
      </c>
      <c r="I118" s="220">
        <v>11.606299999999999</v>
      </c>
      <c r="J118" s="220">
        <v>11.6952</v>
      </c>
      <c r="K118" s="220">
        <v>11.637700000000001</v>
      </c>
      <c r="L118">
        <v>11.703900000000001</v>
      </c>
      <c r="M118">
        <v>11.672000000000001</v>
      </c>
      <c r="N118">
        <v>10.011799999999999</v>
      </c>
    </row>
    <row r="119" spans="1:14" x14ac:dyDescent="0.15">
      <c r="A119" s="31">
        <f>pm.rep!B646</f>
        <v>142.99299999999999</v>
      </c>
      <c r="B119" t="str">
        <f>pm.rep!A646</f>
        <v>Bottom_Trawl_age_Like</v>
      </c>
      <c r="C119" s="67" t="s">
        <v>280</v>
      </c>
      <c r="D119" s="31">
        <v>-535.78200000000004</v>
      </c>
      <c r="E119" s="222">
        <v>-533.12199999999996</v>
      </c>
      <c r="F119" s="222">
        <v>-533.10599999999999</v>
      </c>
      <c r="G119" s="222">
        <v>-533.06500000000005</v>
      </c>
      <c r="H119" s="222">
        <v>-533.47</v>
      </c>
      <c r="I119" s="222">
        <v>-533.31200000000001</v>
      </c>
      <c r="J119" s="222">
        <v>-533.20500000000004</v>
      </c>
      <c r="K119" s="222">
        <v>-532.96500000000003</v>
      </c>
      <c r="L119">
        <v>-532.89800000000002</v>
      </c>
      <c r="M119">
        <v>-532.93899999999996</v>
      </c>
      <c r="N119">
        <v>-545.02300000000002</v>
      </c>
    </row>
    <row r="120" spans="1:14" x14ac:dyDescent="0.15">
      <c r="A120" s="42">
        <f>pm.rep!B647</f>
        <v>34.270000000000003</v>
      </c>
      <c r="B120" t="str">
        <f>pm.rep!A647</f>
        <v>EIT_Age_Like</v>
      </c>
      <c r="C120" s="67" t="s">
        <v>280</v>
      </c>
      <c r="D120" s="42">
        <v>1440</v>
      </c>
      <c r="E120" s="220">
        <v>1437.34</v>
      </c>
      <c r="F120" s="220">
        <v>1437.33</v>
      </c>
      <c r="G120" s="220">
        <v>1437.26</v>
      </c>
      <c r="H120" s="220">
        <v>1437.69</v>
      </c>
      <c r="I120" s="220">
        <v>1437.56</v>
      </c>
      <c r="J120" s="220">
        <v>1437.75</v>
      </c>
      <c r="K120" s="220">
        <v>1437.55</v>
      </c>
      <c r="L120">
        <v>1437.66</v>
      </c>
      <c r="M120">
        <v>1437.6</v>
      </c>
      <c r="N120">
        <v>1435.83</v>
      </c>
    </row>
    <row r="121" spans="1:14" x14ac:dyDescent="0.15">
      <c r="A121" s="66" t="s">
        <v>280</v>
      </c>
      <c r="B121">
        <f>pm.rep!A648</f>
        <v>0</v>
      </c>
      <c r="C121" s="67" t="s">
        <v>280</v>
      </c>
      <c r="D121" s="66" t="s">
        <v>280</v>
      </c>
      <c r="E121" s="221" t="s">
        <v>280</v>
      </c>
      <c r="F121" s="221" t="s">
        <v>280</v>
      </c>
      <c r="G121" s="221" t="s">
        <v>280</v>
      </c>
      <c r="H121" s="221" t="s">
        <v>280</v>
      </c>
      <c r="I121" s="221" t="s">
        <v>280</v>
      </c>
      <c r="J121" s="221" t="s">
        <v>280</v>
      </c>
      <c r="K121" s="221" t="s">
        <v>280</v>
      </c>
      <c r="L121" t="s">
        <v>280</v>
      </c>
      <c r="M121" t="s">
        <v>280</v>
      </c>
      <c r="N121" t="s">
        <v>280</v>
      </c>
    </row>
    <row r="122" spans="1:14" x14ac:dyDescent="0.15">
      <c r="A122" s="66" t="s">
        <v>280</v>
      </c>
      <c r="B122" t="str">
        <f>pm.rep!A649</f>
        <v>Priors</v>
      </c>
      <c r="C122" s="67" t="s">
        <v>280</v>
      </c>
      <c r="D122" s="66" t="s">
        <v>280</v>
      </c>
      <c r="E122" s="221" t="s">
        <v>280</v>
      </c>
      <c r="F122" s="221" t="s">
        <v>280</v>
      </c>
      <c r="G122" s="221" t="s">
        <v>280</v>
      </c>
      <c r="H122" s="221" t="s">
        <v>280</v>
      </c>
      <c r="I122" s="221" t="s">
        <v>280</v>
      </c>
      <c r="J122" s="221" t="s">
        <v>280</v>
      </c>
      <c r="K122" s="221" t="s">
        <v>280</v>
      </c>
      <c r="L122" t="s">
        <v>280</v>
      </c>
      <c r="M122" t="s">
        <v>280</v>
      </c>
      <c r="N122" t="s">
        <v>280</v>
      </c>
    </row>
    <row r="123" spans="1:14" x14ac:dyDescent="0.15">
      <c r="A123" s="42">
        <f>pm.rep!B650</f>
        <v>7.7979599999999998</v>
      </c>
      <c r="B123" t="str">
        <f>pm.rep!A650</f>
        <v>F_penalty</v>
      </c>
      <c r="C123" s="67" t="s">
        <v>280</v>
      </c>
      <c r="D123" s="42">
        <v>7.1931200000000004</v>
      </c>
      <c r="E123" s="220">
        <v>6.62615</v>
      </c>
      <c r="F123" s="220">
        <v>6.6527200000000004</v>
      </c>
      <c r="G123" s="220">
        <v>6.6415100000000002</v>
      </c>
      <c r="H123" s="220">
        <v>6.5602499999999999</v>
      </c>
      <c r="I123" s="220">
        <v>6.5828499999999996</v>
      </c>
      <c r="J123" s="220">
        <v>6.46638</v>
      </c>
      <c r="K123" s="220">
        <v>6.6619999999999999</v>
      </c>
      <c r="L123">
        <v>6.5491000000000001</v>
      </c>
      <c r="M123">
        <v>6.7559100000000001</v>
      </c>
      <c r="N123">
        <v>6.4873200000000004</v>
      </c>
    </row>
    <row r="124" spans="1:14" x14ac:dyDescent="0.15">
      <c r="A124" s="42">
        <f>pm.rep!B651</f>
        <v>7.0761200000000004</v>
      </c>
      <c r="B124" t="str">
        <f>pm.rep!A651</f>
        <v>Rec_Like_1</v>
      </c>
      <c r="C124" s="67" t="s">
        <v>280</v>
      </c>
      <c r="D124" s="42">
        <v>6.5092100000000004</v>
      </c>
      <c r="E124" s="220">
        <v>6.6225500000000004</v>
      </c>
      <c r="F124" s="220">
        <v>6.5359600000000002</v>
      </c>
      <c r="G124" s="220">
        <v>10.1075</v>
      </c>
      <c r="H124" s="220">
        <v>1.12662</v>
      </c>
      <c r="I124" s="220">
        <v>1.98563</v>
      </c>
      <c r="J124" s="220">
        <v>6.8743999999999996</v>
      </c>
      <c r="K124" s="220">
        <v>1.1454</v>
      </c>
      <c r="L124">
        <v>3.6867399999999999</v>
      </c>
      <c r="M124">
        <v>2.2170399999999999</v>
      </c>
      <c r="N124">
        <v>2.04887</v>
      </c>
    </row>
    <row r="125" spans="1:14" x14ac:dyDescent="0.15">
      <c r="A125" s="42">
        <f>pm.rep!B652</f>
        <v>18.037500000000001</v>
      </c>
      <c r="B125" t="str">
        <f>pm.rep!A652</f>
        <v>Rec_Like_2</v>
      </c>
      <c r="C125" s="67" t="s">
        <v>280</v>
      </c>
      <c r="D125" s="42">
        <v>18.0779</v>
      </c>
      <c r="E125" s="220">
        <v>18.253599999999999</v>
      </c>
      <c r="F125" s="220">
        <v>18.256699999999999</v>
      </c>
      <c r="G125" s="220">
        <v>18.315100000000001</v>
      </c>
      <c r="H125" s="220">
        <v>17.9894</v>
      </c>
      <c r="I125" s="220">
        <v>18.0808</v>
      </c>
      <c r="J125" s="220">
        <v>17.9282</v>
      </c>
      <c r="K125" s="220">
        <v>18.104700000000001</v>
      </c>
      <c r="L125">
        <v>18.030100000000001</v>
      </c>
      <c r="M125">
        <v>18.053599999999999</v>
      </c>
      <c r="N125">
        <v>18.413599999999999</v>
      </c>
    </row>
    <row r="126" spans="1:14" x14ac:dyDescent="0.15">
      <c r="A126" s="42">
        <f>pm.rep!B653</f>
        <v>0</v>
      </c>
      <c r="B126" t="str">
        <f>pm.rep!A653</f>
        <v>Rec_Like_3</v>
      </c>
      <c r="C126" s="67" t="s">
        <v>280</v>
      </c>
      <c r="D126" s="42">
        <v>0</v>
      </c>
      <c r="E126" s="220">
        <v>0</v>
      </c>
      <c r="F126" s="220">
        <v>0</v>
      </c>
      <c r="G126" s="220">
        <v>0</v>
      </c>
      <c r="H126" s="220">
        <v>0</v>
      </c>
      <c r="I126" s="220">
        <v>0</v>
      </c>
      <c r="J126" s="220">
        <v>0</v>
      </c>
      <c r="K126" s="220">
        <v>0</v>
      </c>
      <c r="L126">
        <v>0</v>
      </c>
      <c r="M126">
        <v>0</v>
      </c>
      <c r="N126">
        <v>0</v>
      </c>
    </row>
    <row r="127" spans="1:14" x14ac:dyDescent="0.15">
      <c r="A127" s="42">
        <f>pm.rep!B654</f>
        <v>3.3819900000000001</v>
      </c>
      <c r="B127" t="str">
        <f>pm.rep!A654</f>
        <v>Rec_Like_4</v>
      </c>
      <c r="C127" s="67" t="s">
        <v>280</v>
      </c>
      <c r="D127" s="42">
        <v>4.3221800000000004</v>
      </c>
      <c r="E127" s="220">
        <v>4.3244999999999996</v>
      </c>
      <c r="F127" s="220">
        <v>4.3250099999999998</v>
      </c>
      <c r="G127" s="220">
        <v>4.3247999999999998</v>
      </c>
      <c r="H127" s="220">
        <v>4.3232299999999997</v>
      </c>
      <c r="I127" s="220">
        <v>4.3236800000000004</v>
      </c>
      <c r="J127" s="220">
        <v>4.3213800000000004</v>
      </c>
      <c r="K127" s="220">
        <v>4.3247499999999999</v>
      </c>
      <c r="L127">
        <v>4.3213800000000004</v>
      </c>
      <c r="M127">
        <v>4.32742</v>
      </c>
      <c r="N127">
        <v>4.33019</v>
      </c>
    </row>
    <row r="128" spans="1:14" x14ac:dyDescent="0.15">
      <c r="A128" s="42">
        <f>pm.rep!B655</f>
        <v>2.52949</v>
      </c>
      <c r="B128" t="str">
        <f>pm.rep!A655</f>
        <v>Rec_Like_5</v>
      </c>
      <c r="C128" s="67" t="s">
        <v>280</v>
      </c>
      <c r="D128" s="42">
        <v>3.7379799999999998E-2</v>
      </c>
      <c r="E128" s="220">
        <v>4.1125500000000002E-2</v>
      </c>
      <c r="F128" s="220">
        <v>4.1762399999999998E-2</v>
      </c>
      <c r="G128" s="220">
        <v>3.9732999999999997E-2</v>
      </c>
      <c r="H128" s="220">
        <v>5.23524E-2</v>
      </c>
      <c r="I128" s="220">
        <v>4.7688599999999998E-2</v>
      </c>
      <c r="J128" s="220">
        <v>3.1117499999999999E-2</v>
      </c>
      <c r="K128" s="220">
        <v>4.2122100000000003E-2</v>
      </c>
      <c r="L128">
        <v>3.0352799999999999E-2</v>
      </c>
      <c r="M128">
        <v>3.7074599999999999E-2</v>
      </c>
      <c r="N128">
        <v>1.90928E-2</v>
      </c>
    </row>
    <row r="129" spans="1:14" x14ac:dyDescent="0.15">
      <c r="A129" s="42">
        <f>pm.rep!B656</f>
        <v>0</v>
      </c>
      <c r="B129" t="str">
        <f>pm.rep!A656</f>
        <v>Rec_Like_6</v>
      </c>
      <c r="C129" s="67" t="s">
        <v>280</v>
      </c>
      <c r="D129" s="42">
        <v>0</v>
      </c>
      <c r="E129" s="220">
        <v>0</v>
      </c>
      <c r="F129" s="220">
        <v>0</v>
      </c>
      <c r="G129" s="220">
        <v>0</v>
      </c>
      <c r="H129" s="220">
        <v>0</v>
      </c>
      <c r="I129" s="220">
        <v>0</v>
      </c>
      <c r="J129" s="220">
        <v>0</v>
      </c>
      <c r="K129" s="220">
        <v>0</v>
      </c>
      <c r="L129">
        <v>0</v>
      </c>
      <c r="M129">
        <v>0</v>
      </c>
      <c r="N129">
        <v>0</v>
      </c>
    </row>
    <row r="130" spans="1:14" x14ac:dyDescent="0.15">
      <c r="A130" s="42">
        <f>pm.rep!B657</f>
        <v>6.40428</v>
      </c>
      <c r="B130" t="str">
        <f>pm.rep!A657</f>
        <v>sel_Like_1</v>
      </c>
      <c r="C130" s="67" t="s">
        <v>280</v>
      </c>
      <c r="D130" s="42">
        <v>7.1882700000000002</v>
      </c>
      <c r="E130" s="220">
        <v>7.1681400000000002</v>
      </c>
      <c r="F130" s="220">
        <v>7.1667800000000002</v>
      </c>
      <c r="G130" s="220">
        <v>7.1609299999999996</v>
      </c>
      <c r="H130" s="220">
        <v>7.1914699999999998</v>
      </c>
      <c r="I130" s="220">
        <v>7.1840099999999998</v>
      </c>
      <c r="J130" s="220">
        <v>7.23515</v>
      </c>
      <c r="K130" s="220">
        <v>7.1735600000000002</v>
      </c>
      <c r="L130">
        <v>7.24742</v>
      </c>
      <c r="M130">
        <v>7.1387499999999999</v>
      </c>
      <c r="N130">
        <v>6.5463699999999996</v>
      </c>
    </row>
    <row r="131" spans="1:14" x14ac:dyDescent="0.15">
      <c r="A131" s="42">
        <f>pm.rep!B658</f>
        <v>0</v>
      </c>
      <c r="B131" t="str">
        <f>pm.rep!A658</f>
        <v>sel_Like_2</v>
      </c>
      <c r="C131" s="67" t="s">
        <v>280</v>
      </c>
      <c r="D131" s="42">
        <v>0</v>
      </c>
      <c r="E131" s="220">
        <v>0</v>
      </c>
      <c r="F131" s="220">
        <v>0</v>
      </c>
      <c r="G131" s="220">
        <v>0</v>
      </c>
      <c r="H131" s="220">
        <v>0</v>
      </c>
      <c r="I131" s="220">
        <v>0</v>
      </c>
      <c r="J131" s="220">
        <v>0</v>
      </c>
      <c r="K131" s="220">
        <v>0</v>
      </c>
      <c r="L131">
        <v>0</v>
      </c>
      <c r="M131">
        <v>0</v>
      </c>
      <c r="N131">
        <v>0</v>
      </c>
    </row>
    <row r="132" spans="1:14" x14ac:dyDescent="0.15">
      <c r="A132" s="42">
        <f>pm.rep!B659</f>
        <v>1.37697</v>
      </c>
      <c r="B132" t="str">
        <f>pm.rep!A659</f>
        <v>sel_Like_3</v>
      </c>
      <c r="C132" s="67" t="s">
        <v>280</v>
      </c>
      <c r="D132" s="42">
        <v>1.61056</v>
      </c>
      <c r="E132" s="220">
        <v>1.6493800000000001</v>
      </c>
      <c r="F132" s="220">
        <v>1.65046</v>
      </c>
      <c r="G132" s="220">
        <v>1.64795</v>
      </c>
      <c r="H132" s="220">
        <v>1.65869</v>
      </c>
      <c r="I132" s="220">
        <v>1.6549799999999999</v>
      </c>
      <c r="J132" s="220">
        <v>1.6483300000000001</v>
      </c>
      <c r="K132" s="220">
        <v>1.6491199999999999</v>
      </c>
      <c r="L132">
        <v>1.64208</v>
      </c>
      <c r="M132">
        <v>1.64819</v>
      </c>
      <c r="N132">
        <v>1.6874400000000001</v>
      </c>
    </row>
    <row r="133" spans="1:14" x14ac:dyDescent="0.15">
      <c r="A133" s="42">
        <f>pm.rep!B660</f>
        <v>70.271199999999993</v>
      </c>
      <c r="B133" t="str">
        <f>pm.rep!A660</f>
        <v>sel_Like_devs_1</v>
      </c>
      <c r="C133" s="67" t="s">
        <v>280</v>
      </c>
      <c r="D133" s="42">
        <v>30.776800000000001</v>
      </c>
      <c r="E133" s="220">
        <v>30.156600000000001</v>
      </c>
      <c r="F133" s="220">
        <v>30.166499999999999</v>
      </c>
      <c r="G133" s="220">
        <v>30.123699999999999</v>
      </c>
      <c r="H133" s="220">
        <v>30.2956</v>
      </c>
      <c r="I133" s="220">
        <v>30.249300000000002</v>
      </c>
      <c r="J133" s="220">
        <v>30.322199999999999</v>
      </c>
      <c r="K133" s="220">
        <v>30.220700000000001</v>
      </c>
      <c r="L133">
        <v>30.246300000000002</v>
      </c>
      <c r="M133">
        <v>30.239599999999999</v>
      </c>
      <c r="N133">
        <v>29.671299999999999</v>
      </c>
    </row>
    <row r="134" spans="1:14" x14ac:dyDescent="0.15">
      <c r="A134" s="42">
        <f>pm.rep!B661</f>
        <v>30.479500000000002</v>
      </c>
      <c r="B134" t="str">
        <f>pm.rep!A661</f>
        <v>sel_Like_devs_2</v>
      </c>
      <c r="C134" s="67" t="s">
        <v>280</v>
      </c>
      <c r="D134" s="42">
        <v>18.734500000000001</v>
      </c>
      <c r="E134" s="220">
        <v>18.8688</v>
      </c>
      <c r="F134" s="220">
        <v>18.875699999999998</v>
      </c>
      <c r="G134" s="220">
        <v>18.861699999999999</v>
      </c>
      <c r="H134" s="220">
        <v>18.968699999999998</v>
      </c>
      <c r="I134" s="220">
        <v>18.913699999999999</v>
      </c>
      <c r="J134" s="220">
        <v>18.835699999999999</v>
      </c>
      <c r="K134" s="220">
        <v>18.792899999999999</v>
      </c>
      <c r="L134">
        <v>18.735600000000002</v>
      </c>
      <c r="M134">
        <v>18.760300000000001</v>
      </c>
      <c r="N134">
        <v>19.8294</v>
      </c>
    </row>
    <row r="135" spans="1:14" x14ac:dyDescent="0.15">
      <c r="A135" s="42">
        <f>pm.rep!B662</f>
        <v>0.30742999999999998</v>
      </c>
      <c r="B135" t="str">
        <f>pm.rep!A662</f>
        <v>sel_Like_devs_3</v>
      </c>
      <c r="C135" s="67" t="s">
        <v>280</v>
      </c>
      <c r="D135" s="42">
        <v>6.7586700000000004</v>
      </c>
      <c r="E135" s="220">
        <v>6.64323</v>
      </c>
      <c r="F135" s="220">
        <v>6.6442800000000002</v>
      </c>
      <c r="G135" s="220">
        <v>6.6381899999999998</v>
      </c>
      <c r="H135" s="220">
        <v>6.6688099999999997</v>
      </c>
      <c r="I135" s="220">
        <v>6.6588399999999996</v>
      </c>
      <c r="J135" s="220">
        <v>6.7228500000000002</v>
      </c>
      <c r="K135" s="220">
        <v>6.6409200000000004</v>
      </c>
      <c r="L135">
        <v>6.6657200000000003</v>
      </c>
      <c r="M135">
        <v>6.6668099999999999</v>
      </c>
      <c r="N135">
        <v>6.4329499999999999</v>
      </c>
    </row>
    <row r="136" spans="1:14" x14ac:dyDescent="0.15">
      <c r="A136" s="42">
        <f>pm.rep!B663</f>
        <v>1.4925400000000001E-13</v>
      </c>
      <c r="B136" t="str">
        <f>pm.rep!A663</f>
        <v>sel_avg_fishery</v>
      </c>
      <c r="C136" s="67" t="s">
        <v>280</v>
      </c>
      <c r="D136" s="42">
        <v>9.11926E-14</v>
      </c>
      <c r="E136" s="220">
        <v>2.8607599999999999E-17</v>
      </c>
      <c r="F136" s="220">
        <v>4.0487400000000004E-15</v>
      </c>
      <c r="G136" s="220">
        <v>5.1793700000000004E-18</v>
      </c>
      <c r="H136" s="220">
        <v>3.8697699999999998E-15</v>
      </c>
      <c r="I136" s="220">
        <v>1.02165E-13</v>
      </c>
      <c r="J136" s="220">
        <v>3.98512E-14</v>
      </c>
      <c r="K136" s="220">
        <v>7.5928700000000005E-14</v>
      </c>
      <c r="L136">
        <v>6.19626E-16</v>
      </c>
      <c r="M136">
        <v>5.1317199999999997E-15</v>
      </c>
      <c r="N136">
        <v>3.6709099999999998E-13</v>
      </c>
    </row>
    <row r="137" spans="1:14" x14ac:dyDescent="0.15">
      <c r="A137" s="42">
        <f>pm.rep!B664</f>
        <v>0</v>
      </c>
      <c r="B137" t="str">
        <f>pm.rep!A664</f>
        <v>sel_avg_BTS</v>
      </c>
      <c r="C137" s="67" t="s">
        <v>280</v>
      </c>
      <c r="D137" s="42">
        <v>0</v>
      </c>
      <c r="E137" s="220">
        <v>0</v>
      </c>
      <c r="F137" s="220">
        <v>0</v>
      </c>
      <c r="G137" s="220">
        <v>0</v>
      </c>
      <c r="H137" s="220">
        <v>0</v>
      </c>
      <c r="I137" s="220">
        <v>0</v>
      </c>
      <c r="J137" s="220">
        <v>0</v>
      </c>
      <c r="K137" s="220">
        <v>0</v>
      </c>
      <c r="L137">
        <v>0</v>
      </c>
      <c r="M137">
        <v>0</v>
      </c>
      <c r="N137">
        <v>0</v>
      </c>
    </row>
    <row r="138" spans="1:14" x14ac:dyDescent="0.15">
      <c r="A138" s="42">
        <f>pm.rep!B665</f>
        <v>4.0636099999999999E-4</v>
      </c>
      <c r="B138" t="str">
        <f>pm.rep!A665</f>
        <v>sel_avg_EIT</v>
      </c>
      <c r="C138" s="67" t="s">
        <v>280</v>
      </c>
      <c r="D138" s="42">
        <v>9.8189000000000002E-4</v>
      </c>
      <c r="E138" s="220">
        <v>1.00318E-3</v>
      </c>
      <c r="F138" s="220">
        <v>1.0044299999999999E-3</v>
      </c>
      <c r="G138" s="220">
        <v>1.0015E-3</v>
      </c>
      <c r="H138" s="220">
        <v>1.0109299999999999E-3</v>
      </c>
      <c r="I138" s="220">
        <v>1.0082699999999999E-3</v>
      </c>
      <c r="J138" s="220">
        <v>1.00486E-3</v>
      </c>
      <c r="K138" s="220">
        <v>1.0044699999999999E-3</v>
      </c>
      <c r="L138">
        <v>1.0015E-3</v>
      </c>
      <c r="M138">
        <v>9.9993099999999991E-4</v>
      </c>
      <c r="N138">
        <v>9.1333899999999999E-4</v>
      </c>
    </row>
    <row r="139" spans="1:14" x14ac:dyDescent="0.15">
      <c r="A139" s="42">
        <f>pm.rep!B666</f>
        <v>21.330500000000001</v>
      </c>
      <c r="B139" t="str">
        <f>pm.rep!A666</f>
        <v>Prior_h</v>
      </c>
      <c r="C139" s="67" t="s">
        <v>280</v>
      </c>
      <c r="D139" s="42">
        <v>21.083400000000001</v>
      </c>
      <c r="E139" s="220">
        <v>21.125699999999998</v>
      </c>
      <c r="F139" s="220">
        <v>21.0684</v>
      </c>
      <c r="G139" s="220">
        <v>20.7271</v>
      </c>
      <c r="H139" s="220">
        <v>22.494599999999998</v>
      </c>
      <c r="I139" s="220">
        <v>22.085899999999999</v>
      </c>
      <c r="J139" s="220">
        <v>20.9025</v>
      </c>
      <c r="K139" s="220">
        <v>21.196899999999999</v>
      </c>
      <c r="L139">
        <v>20.889299999999999</v>
      </c>
      <c r="M139">
        <v>3.4719899999999999</v>
      </c>
      <c r="N139">
        <v>22.079899999999999</v>
      </c>
    </row>
    <row r="140" spans="1:14" x14ac:dyDescent="0.15">
      <c r="A140" s="42">
        <f>pm.rep!B667</f>
        <v>0</v>
      </c>
      <c r="B140" t="str">
        <f>pm.rep!A667</f>
        <v>Prior_q</v>
      </c>
      <c r="C140" s="67" t="s">
        <v>280</v>
      </c>
      <c r="D140" s="42">
        <v>0</v>
      </c>
      <c r="E140" s="220">
        <v>0</v>
      </c>
      <c r="F140" s="220">
        <v>0</v>
      </c>
      <c r="G140" s="220">
        <v>0</v>
      </c>
      <c r="H140" s="220">
        <v>0</v>
      </c>
      <c r="I140" s="220">
        <v>0</v>
      </c>
      <c r="J140" s="220">
        <v>0</v>
      </c>
      <c r="K140" s="220">
        <v>0</v>
      </c>
      <c r="L140">
        <v>0</v>
      </c>
      <c r="M140">
        <v>0</v>
      </c>
      <c r="N140">
        <v>0</v>
      </c>
    </row>
    <row r="141" spans="1:14" x14ac:dyDescent="0.15">
      <c r="A141" s="66" t="s">
        <v>280</v>
      </c>
      <c r="B141">
        <f>pm.rep!A668</f>
        <v>0</v>
      </c>
      <c r="C141" s="67"/>
      <c r="D141" s="66" t="s">
        <v>280</v>
      </c>
      <c r="E141" s="221" t="s">
        <v>280</v>
      </c>
      <c r="F141" s="221" t="s">
        <v>280</v>
      </c>
      <c r="G141" s="221" t="s">
        <v>280</v>
      </c>
      <c r="H141" s="221" t="s">
        <v>280</v>
      </c>
      <c r="I141" s="221" t="s">
        <v>280</v>
      </c>
      <c r="J141" s="221" t="s">
        <v>280</v>
      </c>
      <c r="K141" s="221" t="s">
        <v>280</v>
      </c>
      <c r="L141" t="s">
        <v>280</v>
      </c>
      <c r="M141" t="s">
        <v>280</v>
      </c>
      <c r="N141" t="s">
        <v>280</v>
      </c>
    </row>
    <row r="142" spans="1:14" x14ac:dyDescent="0.15">
      <c r="A142" s="66" t="s">
        <v>280</v>
      </c>
      <c r="B142" t="str">
        <f>pm.rep!A669</f>
        <v>Totals----------------------------------------</v>
      </c>
      <c r="C142" s="67"/>
      <c r="D142" s="66" t="s">
        <v>280</v>
      </c>
      <c r="E142" s="221" t="s">
        <v>280</v>
      </c>
      <c r="F142" s="221" t="s">
        <v>280</v>
      </c>
      <c r="G142" s="221" t="s">
        <v>280</v>
      </c>
      <c r="H142" s="221" t="s">
        <v>280</v>
      </c>
      <c r="I142" s="221" t="s">
        <v>280</v>
      </c>
      <c r="J142" s="221" t="s">
        <v>280</v>
      </c>
      <c r="K142" s="221" t="s">
        <v>280</v>
      </c>
      <c r="L142" t="s">
        <v>280</v>
      </c>
      <c r="M142" t="s">
        <v>280</v>
      </c>
      <c r="N142" t="s">
        <v>280</v>
      </c>
    </row>
    <row r="143" spans="1:14" x14ac:dyDescent="0.15">
      <c r="A143" s="66">
        <f>pm.rep!B670</f>
        <v>29044.9</v>
      </c>
      <c r="B143" t="str">
        <f>pm.rep!A670</f>
        <v>Without_prior</v>
      </c>
      <c r="C143" s="67"/>
      <c r="D143" s="66">
        <v>-113.529</v>
      </c>
      <c r="E143" s="221">
        <v>-116.117</v>
      </c>
      <c r="F143" s="221">
        <v>-116.077</v>
      </c>
      <c r="G143" s="221">
        <v>-116.16</v>
      </c>
      <c r="H143" s="221">
        <v>-115.876</v>
      </c>
      <c r="I143" s="221">
        <v>-115.965</v>
      </c>
      <c r="J143" s="221">
        <v>-115.64400000000001</v>
      </c>
      <c r="K143" s="221">
        <v>-115.845</v>
      </c>
      <c r="L143">
        <v>-115.65900000000001</v>
      </c>
      <c r="M143">
        <v>-115.738</v>
      </c>
      <c r="N143">
        <v>-141.59399999999999</v>
      </c>
    </row>
    <row r="144" spans="1:14" x14ac:dyDescent="0.15">
      <c r="A144" s="66">
        <f>pm.rep!B671</f>
        <v>29206.1</v>
      </c>
      <c r="B144" s="66" t="str">
        <f>pm.rep!A671</f>
        <v>With_Priors</v>
      </c>
      <c r="C144" s="67"/>
      <c r="D144" s="66">
        <v>1.5700099999999999</v>
      </c>
      <c r="E144" s="221">
        <v>-1.2635400000000001</v>
      </c>
      <c r="F144" s="221">
        <v>-1.34565</v>
      </c>
      <c r="G144" s="221">
        <v>1.7863199999999999</v>
      </c>
      <c r="H144" s="221">
        <v>-5.1066700000000003</v>
      </c>
      <c r="I144" s="221">
        <v>-4.7809999999999997</v>
      </c>
      <c r="J144" s="221">
        <v>-0.82181599999999999</v>
      </c>
      <c r="K144" s="221">
        <v>-6.5536799999999999</v>
      </c>
      <c r="L144">
        <v>-4.1636699999999998</v>
      </c>
      <c r="M144">
        <v>-23.177299999999999</v>
      </c>
      <c r="N144">
        <v>-30.535499999999999</v>
      </c>
    </row>
    <row r="145" spans="1:14" x14ac:dyDescent="0.15">
      <c r="A145" s="66" t="s">
        <v>280</v>
      </c>
      <c r="B145" s="66"/>
      <c r="C145" s="67"/>
      <c r="D145" s="66" t="s">
        <v>280</v>
      </c>
      <c r="E145" s="66" t="s">
        <v>280</v>
      </c>
      <c r="F145" s="66" t="s">
        <v>280</v>
      </c>
      <c r="G145" s="66" t="s">
        <v>280</v>
      </c>
      <c r="H145" s="66" t="s">
        <v>280</v>
      </c>
      <c r="I145" s="66" t="s">
        <v>280</v>
      </c>
      <c r="J145" s="66" t="s">
        <v>280</v>
      </c>
      <c r="K145" s="66" t="s">
        <v>280</v>
      </c>
      <c r="L145" t="s">
        <v>280</v>
      </c>
      <c r="M145" t="s">
        <v>280</v>
      </c>
      <c r="N145" t="s">
        <v>280</v>
      </c>
    </row>
    <row r="146" spans="1:14" s="158" customFormat="1" x14ac:dyDescent="0.15">
      <c r="A146" s="174" t="str">
        <f>A2</f>
        <v>Model_16.1</v>
      </c>
      <c r="B146" s="175"/>
      <c r="C146" s="86"/>
      <c r="D146" s="174" t="s">
        <v>959</v>
      </c>
      <c r="E146" s="174" t="s">
        <v>961</v>
      </c>
      <c r="F146" s="174" t="s">
        <v>969</v>
      </c>
      <c r="G146" s="174" t="s">
        <v>967</v>
      </c>
      <c r="H146" s="174" t="s">
        <v>965</v>
      </c>
      <c r="I146" s="174" t="s">
        <v>906</v>
      </c>
      <c r="J146" s="174" t="s">
        <v>907</v>
      </c>
      <c r="K146" s="174" t="s">
        <v>908</v>
      </c>
      <c r="L146" s="158" t="s">
        <v>909</v>
      </c>
      <c r="M146" s="158" t="s">
        <v>910</v>
      </c>
      <c r="N146" s="158" t="s">
        <v>859</v>
      </c>
    </row>
    <row r="147" spans="1:14" x14ac:dyDescent="0.15">
      <c r="A147" s="43">
        <f>Stdev!D286</f>
        <v>1868.9</v>
      </c>
      <c r="B147" s="42" t="s">
        <v>432</v>
      </c>
      <c r="C147" s="67">
        <v>1964</v>
      </c>
      <c r="D147" s="43">
        <v>1606.9</v>
      </c>
      <c r="E147" s="43">
        <v>1602</v>
      </c>
      <c r="F147" s="43">
        <v>1600.8</v>
      </c>
      <c r="G147" s="43">
        <v>1601.1</v>
      </c>
      <c r="H147" s="43">
        <v>1605.5</v>
      </c>
      <c r="I147" s="43">
        <v>1604.3</v>
      </c>
      <c r="J147" s="43">
        <v>1613.7</v>
      </c>
      <c r="K147" s="43">
        <v>1599.5</v>
      </c>
      <c r="L147">
        <v>1610.9</v>
      </c>
      <c r="M147">
        <v>1590.8</v>
      </c>
      <c r="N147">
        <v>1592.6</v>
      </c>
    </row>
    <row r="148" spans="1:14" x14ac:dyDescent="0.15">
      <c r="A148" s="43">
        <f>Stdev!D287</f>
        <v>2323.6999999999998</v>
      </c>
      <c r="B148" s="42" t="s">
        <v>433</v>
      </c>
      <c r="C148" s="67">
        <v>1965</v>
      </c>
      <c r="D148" s="43">
        <v>2057.6999999999998</v>
      </c>
      <c r="E148" s="43">
        <v>2051.4</v>
      </c>
      <c r="F148" s="43">
        <v>2049.8000000000002</v>
      </c>
      <c r="G148" s="43">
        <v>2050.1</v>
      </c>
      <c r="H148" s="43">
        <v>2055.9</v>
      </c>
      <c r="I148" s="43">
        <v>2054.4</v>
      </c>
      <c r="J148" s="43">
        <v>2067.1</v>
      </c>
      <c r="K148" s="43">
        <v>2047.9</v>
      </c>
      <c r="L148">
        <v>2063.1</v>
      </c>
      <c r="M148">
        <v>2036.3</v>
      </c>
      <c r="N148">
        <v>2039.7</v>
      </c>
    </row>
    <row r="149" spans="1:14" x14ac:dyDescent="0.15">
      <c r="A149" s="43">
        <f>Stdev!D288</f>
        <v>2562.9</v>
      </c>
      <c r="B149" s="42" t="s">
        <v>434</v>
      </c>
      <c r="C149" s="67">
        <v>1966</v>
      </c>
      <c r="D149" s="43">
        <v>2155.6999999999998</v>
      </c>
      <c r="E149" s="43">
        <v>2149.6</v>
      </c>
      <c r="F149" s="43">
        <v>2148</v>
      </c>
      <c r="G149" s="43">
        <v>2148.1999999999998</v>
      </c>
      <c r="H149" s="43">
        <v>2155</v>
      </c>
      <c r="I149" s="43">
        <v>2153.1999999999998</v>
      </c>
      <c r="J149" s="43">
        <v>2166.9</v>
      </c>
      <c r="K149" s="43">
        <v>2145.9</v>
      </c>
      <c r="L149">
        <v>2162.1999999999998</v>
      </c>
      <c r="M149">
        <v>2133.1</v>
      </c>
      <c r="N149">
        <v>2137.6</v>
      </c>
    </row>
    <row r="150" spans="1:14" x14ac:dyDescent="0.15">
      <c r="A150" s="43">
        <f>Stdev!D289</f>
        <v>3888.1</v>
      </c>
      <c r="B150" s="42" t="s">
        <v>435</v>
      </c>
      <c r="C150" s="67">
        <v>1967</v>
      </c>
      <c r="D150" s="43">
        <v>3350.7</v>
      </c>
      <c r="E150" s="43">
        <v>3344</v>
      </c>
      <c r="F150" s="43">
        <v>3342</v>
      </c>
      <c r="G150" s="43">
        <v>3341.9</v>
      </c>
      <c r="H150" s="43">
        <v>3351.4</v>
      </c>
      <c r="I150" s="43">
        <v>3349</v>
      </c>
      <c r="J150" s="43">
        <v>3368.2</v>
      </c>
      <c r="K150" s="43">
        <v>3338.3</v>
      </c>
      <c r="L150">
        <v>3360.7</v>
      </c>
      <c r="M150">
        <v>3320.6</v>
      </c>
      <c r="N150">
        <v>3331.1</v>
      </c>
    </row>
    <row r="151" spans="1:14" x14ac:dyDescent="0.15">
      <c r="A151" s="43">
        <f>Stdev!D290</f>
        <v>4495</v>
      </c>
      <c r="B151" s="42" t="s">
        <v>436</v>
      </c>
      <c r="C151" s="67">
        <v>1968</v>
      </c>
      <c r="D151" s="43">
        <v>3806.1</v>
      </c>
      <c r="E151" s="43">
        <v>3800</v>
      </c>
      <c r="F151" s="43">
        <v>3797.9</v>
      </c>
      <c r="G151" s="43">
        <v>3797.5</v>
      </c>
      <c r="H151" s="43">
        <v>3809</v>
      </c>
      <c r="I151" s="43">
        <v>3806.1</v>
      </c>
      <c r="J151" s="43">
        <v>3828.8</v>
      </c>
      <c r="K151" s="43">
        <v>3793</v>
      </c>
      <c r="L151">
        <v>3819</v>
      </c>
      <c r="M151">
        <v>3772</v>
      </c>
      <c r="N151">
        <v>3788.3</v>
      </c>
    </row>
    <row r="152" spans="1:14" x14ac:dyDescent="0.15">
      <c r="A152" s="43">
        <f>Stdev!D291</f>
        <v>5690</v>
      </c>
      <c r="B152" s="42" t="s">
        <v>437</v>
      </c>
      <c r="C152" s="67">
        <v>1969</v>
      </c>
      <c r="D152" s="43">
        <v>5151.8</v>
      </c>
      <c r="E152" s="43">
        <v>5145.2</v>
      </c>
      <c r="F152" s="43">
        <v>5142.8</v>
      </c>
      <c r="G152" s="43">
        <v>5142.1000000000004</v>
      </c>
      <c r="H152" s="43">
        <v>5156.2</v>
      </c>
      <c r="I152" s="43">
        <v>5152.7</v>
      </c>
      <c r="J152" s="43">
        <v>5184.8</v>
      </c>
      <c r="K152" s="43">
        <v>5134.6000000000004</v>
      </c>
      <c r="L152">
        <v>5169.7</v>
      </c>
      <c r="M152">
        <v>5106.8</v>
      </c>
      <c r="N152">
        <v>5137.1000000000004</v>
      </c>
    </row>
    <row r="153" spans="1:14" x14ac:dyDescent="0.15">
      <c r="A153" s="43">
        <f>Stdev!D292</f>
        <v>6423.9</v>
      </c>
      <c r="B153" s="42" t="s">
        <v>438</v>
      </c>
      <c r="C153" s="67">
        <v>1970</v>
      </c>
      <c r="D153" s="43">
        <v>6185.3</v>
      </c>
      <c r="E153" s="43">
        <v>6178.6</v>
      </c>
      <c r="F153" s="43">
        <v>6175.8</v>
      </c>
      <c r="G153" s="43">
        <v>6174.8</v>
      </c>
      <c r="H153" s="43">
        <v>6191.3</v>
      </c>
      <c r="I153" s="43">
        <v>6187.4</v>
      </c>
      <c r="J153" s="43">
        <v>6230.1</v>
      </c>
      <c r="K153" s="43">
        <v>6163.8</v>
      </c>
      <c r="L153">
        <v>6208.8</v>
      </c>
      <c r="M153">
        <v>6128.7</v>
      </c>
      <c r="N153">
        <v>6176.1</v>
      </c>
    </row>
    <row r="154" spans="1:14" x14ac:dyDescent="0.15">
      <c r="A154" s="43">
        <f>Stdev!D293</f>
        <v>6858.4</v>
      </c>
      <c r="B154" s="42" t="s">
        <v>439</v>
      </c>
      <c r="C154" s="67">
        <v>1971</v>
      </c>
      <c r="D154" s="43">
        <v>6891.4</v>
      </c>
      <c r="E154" s="43">
        <v>6884.2</v>
      </c>
      <c r="F154" s="43">
        <v>6881.1</v>
      </c>
      <c r="G154" s="43">
        <v>6879.7</v>
      </c>
      <c r="H154" s="43">
        <v>6898.2</v>
      </c>
      <c r="I154" s="43">
        <v>6894.1</v>
      </c>
      <c r="J154" s="43">
        <v>6948.5</v>
      </c>
      <c r="K154" s="43">
        <v>6864.5</v>
      </c>
      <c r="L154">
        <v>6920.1</v>
      </c>
      <c r="M154">
        <v>6822.1</v>
      </c>
      <c r="N154">
        <v>6889.4</v>
      </c>
    </row>
    <row r="155" spans="1:14" x14ac:dyDescent="0.15">
      <c r="A155" s="43">
        <f>Stdev!D294</f>
        <v>6430.6</v>
      </c>
      <c r="B155" s="42" t="s">
        <v>440</v>
      </c>
      <c r="C155" s="67">
        <v>1972</v>
      </c>
      <c r="D155" s="43">
        <v>6306.1</v>
      </c>
      <c r="E155" s="43">
        <v>6299</v>
      </c>
      <c r="F155" s="43">
        <v>6295.8</v>
      </c>
      <c r="G155" s="43">
        <v>6294.1</v>
      </c>
      <c r="H155" s="43">
        <v>6313.9</v>
      </c>
      <c r="I155" s="43">
        <v>6309.6</v>
      </c>
      <c r="J155" s="43">
        <v>6371.8</v>
      </c>
      <c r="K155" s="43">
        <v>6276</v>
      </c>
      <c r="L155">
        <v>6338.5</v>
      </c>
      <c r="M155">
        <v>6228.9</v>
      </c>
      <c r="N155">
        <v>6311.7</v>
      </c>
    </row>
    <row r="156" spans="1:14" x14ac:dyDescent="0.15">
      <c r="A156" s="43">
        <f>Stdev!D295</f>
        <v>5161.2</v>
      </c>
      <c r="B156" s="42" t="s">
        <v>441</v>
      </c>
      <c r="C156" s="67">
        <v>1973</v>
      </c>
      <c r="D156" s="43">
        <v>4698.2</v>
      </c>
      <c r="E156" s="43">
        <v>4692</v>
      </c>
      <c r="F156" s="43">
        <v>4688.8999999999996</v>
      </c>
      <c r="G156" s="43">
        <v>4687.1000000000004</v>
      </c>
      <c r="H156" s="43">
        <v>4707.1000000000004</v>
      </c>
      <c r="I156" s="43">
        <v>4702.7</v>
      </c>
      <c r="J156" s="43">
        <v>4765.6000000000004</v>
      </c>
      <c r="K156" s="43">
        <v>4668.5</v>
      </c>
      <c r="L156">
        <v>4731.2</v>
      </c>
      <c r="M156">
        <v>4621.2</v>
      </c>
      <c r="N156">
        <v>4708.6000000000004</v>
      </c>
    </row>
    <row r="157" spans="1:14" x14ac:dyDescent="0.15">
      <c r="A157" s="43">
        <f>Stdev!D296</f>
        <v>3845.8</v>
      </c>
      <c r="B157" s="42" t="s">
        <v>442</v>
      </c>
      <c r="C157" s="67">
        <v>1974</v>
      </c>
      <c r="D157" s="43">
        <v>3296.6</v>
      </c>
      <c r="E157" s="43">
        <v>3291.1</v>
      </c>
      <c r="F157" s="43">
        <v>3288.1</v>
      </c>
      <c r="G157" s="43">
        <v>3286.2</v>
      </c>
      <c r="H157" s="43">
        <v>3305.8</v>
      </c>
      <c r="I157" s="43">
        <v>3301.6</v>
      </c>
      <c r="J157" s="43">
        <v>3363.8</v>
      </c>
      <c r="K157" s="43">
        <v>3267.5</v>
      </c>
      <c r="L157">
        <v>3329.2</v>
      </c>
      <c r="M157">
        <v>3221.2</v>
      </c>
      <c r="N157">
        <v>3313.1</v>
      </c>
    </row>
    <row r="158" spans="1:14" x14ac:dyDescent="0.15">
      <c r="A158" s="43">
        <f>Stdev!D297</f>
        <v>3868.4</v>
      </c>
      <c r="B158" s="42" t="s">
        <v>443</v>
      </c>
      <c r="C158" s="67">
        <v>1975</v>
      </c>
      <c r="D158" s="43">
        <v>3522.4</v>
      </c>
      <c r="E158" s="43">
        <v>3515.5</v>
      </c>
      <c r="F158" s="43">
        <v>3512.8</v>
      </c>
      <c r="G158" s="43">
        <v>3511.2</v>
      </c>
      <c r="H158" s="43">
        <v>3527.9</v>
      </c>
      <c r="I158" s="43">
        <v>3524.5</v>
      </c>
      <c r="J158" s="43">
        <v>3584.7</v>
      </c>
      <c r="K158" s="43">
        <v>3492.7</v>
      </c>
      <c r="L158">
        <v>3552.4</v>
      </c>
      <c r="M158">
        <v>3449.2</v>
      </c>
      <c r="N158">
        <v>3565.7</v>
      </c>
    </row>
    <row r="159" spans="1:14" x14ac:dyDescent="0.15">
      <c r="A159" s="43">
        <f>Stdev!D298</f>
        <v>3871.5</v>
      </c>
      <c r="B159" s="42" t="s">
        <v>444</v>
      </c>
      <c r="C159" s="67">
        <v>1976</v>
      </c>
      <c r="D159" s="43">
        <v>3587.7</v>
      </c>
      <c r="E159" s="43">
        <v>3577.9</v>
      </c>
      <c r="F159" s="43">
        <v>3575.1</v>
      </c>
      <c r="G159" s="43">
        <v>3573.4</v>
      </c>
      <c r="H159" s="43">
        <v>3590.4</v>
      </c>
      <c r="I159" s="43">
        <v>3587.1</v>
      </c>
      <c r="J159" s="43">
        <v>3653.6</v>
      </c>
      <c r="K159" s="43">
        <v>3551.5</v>
      </c>
      <c r="L159">
        <v>3617</v>
      </c>
      <c r="M159">
        <v>3504.7</v>
      </c>
      <c r="N159">
        <v>3675.2</v>
      </c>
    </row>
    <row r="160" spans="1:14" x14ac:dyDescent="0.15">
      <c r="A160" s="43">
        <f>Stdev!D299</f>
        <v>3939.3</v>
      </c>
      <c r="B160" s="42" t="s">
        <v>445</v>
      </c>
      <c r="C160" s="67">
        <v>1977</v>
      </c>
      <c r="D160" s="43">
        <v>3626.3</v>
      </c>
      <c r="E160" s="43">
        <v>3612.5</v>
      </c>
      <c r="F160" s="43">
        <v>3609.7</v>
      </c>
      <c r="G160" s="43">
        <v>3608.1</v>
      </c>
      <c r="H160" s="43">
        <v>3624.2</v>
      </c>
      <c r="I160" s="43">
        <v>3621.3</v>
      </c>
      <c r="J160" s="43">
        <v>3691.5</v>
      </c>
      <c r="K160" s="43">
        <v>3584.3</v>
      </c>
      <c r="L160">
        <v>3653.2</v>
      </c>
      <c r="M160">
        <v>3536.9</v>
      </c>
      <c r="N160">
        <v>3780.9</v>
      </c>
    </row>
    <row r="161" spans="1:14" x14ac:dyDescent="0.15">
      <c r="A161" s="43">
        <f>Stdev!D300</f>
        <v>3888.3</v>
      </c>
      <c r="B161" s="42" t="s">
        <v>446</v>
      </c>
      <c r="C161" s="67">
        <v>1978</v>
      </c>
      <c r="D161" s="43">
        <v>3541.7</v>
      </c>
      <c r="E161" s="43">
        <v>3524</v>
      </c>
      <c r="F161" s="43">
        <v>3521.4</v>
      </c>
      <c r="G161" s="43">
        <v>3520.3</v>
      </c>
      <c r="H161" s="43">
        <v>3532.9</v>
      </c>
      <c r="I161" s="43">
        <v>3531</v>
      </c>
      <c r="J161" s="43">
        <v>3599</v>
      </c>
      <c r="K161" s="43">
        <v>3499.8</v>
      </c>
      <c r="L161">
        <v>3567.9</v>
      </c>
      <c r="M161">
        <v>3455.3</v>
      </c>
      <c r="N161">
        <v>3760.3</v>
      </c>
    </row>
    <row r="162" spans="1:14" x14ac:dyDescent="0.15">
      <c r="A162" s="43">
        <f>Stdev!D301</f>
        <v>3859.2</v>
      </c>
      <c r="B162" s="42" t="s">
        <v>447</v>
      </c>
      <c r="C162" s="67">
        <v>1979</v>
      </c>
      <c r="D162" s="43">
        <v>3410</v>
      </c>
      <c r="E162" s="43">
        <v>3386.9</v>
      </c>
      <c r="F162" s="43">
        <v>3384.7</v>
      </c>
      <c r="G162" s="43">
        <v>3384.3</v>
      </c>
      <c r="H162" s="43">
        <v>3391.6</v>
      </c>
      <c r="I162" s="43">
        <v>3391</v>
      </c>
      <c r="J162" s="43">
        <v>3452.4</v>
      </c>
      <c r="K162" s="43">
        <v>3371</v>
      </c>
      <c r="L162">
        <v>3435</v>
      </c>
      <c r="M162">
        <v>3331.6</v>
      </c>
      <c r="N162">
        <v>3706.3</v>
      </c>
    </row>
    <row r="163" spans="1:14" x14ac:dyDescent="0.15">
      <c r="A163" s="43">
        <f>Stdev!D302</f>
        <v>4887.3</v>
      </c>
      <c r="B163" s="42" t="s">
        <v>448</v>
      </c>
      <c r="C163" s="67">
        <v>1980</v>
      </c>
      <c r="D163" s="43">
        <v>4348.5</v>
      </c>
      <c r="E163" s="43">
        <v>4307.3999999999996</v>
      </c>
      <c r="F163" s="43">
        <v>4305.8999999999996</v>
      </c>
      <c r="G163" s="43">
        <v>4307.3</v>
      </c>
      <c r="H163" s="43">
        <v>4305.5</v>
      </c>
      <c r="I163" s="43">
        <v>4306.3</v>
      </c>
      <c r="J163" s="43">
        <v>4349.2</v>
      </c>
      <c r="K163" s="43">
        <v>4293.5</v>
      </c>
      <c r="L163">
        <v>4343.7</v>
      </c>
      <c r="M163">
        <v>4262.8</v>
      </c>
      <c r="N163">
        <v>4768.5</v>
      </c>
    </row>
    <row r="164" spans="1:14" x14ac:dyDescent="0.15">
      <c r="A164" s="43">
        <f>Stdev!D303</f>
        <v>9054.2999999999993</v>
      </c>
      <c r="B164" s="42" t="s">
        <v>449</v>
      </c>
      <c r="C164" s="67">
        <v>1981</v>
      </c>
      <c r="D164" s="43">
        <v>8391.2999999999993</v>
      </c>
      <c r="E164" s="43">
        <v>8320.7999999999993</v>
      </c>
      <c r="F164" s="43">
        <v>8320</v>
      </c>
      <c r="G164" s="43">
        <v>8329.7999999999993</v>
      </c>
      <c r="H164" s="43">
        <v>8265.2000000000007</v>
      </c>
      <c r="I164" s="43">
        <v>8289</v>
      </c>
      <c r="J164" s="43">
        <v>8310.7000000000007</v>
      </c>
      <c r="K164" s="43">
        <v>8357.9</v>
      </c>
      <c r="L164">
        <v>8413.6</v>
      </c>
      <c r="M164">
        <v>8326</v>
      </c>
      <c r="N164">
        <v>8798.2999999999993</v>
      </c>
    </row>
    <row r="165" spans="1:14" x14ac:dyDescent="0.15">
      <c r="A165" s="43">
        <f>Stdev!D304</f>
        <v>10289</v>
      </c>
      <c r="B165" s="42" t="s">
        <v>450</v>
      </c>
      <c r="C165" s="67">
        <v>1982</v>
      </c>
      <c r="D165" s="43">
        <v>9584.4</v>
      </c>
      <c r="E165" s="43">
        <v>9496.9</v>
      </c>
      <c r="F165" s="43">
        <v>9496.7999999999993</v>
      </c>
      <c r="G165" s="43">
        <v>9506.5</v>
      </c>
      <c r="H165" s="43">
        <v>9440.1</v>
      </c>
      <c r="I165" s="43">
        <v>9464.1</v>
      </c>
      <c r="J165" s="43">
        <v>9463.5</v>
      </c>
      <c r="K165" s="43">
        <v>9537</v>
      </c>
      <c r="L165">
        <v>9578.2999999999993</v>
      </c>
      <c r="M165">
        <v>9507.2999999999993</v>
      </c>
      <c r="N165">
        <v>9943.2999999999993</v>
      </c>
    </row>
    <row r="166" spans="1:14" x14ac:dyDescent="0.15">
      <c r="A166" s="43">
        <f>Stdev!D305</f>
        <v>11383</v>
      </c>
      <c r="B166" s="42" t="s">
        <v>451</v>
      </c>
      <c r="C166" s="67">
        <v>1983</v>
      </c>
      <c r="D166" s="43">
        <v>10665</v>
      </c>
      <c r="E166" s="43">
        <v>10560</v>
      </c>
      <c r="F166" s="43">
        <v>10561</v>
      </c>
      <c r="G166" s="43">
        <v>10569</v>
      </c>
      <c r="H166" s="43">
        <v>10511</v>
      </c>
      <c r="I166" s="43">
        <v>10532</v>
      </c>
      <c r="J166" s="43">
        <v>10501</v>
      </c>
      <c r="K166" s="43">
        <v>10597</v>
      </c>
      <c r="L166">
        <v>10619</v>
      </c>
      <c r="M166">
        <v>10563</v>
      </c>
      <c r="N166">
        <v>10983</v>
      </c>
    </row>
    <row r="167" spans="1:14" x14ac:dyDescent="0.15">
      <c r="A167" s="43">
        <f>Stdev!D306</f>
        <v>11040</v>
      </c>
      <c r="B167" s="42" t="s">
        <v>452</v>
      </c>
      <c r="C167" s="67">
        <v>1984</v>
      </c>
      <c r="D167" s="43">
        <v>10346</v>
      </c>
      <c r="E167" s="43">
        <v>10239</v>
      </c>
      <c r="F167" s="43">
        <v>10240</v>
      </c>
      <c r="G167" s="43">
        <v>10243</v>
      </c>
      <c r="H167" s="43">
        <v>10213</v>
      </c>
      <c r="I167" s="43">
        <v>10224</v>
      </c>
      <c r="J167" s="43">
        <v>10174</v>
      </c>
      <c r="K167" s="43">
        <v>10277</v>
      </c>
      <c r="L167">
        <v>10284</v>
      </c>
      <c r="M167">
        <v>10238</v>
      </c>
      <c r="N167">
        <v>10613</v>
      </c>
    </row>
    <row r="168" spans="1:14" x14ac:dyDescent="0.15">
      <c r="A168" s="43">
        <f>Stdev!D307</f>
        <v>12951</v>
      </c>
      <c r="B168" s="42" t="s">
        <v>453</v>
      </c>
      <c r="C168" s="67">
        <v>1985</v>
      </c>
      <c r="D168" s="43">
        <v>12532</v>
      </c>
      <c r="E168" s="43">
        <v>12409</v>
      </c>
      <c r="F168" s="43">
        <v>12410</v>
      </c>
      <c r="G168" s="43">
        <v>12412</v>
      </c>
      <c r="H168" s="43">
        <v>12391</v>
      </c>
      <c r="I168" s="43">
        <v>12399</v>
      </c>
      <c r="J168" s="43">
        <v>12328</v>
      </c>
      <c r="K168" s="43">
        <v>12435</v>
      </c>
      <c r="L168">
        <v>12430</v>
      </c>
      <c r="M168">
        <v>12386</v>
      </c>
      <c r="N168">
        <v>12605</v>
      </c>
    </row>
    <row r="169" spans="1:14" x14ac:dyDescent="0.15">
      <c r="A169" s="43">
        <f>Stdev!D308</f>
        <v>12019</v>
      </c>
      <c r="B169" s="42" t="s">
        <v>454</v>
      </c>
      <c r="C169" s="67">
        <v>1986</v>
      </c>
      <c r="D169" s="43">
        <v>11737</v>
      </c>
      <c r="E169" s="43">
        <v>11621</v>
      </c>
      <c r="F169" s="43">
        <v>11622</v>
      </c>
      <c r="G169" s="43">
        <v>11621</v>
      </c>
      <c r="H169" s="43">
        <v>11616</v>
      </c>
      <c r="I169" s="43">
        <v>11619</v>
      </c>
      <c r="J169" s="43">
        <v>11552</v>
      </c>
      <c r="K169" s="43">
        <v>11644</v>
      </c>
      <c r="L169">
        <v>11636</v>
      </c>
      <c r="M169">
        <v>11598</v>
      </c>
      <c r="N169">
        <v>11694</v>
      </c>
    </row>
    <row r="170" spans="1:14" x14ac:dyDescent="0.15">
      <c r="A170" s="43">
        <f>Stdev!D309</f>
        <v>12334</v>
      </c>
      <c r="B170" s="42" t="s">
        <v>455</v>
      </c>
      <c r="C170" s="67">
        <v>1987</v>
      </c>
      <c r="D170" s="43">
        <v>12361</v>
      </c>
      <c r="E170" s="43">
        <v>12243</v>
      </c>
      <c r="F170" s="43">
        <v>12245</v>
      </c>
      <c r="G170" s="43">
        <v>12245</v>
      </c>
      <c r="H170" s="43">
        <v>12234</v>
      </c>
      <c r="I170" s="43">
        <v>12238</v>
      </c>
      <c r="J170" s="43">
        <v>12192</v>
      </c>
      <c r="K170" s="43">
        <v>12252</v>
      </c>
      <c r="L170">
        <v>12252</v>
      </c>
      <c r="M170">
        <v>12219</v>
      </c>
      <c r="N170">
        <v>12103</v>
      </c>
    </row>
    <row r="171" spans="1:14" x14ac:dyDescent="0.15">
      <c r="A171" s="43">
        <f>Stdev!D310</f>
        <v>11536</v>
      </c>
      <c r="B171" s="42" t="s">
        <v>456</v>
      </c>
      <c r="C171" s="67">
        <v>1988</v>
      </c>
      <c r="D171" s="43">
        <v>11691</v>
      </c>
      <c r="E171" s="43">
        <v>11583</v>
      </c>
      <c r="F171" s="43">
        <v>11584</v>
      </c>
      <c r="G171" s="43">
        <v>11585</v>
      </c>
      <c r="H171" s="43">
        <v>11573</v>
      </c>
      <c r="I171" s="43">
        <v>11577</v>
      </c>
      <c r="J171" s="43">
        <v>11553</v>
      </c>
      <c r="K171" s="43">
        <v>11588</v>
      </c>
      <c r="L171">
        <v>11594</v>
      </c>
      <c r="M171">
        <v>11567</v>
      </c>
      <c r="N171">
        <v>11337</v>
      </c>
    </row>
    <row r="172" spans="1:14" x14ac:dyDescent="0.15">
      <c r="A172" s="43">
        <f>Stdev!D311</f>
        <v>9699.9</v>
      </c>
      <c r="B172" s="42" t="s">
        <v>457</v>
      </c>
      <c r="C172" s="67">
        <v>1989</v>
      </c>
      <c r="D172" s="43">
        <v>9956.6</v>
      </c>
      <c r="E172" s="43">
        <v>9860.9</v>
      </c>
      <c r="F172" s="43">
        <v>9861.7000000000007</v>
      </c>
      <c r="G172" s="43">
        <v>9860.9</v>
      </c>
      <c r="H172" s="43">
        <v>9856.7000000000007</v>
      </c>
      <c r="I172" s="43">
        <v>9858.6</v>
      </c>
      <c r="J172" s="43">
        <v>9853.7999999999993</v>
      </c>
      <c r="K172" s="43">
        <v>9866.5</v>
      </c>
      <c r="L172">
        <v>9877.9</v>
      </c>
      <c r="M172">
        <v>9858</v>
      </c>
      <c r="N172">
        <v>9560.7000000000007</v>
      </c>
    </row>
    <row r="173" spans="1:14" x14ac:dyDescent="0.15">
      <c r="A173" s="43">
        <f>Stdev!D312</f>
        <v>7700.5</v>
      </c>
      <c r="B173" s="42" t="s">
        <v>458</v>
      </c>
      <c r="C173" s="67">
        <v>1990</v>
      </c>
      <c r="D173" s="43">
        <v>7974.2</v>
      </c>
      <c r="E173" s="43">
        <v>7891.2</v>
      </c>
      <c r="F173" s="43">
        <v>7891.7</v>
      </c>
      <c r="G173" s="43">
        <v>7888.7</v>
      </c>
      <c r="H173" s="43">
        <v>7897.9</v>
      </c>
      <c r="I173" s="43">
        <v>7896</v>
      </c>
      <c r="J173" s="43">
        <v>7905.4</v>
      </c>
      <c r="K173" s="43">
        <v>7902.4</v>
      </c>
      <c r="L173">
        <v>7917.4</v>
      </c>
      <c r="M173">
        <v>7903.1</v>
      </c>
      <c r="N173">
        <v>7591</v>
      </c>
    </row>
    <row r="174" spans="1:14" x14ac:dyDescent="0.15">
      <c r="A174" s="43">
        <f>Stdev!D313</f>
        <v>6063.2</v>
      </c>
      <c r="B174" s="42" t="s">
        <v>459</v>
      </c>
      <c r="C174" s="67">
        <v>1991</v>
      </c>
      <c r="D174" s="43">
        <v>6243</v>
      </c>
      <c r="E174" s="43">
        <v>6170.8</v>
      </c>
      <c r="F174" s="43">
        <v>6171.1</v>
      </c>
      <c r="G174" s="43">
        <v>6166.8</v>
      </c>
      <c r="H174" s="43">
        <v>6183.7</v>
      </c>
      <c r="I174" s="43">
        <v>6179.6</v>
      </c>
      <c r="J174" s="43">
        <v>6200.3</v>
      </c>
      <c r="K174" s="43">
        <v>6185.2</v>
      </c>
      <c r="L174">
        <v>6203.2</v>
      </c>
      <c r="M174">
        <v>6193.3</v>
      </c>
      <c r="N174">
        <v>5887.5</v>
      </c>
    </row>
    <row r="175" spans="1:14" x14ac:dyDescent="0.15">
      <c r="A175" s="43">
        <f>Stdev!D314</f>
        <v>9472.2000000000007</v>
      </c>
      <c r="B175" s="42" t="s">
        <v>460</v>
      </c>
      <c r="C175" s="67">
        <v>1992</v>
      </c>
      <c r="D175" s="43">
        <v>9641.1</v>
      </c>
      <c r="E175" s="43">
        <v>9561.7000000000007</v>
      </c>
      <c r="F175" s="43">
        <v>9562</v>
      </c>
      <c r="G175" s="43">
        <v>9560.2999999999993</v>
      </c>
      <c r="H175" s="43">
        <v>9562.2999999999993</v>
      </c>
      <c r="I175" s="43">
        <v>9562.6</v>
      </c>
      <c r="J175" s="43">
        <v>9590.5</v>
      </c>
      <c r="K175" s="43">
        <v>9567.6</v>
      </c>
      <c r="L175">
        <v>9589.5</v>
      </c>
      <c r="M175">
        <v>9579.6</v>
      </c>
      <c r="N175">
        <v>9281.6</v>
      </c>
    </row>
    <row r="176" spans="1:14" x14ac:dyDescent="0.15">
      <c r="A176" s="43">
        <f>Stdev!D315</f>
        <v>11712</v>
      </c>
      <c r="B176" s="42" t="s">
        <v>461</v>
      </c>
      <c r="C176" s="67">
        <v>1993</v>
      </c>
      <c r="D176" s="43">
        <v>11801</v>
      </c>
      <c r="E176" s="43">
        <v>11712</v>
      </c>
      <c r="F176" s="43">
        <v>11712</v>
      </c>
      <c r="G176" s="43">
        <v>11713</v>
      </c>
      <c r="H176" s="43">
        <v>11702</v>
      </c>
      <c r="I176" s="43">
        <v>11706</v>
      </c>
      <c r="J176" s="43">
        <v>11732</v>
      </c>
      <c r="K176" s="43">
        <v>11710</v>
      </c>
      <c r="L176">
        <v>11732</v>
      </c>
      <c r="M176">
        <v>11721</v>
      </c>
      <c r="N176">
        <v>11431</v>
      </c>
    </row>
    <row r="177" spans="1:14" x14ac:dyDescent="0.15">
      <c r="A177" s="43">
        <f>Stdev!D316</f>
        <v>11418</v>
      </c>
      <c r="B177" s="42" t="s">
        <v>462</v>
      </c>
      <c r="C177" s="67">
        <v>1994</v>
      </c>
      <c r="D177" s="43">
        <v>11392</v>
      </c>
      <c r="E177" s="43">
        <v>11306</v>
      </c>
      <c r="F177" s="43">
        <v>11306</v>
      </c>
      <c r="G177" s="43">
        <v>11308</v>
      </c>
      <c r="H177" s="43">
        <v>11290</v>
      </c>
      <c r="I177" s="43">
        <v>11296</v>
      </c>
      <c r="J177" s="43">
        <v>11317</v>
      </c>
      <c r="K177" s="43">
        <v>11298</v>
      </c>
      <c r="L177">
        <v>11317</v>
      </c>
      <c r="M177">
        <v>11307</v>
      </c>
      <c r="N177">
        <v>11027</v>
      </c>
    </row>
    <row r="178" spans="1:14" x14ac:dyDescent="0.15">
      <c r="A178" s="43">
        <f>Stdev!D317</f>
        <v>13177</v>
      </c>
      <c r="B178" s="42" t="s">
        <v>463</v>
      </c>
      <c r="C178" s="67">
        <v>1995</v>
      </c>
      <c r="D178" s="43">
        <v>13175</v>
      </c>
      <c r="E178" s="43">
        <v>13074</v>
      </c>
      <c r="F178" s="43">
        <v>13075</v>
      </c>
      <c r="G178" s="43">
        <v>13078</v>
      </c>
      <c r="H178" s="43">
        <v>13050</v>
      </c>
      <c r="I178" s="43">
        <v>13059</v>
      </c>
      <c r="J178" s="43">
        <v>13077</v>
      </c>
      <c r="K178" s="43">
        <v>13060</v>
      </c>
      <c r="L178">
        <v>13078</v>
      </c>
      <c r="M178">
        <v>13068</v>
      </c>
      <c r="N178">
        <v>12712</v>
      </c>
    </row>
    <row r="179" spans="1:14" x14ac:dyDescent="0.15">
      <c r="A179" s="43">
        <f>Stdev!D318</f>
        <v>11358</v>
      </c>
      <c r="B179" s="42" t="s">
        <v>464</v>
      </c>
      <c r="C179" s="67">
        <v>1996</v>
      </c>
      <c r="D179" s="43">
        <v>11292</v>
      </c>
      <c r="E179" s="43">
        <v>11198</v>
      </c>
      <c r="F179" s="43">
        <v>11199</v>
      </c>
      <c r="G179" s="43">
        <v>11202</v>
      </c>
      <c r="H179" s="43">
        <v>11179</v>
      </c>
      <c r="I179" s="43">
        <v>11186</v>
      </c>
      <c r="J179" s="43">
        <v>11201</v>
      </c>
      <c r="K179" s="43">
        <v>11187</v>
      </c>
      <c r="L179">
        <v>11203</v>
      </c>
      <c r="M179">
        <v>11193</v>
      </c>
      <c r="N179">
        <v>10851</v>
      </c>
    </row>
    <row r="180" spans="1:14" x14ac:dyDescent="0.15">
      <c r="A180" s="43">
        <f>Stdev!D319</f>
        <v>9940</v>
      </c>
      <c r="B180" s="42" t="s">
        <v>465</v>
      </c>
      <c r="C180" s="67">
        <v>1997</v>
      </c>
      <c r="D180" s="43">
        <v>9888.9</v>
      </c>
      <c r="E180" s="43">
        <v>9801.2000000000007</v>
      </c>
      <c r="F180" s="43">
        <v>9801.9</v>
      </c>
      <c r="G180" s="43">
        <v>9803</v>
      </c>
      <c r="H180" s="43">
        <v>9788.9</v>
      </c>
      <c r="I180" s="43">
        <v>9793.4</v>
      </c>
      <c r="J180" s="43">
        <v>9807.6</v>
      </c>
      <c r="K180" s="43">
        <v>9793.9</v>
      </c>
      <c r="L180">
        <v>9808.1</v>
      </c>
      <c r="M180">
        <v>9799.7000000000007</v>
      </c>
      <c r="N180">
        <v>9459.7000000000007</v>
      </c>
    </row>
    <row r="181" spans="1:14" x14ac:dyDescent="0.15">
      <c r="A181" s="43">
        <f>Stdev!D320</f>
        <v>9989.7999999999993</v>
      </c>
      <c r="B181" s="42" t="s">
        <v>466</v>
      </c>
      <c r="C181" s="67">
        <v>1998</v>
      </c>
      <c r="D181" s="43">
        <v>9993.7999999999993</v>
      </c>
      <c r="E181" s="43">
        <v>9902.7000000000007</v>
      </c>
      <c r="F181" s="43">
        <v>9903.6</v>
      </c>
      <c r="G181" s="43">
        <v>9904</v>
      </c>
      <c r="H181" s="43">
        <v>9894</v>
      </c>
      <c r="I181" s="43">
        <v>9897.2000000000007</v>
      </c>
      <c r="J181" s="43">
        <v>9910.9</v>
      </c>
      <c r="K181" s="43">
        <v>9897.5</v>
      </c>
      <c r="L181">
        <v>9911.2000000000007</v>
      </c>
      <c r="M181">
        <v>9902.5</v>
      </c>
      <c r="N181">
        <v>9548.6</v>
      </c>
    </row>
    <row r="182" spans="1:14" x14ac:dyDescent="0.15">
      <c r="A182" s="43">
        <f>Stdev!D321</f>
        <v>10853</v>
      </c>
      <c r="B182" s="42" t="s">
        <v>467</v>
      </c>
      <c r="C182" s="67">
        <v>1999</v>
      </c>
      <c r="D182" s="43">
        <v>10887</v>
      </c>
      <c r="E182" s="43">
        <v>10791</v>
      </c>
      <c r="F182" s="43">
        <v>10793</v>
      </c>
      <c r="G182" s="43">
        <v>10793</v>
      </c>
      <c r="H182" s="43">
        <v>10783</v>
      </c>
      <c r="I182" s="43">
        <v>10786</v>
      </c>
      <c r="J182" s="43">
        <v>10796</v>
      </c>
      <c r="K182" s="43">
        <v>10786</v>
      </c>
      <c r="L182">
        <v>10798</v>
      </c>
      <c r="M182">
        <v>10788</v>
      </c>
      <c r="N182">
        <v>10491</v>
      </c>
    </row>
    <row r="183" spans="1:14" x14ac:dyDescent="0.15">
      <c r="A183" s="43">
        <f>Stdev!D322</f>
        <v>10068</v>
      </c>
      <c r="B183" s="42" t="s">
        <v>468</v>
      </c>
      <c r="C183" s="67">
        <v>2000</v>
      </c>
      <c r="D183" s="43">
        <v>10113</v>
      </c>
      <c r="E183" s="43">
        <v>10020</v>
      </c>
      <c r="F183" s="43">
        <v>10021</v>
      </c>
      <c r="G183" s="43">
        <v>10020</v>
      </c>
      <c r="H183" s="43">
        <v>10018</v>
      </c>
      <c r="I183" s="43">
        <v>10019</v>
      </c>
      <c r="J183" s="43">
        <v>10024</v>
      </c>
      <c r="K183" s="43">
        <v>10017</v>
      </c>
      <c r="L183">
        <v>10027</v>
      </c>
      <c r="M183">
        <v>10017</v>
      </c>
      <c r="N183">
        <v>9794.4</v>
      </c>
    </row>
    <row r="184" spans="1:14" x14ac:dyDescent="0.15">
      <c r="A184" s="43">
        <f>Stdev!D323</f>
        <v>9854</v>
      </c>
      <c r="B184" s="42" t="s">
        <v>469</v>
      </c>
      <c r="C184" s="67">
        <v>2001</v>
      </c>
      <c r="D184" s="43">
        <v>9901.2999999999993</v>
      </c>
      <c r="E184" s="43">
        <v>9802.5</v>
      </c>
      <c r="F184" s="43">
        <v>9803.7999999999993</v>
      </c>
      <c r="G184" s="43">
        <v>9801.4</v>
      </c>
      <c r="H184" s="43">
        <v>9808.7000000000007</v>
      </c>
      <c r="I184" s="43">
        <v>9806</v>
      </c>
      <c r="J184" s="43">
        <v>9804.6</v>
      </c>
      <c r="K184" s="43">
        <v>9803.7000000000007</v>
      </c>
      <c r="L184">
        <v>9810.1</v>
      </c>
      <c r="M184">
        <v>9797.7000000000007</v>
      </c>
      <c r="N184">
        <v>9624.9</v>
      </c>
    </row>
    <row r="185" spans="1:14" x14ac:dyDescent="0.15">
      <c r="A185" s="43">
        <f>Stdev!D324</f>
        <v>10276</v>
      </c>
      <c r="B185" s="42" t="s">
        <v>470</v>
      </c>
      <c r="C185" s="67">
        <v>2002</v>
      </c>
      <c r="D185" s="43">
        <v>10299</v>
      </c>
      <c r="E185" s="43">
        <v>10182</v>
      </c>
      <c r="F185" s="43">
        <v>10184</v>
      </c>
      <c r="G185" s="43">
        <v>10179</v>
      </c>
      <c r="H185" s="43">
        <v>10200</v>
      </c>
      <c r="I185" s="43">
        <v>10193</v>
      </c>
      <c r="J185" s="43">
        <v>10178</v>
      </c>
      <c r="K185" s="43">
        <v>10188</v>
      </c>
      <c r="L185">
        <v>10189</v>
      </c>
      <c r="M185">
        <v>10173</v>
      </c>
      <c r="N185">
        <v>10098</v>
      </c>
    </row>
    <row r="186" spans="1:14" x14ac:dyDescent="0.15">
      <c r="A186" s="43">
        <f>Stdev!D325</f>
        <v>12365</v>
      </c>
      <c r="B186" s="42" t="s">
        <v>471</v>
      </c>
      <c r="C186" s="67">
        <v>2003</v>
      </c>
      <c r="D186" s="43">
        <v>12357</v>
      </c>
      <c r="E186" s="43">
        <v>12211</v>
      </c>
      <c r="F186" s="43">
        <v>12213</v>
      </c>
      <c r="G186" s="43">
        <v>12206</v>
      </c>
      <c r="H186" s="43">
        <v>12240</v>
      </c>
      <c r="I186" s="43">
        <v>12229</v>
      </c>
      <c r="J186" s="43">
        <v>12200</v>
      </c>
      <c r="K186" s="43">
        <v>12222</v>
      </c>
      <c r="L186">
        <v>12217</v>
      </c>
      <c r="M186">
        <v>12195</v>
      </c>
      <c r="N186">
        <v>12181</v>
      </c>
    </row>
    <row r="187" spans="1:14" x14ac:dyDescent="0.15">
      <c r="A187" s="43">
        <f>Stdev!D326</f>
        <v>11591</v>
      </c>
      <c r="B187" s="42" t="s">
        <v>472</v>
      </c>
      <c r="C187" s="67">
        <v>2004</v>
      </c>
      <c r="D187" s="43">
        <v>11578</v>
      </c>
      <c r="E187" s="43">
        <v>11416</v>
      </c>
      <c r="F187" s="43">
        <v>11418</v>
      </c>
      <c r="G187" s="43">
        <v>11411</v>
      </c>
      <c r="H187" s="43">
        <v>11448</v>
      </c>
      <c r="I187" s="43">
        <v>11435</v>
      </c>
      <c r="J187" s="43">
        <v>11407</v>
      </c>
      <c r="K187" s="43">
        <v>11428</v>
      </c>
      <c r="L187">
        <v>11424</v>
      </c>
      <c r="M187">
        <v>11401</v>
      </c>
      <c r="N187">
        <v>11401</v>
      </c>
    </row>
    <row r="188" spans="1:14" x14ac:dyDescent="0.15">
      <c r="A188" s="43">
        <f>Stdev!D327</f>
        <v>9705.2000000000007</v>
      </c>
      <c r="B188" s="42" t="s">
        <v>473</v>
      </c>
      <c r="C188" s="67">
        <v>2005</v>
      </c>
      <c r="D188" s="43">
        <v>9691.2000000000007</v>
      </c>
      <c r="E188" s="43">
        <v>9521.5</v>
      </c>
      <c r="F188" s="43">
        <v>9524.1</v>
      </c>
      <c r="G188" s="43">
        <v>9516.6</v>
      </c>
      <c r="H188" s="43">
        <v>9553.1</v>
      </c>
      <c r="I188" s="43">
        <v>9540.5</v>
      </c>
      <c r="J188" s="43">
        <v>9518.2999999999993</v>
      </c>
      <c r="K188" s="43">
        <v>9534.9</v>
      </c>
      <c r="L188">
        <v>9532.7999999999993</v>
      </c>
      <c r="M188">
        <v>9511.2999999999993</v>
      </c>
      <c r="N188">
        <v>9509.5</v>
      </c>
    </row>
    <row r="189" spans="1:14" x14ac:dyDescent="0.15">
      <c r="A189" s="43">
        <f>Stdev!D328</f>
        <v>7445.9</v>
      </c>
      <c r="B189" s="42" t="s">
        <v>410</v>
      </c>
      <c r="C189" s="67">
        <v>2006</v>
      </c>
      <c r="D189" s="43">
        <v>7417.4</v>
      </c>
      <c r="E189" s="43">
        <v>7261.9</v>
      </c>
      <c r="F189" s="43">
        <v>7264.3</v>
      </c>
      <c r="G189" s="43">
        <v>7256.6</v>
      </c>
      <c r="H189" s="43">
        <v>7293.9</v>
      </c>
      <c r="I189" s="43">
        <v>7281.4</v>
      </c>
      <c r="J189" s="43">
        <v>7266.4</v>
      </c>
      <c r="K189" s="43">
        <v>7277.1</v>
      </c>
      <c r="L189">
        <v>7277.6</v>
      </c>
      <c r="M189">
        <v>7258.6</v>
      </c>
      <c r="N189">
        <v>7252.6</v>
      </c>
    </row>
    <row r="190" spans="1:14" x14ac:dyDescent="0.15">
      <c r="A190" s="43">
        <f>Stdev!D329</f>
        <v>6045.3</v>
      </c>
      <c r="B190" s="42" t="s">
        <v>430</v>
      </c>
      <c r="C190" s="67">
        <v>2007</v>
      </c>
      <c r="D190" s="43">
        <v>6004.6</v>
      </c>
      <c r="E190" s="43">
        <v>5840</v>
      </c>
      <c r="F190" s="43">
        <v>5842.6</v>
      </c>
      <c r="G190" s="43">
        <v>5833.1</v>
      </c>
      <c r="H190" s="43">
        <v>5879.1</v>
      </c>
      <c r="I190" s="43">
        <v>5864.1</v>
      </c>
      <c r="J190" s="43">
        <v>5854.5</v>
      </c>
      <c r="K190" s="43">
        <v>5860.7</v>
      </c>
      <c r="L190">
        <v>5863.7</v>
      </c>
      <c r="M190">
        <v>5845.2</v>
      </c>
      <c r="N190">
        <v>5826.7</v>
      </c>
    </row>
    <row r="191" spans="1:14" x14ac:dyDescent="0.15">
      <c r="A191" s="43">
        <f>Stdev!D330</f>
        <v>4848.8</v>
      </c>
      <c r="B191" s="42" t="s">
        <v>515</v>
      </c>
      <c r="C191" s="67">
        <v>2008</v>
      </c>
      <c r="D191" s="43">
        <v>4768</v>
      </c>
      <c r="E191" s="43">
        <v>4607.2</v>
      </c>
      <c r="F191" s="43">
        <v>4610.3</v>
      </c>
      <c r="G191" s="43">
        <v>4599.6000000000004</v>
      </c>
      <c r="H191" s="43">
        <v>4648.3999999999996</v>
      </c>
      <c r="I191" s="43">
        <v>4632.8</v>
      </c>
      <c r="J191" s="43">
        <v>4627.8999999999996</v>
      </c>
      <c r="K191" s="43">
        <v>4630.2</v>
      </c>
      <c r="L191">
        <v>4634.8</v>
      </c>
      <c r="M191">
        <v>4617.8999999999996</v>
      </c>
      <c r="N191">
        <v>4567.3</v>
      </c>
    </row>
    <row r="192" spans="1:14" x14ac:dyDescent="0.15">
      <c r="A192" s="43">
        <f>Stdev!D331</f>
        <v>6331.1</v>
      </c>
      <c r="B192" s="42" t="s">
        <v>516</v>
      </c>
      <c r="C192" s="67">
        <v>2009</v>
      </c>
      <c r="D192" s="43">
        <v>6126.6</v>
      </c>
      <c r="E192" s="43">
        <v>5879.7</v>
      </c>
      <c r="F192" s="43">
        <v>5887.4</v>
      </c>
      <c r="G192" s="43">
        <v>5870.4</v>
      </c>
      <c r="H192" s="43">
        <v>5931.5</v>
      </c>
      <c r="I192" s="43">
        <v>5911.7</v>
      </c>
      <c r="J192" s="43">
        <v>5901.4</v>
      </c>
      <c r="K192" s="43">
        <v>5906.7</v>
      </c>
      <c r="L192">
        <v>5908.5</v>
      </c>
      <c r="M192">
        <v>5890.6</v>
      </c>
      <c r="N192">
        <v>5859.2</v>
      </c>
    </row>
    <row r="193" spans="1:14" s="27" customFormat="1" x14ac:dyDescent="0.15">
      <c r="A193" s="43">
        <f>Stdev!D332</f>
        <v>6680.3</v>
      </c>
      <c r="B193" s="42" t="s">
        <v>586</v>
      </c>
      <c r="C193" s="67">
        <v>2010</v>
      </c>
      <c r="D193" s="43">
        <v>5847.2</v>
      </c>
      <c r="E193" s="43">
        <v>5622.3</v>
      </c>
      <c r="F193" s="43">
        <v>5631.8</v>
      </c>
      <c r="G193" s="43">
        <v>5609.7</v>
      </c>
      <c r="H193" s="43">
        <v>5691.9</v>
      </c>
      <c r="I193" s="43">
        <v>5665.6</v>
      </c>
      <c r="J193" s="43">
        <v>5644.9</v>
      </c>
      <c r="K193" s="43">
        <v>5657</v>
      </c>
      <c r="L193" s="27">
        <v>5650.3</v>
      </c>
      <c r="M193" s="27">
        <v>5638</v>
      </c>
      <c r="N193" s="27">
        <v>5621.7</v>
      </c>
    </row>
    <row r="194" spans="1:14" s="27" customFormat="1" x14ac:dyDescent="0.15">
      <c r="A194" s="43">
        <f>Stdev!D333</f>
        <v>10053</v>
      </c>
      <c r="B194" s="42" t="s">
        <v>682</v>
      </c>
      <c r="C194" s="67">
        <v>2011</v>
      </c>
      <c r="D194" s="43">
        <v>7970.5</v>
      </c>
      <c r="E194" s="43">
        <v>7927.5</v>
      </c>
      <c r="F194" s="43">
        <v>7949.7</v>
      </c>
      <c r="G194" s="43">
        <v>7917.9</v>
      </c>
      <c r="H194" s="43">
        <v>7999.4</v>
      </c>
      <c r="I194" s="43">
        <v>7970.3</v>
      </c>
      <c r="J194" s="43">
        <v>7888.5</v>
      </c>
      <c r="K194" s="43">
        <v>7941.1</v>
      </c>
      <c r="L194" s="27">
        <v>7889.1</v>
      </c>
      <c r="M194" s="27">
        <v>7903.2</v>
      </c>
      <c r="N194" s="27">
        <v>7875.6</v>
      </c>
    </row>
    <row r="195" spans="1:14" s="157" customFormat="1" x14ac:dyDescent="0.15">
      <c r="A195" s="43">
        <f>Stdev!D334</f>
        <v>10164</v>
      </c>
      <c r="B195" s="42" t="s">
        <v>827</v>
      </c>
      <c r="C195" s="67">
        <v>2012</v>
      </c>
      <c r="D195" s="43">
        <v>7836.5</v>
      </c>
      <c r="E195" s="43">
        <v>7853</v>
      </c>
      <c r="F195" s="43">
        <v>7878.7</v>
      </c>
      <c r="G195" s="43">
        <v>7842.4</v>
      </c>
      <c r="H195" s="43">
        <v>7939.5</v>
      </c>
      <c r="I195" s="43">
        <v>7904.2</v>
      </c>
      <c r="J195" s="43">
        <v>7776.5</v>
      </c>
      <c r="K195" s="43">
        <v>7860.1</v>
      </c>
      <c r="L195" s="157">
        <v>7772.9</v>
      </c>
      <c r="M195" s="157">
        <v>7809.6</v>
      </c>
      <c r="N195" s="157">
        <v>7797</v>
      </c>
    </row>
    <row r="196" spans="1:14" s="172" customFormat="1" x14ac:dyDescent="0.15">
      <c r="A196" s="43">
        <f>Stdev!D335</f>
        <v>10337</v>
      </c>
      <c r="B196" s="42" t="s">
        <v>828</v>
      </c>
      <c r="C196" s="67">
        <v>2013</v>
      </c>
      <c r="D196" s="43">
        <v>8217.2000000000007</v>
      </c>
      <c r="E196" s="43">
        <v>8261</v>
      </c>
      <c r="F196" s="43">
        <v>7926.3</v>
      </c>
      <c r="G196" s="43">
        <v>8248.7999999999993</v>
      </c>
      <c r="H196" s="43">
        <v>8363.7999999999993</v>
      </c>
      <c r="I196" s="43">
        <v>8321.7000000000007</v>
      </c>
      <c r="J196" s="43">
        <v>8153.1</v>
      </c>
      <c r="K196" s="43">
        <v>8263.9</v>
      </c>
      <c r="L196" s="172">
        <v>8145.8</v>
      </c>
      <c r="M196" s="172">
        <v>8200.7000000000007</v>
      </c>
      <c r="N196" s="172">
        <v>8186.6</v>
      </c>
    </row>
    <row r="197" spans="1:14" s="172" customFormat="1" x14ac:dyDescent="0.15">
      <c r="A197" s="43">
        <f>Stdev!D336</f>
        <v>9804.9</v>
      </c>
      <c r="B197" s="42" t="s">
        <v>844</v>
      </c>
      <c r="C197" s="67">
        <v>2014</v>
      </c>
      <c r="D197" s="43">
        <v>7997.4</v>
      </c>
      <c r="E197" s="43">
        <v>8045.3</v>
      </c>
      <c r="F197" s="43">
        <v>7632.1</v>
      </c>
      <c r="G197" s="43">
        <v>8031.8</v>
      </c>
      <c r="H197" s="43">
        <v>8154.8</v>
      </c>
      <c r="I197" s="43">
        <v>8110.3</v>
      </c>
      <c r="J197" s="43">
        <v>7934.4</v>
      </c>
      <c r="K197" s="43">
        <v>8049</v>
      </c>
      <c r="L197" s="172">
        <v>7925.3</v>
      </c>
      <c r="M197" s="172">
        <v>7983.1</v>
      </c>
      <c r="N197" s="172">
        <v>8072.1</v>
      </c>
    </row>
    <row r="198" spans="1:14" s="172" customFormat="1" x14ac:dyDescent="0.15">
      <c r="A198" s="43">
        <f>Stdev!D337</f>
        <v>10970</v>
      </c>
      <c r="B198" s="42" t="s">
        <v>849</v>
      </c>
      <c r="C198" s="67">
        <v>2015</v>
      </c>
      <c r="D198" s="43">
        <v>7725.9</v>
      </c>
      <c r="E198" s="43">
        <v>7778.4</v>
      </c>
      <c r="F198" s="43">
        <v>7287.3</v>
      </c>
      <c r="G198" s="43">
        <v>7764</v>
      </c>
      <c r="H198" s="43">
        <v>7890.2</v>
      </c>
      <c r="I198" s="43">
        <v>7845.2</v>
      </c>
      <c r="J198" s="43">
        <v>7674.7</v>
      </c>
      <c r="K198" s="43">
        <v>7784.5</v>
      </c>
      <c r="L198" s="172">
        <v>7664.8</v>
      </c>
      <c r="M198" s="172">
        <v>7719.4</v>
      </c>
      <c r="N198" s="172">
        <v>7868.7</v>
      </c>
    </row>
    <row r="199" spans="1:14" s="172" customFormat="1" x14ac:dyDescent="0.15">
      <c r="A199" s="173" t="str">
        <f>A2</f>
        <v>Model_16.1</v>
      </c>
      <c r="B199" s="205" t="s">
        <v>280</v>
      </c>
      <c r="C199" s="76"/>
      <c r="D199" s="173" t="s">
        <v>959</v>
      </c>
      <c r="E199" s="173" t="s">
        <v>961</v>
      </c>
      <c r="F199" s="173" t="s">
        <v>969</v>
      </c>
      <c r="G199" s="173" t="s">
        <v>967</v>
      </c>
      <c r="H199" s="173" t="s">
        <v>965</v>
      </c>
      <c r="I199" s="173" t="s">
        <v>856</v>
      </c>
      <c r="J199" s="173" t="s">
        <v>856</v>
      </c>
      <c r="K199" s="173" t="s">
        <v>863</v>
      </c>
      <c r="L199" s="172" t="s">
        <v>904</v>
      </c>
      <c r="M199" s="172" t="s">
        <v>862</v>
      </c>
      <c r="N199" s="172" t="s">
        <v>859</v>
      </c>
    </row>
    <row r="200" spans="1:14" x14ac:dyDescent="0.15">
      <c r="A200" s="27">
        <f>pm.rep!B63</f>
        <v>6669.66</v>
      </c>
      <c r="B200" s="133" t="s">
        <v>593</v>
      </c>
      <c r="C200" s="134">
        <v>1963</v>
      </c>
      <c r="D200" s="27">
        <v>5223.46</v>
      </c>
      <c r="E200" s="27">
        <v>5222.29</v>
      </c>
      <c r="F200" s="27">
        <v>5220.5</v>
      </c>
      <c r="G200" s="27">
        <v>5219.07</v>
      </c>
      <c r="H200" s="27">
        <v>5235.87</v>
      </c>
      <c r="I200" s="27">
        <v>5231.18</v>
      </c>
      <c r="J200" s="27">
        <v>5250.05</v>
      </c>
      <c r="K200" s="27">
        <v>5216.97</v>
      </c>
      <c r="L200">
        <v>5240.47</v>
      </c>
      <c r="M200">
        <v>5194.6099999999997</v>
      </c>
      <c r="N200">
        <v>5209.13</v>
      </c>
    </row>
    <row r="201" spans="1:14" x14ac:dyDescent="0.15">
      <c r="A201" s="27">
        <f>pm.rep!B64</f>
        <v>21534.799999999999</v>
      </c>
      <c r="B201" s="133" t="s">
        <v>594</v>
      </c>
      <c r="C201" s="67">
        <v>1964</v>
      </c>
      <c r="D201" s="27">
        <v>20399.599999999999</v>
      </c>
      <c r="E201" s="27">
        <v>20382.7</v>
      </c>
      <c r="F201" s="27">
        <v>20376.099999999999</v>
      </c>
      <c r="G201" s="27">
        <v>20374.2</v>
      </c>
      <c r="H201" s="27">
        <v>20413.599999999999</v>
      </c>
      <c r="I201" s="27">
        <v>20403.7</v>
      </c>
      <c r="J201" s="27">
        <v>20488.3</v>
      </c>
      <c r="K201" s="27">
        <v>20355.099999999999</v>
      </c>
      <c r="L201">
        <v>20448.400000000001</v>
      </c>
      <c r="M201">
        <v>20280</v>
      </c>
      <c r="N201">
        <v>20357.7</v>
      </c>
    </row>
    <row r="202" spans="1:14" x14ac:dyDescent="0.15">
      <c r="A202" s="27">
        <f>pm.rep!B65</f>
        <v>15436.5</v>
      </c>
      <c r="B202" s="133" t="s">
        <v>595</v>
      </c>
      <c r="C202" s="67">
        <v>1965</v>
      </c>
      <c r="D202" s="27">
        <v>14308</v>
      </c>
      <c r="E202" s="27">
        <v>14308.8</v>
      </c>
      <c r="F202" s="27">
        <v>14305.7</v>
      </c>
      <c r="G202" s="27">
        <v>14302.1</v>
      </c>
      <c r="H202" s="27">
        <v>14334</v>
      </c>
      <c r="I202" s="27">
        <v>14325.8</v>
      </c>
      <c r="J202" s="27">
        <v>14382.5</v>
      </c>
      <c r="K202" s="27">
        <v>14289</v>
      </c>
      <c r="L202">
        <v>14350.1</v>
      </c>
      <c r="M202">
        <v>14235.9</v>
      </c>
      <c r="N202">
        <v>14308.8</v>
      </c>
    </row>
    <row r="203" spans="1:14" x14ac:dyDescent="0.15">
      <c r="A203" s="27">
        <f>pm.rep!B66</f>
        <v>25796</v>
      </c>
      <c r="B203" s="133" t="s">
        <v>596</v>
      </c>
      <c r="C203" s="67">
        <v>1966</v>
      </c>
      <c r="D203" s="27">
        <v>28704.9</v>
      </c>
      <c r="E203" s="27">
        <v>28689.8</v>
      </c>
      <c r="F203" s="27">
        <v>28683</v>
      </c>
      <c r="G203" s="27">
        <v>28679.4</v>
      </c>
      <c r="H203" s="27">
        <v>28721.1</v>
      </c>
      <c r="I203" s="27">
        <v>28712.2</v>
      </c>
      <c r="J203" s="27">
        <v>28849.5</v>
      </c>
      <c r="K203" s="27">
        <v>28638.9</v>
      </c>
      <c r="L203">
        <v>28776.6</v>
      </c>
      <c r="M203">
        <v>28535.1</v>
      </c>
      <c r="N203">
        <v>28716.1</v>
      </c>
    </row>
    <row r="204" spans="1:14" x14ac:dyDescent="0.15">
      <c r="A204" s="27">
        <f>pm.rep!B67</f>
        <v>22271.4</v>
      </c>
      <c r="B204" s="133" t="s">
        <v>597</v>
      </c>
      <c r="C204" s="67">
        <v>1967</v>
      </c>
      <c r="D204" s="27">
        <v>26676.6</v>
      </c>
      <c r="E204" s="27">
        <v>26665.4</v>
      </c>
      <c r="F204" s="27">
        <v>26658.9</v>
      </c>
      <c r="G204" s="27">
        <v>26654.400000000001</v>
      </c>
      <c r="H204" s="27">
        <v>26697</v>
      </c>
      <c r="I204" s="27">
        <v>26688.3</v>
      </c>
      <c r="J204" s="27">
        <v>26840.7</v>
      </c>
      <c r="K204" s="27">
        <v>26607.5</v>
      </c>
      <c r="L204">
        <v>26756.2</v>
      </c>
      <c r="M204">
        <v>26496.799999999999</v>
      </c>
      <c r="N204">
        <v>26715.200000000001</v>
      </c>
    </row>
    <row r="205" spans="1:14" x14ac:dyDescent="0.15">
      <c r="A205" s="27">
        <f>pm.rep!B68</f>
        <v>26141.1</v>
      </c>
      <c r="B205" s="133" t="s">
        <v>598</v>
      </c>
      <c r="C205" s="67">
        <v>1968</v>
      </c>
      <c r="D205" s="27">
        <v>29281.1</v>
      </c>
      <c r="E205" s="27">
        <v>29266.6</v>
      </c>
      <c r="F205" s="27">
        <v>29260</v>
      </c>
      <c r="G205" s="27">
        <v>29255.599999999999</v>
      </c>
      <c r="H205" s="27">
        <v>29294.7</v>
      </c>
      <c r="I205" s="27">
        <v>29287.8</v>
      </c>
      <c r="J205" s="27">
        <v>29461.8</v>
      </c>
      <c r="K205" s="27">
        <v>29197.7</v>
      </c>
      <c r="L205">
        <v>29362.5</v>
      </c>
      <c r="M205">
        <v>29079.9</v>
      </c>
      <c r="N205">
        <v>29345.200000000001</v>
      </c>
    </row>
    <row r="206" spans="1:14" x14ac:dyDescent="0.15">
      <c r="A206" s="27">
        <f>pm.rep!B69</f>
        <v>23500.1</v>
      </c>
      <c r="B206" s="133" t="s">
        <v>599</v>
      </c>
      <c r="C206" s="67">
        <v>1969</v>
      </c>
      <c r="D206" s="27">
        <v>20122.5</v>
      </c>
      <c r="E206" s="27">
        <v>20117</v>
      </c>
      <c r="F206" s="27">
        <v>20112.2</v>
      </c>
      <c r="G206" s="27">
        <v>20107.599999999999</v>
      </c>
      <c r="H206" s="27">
        <v>20142.8</v>
      </c>
      <c r="I206" s="27">
        <v>20136</v>
      </c>
      <c r="J206" s="27">
        <v>20271.5</v>
      </c>
      <c r="K206" s="27">
        <v>20063.400000000001</v>
      </c>
      <c r="L206">
        <v>20191.8</v>
      </c>
      <c r="M206">
        <v>19969.900000000001</v>
      </c>
      <c r="N206">
        <v>20196.2</v>
      </c>
    </row>
    <row r="207" spans="1:14" x14ac:dyDescent="0.15">
      <c r="A207" s="27">
        <f>pm.rep!B70</f>
        <v>14578.3</v>
      </c>
      <c r="B207" s="133" t="s">
        <v>600</v>
      </c>
      <c r="C207" s="67">
        <v>1970</v>
      </c>
      <c r="D207" s="27">
        <v>9673.23</v>
      </c>
      <c r="E207" s="27">
        <v>9676.7800000000007</v>
      </c>
      <c r="F207" s="27">
        <v>9674.7000000000007</v>
      </c>
      <c r="G207" s="27">
        <v>9670.77</v>
      </c>
      <c r="H207" s="27">
        <v>9697.14</v>
      </c>
      <c r="I207" s="27">
        <v>9690.94</v>
      </c>
      <c r="J207" s="27">
        <v>9755.0499999999993</v>
      </c>
      <c r="K207" s="27">
        <v>9651.2800000000007</v>
      </c>
      <c r="L207">
        <v>9713.5400000000009</v>
      </c>
      <c r="M207">
        <v>9601.77</v>
      </c>
      <c r="N207">
        <v>9718.42</v>
      </c>
    </row>
    <row r="208" spans="1:14" x14ac:dyDescent="0.15">
      <c r="A208" s="27">
        <f>pm.rep!B71</f>
        <v>11964.4</v>
      </c>
      <c r="B208" s="133" t="s">
        <v>601</v>
      </c>
      <c r="C208" s="67">
        <v>1971</v>
      </c>
      <c r="D208" s="27">
        <v>10685</v>
      </c>
      <c r="E208" s="27">
        <v>10685.1</v>
      </c>
      <c r="F208" s="27">
        <v>10683</v>
      </c>
      <c r="G208" s="27">
        <v>10679.5</v>
      </c>
      <c r="H208" s="27">
        <v>10702.8</v>
      </c>
      <c r="I208" s="27">
        <v>10697.7</v>
      </c>
      <c r="J208" s="27">
        <v>10767.2</v>
      </c>
      <c r="K208" s="27">
        <v>10656.3</v>
      </c>
      <c r="L208">
        <v>10722.4</v>
      </c>
      <c r="M208">
        <v>10607.1</v>
      </c>
      <c r="N208">
        <v>10762.4</v>
      </c>
    </row>
    <row r="209" spans="1:14" x14ac:dyDescent="0.15">
      <c r="A209" s="27">
        <f>pm.rep!B72</f>
        <v>26909</v>
      </c>
      <c r="B209" s="133" t="s">
        <v>602</v>
      </c>
      <c r="C209" s="67">
        <v>1972</v>
      </c>
      <c r="D209" s="27">
        <v>28959.3</v>
      </c>
      <c r="E209" s="27">
        <v>28933.8</v>
      </c>
      <c r="F209" s="27">
        <v>28933.1</v>
      </c>
      <c r="G209" s="27">
        <v>28935</v>
      </c>
      <c r="H209" s="27">
        <v>28922.2</v>
      </c>
      <c r="I209" s="27">
        <v>28927.3</v>
      </c>
      <c r="J209" s="27">
        <v>28976.3</v>
      </c>
      <c r="K209" s="27">
        <v>28917.4</v>
      </c>
      <c r="L209">
        <v>28965.9</v>
      </c>
      <c r="M209">
        <v>28896.3</v>
      </c>
      <c r="N209">
        <v>29306.2</v>
      </c>
    </row>
    <row r="210" spans="1:14" x14ac:dyDescent="0.15">
      <c r="A210" s="27">
        <f>pm.rep!B73</f>
        <v>19909.099999999999</v>
      </c>
      <c r="B210" s="133" t="s">
        <v>603</v>
      </c>
      <c r="C210" s="67">
        <v>1973</v>
      </c>
      <c r="D210" s="27">
        <v>21470.3</v>
      </c>
      <c r="E210" s="27">
        <v>21428.9</v>
      </c>
      <c r="F210" s="27">
        <v>21423.7</v>
      </c>
      <c r="G210" s="27">
        <v>21420.7</v>
      </c>
      <c r="H210" s="27">
        <v>21446.7</v>
      </c>
      <c r="I210" s="27">
        <v>21443.200000000001</v>
      </c>
      <c r="J210" s="27">
        <v>21587.4</v>
      </c>
      <c r="K210" s="27">
        <v>21356.799999999999</v>
      </c>
      <c r="L210">
        <v>21496.3</v>
      </c>
      <c r="M210">
        <v>21267.3</v>
      </c>
      <c r="N210">
        <v>22024.3</v>
      </c>
    </row>
    <row r="211" spans="1:14" x14ac:dyDescent="0.15">
      <c r="A211" s="27">
        <f>pm.rep!B74</f>
        <v>17094.099999999999</v>
      </c>
      <c r="B211" s="133" t="s">
        <v>604</v>
      </c>
      <c r="C211" s="67">
        <v>1974</v>
      </c>
      <c r="D211" s="27">
        <v>18192.3</v>
      </c>
      <c r="E211" s="27">
        <v>18137.900000000001</v>
      </c>
      <c r="F211" s="27">
        <v>18135</v>
      </c>
      <c r="G211" s="27">
        <v>18133.7</v>
      </c>
      <c r="H211" s="27">
        <v>18143.2</v>
      </c>
      <c r="I211" s="27">
        <v>18143.5</v>
      </c>
      <c r="J211" s="27">
        <v>18246.5</v>
      </c>
      <c r="K211" s="27">
        <v>18094.2</v>
      </c>
      <c r="L211">
        <v>18193.3</v>
      </c>
      <c r="M211">
        <v>18044.900000000001</v>
      </c>
      <c r="N211">
        <v>19032.8</v>
      </c>
    </row>
    <row r="212" spans="1:14" x14ac:dyDescent="0.15">
      <c r="A212" s="27">
        <f>pm.rep!B75</f>
        <v>13137.6</v>
      </c>
      <c r="B212" s="133" t="s">
        <v>605</v>
      </c>
      <c r="C212" s="67">
        <v>1975</v>
      </c>
      <c r="D212" s="27">
        <v>13969.3</v>
      </c>
      <c r="E212" s="27">
        <v>13913.4</v>
      </c>
      <c r="F212" s="27">
        <v>13912.9</v>
      </c>
      <c r="G212" s="27">
        <v>13917.3</v>
      </c>
      <c r="H212" s="27">
        <v>13893.3</v>
      </c>
      <c r="I212" s="27">
        <v>13901</v>
      </c>
      <c r="J212" s="27">
        <v>13944.8</v>
      </c>
      <c r="K212" s="27">
        <v>13939.5</v>
      </c>
      <c r="L212">
        <v>13998.9</v>
      </c>
      <c r="M212">
        <v>13922.9</v>
      </c>
      <c r="N212">
        <v>14784.4</v>
      </c>
    </row>
    <row r="213" spans="1:14" x14ac:dyDescent="0.15">
      <c r="A213" s="27">
        <f>pm.rep!B76</f>
        <v>13755.3</v>
      </c>
      <c r="B213" s="133" t="s">
        <v>606</v>
      </c>
      <c r="C213" s="67">
        <v>1976</v>
      </c>
      <c r="D213" s="27">
        <v>13935.3</v>
      </c>
      <c r="E213" s="27">
        <v>13857.3</v>
      </c>
      <c r="F213" s="27">
        <v>13858.2</v>
      </c>
      <c r="G213" s="27">
        <v>13864.9</v>
      </c>
      <c r="H213" s="27">
        <v>13824</v>
      </c>
      <c r="I213" s="27">
        <v>13835.7</v>
      </c>
      <c r="J213" s="27">
        <v>13843.9</v>
      </c>
      <c r="K213" s="27">
        <v>13917.9</v>
      </c>
      <c r="L213">
        <v>13953</v>
      </c>
      <c r="M213">
        <v>13919.4</v>
      </c>
      <c r="N213">
        <v>15004.4</v>
      </c>
    </row>
    <row r="214" spans="1:14" x14ac:dyDescent="0.15">
      <c r="A214" s="27">
        <f>pm.rep!B77</f>
        <v>25352.3</v>
      </c>
      <c r="B214" s="133" t="s">
        <v>607</v>
      </c>
      <c r="C214" s="67">
        <v>1977</v>
      </c>
      <c r="D214" s="27">
        <v>27028.400000000001</v>
      </c>
      <c r="E214" s="27">
        <v>26783.3</v>
      </c>
      <c r="F214" s="27">
        <v>26788.7</v>
      </c>
      <c r="G214" s="27">
        <v>26808.7</v>
      </c>
      <c r="H214" s="27">
        <v>26718.9</v>
      </c>
      <c r="I214" s="27">
        <v>26732.7</v>
      </c>
      <c r="J214" s="27">
        <v>26595.7</v>
      </c>
      <c r="K214" s="27">
        <v>26761.4</v>
      </c>
      <c r="L214">
        <v>26681.1</v>
      </c>
      <c r="M214">
        <v>26805.599999999999</v>
      </c>
      <c r="N214">
        <v>28761.3</v>
      </c>
    </row>
    <row r="215" spans="1:14" x14ac:dyDescent="0.15">
      <c r="A215" s="27">
        <f>pm.rep!B78</f>
        <v>61942.6</v>
      </c>
      <c r="B215" s="133" t="s">
        <v>608</v>
      </c>
      <c r="C215" s="67">
        <v>1978</v>
      </c>
      <c r="D215" s="27">
        <v>65800.2</v>
      </c>
      <c r="E215" s="27">
        <v>65420.7</v>
      </c>
      <c r="F215" s="27">
        <v>65425.5</v>
      </c>
      <c r="G215" s="27">
        <v>65531.1</v>
      </c>
      <c r="H215" s="27">
        <v>64747.199999999997</v>
      </c>
      <c r="I215" s="27">
        <v>65037.8</v>
      </c>
      <c r="J215" s="27">
        <v>64868.3</v>
      </c>
      <c r="K215" s="27">
        <v>66043.199999999997</v>
      </c>
      <c r="L215">
        <v>66212.600000000006</v>
      </c>
      <c r="M215">
        <v>65962.7</v>
      </c>
      <c r="N215">
        <v>65825</v>
      </c>
    </row>
    <row r="216" spans="1:14" x14ac:dyDescent="0.15">
      <c r="A216" s="27">
        <f>pm.rep!B79</f>
        <v>27184.1</v>
      </c>
      <c r="B216" s="133" t="s">
        <v>609</v>
      </c>
      <c r="C216" s="67">
        <v>1979</v>
      </c>
      <c r="D216" s="27">
        <v>26390.5</v>
      </c>
      <c r="E216" s="27">
        <v>26167.7</v>
      </c>
      <c r="F216" s="27">
        <v>26173.4</v>
      </c>
      <c r="G216" s="27">
        <v>26165.7</v>
      </c>
      <c r="H216" s="27">
        <v>26209.8</v>
      </c>
      <c r="I216" s="27">
        <v>26187</v>
      </c>
      <c r="J216" s="27">
        <v>25991.599999999999</v>
      </c>
      <c r="K216" s="27">
        <v>26134.3</v>
      </c>
      <c r="L216">
        <v>26016.7</v>
      </c>
      <c r="M216">
        <v>26119.200000000001</v>
      </c>
      <c r="N216">
        <v>26251.4</v>
      </c>
    </row>
    <row r="217" spans="1:14" x14ac:dyDescent="0.15">
      <c r="A217" s="27">
        <f>pm.rep!B80</f>
        <v>30738.1</v>
      </c>
      <c r="B217" s="133" t="s">
        <v>610</v>
      </c>
      <c r="C217" s="67">
        <v>1980</v>
      </c>
      <c r="D217" s="27">
        <v>29906.2</v>
      </c>
      <c r="E217" s="27">
        <v>29631.1</v>
      </c>
      <c r="F217" s="27">
        <v>29638.400000000001</v>
      </c>
      <c r="G217" s="27">
        <v>29623.4</v>
      </c>
      <c r="H217" s="27">
        <v>29698.9</v>
      </c>
      <c r="I217" s="27">
        <v>29666.6</v>
      </c>
      <c r="J217" s="27">
        <v>29359.5</v>
      </c>
      <c r="K217" s="27">
        <v>29598.9</v>
      </c>
      <c r="L217">
        <v>29441.1</v>
      </c>
      <c r="M217">
        <v>29505.3</v>
      </c>
      <c r="N217">
        <v>30015.599999999999</v>
      </c>
    </row>
    <row r="218" spans="1:14" x14ac:dyDescent="0.15">
      <c r="A218" s="27">
        <f>pm.rep!B81</f>
        <v>16305.4</v>
      </c>
      <c r="B218" s="133" t="s">
        <v>611</v>
      </c>
      <c r="C218" s="67">
        <v>1981</v>
      </c>
      <c r="D218" s="27">
        <v>15638.5</v>
      </c>
      <c r="E218" s="27">
        <v>15529.6</v>
      </c>
      <c r="F218" s="27">
        <v>15533.5</v>
      </c>
      <c r="G218" s="27">
        <v>15488.6</v>
      </c>
      <c r="H218" s="27">
        <v>15733.9</v>
      </c>
      <c r="I218" s="27">
        <v>15658</v>
      </c>
      <c r="J218" s="27">
        <v>15460.6</v>
      </c>
      <c r="K218" s="27">
        <v>15596</v>
      </c>
      <c r="L218">
        <v>15492.6</v>
      </c>
      <c r="M218">
        <v>15498.9</v>
      </c>
      <c r="N218">
        <v>15617</v>
      </c>
    </row>
    <row r="219" spans="1:14" x14ac:dyDescent="0.15">
      <c r="A219" s="27">
        <f>pm.rep!B82</f>
        <v>52162.3</v>
      </c>
      <c r="B219" s="133" t="s">
        <v>612</v>
      </c>
      <c r="C219" s="67">
        <v>1982</v>
      </c>
      <c r="D219" s="27">
        <v>52704</v>
      </c>
      <c r="E219" s="27">
        <v>52376.7</v>
      </c>
      <c r="F219" s="27">
        <v>52382</v>
      </c>
      <c r="G219" s="27">
        <v>52378.3</v>
      </c>
      <c r="H219" s="27">
        <v>52368</v>
      </c>
      <c r="I219" s="27">
        <v>52367.5</v>
      </c>
      <c r="J219" s="27">
        <v>52115.5</v>
      </c>
      <c r="K219" s="27">
        <v>52275.7</v>
      </c>
      <c r="L219">
        <v>52189.8</v>
      </c>
      <c r="M219">
        <v>52103.4</v>
      </c>
      <c r="N219">
        <v>50812.6</v>
      </c>
    </row>
    <row r="220" spans="1:14" x14ac:dyDescent="0.15">
      <c r="A220" s="27">
        <f>pm.rep!B83</f>
        <v>13572.8</v>
      </c>
      <c r="B220" s="133" t="s">
        <v>613</v>
      </c>
      <c r="C220" s="67">
        <v>1983</v>
      </c>
      <c r="D220" s="27">
        <v>13061</v>
      </c>
      <c r="E220" s="27">
        <v>13004.6</v>
      </c>
      <c r="F220" s="27">
        <v>13004.9</v>
      </c>
      <c r="G220" s="27">
        <v>12986</v>
      </c>
      <c r="H220" s="27">
        <v>13080.7</v>
      </c>
      <c r="I220" s="27">
        <v>13054.5</v>
      </c>
      <c r="J220" s="27">
        <v>13082.7</v>
      </c>
      <c r="K220" s="27">
        <v>13040.1</v>
      </c>
      <c r="L220">
        <v>13054</v>
      </c>
      <c r="M220">
        <v>13050.2</v>
      </c>
      <c r="N220">
        <v>12261.2</v>
      </c>
    </row>
    <row r="221" spans="1:14" x14ac:dyDescent="0.15">
      <c r="A221" s="27">
        <f>pm.rep!B84</f>
        <v>34631.9</v>
      </c>
      <c r="B221" s="133" t="s">
        <v>614</v>
      </c>
      <c r="C221" s="67">
        <v>1984</v>
      </c>
      <c r="D221" s="27">
        <v>35463</v>
      </c>
      <c r="E221" s="27">
        <v>35271.5</v>
      </c>
      <c r="F221" s="27">
        <v>35270.800000000003</v>
      </c>
      <c r="G221" s="27">
        <v>35298.699999999997</v>
      </c>
      <c r="H221" s="27">
        <v>35148</v>
      </c>
      <c r="I221" s="27">
        <v>35187</v>
      </c>
      <c r="J221" s="27">
        <v>35360.9</v>
      </c>
      <c r="K221" s="27">
        <v>35146.400000000001</v>
      </c>
      <c r="L221">
        <v>35238.9</v>
      </c>
      <c r="M221">
        <v>35229.1</v>
      </c>
      <c r="N221">
        <v>33203.4</v>
      </c>
    </row>
    <row r="222" spans="1:14" x14ac:dyDescent="0.15">
      <c r="A222" s="27">
        <f>pm.rep!B85</f>
        <v>14545.4</v>
      </c>
      <c r="B222" s="133" t="s">
        <v>615</v>
      </c>
      <c r="C222" s="67">
        <v>1985</v>
      </c>
      <c r="D222" s="27">
        <v>14532.5</v>
      </c>
      <c r="E222" s="27">
        <v>14477.2</v>
      </c>
      <c r="F222" s="27">
        <v>14476.1</v>
      </c>
      <c r="G222" s="27">
        <v>14478.4</v>
      </c>
      <c r="H222" s="27">
        <v>14458.4</v>
      </c>
      <c r="I222" s="27">
        <v>14466.8</v>
      </c>
      <c r="J222" s="27">
        <v>14602.1</v>
      </c>
      <c r="K222" s="27">
        <v>14480.3</v>
      </c>
      <c r="L222">
        <v>14545.6</v>
      </c>
      <c r="M222">
        <v>14555.2</v>
      </c>
      <c r="N222">
        <v>13698.9</v>
      </c>
    </row>
    <row r="223" spans="1:14" x14ac:dyDescent="0.15">
      <c r="A223" s="27">
        <f>pm.rep!B86</f>
        <v>7835.33</v>
      </c>
      <c r="B223" s="133" t="s">
        <v>616</v>
      </c>
      <c r="C223" s="67">
        <v>1986</v>
      </c>
      <c r="D223" s="27">
        <v>8516.0400000000009</v>
      </c>
      <c r="E223" s="27">
        <v>8469.89</v>
      </c>
      <c r="F223" s="27">
        <v>8469.26</v>
      </c>
      <c r="G223" s="27">
        <v>8451.3700000000008</v>
      </c>
      <c r="H223" s="27">
        <v>8545.0400000000009</v>
      </c>
      <c r="I223" s="27">
        <v>8519.51</v>
      </c>
      <c r="J223" s="27">
        <v>8629.2000000000007</v>
      </c>
      <c r="K223" s="27">
        <v>8522.85</v>
      </c>
      <c r="L223">
        <v>8569.7800000000007</v>
      </c>
      <c r="M223">
        <v>8588.6</v>
      </c>
      <c r="N223">
        <v>8020.85</v>
      </c>
    </row>
    <row r="224" spans="1:14" x14ac:dyDescent="0.15">
      <c r="A224" s="27">
        <f>pm.rep!B87</f>
        <v>5561.46</v>
      </c>
      <c r="B224" s="133" t="s">
        <v>617</v>
      </c>
      <c r="C224" s="67">
        <v>1987</v>
      </c>
      <c r="D224" s="27">
        <v>5508.88</v>
      </c>
      <c r="E224" s="27">
        <v>5475.18</v>
      </c>
      <c r="F224" s="27">
        <v>5474.66</v>
      </c>
      <c r="G224" s="27">
        <v>5446.75</v>
      </c>
      <c r="H224" s="27">
        <v>5591.23</v>
      </c>
      <c r="I224" s="27">
        <v>5552.07</v>
      </c>
      <c r="J224" s="27">
        <v>5643.28</v>
      </c>
      <c r="K224" s="27">
        <v>5558.14</v>
      </c>
      <c r="L224">
        <v>5597.98</v>
      </c>
      <c r="M224">
        <v>5613.2</v>
      </c>
      <c r="N224">
        <v>5391.05</v>
      </c>
    </row>
    <row r="225" spans="1:14" x14ac:dyDescent="0.15">
      <c r="A225" s="27">
        <f>pm.rep!B88</f>
        <v>11102.8</v>
      </c>
      <c r="B225" s="133" t="s">
        <v>618</v>
      </c>
      <c r="C225" s="67">
        <v>1988</v>
      </c>
      <c r="D225" s="27">
        <v>10386.700000000001</v>
      </c>
      <c r="E225" s="27">
        <v>10332.5</v>
      </c>
      <c r="F225" s="27">
        <v>10331.9</v>
      </c>
      <c r="G225" s="27">
        <v>10320.299999999999</v>
      </c>
      <c r="H225" s="27">
        <v>10375</v>
      </c>
      <c r="I225" s="27">
        <v>10361.5</v>
      </c>
      <c r="J225" s="27">
        <v>10468.799999999999</v>
      </c>
      <c r="K225" s="27">
        <v>10370.299999999999</v>
      </c>
      <c r="L225">
        <v>10420.299999999999</v>
      </c>
      <c r="M225">
        <v>10434.4</v>
      </c>
      <c r="N225">
        <v>10236.700000000001</v>
      </c>
    </row>
    <row r="226" spans="1:14" x14ac:dyDescent="0.15">
      <c r="A226" s="27">
        <f>pm.rep!B89</f>
        <v>48848.1</v>
      </c>
      <c r="B226" s="133" t="s">
        <v>619</v>
      </c>
      <c r="C226" s="67">
        <v>1989</v>
      </c>
      <c r="D226" s="27">
        <v>50273.4</v>
      </c>
      <c r="E226" s="27">
        <v>50107.199999999997</v>
      </c>
      <c r="F226" s="27">
        <v>50107.6</v>
      </c>
      <c r="G226" s="27">
        <v>50131.6</v>
      </c>
      <c r="H226" s="27">
        <v>49981.1</v>
      </c>
      <c r="I226" s="27">
        <v>50026.6</v>
      </c>
      <c r="J226" s="27">
        <v>50092.4</v>
      </c>
      <c r="K226" s="27">
        <v>50028.2</v>
      </c>
      <c r="L226">
        <v>50077.4</v>
      </c>
      <c r="M226">
        <v>50059.4</v>
      </c>
      <c r="N226">
        <v>49840.1</v>
      </c>
    </row>
    <row r="227" spans="1:14" x14ac:dyDescent="0.15">
      <c r="A227" s="27">
        <f>pm.rep!B90</f>
        <v>25581.3</v>
      </c>
      <c r="B227" s="133" t="s">
        <v>620</v>
      </c>
      <c r="C227" s="67">
        <v>1990</v>
      </c>
      <c r="D227" s="27">
        <v>25656.3</v>
      </c>
      <c r="E227" s="27">
        <v>25549.200000000001</v>
      </c>
      <c r="F227" s="27">
        <v>25550</v>
      </c>
      <c r="G227" s="27">
        <v>25562.5</v>
      </c>
      <c r="H227" s="27">
        <v>25480.6</v>
      </c>
      <c r="I227" s="27">
        <v>25505.3</v>
      </c>
      <c r="J227" s="27">
        <v>25508</v>
      </c>
      <c r="K227" s="27">
        <v>25501.9</v>
      </c>
      <c r="L227">
        <v>25513.3</v>
      </c>
      <c r="M227">
        <v>25501.9</v>
      </c>
      <c r="N227">
        <v>25394.9</v>
      </c>
    </row>
    <row r="228" spans="1:14" x14ac:dyDescent="0.15">
      <c r="A228" s="27">
        <f>pm.rep!B91</f>
        <v>22780.799999999999</v>
      </c>
      <c r="B228" s="133" t="s">
        <v>621</v>
      </c>
      <c r="C228" s="67">
        <v>1991</v>
      </c>
      <c r="D228" s="27">
        <v>22161.4</v>
      </c>
      <c r="E228" s="27">
        <v>22032.799999999999</v>
      </c>
      <c r="F228" s="27">
        <v>22034.2</v>
      </c>
      <c r="G228" s="27">
        <v>22041.5</v>
      </c>
      <c r="H228" s="27">
        <v>21987.1</v>
      </c>
      <c r="I228" s="27">
        <v>22003.5</v>
      </c>
      <c r="J228" s="27">
        <v>21999.7</v>
      </c>
      <c r="K228" s="27">
        <v>21997.7</v>
      </c>
      <c r="L228">
        <v>22004.400000000001</v>
      </c>
      <c r="M228">
        <v>21998.7</v>
      </c>
      <c r="N228">
        <v>21557.7</v>
      </c>
    </row>
    <row r="229" spans="1:14" x14ac:dyDescent="0.15">
      <c r="A229" s="27">
        <f>pm.rep!B92</f>
        <v>46863.199999999997</v>
      </c>
      <c r="B229" s="133" t="s">
        <v>622</v>
      </c>
      <c r="C229" s="67">
        <v>1992</v>
      </c>
      <c r="D229" s="27">
        <v>48048.7</v>
      </c>
      <c r="E229" s="27">
        <v>47744.7</v>
      </c>
      <c r="F229" s="27">
        <v>47748.1</v>
      </c>
      <c r="G229" s="27">
        <v>47770.1</v>
      </c>
      <c r="H229" s="27">
        <v>47621.8</v>
      </c>
      <c r="I229" s="27">
        <v>47664.9</v>
      </c>
      <c r="J229" s="27">
        <v>47670.6</v>
      </c>
      <c r="K229" s="27">
        <v>47661.1</v>
      </c>
      <c r="L229">
        <v>47688.800000000003</v>
      </c>
      <c r="M229">
        <v>47659.4</v>
      </c>
      <c r="N229">
        <v>46361.7</v>
      </c>
    </row>
    <row r="230" spans="1:14" x14ac:dyDescent="0.15">
      <c r="A230" s="27">
        <f>pm.rep!B93</f>
        <v>15942.8</v>
      </c>
      <c r="B230" s="133" t="s">
        <v>623</v>
      </c>
      <c r="C230" s="67">
        <v>1993</v>
      </c>
      <c r="D230" s="27">
        <v>14865.8</v>
      </c>
      <c r="E230" s="27">
        <v>14759.6</v>
      </c>
      <c r="F230" s="27">
        <v>14760.9</v>
      </c>
      <c r="G230" s="27">
        <v>14754.9</v>
      </c>
      <c r="H230" s="27">
        <v>14779.3</v>
      </c>
      <c r="I230" s="27">
        <v>14772.3</v>
      </c>
      <c r="J230" s="27">
        <v>14788</v>
      </c>
      <c r="K230" s="27">
        <v>14770.5</v>
      </c>
      <c r="L230">
        <v>14783.3</v>
      </c>
      <c r="M230">
        <v>14776.4</v>
      </c>
      <c r="N230">
        <v>14203.2</v>
      </c>
    </row>
    <row r="231" spans="1:14" x14ac:dyDescent="0.15">
      <c r="A231" s="27">
        <f>pm.rep!B94</f>
        <v>10904.9</v>
      </c>
      <c r="B231" s="133" t="s">
        <v>624</v>
      </c>
      <c r="C231" s="67">
        <v>1994</v>
      </c>
      <c r="D231" s="27">
        <v>10859</v>
      </c>
      <c r="E231" s="27">
        <v>10783.1</v>
      </c>
      <c r="F231" s="27">
        <v>10784</v>
      </c>
      <c r="G231" s="27">
        <v>10773.4</v>
      </c>
      <c r="H231" s="27">
        <v>10825.9</v>
      </c>
      <c r="I231" s="27">
        <v>10810.8</v>
      </c>
      <c r="J231" s="27">
        <v>10832.1</v>
      </c>
      <c r="K231" s="27">
        <v>10810.4</v>
      </c>
      <c r="L231">
        <v>10823</v>
      </c>
      <c r="M231">
        <v>10820.3</v>
      </c>
      <c r="N231">
        <v>10349.5</v>
      </c>
    </row>
    <row r="232" spans="1:14" x14ac:dyDescent="0.15">
      <c r="A232" s="27">
        <f>pm.rep!B95</f>
        <v>22878.1</v>
      </c>
      <c r="B232" s="133" t="s">
        <v>625</v>
      </c>
      <c r="C232" s="67">
        <v>1995</v>
      </c>
      <c r="D232" s="27">
        <v>23334.400000000001</v>
      </c>
      <c r="E232" s="27">
        <v>23178.2</v>
      </c>
      <c r="F232" s="27">
        <v>23180.3</v>
      </c>
      <c r="G232" s="27">
        <v>23182.1</v>
      </c>
      <c r="H232" s="27">
        <v>23161.8</v>
      </c>
      <c r="I232" s="27">
        <v>23166.9</v>
      </c>
      <c r="J232" s="27">
        <v>23184.2</v>
      </c>
      <c r="K232" s="27">
        <v>23166.2</v>
      </c>
      <c r="L232">
        <v>23183.7</v>
      </c>
      <c r="M232">
        <v>23169.7</v>
      </c>
      <c r="N232">
        <v>22634.7</v>
      </c>
    </row>
    <row r="233" spans="1:14" x14ac:dyDescent="0.15">
      <c r="A233" s="27">
        <f>pm.rep!B96</f>
        <v>31178.400000000001</v>
      </c>
      <c r="B233" s="133" t="s">
        <v>626</v>
      </c>
      <c r="C233" s="67">
        <v>1996</v>
      </c>
      <c r="D233" s="27">
        <v>31632.400000000001</v>
      </c>
      <c r="E233" s="27">
        <v>31437.3</v>
      </c>
      <c r="F233" s="27">
        <v>31440.3</v>
      </c>
      <c r="G233" s="27">
        <v>31442.1</v>
      </c>
      <c r="H233" s="27">
        <v>31421.599999999999</v>
      </c>
      <c r="I233" s="27">
        <v>31425.8</v>
      </c>
      <c r="J233" s="27">
        <v>31420.400000000001</v>
      </c>
      <c r="K233" s="27">
        <v>31421.200000000001</v>
      </c>
      <c r="L233">
        <v>31431.3</v>
      </c>
      <c r="M233">
        <v>31407.599999999999</v>
      </c>
      <c r="N233">
        <v>31381.8</v>
      </c>
    </row>
    <row r="234" spans="1:14" x14ac:dyDescent="0.15">
      <c r="A234" s="27">
        <f>pm.rep!B97</f>
        <v>15483</v>
      </c>
      <c r="B234" s="133" t="s">
        <v>627</v>
      </c>
      <c r="C234" s="67">
        <v>1997</v>
      </c>
      <c r="D234" s="27">
        <v>15812.3</v>
      </c>
      <c r="E234" s="27">
        <v>15697.1</v>
      </c>
      <c r="F234" s="27">
        <v>15699.3</v>
      </c>
      <c r="G234" s="27">
        <v>15688.9</v>
      </c>
      <c r="H234" s="27">
        <v>15742.8</v>
      </c>
      <c r="I234" s="27">
        <v>15725.3</v>
      </c>
      <c r="J234" s="27">
        <v>15700.2</v>
      </c>
      <c r="K234" s="27">
        <v>15717.6</v>
      </c>
      <c r="L234">
        <v>15711.6</v>
      </c>
      <c r="M234">
        <v>15694.4</v>
      </c>
      <c r="N234">
        <v>16011.2</v>
      </c>
    </row>
    <row r="235" spans="1:14" x14ac:dyDescent="0.15">
      <c r="A235" s="27">
        <f>pm.rep!B98</f>
        <v>16827.099999999999</v>
      </c>
      <c r="B235" s="133" t="s">
        <v>628</v>
      </c>
      <c r="C235" s="67">
        <v>1998</v>
      </c>
      <c r="D235" s="27">
        <v>17311.8</v>
      </c>
      <c r="E235" s="27">
        <v>17165</v>
      </c>
      <c r="F235" s="27">
        <v>17168.2</v>
      </c>
      <c r="G235" s="27">
        <v>17152.900000000001</v>
      </c>
      <c r="H235" s="27">
        <v>17235.5</v>
      </c>
      <c r="I235" s="27">
        <v>17208.400000000001</v>
      </c>
      <c r="J235" s="27">
        <v>17151.8</v>
      </c>
      <c r="K235" s="27">
        <v>17195.599999999999</v>
      </c>
      <c r="L235">
        <v>17176.8</v>
      </c>
      <c r="M235">
        <v>17149.2</v>
      </c>
      <c r="N235">
        <v>17502.099999999999</v>
      </c>
    </row>
    <row r="236" spans="1:14" x14ac:dyDescent="0.15">
      <c r="A236" s="27">
        <f>pm.rep!B99</f>
        <v>25850.3</v>
      </c>
      <c r="B236" s="133" t="s">
        <v>629</v>
      </c>
      <c r="C236" s="67">
        <v>1999</v>
      </c>
      <c r="D236" s="27">
        <v>26665.8</v>
      </c>
      <c r="E236" s="27">
        <v>26361.200000000001</v>
      </c>
      <c r="F236" s="27">
        <v>26366.1</v>
      </c>
      <c r="G236" s="27">
        <v>26349.599999999999</v>
      </c>
      <c r="H236" s="27">
        <v>26438.9</v>
      </c>
      <c r="I236" s="27">
        <v>26408</v>
      </c>
      <c r="J236" s="27">
        <v>26318.5</v>
      </c>
      <c r="K236" s="27">
        <v>26389.1</v>
      </c>
      <c r="L236">
        <v>26361.1</v>
      </c>
      <c r="M236">
        <v>26314.7</v>
      </c>
      <c r="N236">
        <v>26775.200000000001</v>
      </c>
    </row>
    <row r="237" spans="1:14" x14ac:dyDescent="0.15">
      <c r="A237" s="27">
        <f>pm.rep!B100</f>
        <v>35963.4</v>
      </c>
      <c r="B237" s="133" t="s">
        <v>630</v>
      </c>
      <c r="C237" s="67">
        <v>2000</v>
      </c>
      <c r="D237" s="27">
        <v>36129.5</v>
      </c>
      <c r="E237" s="27">
        <v>35783.599999999999</v>
      </c>
      <c r="F237" s="27">
        <v>35790.800000000003</v>
      </c>
      <c r="G237" s="27">
        <v>35773.800000000003</v>
      </c>
      <c r="H237" s="27">
        <v>35857.699999999997</v>
      </c>
      <c r="I237" s="27">
        <v>35827.4</v>
      </c>
      <c r="J237" s="27">
        <v>35740.1</v>
      </c>
      <c r="K237" s="27">
        <v>35808.300000000003</v>
      </c>
      <c r="L237">
        <v>35785</v>
      </c>
      <c r="M237">
        <v>35730.699999999997</v>
      </c>
      <c r="N237">
        <v>35894.1</v>
      </c>
    </row>
    <row r="238" spans="1:14" x14ac:dyDescent="0.15">
      <c r="A238" s="27">
        <f>pm.rep!B101</f>
        <v>23951.8</v>
      </c>
      <c r="B238" s="133" t="s">
        <v>631</v>
      </c>
      <c r="C238" s="67">
        <v>2001</v>
      </c>
      <c r="D238" s="27">
        <v>23489</v>
      </c>
      <c r="E238" s="27">
        <v>23103</v>
      </c>
      <c r="F238" s="27">
        <v>23108.5</v>
      </c>
      <c r="G238" s="27">
        <v>23096.2</v>
      </c>
      <c r="H238" s="27">
        <v>23152.6</v>
      </c>
      <c r="I238" s="27">
        <v>23132.3</v>
      </c>
      <c r="J238" s="27">
        <v>23109.7</v>
      </c>
      <c r="K238" s="27">
        <v>23124.3</v>
      </c>
      <c r="L238">
        <v>23127.4</v>
      </c>
      <c r="M238">
        <v>23090.799999999999</v>
      </c>
      <c r="N238">
        <v>22985.200000000001</v>
      </c>
    </row>
    <row r="239" spans="1:14" x14ac:dyDescent="0.15">
      <c r="A239" s="27">
        <f>pm.rep!B102</f>
        <v>14625.5</v>
      </c>
      <c r="B239" s="133" t="s">
        <v>632</v>
      </c>
      <c r="C239" s="67">
        <v>2002</v>
      </c>
      <c r="D239" s="27">
        <v>14206.7</v>
      </c>
      <c r="E239" s="27">
        <v>13854.2</v>
      </c>
      <c r="F239" s="27">
        <v>13859.2</v>
      </c>
      <c r="G239" s="27">
        <v>13844</v>
      </c>
      <c r="H239" s="27">
        <v>13912.8</v>
      </c>
      <c r="I239" s="27">
        <v>13890.4</v>
      </c>
      <c r="J239" s="27">
        <v>13888.7</v>
      </c>
      <c r="K239" s="27">
        <v>13885.9</v>
      </c>
      <c r="L239">
        <v>13893.2</v>
      </c>
      <c r="M239">
        <v>13871</v>
      </c>
      <c r="N239">
        <v>13773.1</v>
      </c>
    </row>
    <row r="240" spans="1:14" x14ac:dyDescent="0.15">
      <c r="A240" s="27">
        <f>pm.rep!B103</f>
        <v>6640.46</v>
      </c>
      <c r="B240" s="133" t="s">
        <v>633</v>
      </c>
      <c r="C240" s="67">
        <v>2003</v>
      </c>
      <c r="D240" s="27">
        <v>6277.35</v>
      </c>
      <c r="E240" s="27">
        <v>6164.94</v>
      </c>
      <c r="F240" s="27">
        <v>6168.04</v>
      </c>
      <c r="G240" s="27">
        <v>6147.66</v>
      </c>
      <c r="H240" s="27">
        <v>6247.74</v>
      </c>
      <c r="I240" s="27">
        <v>6217.94</v>
      </c>
      <c r="J240" s="27">
        <v>6229.27</v>
      </c>
      <c r="K240" s="27">
        <v>6216.65</v>
      </c>
      <c r="L240">
        <v>6225.01</v>
      </c>
      <c r="M240">
        <v>6215.57</v>
      </c>
      <c r="N240">
        <v>6095.1</v>
      </c>
    </row>
    <row r="241" spans="1:14" x14ac:dyDescent="0.15">
      <c r="A241" s="27">
        <f>pm.rep!B104</f>
        <v>4831.7</v>
      </c>
      <c r="B241" s="133" t="s">
        <v>634</v>
      </c>
      <c r="C241" s="67">
        <v>2004</v>
      </c>
      <c r="D241" s="27">
        <v>4325.09</v>
      </c>
      <c r="E241" s="27">
        <v>4164.74</v>
      </c>
      <c r="F241" s="27">
        <v>4167.9399999999996</v>
      </c>
      <c r="G241" s="27">
        <v>4143.04</v>
      </c>
      <c r="H241" s="27">
        <v>4265.0200000000004</v>
      </c>
      <c r="I241" s="27">
        <v>4229.49</v>
      </c>
      <c r="J241" s="27">
        <v>4243.04</v>
      </c>
      <c r="K241" s="27">
        <v>4228.46</v>
      </c>
      <c r="L241">
        <v>4236.07</v>
      </c>
      <c r="M241">
        <v>4230.8</v>
      </c>
      <c r="N241">
        <v>4074.37</v>
      </c>
    </row>
    <row r="242" spans="1:14" x14ac:dyDescent="0.15">
      <c r="A242" s="27">
        <f>pm.rep!B105</f>
        <v>12207.5</v>
      </c>
      <c r="B242" s="133" t="s">
        <v>635</v>
      </c>
      <c r="C242" s="67">
        <v>2005</v>
      </c>
      <c r="D242" s="27">
        <v>10819.1</v>
      </c>
      <c r="E242" s="27">
        <v>10568.7</v>
      </c>
      <c r="F242" s="27">
        <v>10580.6</v>
      </c>
      <c r="G242" s="27">
        <v>10550.1</v>
      </c>
      <c r="H242" s="27">
        <v>10664.4</v>
      </c>
      <c r="I242" s="27">
        <v>10628.9</v>
      </c>
      <c r="J242" s="27">
        <v>10631.8</v>
      </c>
      <c r="K242" s="27">
        <v>10623.9</v>
      </c>
      <c r="L242">
        <v>10631.7</v>
      </c>
      <c r="M242">
        <v>10612.6</v>
      </c>
      <c r="N242">
        <v>10298.1</v>
      </c>
    </row>
    <row r="243" spans="1:14" x14ac:dyDescent="0.15">
      <c r="A243" s="27">
        <f>pm.rep!B106</f>
        <v>26390.5</v>
      </c>
      <c r="B243" s="133" t="s">
        <v>636</v>
      </c>
      <c r="C243" s="67">
        <v>2006</v>
      </c>
      <c r="D243" s="27">
        <v>25811.9</v>
      </c>
      <c r="E243" s="27">
        <v>24874.3</v>
      </c>
      <c r="F243" s="27">
        <v>24924.1</v>
      </c>
      <c r="G243" s="27">
        <v>24854.2</v>
      </c>
      <c r="H243" s="27">
        <v>25005.1</v>
      </c>
      <c r="I243" s="27">
        <v>24953.4</v>
      </c>
      <c r="J243" s="27">
        <v>24881.5</v>
      </c>
      <c r="K243" s="27">
        <v>24923.8</v>
      </c>
      <c r="L243">
        <v>24886.7</v>
      </c>
      <c r="M243">
        <v>24875.200000000001</v>
      </c>
      <c r="N243">
        <v>25191.200000000001</v>
      </c>
    </row>
    <row r="244" spans="1:14" x14ac:dyDescent="0.15">
      <c r="A244" s="27">
        <f>pm.rep!B107</f>
        <v>14622.4</v>
      </c>
      <c r="B244" s="133" t="s">
        <v>637</v>
      </c>
      <c r="C244" s="67">
        <v>2007</v>
      </c>
      <c r="D244" s="27">
        <v>8729.17</v>
      </c>
      <c r="E244" s="27">
        <v>8792.9</v>
      </c>
      <c r="F244" s="27">
        <v>8812.48</v>
      </c>
      <c r="G244" s="27">
        <v>8749.06</v>
      </c>
      <c r="H244" s="27">
        <v>9023.7000000000007</v>
      </c>
      <c r="I244" s="27">
        <v>8938.51</v>
      </c>
      <c r="J244" s="27">
        <v>8823.6</v>
      </c>
      <c r="K244" s="27">
        <v>8898.48</v>
      </c>
      <c r="L244">
        <v>8818.23</v>
      </c>
      <c r="M244">
        <v>8849.4699999999993</v>
      </c>
      <c r="N244">
        <v>8984.99</v>
      </c>
    </row>
    <row r="245" spans="1:14" s="4" customFormat="1" x14ac:dyDescent="0.15">
      <c r="A245" s="142">
        <f>pm.rep!B108</f>
        <v>56930.6</v>
      </c>
      <c r="B245" s="4" t="s">
        <v>681</v>
      </c>
      <c r="C245" s="169">
        <v>2008</v>
      </c>
      <c r="D245" s="142">
        <v>45154.6</v>
      </c>
      <c r="E245" s="142">
        <v>47220.800000000003</v>
      </c>
      <c r="F245" s="142">
        <v>47396.4</v>
      </c>
      <c r="G245" s="142">
        <v>47241.8</v>
      </c>
      <c r="H245" s="142">
        <v>47352.6</v>
      </c>
      <c r="I245" s="142">
        <v>47278</v>
      </c>
      <c r="J245" s="142">
        <v>46454.2</v>
      </c>
      <c r="K245" s="142">
        <v>46998</v>
      </c>
      <c r="L245" s="4">
        <v>46405.2</v>
      </c>
      <c r="M245" s="4">
        <v>46717.4</v>
      </c>
      <c r="N245" s="4">
        <v>46488.800000000003</v>
      </c>
    </row>
    <row r="246" spans="1:14" x14ac:dyDescent="0.15">
      <c r="A246" s="27">
        <f>pm.rep!B109</f>
        <v>22500.1</v>
      </c>
      <c r="B246" s="133" t="s">
        <v>745</v>
      </c>
      <c r="C246" s="169">
        <v>2009</v>
      </c>
      <c r="D246" s="27">
        <v>20196.8</v>
      </c>
      <c r="E246" s="27">
        <v>20631.400000000001</v>
      </c>
      <c r="F246" s="27">
        <v>20684.900000000001</v>
      </c>
      <c r="G246" s="27">
        <v>20592.900000000001</v>
      </c>
      <c r="H246" s="27">
        <v>20961</v>
      </c>
      <c r="I246" s="27">
        <v>20827.099999999999</v>
      </c>
      <c r="J246" s="27">
        <v>20186.7</v>
      </c>
      <c r="K246" s="27">
        <v>20615</v>
      </c>
      <c r="L246">
        <v>20139.400000000001</v>
      </c>
      <c r="M246">
        <v>20416.900000000001</v>
      </c>
      <c r="N246">
        <v>20571.7</v>
      </c>
    </row>
    <row r="247" spans="1:14" x14ac:dyDescent="0.15">
      <c r="A247" s="27">
        <f>pm.rep!B110</f>
        <v>13479.2</v>
      </c>
      <c r="B247" s="133" t="s">
        <v>808</v>
      </c>
      <c r="C247" s="169">
        <v>2010</v>
      </c>
      <c r="D247" s="27">
        <v>18738.400000000001</v>
      </c>
      <c r="E247" s="27">
        <v>19466.900000000001</v>
      </c>
      <c r="F247" s="27">
        <v>19489.5</v>
      </c>
      <c r="G247" s="27">
        <v>19420.900000000001</v>
      </c>
      <c r="H247" s="27">
        <v>19765.099999999999</v>
      </c>
      <c r="I247" s="27">
        <v>19649.900000000001</v>
      </c>
      <c r="J247" s="27">
        <v>19265.2</v>
      </c>
      <c r="K247" s="27">
        <v>19517</v>
      </c>
      <c r="L247">
        <v>19240</v>
      </c>
      <c r="M247">
        <v>19375</v>
      </c>
      <c r="N247">
        <v>19275.400000000001</v>
      </c>
    </row>
    <row r="248" spans="1:14" x14ac:dyDescent="0.15">
      <c r="A248" s="27">
        <f>pm.rep!B111</f>
        <v>11200.8</v>
      </c>
      <c r="B248" s="133" t="s">
        <v>848</v>
      </c>
      <c r="C248" s="169">
        <v>2011</v>
      </c>
      <c r="D248" s="27">
        <v>17462.599999999999</v>
      </c>
      <c r="E248" s="27">
        <v>17892.3</v>
      </c>
      <c r="F248" s="27">
        <v>17903.099999999999</v>
      </c>
      <c r="G248" s="27">
        <v>17870</v>
      </c>
      <c r="H248" s="27">
        <v>18012.2</v>
      </c>
      <c r="I248" s="27">
        <v>17967.599999999999</v>
      </c>
      <c r="J248" s="27">
        <v>17907.5</v>
      </c>
      <c r="K248" s="27">
        <v>17931.2</v>
      </c>
      <c r="L248">
        <v>17895.599999999999</v>
      </c>
      <c r="M248">
        <v>17889.400000000001</v>
      </c>
      <c r="N248">
        <v>18278.8</v>
      </c>
    </row>
    <row r="249" spans="1:14" x14ac:dyDescent="0.15">
      <c r="A249" s="27">
        <f>pm.rep!B112</f>
        <v>63521.7</v>
      </c>
      <c r="B249" s="133" t="s">
        <v>870</v>
      </c>
      <c r="C249" s="169">
        <v>2012</v>
      </c>
      <c r="D249" s="27">
        <v>18440.099999999999</v>
      </c>
      <c r="E249" s="27">
        <v>18522.7</v>
      </c>
      <c r="F249" s="27">
        <v>18527.8</v>
      </c>
      <c r="G249" s="27">
        <v>18503.3</v>
      </c>
      <c r="H249" s="27">
        <v>18630.599999999999</v>
      </c>
      <c r="I249" s="27">
        <v>18590.099999999999</v>
      </c>
      <c r="J249" s="27">
        <v>18526</v>
      </c>
      <c r="K249" s="27">
        <v>18552</v>
      </c>
      <c r="L249">
        <v>18514.5</v>
      </c>
      <c r="M249">
        <v>18507.400000000001</v>
      </c>
      <c r="N249">
        <v>18430.8</v>
      </c>
    </row>
    <row r="250" spans="1:14" x14ac:dyDescent="0.15">
      <c r="A250" s="27">
        <f>AVERAGE(A214:A248)</f>
        <v>23640.469999999998</v>
      </c>
      <c r="B250" s="133" t="s">
        <v>812</v>
      </c>
      <c r="D250" s="27">
        <v>23511.355142857148</v>
      </c>
      <c r="E250" s="27">
        <v>23436.37571428571</v>
      </c>
      <c r="F250" s="27">
        <v>23448.390857142855</v>
      </c>
      <c r="G250" s="27">
        <v>23431.730857142862</v>
      </c>
      <c r="H250" s="27">
        <v>23473.469428571425</v>
      </c>
      <c r="I250" s="27">
        <v>23458.56342857143</v>
      </c>
      <c r="J250" s="27">
        <v>23377.296857142854</v>
      </c>
      <c r="K250" s="27">
        <v>23455.945142857145</v>
      </c>
      <c r="L250">
        <v>23414.24771428571</v>
      </c>
      <c r="M250">
        <v>23425.495428571427</v>
      </c>
      <c r="N250">
        <v>23257.655999999995</v>
      </c>
    </row>
    <row r="251" spans="1:14" x14ac:dyDescent="0.15">
      <c r="G251" s="23"/>
    </row>
    <row r="252" spans="1:14" x14ac:dyDescent="0.15">
      <c r="D252" s="27"/>
      <c r="G252" s="27"/>
    </row>
    <row r="253" spans="1:14" x14ac:dyDescent="0.15">
      <c r="A253" s="27"/>
      <c r="B253" s="133"/>
      <c r="E253" s="27"/>
      <c r="F253" s="27"/>
      <c r="G253" s="23"/>
    </row>
    <row r="254" spans="1:14" x14ac:dyDescent="0.15">
      <c r="A254" s="27"/>
      <c r="B254" s="133"/>
      <c r="E254" s="27"/>
      <c r="F254" s="27"/>
    </row>
    <row r="255" spans="1:14" x14ac:dyDescent="0.15">
      <c r="A255" s="27"/>
      <c r="B255" s="133"/>
      <c r="E255" s="27"/>
      <c r="F255" s="27"/>
    </row>
    <row r="256" spans="1:14" x14ac:dyDescent="0.15">
      <c r="A256" s="27"/>
      <c r="B256" s="133"/>
      <c r="E256" s="27"/>
      <c r="F256" s="27"/>
    </row>
    <row r="257" spans="1:6" x14ac:dyDescent="0.15">
      <c r="A257" s="27"/>
      <c r="B257" s="133"/>
      <c r="E257" s="27"/>
      <c r="F257" s="27"/>
    </row>
    <row r="258" spans="1:6" x14ac:dyDescent="0.15">
      <c r="A258" s="27"/>
      <c r="B258" s="133"/>
      <c r="E258" s="27"/>
      <c r="F258" s="27"/>
    </row>
    <row r="259" spans="1:6" x14ac:dyDescent="0.15">
      <c r="B259" s="42"/>
    </row>
    <row r="260" spans="1:6" x14ac:dyDescent="0.15">
      <c r="B260" s="42"/>
    </row>
    <row r="261" spans="1:6" x14ac:dyDescent="0.15">
      <c r="B261" s="42"/>
    </row>
    <row r="262" spans="1:6" x14ac:dyDescent="0.15">
      <c r="B262" s="42"/>
    </row>
    <row r="263" spans="1:6" x14ac:dyDescent="0.15">
      <c r="B263" s="42"/>
    </row>
    <row r="264" spans="1:6" x14ac:dyDescent="0.15">
      <c r="B264" s="42"/>
    </row>
    <row r="265" spans="1:6" x14ac:dyDescent="0.15">
      <c r="B265" s="42"/>
    </row>
    <row r="266" spans="1:6" x14ac:dyDescent="0.15">
      <c r="B266" s="42"/>
    </row>
    <row r="267" spans="1:6" x14ac:dyDescent="0.15">
      <c r="B267" s="42"/>
    </row>
    <row r="268" spans="1:6" x14ac:dyDescent="0.15">
      <c r="B268" s="42"/>
    </row>
    <row r="269" spans="1:6" x14ac:dyDescent="0.15">
      <c r="B269" s="42"/>
    </row>
    <row r="270" spans="1:6" x14ac:dyDescent="0.15">
      <c r="B270" s="42"/>
    </row>
    <row r="271" spans="1:6" x14ac:dyDescent="0.15">
      <c r="B271" s="42"/>
    </row>
  </sheetData>
  <phoneticPr fontId="7" type="noConversion"/>
  <conditionalFormatting sqref="A29:A30">
    <cfRule type="cellIs" dxfId="7" priority="24" stopIfTrue="1" operator="lessThan">
      <formula>A$11</formula>
    </cfRule>
  </conditionalFormatting>
  <conditionalFormatting sqref="H29:H30">
    <cfRule type="cellIs" dxfId="6" priority="5" stopIfTrue="1" operator="lessThan">
      <formula>H$11</formula>
    </cfRule>
  </conditionalFormatting>
  <conditionalFormatting sqref="J29:J30">
    <cfRule type="cellIs" dxfId="5" priority="7" stopIfTrue="1" operator="lessThan">
      <formula>J$11</formula>
    </cfRule>
  </conditionalFormatting>
  <conditionalFormatting sqref="D29:D30">
    <cfRule type="cellIs" dxfId="4" priority="6" stopIfTrue="1" operator="lessThan">
      <formula>D$11</formula>
    </cfRule>
  </conditionalFormatting>
  <conditionalFormatting sqref="K29:K30">
    <cfRule type="cellIs" dxfId="3" priority="4" stopIfTrue="1" operator="lessThan">
      <formula>K$11</formula>
    </cfRule>
  </conditionalFormatting>
  <conditionalFormatting sqref="E29:F30">
    <cfRule type="cellIs" dxfId="2" priority="3" stopIfTrue="1" operator="lessThan">
      <formula>E$11</formula>
    </cfRule>
  </conditionalFormatting>
  <conditionalFormatting sqref="G29:G30">
    <cfRule type="cellIs" dxfId="1" priority="2" stopIfTrue="1" operator="lessThan">
      <formula>G$11</formula>
    </cfRule>
  </conditionalFormatting>
  <conditionalFormatting sqref="I29:I30">
    <cfRule type="cellIs" dxfId="0" priority="1" stopIfTrue="1" operator="lessThan">
      <formula>I$11</formula>
    </cfRule>
  </conditionalFormatting>
  <pageMargins left="0.56999999999999995" right="0.39" top="0.6" bottom="0.82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38"/>
  <sheetViews>
    <sheetView zoomScale="130" zoomScaleNormal="130" zoomScalePageLayoutView="130" workbookViewId="0"/>
  </sheetViews>
  <sheetFormatPr baseColWidth="10" defaultColWidth="8.83203125" defaultRowHeight="13" x14ac:dyDescent="0.15"/>
  <cols>
    <col min="2" max="2" width="11.1640625" bestFit="1" customWidth="1"/>
    <col min="3" max="3" width="12.83203125" customWidth="1"/>
    <col min="4" max="5" width="11.1640625" bestFit="1" customWidth="1"/>
    <col min="6" max="6" width="12.6640625" bestFit="1" customWidth="1"/>
    <col min="7" max="11" width="11.1640625" bestFit="1" customWidth="1"/>
  </cols>
  <sheetData>
    <row r="1" spans="2:28" x14ac:dyDescent="0.15">
      <c r="B1" t="s">
        <v>199</v>
      </c>
      <c r="C1">
        <v>0.23035572537366317</v>
      </c>
      <c r="D1">
        <v>0.39092806314909734</v>
      </c>
      <c r="E1">
        <v>0.29060154224924972</v>
      </c>
      <c r="F1">
        <v>0.5436685388947744</v>
      </c>
      <c r="G1">
        <v>0.38772000913453275</v>
      </c>
      <c r="H1">
        <v>0.25822648968685696</v>
      </c>
      <c r="I1">
        <v>0.28213117884843469</v>
      </c>
      <c r="J1">
        <v>0.17636845266339116</v>
      </c>
      <c r="K1">
        <v>0.19325257963394935</v>
      </c>
      <c r="L1">
        <v>0.2059869747466164</v>
      </c>
      <c r="M1">
        <v>0.127835799</v>
      </c>
      <c r="N1">
        <v>0.249364427</v>
      </c>
      <c r="O1">
        <v>9.1923126999999993E-2</v>
      </c>
      <c r="P1">
        <v>0.15485569499999999</v>
      </c>
      <c r="Q1">
        <v>0.26314247600000001</v>
      </c>
      <c r="R1">
        <v>0.14031674899999999</v>
      </c>
      <c r="S1">
        <v>0.186379868</v>
      </c>
      <c r="T1">
        <v>0.12270262799999999</v>
      </c>
    </row>
    <row r="2" spans="2:28" x14ac:dyDescent="0.15">
      <c r="C2">
        <v>2006</v>
      </c>
      <c r="D2">
        <v>2007</v>
      </c>
      <c r="E2">
        <v>2008</v>
      </c>
      <c r="F2">
        <v>2009</v>
      </c>
      <c r="G2">
        <v>2010</v>
      </c>
      <c r="H2">
        <v>2011</v>
      </c>
      <c r="I2">
        <v>2012</v>
      </c>
      <c r="J2">
        <v>2013</v>
      </c>
      <c r="K2">
        <v>2014</v>
      </c>
      <c r="L2">
        <v>2015</v>
      </c>
    </row>
    <row r="3" spans="2:28" x14ac:dyDescent="0.15">
      <c r="C3">
        <f>pm.rep!B514</f>
        <v>0.55495000000000005</v>
      </c>
      <c r="D3">
        <f>pm.rep!C514</f>
        <v>0.63787799999999995</v>
      </c>
      <c r="E3">
        <f>pm.rep!D514</f>
        <v>0.31631999999999999</v>
      </c>
      <c r="F3">
        <f>pm.rep!E514</f>
        <v>0.284835</v>
      </c>
      <c r="G3">
        <f>pm.rep!F514</f>
        <v>0.67869199999999996</v>
      </c>
      <c r="H3">
        <f>pm.rep!G514</f>
        <v>0.54338600000000004</v>
      </c>
      <c r="I3">
        <f>pm.rep!H514</f>
        <v>0.66061400000000003</v>
      </c>
      <c r="J3">
        <f>pm.rep!I514</f>
        <v>0.69571799999999995</v>
      </c>
      <c r="K3">
        <f>pm.rep!J514</f>
        <v>0.89975799999999995</v>
      </c>
      <c r="L3">
        <f>pm.rep!K514</f>
        <v>0.95322899999999999</v>
      </c>
    </row>
    <row r="4" spans="2:28" x14ac:dyDescent="0.15">
      <c r="C4">
        <f>pm.rep!B512</f>
        <v>0.48730600000000002</v>
      </c>
      <c r="D4">
        <f>pm.rep!C512</f>
        <v>0.40936899999999998</v>
      </c>
      <c r="E4">
        <f>pm.rep!D512</f>
        <v>0.35565999999999998</v>
      </c>
      <c r="F4">
        <f>pm.rep!E512</f>
        <v>0.43468600000000002</v>
      </c>
      <c r="G4">
        <f>pm.rep!F512</f>
        <v>0.60988200000000004</v>
      </c>
      <c r="H4">
        <f>pm.rep!G512</f>
        <v>0.64952799999999999</v>
      </c>
      <c r="I4">
        <f>pm.rep!H512</f>
        <v>0.67379599999999995</v>
      </c>
      <c r="J4">
        <f>pm.rep!I512</f>
        <v>0.74701200000000001</v>
      </c>
      <c r="K4">
        <f>pm.rep!J512</f>
        <v>0.80031099999999999</v>
      </c>
      <c r="L4">
        <f>pm.rep!K512</f>
        <v>0.75272700000000003</v>
      </c>
    </row>
    <row r="5" spans="2:28" x14ac:dyDescent="0.15">
      <c r="B5" t="s">
        <v>822</v>
      </c>
      <c r="C5">
        <v>0.50167099999999998</v>
      </c>
      <c r="D5">
        <v>0.429373</v>
      </c>
      <c r="E5">
        <v>0.36489500000000002</v>
      </c>
      <c r="F5">
        <v>0.45803500000000003</v>
      </c>
      <c r="G5">
        <v>0.623</v>
      </c>
      <c r="H5">
        <v>0.66860200000000003</v>
      </c>
      <c r="I5">
        <v>0.66860200000000003</v>
      </c>
      <c r="J5">
        <v>0.66860200000000003</v>
      </c>
      <c r="K5">
        <v>0.66860200000000003</v>
      </c>
      <c r="L5">
        <v>0.66860200000000003</v>
      </c>
    </row>
    <row r="6" spans="2:28" x14ac:dyDescent="0.15">
      <c r="B6" t="s">
        <v>824</v>
      </c>
      <c r="C6">
        <f t="shared" ref="C6:H6" si="0">C3*C1</f>
        <v>0.12783590979611439</v>
      </c>
      <c r="D6">
        <f t="shared" si="0"/>
        <v>0.2493644110654199</v>
      </c>
      <c r="E6">
        <f t="shared" si="0"/>
        <v>9.1923079844282662E-2</v>
      </c>
      <c r="F6">
        <f t="shared" si="0"/>
        <v>0.15485582827609307</v>
      </c>
      <c r="G6">
        <f t="shared" si="0"/>
        <v>0.26314246843953426</v>
      </c>
      <c r="H6">
        <f t="shared" si="0"/>
        <v>0.14031665932498247</v>
      </c>
      <c r="I6">
        <f>I3*I1</f>
        <v>0.18637980658377984</v>
      </c>
      <c r="J6">
        <f>J3*J1</f>
        <v>0.12270270715006916</v>
      </c>
      <c r="K6">
        <f>K3*K1</f>
        <v>0.17388055454628298</v>
      </c>
      <c r="L6">
        <f>L3*L1</f>
        <v>0.19635275795074239</v>
      </c>
      <c r="N6">
        <v>1</v>
      </c>
      <c r="O6">
        <v>2</v>
      </c>
      <c r="P6">
        <v>3</v>
      </c>
      <c r="Q6">
        <v>4</v>
      </c>
      <c r="R6">
        <v>5</v>
      </c>
      <c r="S6">
        <v>6</v>
      </c>
      <c r="T6">
        <v>7</v>
      </c>
      <c r="U6">
        <v>8</v>
      </c>
      <c r="V6">
        <v>9</v>
      </c>
      <c r="W6">
        <v>10</v>
      </c>
      <c r="X6">
        <v>11</v>
      </c>
      <c r="Y6">
        <v>12</v>
      </c>
      <c r="Z6">
        <v>13</v>
      </c>
      <c r="AA6">
        <v>14</v>
      </c>
      <c r="AB6">
        <v>15</v>
      </c>
    </row>
    <row r="7" spans="2:28" x14ac:dyDescent="0.15">
      <c r="B7" t="s">
        <v>825</v>
      </c>
      <c r="C7" s="31">
        <f t="shared" ref="C7:H7" si="1">C3/EXP(2*SQRT(LN(1+C6^2/C3^2)))</f>
        <v>0.35216813056320312</v>
      </c>
      <c r="D7" s="31">
        <f t="shared" si="1"/>
        <v>0.30004076117282136</v>
      </c>
      <c r="E7" s="31">
        <f t="shared" si="1"/>
        <v>0.17898294829826827</v>
      </c>
      <c r="F7" s="31">
        <f t="shared" si="1"/>
        <v>0.1029411713978273</v>
      </c>
      <c r="G7" s="31">
        <f t="shared" si="1"/>
        <v>0.32108721799252821</v>
      </c>
      <c r="H7" s="31">
        <f t="shared" si="1"/>
        <v>0.32690796505970937</v>
      </c>
      <c r="I7" s="31">
        <f>I3/EXP(2*SQRT(LN(1+I6^2/I3^2)))</f>
        <v>0.37981194523556072</v>
      </c>
      <c r="J7" s="31">
        <f>J3/EXP(2*SQRT(LN(1+J6^2/J3^2)))</f>
        <v>0.49024500303024099</v>
      </c>
      <c r="K7" s="31">
        <f>K3/EXP(2*SQRT(LN(1+K6^2/K3^2)))</f>
        <v>0.6134864164743038</v>
      </c>
      <c r="L7" s="31">
        <f>L3/EXP(2*SQRT(LN(1+L6^2/L3^2)))</f>
        <v>0.63406637406732347</v>
      </c>
      <c r="N7" t="str">
        <f>pm.rep!B854</f>
        <v>Fmsy</v>
      </c>
      <c r="O7">
        <f>pm.rep!C854</f>
        <v>0</v>
      </c>
      <c r="P7">
        <f>pm.rep!D854</f>
        <v>0</v>
      </c>
      <c r="Q7">
        <f>pm.rep!E854</f>
        <v>0</v>
      </c>
      <c r="R7">
        <f>pm.rep!F854</f>
        <v>0</v>
      </c>
      <c r="S7">
        <f>pm.rep!G854</f>
        <v>0</v>
      </c>
      <c r="T7">
        <f>pm.rep!H854</f>
        <v>0</v>
      </c>
      <c r="U7">
        <f>pm.rep!I854</f>
        <v>0</v>
      </c>
      <c r="V7">
        <f>pm.rep!J854</f>
        <v>0</v>
      </c>
      <c r="W7">
        <f>pm.rep!K854</f>
        <v>0</v>
      </c>
      <c r="X7">
        <f>pm.rep!L854</f>
        <v>0</v>
      </c>
      <c r="Y7">
        <f>pm.rep!M854</f>
        <v>0</v>
      </c>
      <c r="Z7">
        <f>pm.rep!N854</f>
        <v>0</v>
      </c>
      <c r="AA7">
        <f>pm.rep!O854</f>
        <v>0</v>
      </c>
      <c r="AB7">
        <f>pm.rep!P854</f>
        <v>0</v>
      </c>
    </row>
    <row r="8" spans="2:28" x14ac:dyDescent="0.15">
      <c r="B8" t="s">
        <v>826</v>
      </c>
      <c r="C8">
        <f t="shared" ref="C8:H8" si="2">C3*EXP(2*SQRT(LN(1+C6^2/C3^2)))</f>
        <v>0.87449566207902285</v>
      </c>
      <c r="D8">
        <f t="shared" si="2"/>
        <v>1.3561102208030831</v>
      </c>
      <c r="E8">
        <f t="shared" si="2"/>
        <v>0.55903840757643897</v>
      </c>
      <c r="F8">
        <f t="shared" si="2"/>
        <v>0.78812953188050061</v>
      </c>
      <c r="G8">
        <f t="shared" si="2"/>
        <v>1.434572306377885</v>
      </c>
      <c r="H8">
        <f t="shared" si="2"/>
        <v>0.9032155118706563</v>
      </c>
      <c r="I8">
        <f>I3*EXP(2*SQRT(LN(1+I6^2/I3^2)))</f>
        <v>1.1490182509276703</v>
      </c>
      <c r="J8">
        <f>J3*EXP(2*SQRT(LN(1+J6^2/J3^2)))</f>
        <v>0.98730947288032378</v>
      </c>
      <c r="K8">
        <f>K3*EXP(2*SQRT(LN(1+K6^2/K3^2)))</f>
        <v>1.3196126871342211</v>
      </c>
      <c r="L8">
        <f>L3*EXP(2*SQRT(LN(1+L6^2/L3^2)))</f>
        <v>1.4330448098238409</v>
      </c>
      <c r="N8">
        <f t="shared" ref="N8:AB8" si="3">N17/$S$17</f>
        <v>1.0051786580491385E-4</v>
      </c>
      <c r="O8">
        <f t="shared" si="3"/>
        <v>6.9574140178810702E-3</v>
      </c>
      <c r="P8">
        <f t="shared" si="3"/>
        <v>7.9884701362167979E-2</v>
      </c>
      <c r="Q8">
        <f t="shared" si="3"/>
        <v>0.3230014959311352</v>
      </c>
      <c r="R8">
        <f t="shared" si="3"/>
        <v>0.70622965426238615</v>
      </c>
      <c r="S8">
        <f t="shared" si="3"/>
        <v>1</v>
      </c>
      <c r="T8">
        <f t="shared" si="3"/>
        <v>0.99093734841400771</v>
      </c>
      <c r="U8">
        <f t="shared" si="3"/>
        <v>0.95062070400350984</v>
      </c>
      <c r="V8">
        <f t="shared" si="3"/>
        <v>0.91718556895699799</v>
      </c>
      <c r="W8">
        <f t="shared" si="3"/>
        <v>0.8669152724053284</v>
      </c>
      <c r="X8">
        <f t="shared" si="3"/>
        <v>0.8669152724053284</v>
      </c>
      <c r="Y8">
        <f t="shared" si="3"/>
        <v>0.8669152724053284</v>
      </c>
      <c r="Z8">
        <f t="shared" si="3"/>
        <v>0.8669152724053284</v>
      </c>
      <c r="AA8">
        <f t="shared" si="3"/>
        <v>0.8669152724053284</v>
      </c>
      <c r="AB8">
        <f t="shared" si="3"/>
        <v>0.8669152724053284</v>
      </c>
    </row>
    <row r="9" spans="2:28" ht="14" x14ac:dyDescent="0.15">
      <c r="B9" s="207">
        <v>2</v>
      </c>
      <c r="C9">
        <f t="shared" ref="C9:H9" si="4">(C3-C7)</f>
        <v>0.20278186943679694</v>
      </c>
      <c r="D9">
        <f t="shared" si="4"/>
        <v>0.33783723882717859</v>
      </c>
      <c r="E9">
        <f t="shared" si="4"/>
        <v>0.13733705170173172</v>
      </c>
      <c r="F9">
        <f t="shared" si="4"/>
        <v>0.18189382860217271</v>
      </c>
      <c r="G9">
        <f t="shared" si="4"/>
        <v>0.35760478200747176</v>
      </c>
      <c r="H9">
        <f t="shared" si="4"/>
        <v>0.21647803494029066</v>
      </c>
      <c r="I9">
        <f>(I3-I7)</f>
        <v>0.28080205476443931</v>
      </c>
      <c r="J9">
        <f>(J3-J7)</f>
        <v>0.20547299696975896</v>
      </c>
      <c r="K9">
        <f>(K3-K7)</f>
        <v>0.28627158352569615</v>
      </c>
      <c r="L9">
        <f>(L3-L7)</f>
        <v>0.31916262593267652</v>
      </c>
    </row>
    <row r="10" spans="2:28" ht="14" x14ac:dyDescent="0.15">
      <c r="B10" s="207"/>
      <c r="C10">
        <f t="shared" ref="C10:H10" si="5">(C8-C3)</f>
        <v>0.3195456620790228</v>
      </c>
      <c r="D10">
        <f t="shared" si="5"/>
        <v>0.71823222080308313</v>
      </c>
      <c r="E10">
        <f t="shared" si="5"/>
        <v>0.24271840757643898</v>
      </c>
      <c r="F10">
        <f t="shared" si="5"/>
        <v>0.50329453188050066</v>
      </c>
      <c r="G10">
        <f t="shared" si="5"/>
        <v>0.75588030637788506</v>
      </c>
      <c r="H10">
        <f t="shared" si="5"/>
        <v>0.35982951187065626</v>
      </c>
      <c r="I10">
        <f>(I8-I3)</f>
        <v>0.48840425092767026</v>
      </c>
      <c r="J10">
        <f>(J8-J3)</f>
        <v>0.29159147288032383</v>
      </c>
      <c r="K10">
        <f>(K8-K3)</f>
        <v>0.41985468713422114</v>
      </c>
      <c r="L10">
        <f>(L8-L3)</f>
        <v>0.47981580982384087</v>
      </c>
      <c r="M10">
        <f>pm.rep!A158</f>
        <v>2005</v>
      </c>
      <c r="N10">
        <f>pm.rep!B158</f>
        <v>1.70743E-4</v>
      </c>
      <c r="O10">
        <f>pm.rep!C158</f>
        <v>9.9922199999999996E-3</v>
      </c>
      <c r="P10">
        <f>pm.rep!D158</f>
        <v>0.106833</v>
      </c>
      <c r="Q10">
        <f>pm.rep!E158</f>
        <v>0.57586000000000004</v>
      </c>
      <c r="R10">
        <f>pm.rep!F158</f>
        <v>1.5027200000000001</v>
      </c>
      <c r="S10">
        <f>pm.rep!G158</f>
        <v>1.70075</v>
      </c>
      <c r="T10">
        <f>pm.rep!H158</f>
        <v>1.5312600000000001</v>
      </c>
      <c r="U10">
        <f>pm.rep!I158</f>
        <v>1.4011199999999999</v>
      </c>
      <c r="V10">
        <f>pm.rep!J158</f>
        <v>1.3194900000000001</v>
      </c>
      <c r="W10">
        <f>pm.rep!K158</f>
        <v>1.1419699999999999</v>
      </c>
      <c r="X10">
        <f>pm.rep!L158</f>
        <v>1.1419699999999999</v>
      </c>
      <c r="Y10">
        <f>pm.rep!M158</f>
        <v>1.1419699999999999</v>
      </c>
      <c r="Z10">
        <f>pm.rep!N158</f>
        <v>1.1419699999999999</v>
      </c>
      <c r="AA10">
        <f>pm.rep!O158</f>
        <v>1.1419699999999999</v>
      </c>
      <c r="AB10">
        <f>pm.rep!P158</f>
        <v>1.1419699999999999</v>
      </c>
    </row>
    <row r="11" spans="2:28" ht="14" x14ac:dyDescent="0.15">
      <c r="B11" s="207"/>
      <c r="M11">
        <f>pm.rep!A159</f>
        <v>2006</v>
      </c>
      <c r="N11">
        <f>pm.rep!B159</f>
        <v>1.6685800000000001E-4</v>
      </c>
      <c r="O11">
        <f>pm.rep!C159</f>
        <v>1.27527E-2</v>
      </c>
      <c r="P11">
        <f>pm.rep!D159</f>
        <v>0.200103</v>
      </c>
      <c r="Q11">
        <f>pm.rep!E159</f>
        <v>0.55820199999999998</v>
      </c>
      <c r="R11">
        <f>pm.rep!F159</f>
        <v>1.18082</v>
      </c>
      <c r="S11">
        <f>pm.rep!G159</f>
        <v>1.61222</v>
      </c>
      <c r="T11">
        <f>pm.rep!H159</f>
        <v>1.5356300000000001</v>
      </c>
      <c r="U11">
        <f>pm.rep!I159</f>
        <v>1.4612700000000001</v>
      </c>
      <c r="V11">
        <f>pm.rep!J159</f>
        <v>1.3168899999999999</v>
      </c>
      <c r="W11">
        <f>pm.rep!K159</f>
        <v>1.18699</v>
      </c>
      <c r="X11">
        <f>pm.rep!L159</f>
        <v>1.18699</v>
      </c>
      <c r="Y11">
        <f>pm.rep!M159</f>
        <v>1.18699</v>
      </c>
      <c r="Z11">
        <f>pm.rep!N159</f>
        <v>1.18699</v>
      </c>
      <c r="AA11">
        <f>pm.rep!O159</f>
        <v>1.18699</v>
      </c>
      <c r="AB11">
        <f>pm.rep!P159</f>
        <v>1.18699</v>
      </c>
    </row>
    <row r="12" spans="2:28" ht="14" x14ac:dyDescent="0.15">
      <c r="B12" s="207"/>
      <c r="M12">
        <f>pm.rep!A160</f>
        <v>2007</v>
      </c>
      <c r="N12">
        <f>pm.rep!B160</f>
        <v>1.59304E-4</v>
      </c>
      <c r="O12">
        <f>pm.rep!C160</f>
        <v>1.36601E-2</v>
      </c>
      <c r="P12">
        <f>pm.rep!D160</f>
        <v>0.18731400000000001</v>
      </c>
      <c r="Q12">
        <f>pm.rep!E160</f>
        <v>0.52057500000000001</v>
      </c>
      <c r="R12">
        <f>pm.rep!F160</f>
        <v>1.12134</v>
      </c>
      <c r="S12">
        <f>pm.rep!G160</f>
        <v>1.71102</v>
      </c>
      <c r="T12">
        <f>pm.rep!H160</f>
        <v>1.52626</v>
      </c>
      <c r="U12">
        <f>pm.rep!I160</f>
        <v>1.3801000000000001</v>
      </c>
      <c r="V12">
        <f>pm.rep!J160</f>
        <v>1.29112</v>
      </c>
      <c r="W12">
        <f>pm.rep!K160</f>
        <v>1.20808</v>
      </c>
      <c r="X12">
        <f>pm.rep!L160</f>
        <v>1.20808</v>
      </c>
      <c r="Y12">
        <f>pm.rep!M160</f>
        <v>1.20808</v>
      </c>
      <c r="Z12">
        <f>pm.rep!N160</f>
        <v>1.20808</v>
      </c>
      <c r="AA12">
        <f>pm.rep!O160</f>
        <v>1.20808</v>
      </c>
      <c r="AB12">
        <f>pm.rep!P160</f>
        <v>1.20808</v>
      </c>
    </row>
    <row r="13" spans="2:28" ht="15" thickBot="1" x14ac:dyDescent="0.2">
      <c r="B13" s="208"/>
      <c r="M13">
        <f>pm.rep!A161</f>
        <v>2008</v>
      </c>
      <c r="N13">
        <f>pm.rep!B161</f>
        <v>1.46811E-4</v>
      </c>
      <c r="O13">
        <f>pm.rep!C161</f>
        <v>1.09119E-2</v>
      </c>
      <c r="P13">
        <f>pm.rep!D161</f>
        <v>9.8313399999999995E-2</v>
      </c>
      <c r="Q13">
        <f>pm.rep!E161</f>
        <v>0.44367600000000001</v>
      </c>
      <c r="R13">
        <f>pm.rep!F161</f>
        <v>0.96840899999999996</v>
      </c>
      <c r="S13">
        <f>pm.rep!G161</f>
        <v>1.6665700000000001</v>
      </c>
      <c r="T13">
        <f>pm.rep!H161</f>
        <v>1.5652600000000001</v>
      </c>
      <c r="U13">
        <f>pm.rep!I161</f>
        <v>1.39317</v>
      </c>
      <c r="V13">
        <f>pm.rep!J161</f>
        <v>1.3705400000000001</v>
      </c>
      <c r="W13">
        <f>pm.rep!K161</f>
        <v>1.2471699999999999</v>
      </c>
      <c r="X13">
        <f>pm.rep!L161</f>
        <v>1.2471699999999999</v>
      </c>
      <c r="Y13">
        <f>pm.rep!M161</f>
        <v>1.2471699999999999</v>
      </c>
      <c r="Z13">
        <f>pm.rep!N161</f>
        <v>1.2471699999999999</v>
      </c>
      <c r="AA13">
        <f>pm.rep!O161</f>
        <v>1.2471699999999999</v>
      </c>
      <c r="AB13">
        <f>pm.rep!P161</f>
        <v>1.2471699999999999</v>
      </c>
    </row>
    <row r="14" spans="2:28" x14ac:dyDescent="0.15">
      <c r="M14">
        <f>pm.rep!A162</f>
        <v>2009</v>
      </c>
      <c r="N14">
        <f>pm.rep!B162</f>
        <v>1.3771200000000001E-4</v>
      </c>
      <c r="O14">
        <f>pm.rep!C162</f>
        <v>7.5641399999999996E-3</v>
      </c>
      <c r="P14">
        <f>pm.rep!D162</f>
        <v>9.9524799999999997E-2</v>
      </c>
      <c r="Q14">
        <f>pm.rep!E162</f>
        <v>0.419186</v>
      </c>
      <c r="R14">
        <f>pm.rep!F162</f>
        <v>0.71121400000000001</v>
      </c>
      <c r="S14">
        <f>pm.rep!G162</f>
        <v>1.2498199999999999</v>
      </c>
      <c r="T14">
        <f>pm.rep!H162</f>
        <v>1.4122399999999999</v>
      </c>
      <c r="U14">
        <f>pm.rep!I162</f>
        <v>1.37737</v>
      </c>
      <c r="V14">
        <f>pm.rep!J162</f>
        <v>1.4130199999999999</v>
      </c>
      <c r="W14">
        <f>pm.rep!K162</f>
        <v>1.3849899999999999</v>
      </c>
      <c r="X14">
        <f>pm.rep!L162</f>
        <v>1.3849899999999999</v>
      </c>
      <c r="Y14">
        <f>pm.rep!M162</f>
        <v>1.3849899999999999</v>
      </c>
      <c r="Z14">
        <f>pm.rep!N162</f>
        <v>1.3849899999999999</v>
      </c>
      <c r="AA14">
        <f>pm.rep!O162</f>
        <v>1.3849899999999999</v>
      </c>
      <c r="AB14">
        <f>pm.rep!P162</f>
        <v>1.3849899999999999</v>
      </c>
    </row>
    <row r="15" spans="2:28" x14ac:dyDescent="0.15">
      <c r="M15">
        <f>pm.rep!A163</f>
        <v>2010</v>
      </c>
      <c r="N15">
        <f>pm.rep!B163</f>
        <v>1.40715E-4</v>
      </c>
      <c r="O15">
        <f>pm.rep!C163</f>
        <v>8.1065000000000009E-3</v>
      </c>
      <c r="P15">
        <f>pm.rep!D163</f>
        <v>6.1707999999999999E-2</v>
      </c>
      <c r="Q15">
        <f>pm.rep!E163</f>
        <v>0.68741099999999999</v>
      </c>
      <c r="R15">
        <f>pm.rep!F163</f>
        <v>0.92444499999999996</v>
      </c>
      <c r="S15">
        <f>pm.rep!G163</f>
        <v>1.0852599999999999</v>
      </c>
      <c r="T15">
        <f>pm.rep!H163</f>
        <v>1.29915</v>
      </c>
      <c r="U15">
        <f>pm.rep!I163</f>
        <v>1.41622</v>
      </c>
      <c r="V15">
        <f>pm.rep!J163</f>
        <v>1.3850899999999999</v>
      </c>
      <c r="W15">
        <f>pm.rep!K163</f>
        <v>1.35541</v>
      </c>
      <c r="X15">
        <f>pm.rep!L163</f>
        <v>1.35541</v>
      </c>
      <c r="Y15">
        <f>pm.rep!M163</f>
        <v>1.35541</v>
      </c>
      <c r="Z15">
        <f>pm.rep!N163</f>
        <v>1.35541</v>
      </c>
      <c r="AA15">
        <f>pm.rep!O163</f>
        <v>1.35541</v>
      </c>
      <c r="AB15">
        <f>pm.rep!P163</f>
        <v>1.35541</v>
      </c>
    </row>
    <row r="16" spans="2:28" x14ac:dyDescent="0.15">
      <c r="L16">
        <f>M16-6</f>
        <v>2005</v>
      </c>
      <c r="M16">
        <f>pm.rep!A164</f>
        <v>2011</v>
      </c>
      <c r="N16">
        <f>pm.rep!B164</f>
        <v>1.3757900000000001E-4</v>
      </c>
      <c r="O16">
        <f>pm.rep!C164</f>
        <v>8.5359600000000004E-3</v>
      </c>
      <c r="P16">
        <f>pm.rep!D164</f>
        <v>5.95363E-2</v>
      </c>
      <c r="Q16">
        <f>pm.rep!E164</f>
        <v>0.227572</v>
      </c>
      <c r="R16">
        <f>pm.rep!F164</f>
        <v>1.3396600000000001</v>
      </c>
      <c r="S16">
        <f>pm.rep!G164</f>
        <v>1.5190999999999999</v>
      </c>
      <c r="T16">
        <f>pm.rep!H164</f>
        <v>1.4253</v>
      </c>
      <c r="U16">
        <f>pm.rep!I164</f>
        <v>1.3791500000000001</v>
      </c>
      <c r="V16">
        <f>pm.rep!J164</f>
        <v>1.3349200000000001</v>
      </c>
      <c r="W16">
        <f>pm.rep!K164</f>
        <v>1.2843500000000001</v>
      </c>
      <c r="X16">
        <f>pm.rep!L164</f>
        <v>1.2843500000000001</v>
      </c>
      <c r="Y16">
        <f>pm.rep!M164</f>
        <v>1.2843500000000001</v>
      </c>
      <c r="Z16">
        <f>pm.rep!N164</f>
        <v>1.2843500000000001</v>
      </c>
      <c r="AA16">
        <f>pm.rep!O164</f>
        <v>1.2843500000000001</v>
      </c>
      <c r="AB16">
        <f>pm.rep!P164</f>
        <v>1.2843500000000001</v>
      </c>
    </row>
    <row r="17" spans="1:33" x14ac:dyDescent="0.15">
      <c r="M17" t="s">
        <v>517</v>
      </c>
      <c r="N17">
        <f>AVERAGE(N11:N16)</f>
        <v>1.4816316666666667E-4</v>
      </c>
      <c r="O17">
        <f t="shared" ref="O17:AB17" si="6">AVERAGE(O11:O16)</f>
        <v>1.0255216666666667E-2</v>
      </c>
      <c r="P17">
        <f t="shared" si="6"/>
        <v>0.11774991666666666</v>
      </c>
      <c r="Q17">
        <f t="shared" si="6"/>
        <v>0.4761036666666667</v>
      </c>
      <c r="R17">
        <f t="shared" si="6"/>
        <v>1.0409813333333333</v>
      </c>
      <c r="S17">
        <f t="shared" si="6"/>
        <v>1.4739983333333333</v>
      </c>
      <c r="T17">
        <f t="shared" si="6"/>
        <v>1.4606399999999999</v>
      </c>
      <c r="U17">
        <f t="shared" si="6"/>
        <v>1.4012133333333334</v>
      </c>
      <c r="V17">
        <f t="shared" si="6"/>
        <v>1.3519300000000001</v>
      </c>
      <c r="W17">
        <f t="shared" si="6"/>
        <v>1.2778316666666667</v>
      </c>
      <c r="X17">
        <f t="shared" si="6"/>
        <v>1.2778316666666667</v>
      </c>
      <c r="Y17">
        <f t="shared" si="6"/>
        <v>1.2778316666666667</v>
      </c>
      <c r="Z17">
        <f t="shared" si="6"/>
        <v>1.2778316666666667</v>
      </c>
      <c r="AA17">
        <f t="shared" si="6"/>
        <v>1.2778316666666667</v>
      </c>
      <c r="AB17">
        <f t="shared" si="6"/>
        <v>1.2778316666666667</v>
      </c>
    </row>
    <row r="26" spans="1:33" x14ac:dyDescent="0.15">
      <c r="A26" t="e">
        <v>#REF!</v>
      </c>
      <c r="B26" t="e">
        <v>#REF!</v>
      </c>
      <c r="C26" t="e">
        <v>#REF!</v>
      </c>
      <c r="D26" t="e">
        <v>#REF!</v>
      </c>
      <c r="E26" t="e">
        <v>#REF!</v>
      </c>
      <c r="F26" t="e">
        <v>#REF!</v>
      </c>
      <c r="G26" t="e">
        <v>#REF!</v>
      </c>
      <c r="H26" t="e">
        <v>#REF!</v>
      </c>
      <c r="I26" t="e">
        <v>#REF!</v>
      </c>
      <c r="J26" t="e">
        <v>#REF!</v>
      </c>
      <c r="K26" t="e">
        <v>#REF!</v>
      </c>
      <c r="L26" t="e">
        <v>#REF!</v>
      </c>
      <c r="M26" t="e">
        <v>#REF!</v>
      </c>
      <c r="N26" t="e">
        <v>#REF!</v>
      </c>
      <c r="O26" t="e">
        <v>#REF!</v>
      </c>
      <c r="P26" t="e">
        <v>#REF!</v>
      </c>
      <c r="R26" t="e">
        <v>#REF!</v>
      </c>
      <c r="S26" t="e">
        <v>#REF!</v>
      </c>
      <c r="T26" t="e">
        <v>#REF!</v>
      </c>
      <c r="U26" t="e">
        <v>#REF!</v>
      </c>
      <c r="V26" t="e">
        <v>#REF!</v>
      </c>
      <c r="W26" t="e">
        <v>#REF!</v>
      </c>
      <c r="X26" t="e">
        <v>#REF!</v>
      </c>
      <c r="Y26" t="e">
        <v>#REF!</v>
      </c>
      <c r="Z26" t="e">
        <v>#REF!</v>
      </c>
      <c r="AA26" t="e">
        <v>#REF!</v>
      </c>
      <c r="AB26" t="e">
        <v>#REF!</v>
      </c>
      <c r="AC26" t="e">
        <v>#REF!</v>
      </c>
      <c r="AD26" t="e">
        <v>#REF!</v>
      </c>
      <c r="AE26" t="e">
        <v>#REF!</v>
      </c>
      <c r="AF26" t="e">
        <v>#REF!</v>
      </c>
      <c r="AG26" t="e">
        <v>#REF!</v>
      </c>
    </row>
    <row r="27" spans="1:33" x14ac:dyDescent="0.15">
      <c r="A27" t="e">
        <v>#REF!</v>
      </c>
      <c r="B27" t="e">
        <v>#REF!</v>
      </c>
      <c r="C27" t="e">
        <v>#REF!</v>
      </c>
      <c r="D27" t="e">
        <v>#REF!</v>
      </c>
      <c r="E27" t="e">
        <v>#REF!</v>
      </c>
      <c r="F27" t="e">
        <v>#REF!</v>
      </c>
      <c r="G27" t="e">
        <v>#REF!</v>
      </c>
      <c r="H27" t="e">
        <v>#REF!</v>
      </c>
      <c r="I27" t="e">
        <v>#REF!</v>
      </c>
      <c r="J27" t="e">
        <v>#REF!</v>
      </c>
      <c r="K27" t="e">
        <v>#REF!</v>
      </c>
      <c r="L27" t="e">
        <v>#REF!</v>
      </c>
      <c r="M27" t="e">
        <v>#REF!</v>
      </c>
      <c r="N27" t="e">
        <v>#REF!</v>
      </c>
      <c r="O27" t="e">
        <v>#REF!</v>
      </c>
      <c r="P27" t="e">
        <v>#REF!</v>
      </c>
      <c r="R27" t="e">
        <v>#REF!</v>
      </c>
      <c r="S27" t="e">
        <v>#REF!</v>
      </c>
      <c r="T27" t="e">
        <v>#REF!</v>
      </c>
      <c r="U27" t="e">
        <v>#REF!</v>
      </c>
      <c r="V27" t="e">
        <v>#REF!</v>
      </c>
      <c r="W27" t="e">
        <v>#REF!</v>
      </c>
      <c r="X27" t="e">
        <v>#REF!</v>
      </c>
      <c r="Y27" t="e">
        <v>#REF!</v>
      </c>
      <c r="Z27" t="e">
        <v>#REF!</v>
      </c>
      <c r="AA27" t="e">
        <v>#REF!</v>
      </c>
      <c r="AB27" t="e">
        <v>#REF!</v>
      </c>
      <c r="AC27" t="e">
        <v>#REF!</v>
      </c>
      <c r="AD27" t="e">
        <v>#REF!</v>
      </c>
      <c r="AE27" t="e">
        <v>#REF!</v>
      </c>
      <c r="AF27" t="e">
        <v>#REF!</v>
      </c>
      <c r="AG27" t="e">
        <v>#REF!</v>
      </c>
    </row>
    <row r="28" spans="1:33" x14ac:dyDescent="0.15">
      <c r="A28" t="e">
        <v>#REF!</v>
      </c>
      <c r="B28" t="e">
        <v>#REF!</v>
      </c>
      <c r="C28" t="e">
        <v>#REF!</v>
      </c>
      <c r="D28" t="e">
        <v>#REF!</v>
      </c>
      <c r="E28" t="e">
        <v>#REF!</v>
      </c>
      <c r="F28" t="e">
        <v>#REF!</v>
      </c>
      <c r="G28" t="e">
        <v>#REF!</v>
      </c>
      <c r="H28" t="e">
        <v>#REF!</v>
      </c>
      <c r="I28" t="e">
        <v>#REF!</v>
      </c>
      <c r="J28" t="e">
        <v>#REF!</v>
      </c>
      <c r="K28" t="e">
        <v>#REF!</v>
      </c>
      <c r="L28" t="e">
        <v>#REF!</v>
      </c>
      <c r="M28" t="e">
        <v>#REF!</v>
      </c>
      <c r="N28" t="e">
        <v>#REF!</v>
      </c>
      <c r="O28" t="e">
        <v>#REF!</v>
      </c>
      <c r="P28" t="e">
        <v>#REF!</v>
      </c>
      <c r="R28" t="e">
        <v>#REF!</v>
      </c>
      <c r="S28" t="e">
        <v>#REF!</v>
      </c>
      <c r="T28" t="e">
        <v>#REF!</v>
      </c>
      <c r="U28" t="e">
        <v>#REF!</v>
      </c>
      <c r="V28" t="e">
        <v>#REF!</v>
      </c>
      <c r="W28" t="e">
        <v>#REF!</v>
      </c>
      <c r="X28" t="e">
        <v>#REF!</v>
      </c>
      <c r="Y28" t="e">
        <v>#REF!</v>
      </c>
      <c r="Z28" t="e">
        <v>#REF!</v>
      </c>
      <c r="AA28" t="e">
        <v>#REF!</v>
      </c>
      <c r="AB28" t="e">
        <v>#REF!</v>
      </c>
      <c r="AC28" t="e">
        <v>#REF!</v>
      </c>
      <c r="AD28" t="e">
        <v>#REF!</v>
      </c>
      <c r="AE28" t="e">
        <v>#REF!</v>
      </c>
      <c r="AF28" t="e">
        <v>#REF!</v>
      </c>
      <c r="AG28" t="e">
        <v>#REF!</v>
      </c>
    </row>
    <row r="29" spans="1:33" x14ac:dyDescent="0.15">
      <c r="A29" t="e">
        <v>#REF!</v>
      </c>
      <c r="B29" t="e">
        <v>#REF!</v>
      </c>
      <c r="C29" t="e">
        <v>#REF!</v>
      </c>
      <c r="D29" t="e">
        <v>#REF!</v>
      </c>
      <c r="E29" t="e">
        <v>#REF!</v>
      </c>
      <c r="F29" t="e">
        <v>#REF!</v>
      </c>
      <c r="G29" t="e">
        <v>#REF!</v>
      </c>
      <c r="H29" t="e">
        <v>#REF!</v>
      </c>
      <c r="I29" t="e">
        <v>#REF!</v>
      </c>
      <c r="J29" t="e">
        <v>#REF!</v>
      </c>
      <c r="K29" t="e">
        <v>#REF!</v>
      </c>
      <c r="L29" t="e">
        <v>#REF!</v>
      </c>
      <c r="M29" t="e">
        <v>#REF!</v>
      </c>
      <c r="N29" t="e">
        <v>#REF!</v>
      </c>
      <c r="O29" t="e">
        <v>#REF!</v>
      </c>
      <c r="P29" t="e">
        <v>#REF!</v>
      </c>
      <c r="R29" t="e">
        <v>#REF!</v>
      </c>
      <c r="S29" t="e">
        <v>#REF!</v>
      </c>
      <c r="T29" t="e">
        <v>#REF!</v>
      </c>
      <c r="U29" t="e">
        <v>#REF!</v>
      </c>
      <c r="V29" t="e">
        <v>#REF!</v>
      </c>
      <c r="W29" t="e">
        <v>#REF!</v>
      </c>
      <c r="X29" t="e">
        <v>#REF!</v>
      </c>
      <c r="Y29" t="e">
        <v>#REF!</v>
      </c>
      <c r="Z29" t="e">
        <v>#REF!</v>
      </c>
      <c r="AA29" t="e">
        <v>#REF!</v>
      </c>
      <c r="AB29" t="e">
        <v>#REF!</v>
      </c>
      <c r="AC29" t="e">
        <v>#REF!</v>
      </c>
      <c r="AD29" t="e">
        <v>#REF!</v>
      </c>
      <c r="AE29" t="e">
        <v>#REF!</v>
      </c>
      <c r="AF29" t="e">
        <v>#REF!</v>
      </c>
      <c r="AG29" t="e">
        <v>#REF!</v>
      </c>
    </row>
    <row r="30" spans="1:33" x14ac:dyDescent="0.15">
      <c r="A30" t="e">
        <v>#REF!</v>
      </c>
      <c r="B30" t="e">
        <v>#REF!</v>
      </c>
      <c r="C30" t="e">
        <v>#REF!</v>
      </c>
      <c r="D30" t="e">
        <v>#REF!</v>
      </c>
      <c r="E30" t="e">
        <v>#REF!</v>
      </c>
      <c r="F30" t="e">
        <v>#REF!</v>
      </c>
      <c r="G30" t="e">
        <v>#REF!</v>
      </c>
      <c r="H30" t="e">
        <v>#REF!</v>
      </c>
      <c r="I30" t="e">
        <v>#REF!</v>
      </c>
      <c r="J30" t="e">
        <v>#REF!</v>
      </c>
      <c r="K30" t="e">
        <v>#REF!</v>
      </c>
      <c r="L30" t="e">
        <v>#REF!</v>
      </c>
      <c r="M30" t="e">
        <v>#REF!</v>
      </c>
      <c r="N30" t="e">
        <v>#REF!</v>
      </c>
      <c r="O30" t="e">
        <v>#REF!</v>
      </c>
      <c r="P30" t="e">
        <v>#REF!</v>
      </c>
      <c r="R30" t="e">
        <v>#REF!</v>
      </c>
      <c r="S30" t="e">
        <v>#REF!</v>
      </c>
      <c r="T30" t="e">
        <v>#REF!</v>
      </c>
      <c r="U30" t="e">
        <v>#REF!</v>
      </c>
      <c r="V30" t="e">
        <v>#REF!</v>
      </c>
      <c r="W30" t="e">
        <v>#REF!</v>
      </c>
      <c r="X30" t="e">
        <v>#REF!</v>
      </c>
      <c r="Y30" t="e">
        <v>#REF!</v>
      </c>
      <c r="Z30" t="e">
        <v>#REF!</v>
      </c>
      <c r="AA30" t="e">
        <v>#REF!</v>
      </c>
      <c r="AB30" t="e">
        <v>#REF!</v>
      </c>
      <c r="AC30" t="e">
        <v>#REF!</v>
      </c>
      <c r="AD30" t="e">
        <v>#REF!</v>
      </c>
      <c r="AE30" t="e">
        <v>#REF!</v>
      </c>
      <c r="AF30" t="e">
        <v>#REF!</v>
      </c>
      <c r="AG30" t="e">
        <v>#REF!</v>
      </c>
    </row>
    <row r="31" spans="1:33" x14ac:dyDescent="0.15">
      <c r="A31" t="e">
        <v>#REF!</v>
      </c>
      <c r="B31" t="e">
        <v>#REF!</v>
      </c>
      <c r="C31" t="e">
        <v>#REF!</v>
      </c>
      <c r="D31" t="e">
        <v>#REF!</v>
      </c>
      <c r="E31" t="e">
        <v>#REF!</v>
      </c>
      <c r="F31" t="e">
        <v>#REF!</v>
      </c>
      <c r="G31" t="e">
        <v>#REF!</v>
      </c>
      <c r="H31" t="e">
        <v>#REF!</v>
      </c>
      <c r="I31" t="e">
        <v>#REF!</v>
      </c>
      <c r="J31" t="e">
        <v>#REF!</v>
      </c>
      <c r="K31" t="e">
        <v>#REF!</v>
      </c>
      <c r="L31" t="e">
        <v>#REF!</v>
      </c>
      <c r="M31" t="e">
        <v>#REF!</v>
      </c>
      <c r="N31" t="e">
        <v>#REF!</v>
      </c>
      <c r="O31" t="e">
        <v>#REF!</v>
      </c>
      <c r="P31" t="e">
        <v>#REF!</v>
      </c>
      <c r="R31" t="e">
        <v>#REF!</v>
      </c>
      <c r="S31" t="e">
        <v>#REF!</v>
      </c>
      <c r="T31" t="e">
        <v>#REF!</v>
      </c>
      <c r="U31" t="e">
        <v>#REF!</v>
      </c>
      <c r="V31" t="e">
        <v>#REF!</v>
      </c>
      <c r="W31" t="e">
        <v>#REF!</v>
      </c>
      <c r="X31" t="e">
        <v>#REF!</v>
      </c>
      <c r="Y31" t="e">
        <v>#REF!</v>
      </c>
      <c r="Z31" t="e">
        <v>#REF!</v>
      </c>
      <c r="AA31" t="e">
        <v>#REF!</v>
      </c>
      <c r="AB31" t="e">
        <v>#REF!</v>
      </c>
      <c r="AC31" t="e">
        <v>#REF!</v>
      </c>
      <c r="AD31" t="e">
        <v>#REF!</v>
      </c>
      <c r="AE31" t="e">
        <v>#REF!</v>
      </c>
      <c r="AF31" t="e">
        <v>#REF!</v>
      </c>
      <c r="AG31" t="e">
        <v>#REF!</v>
      </c>
    </row>
    <row r="32" spans="1:33" x14ac:dyDescent="0.15">
      <c r="A32" t="e">
        <v>#REF!</v>
      </c>
      <c r="B32" t="e">
        <v>#REF!</v>
      </c>
      <c r="C32" t="e">
        <v>#REF!</v>
      </c>
      <c r="D32" t="e">
        <v>#REF!</v>
      </c>
      <c r="E32" t="e">
        <v>#REF!</v>
      </c>
      <c r="F32" t="e">
        <v>#REF!</v>
      </c>
      <c r="G32" t="e">
        <v>#REF!</v>
      </c>
      <c r="H32" t="e">
        <v>#REF!</v>
      </c>
      <c r="I32" t="e">
        <v>#REF!</v>
      </c>
      <c r="J32" t="e">
        <v>#REF!</v>
      </c>
      <c r="K32" t="e">
        <v>#REF!</v>
      </c>
      <c r="L32" t="e">
        <v>#REF!</v>
      </c>
      <c r="M32" t="e">
        <v>#REF!</v>
      </c>
      <c r="N32" t="e">
        <v>#REF!</v>
      </c>
      <c r="O32" t="e">
        <v>#REF!</v>
      </c>
      <c r="P32" t="e">
        <v>#REF!</v>
      </c>
      <c r="R32" t="e">
        <v>#REF!</v>
      </c>
      <c r="S32" t="e">
        <v>#REF!</v>
      </c>
      <c r="T32" t="e">
        <v>#REF!</v>
      </c>
      <c r="U32" t="e">
        <v>#REF!</v>
      </c>
      <c r="V32" t="e">
        <v>#REF!</v>
      </c>
      <c r="W32" t="e">
        <v>#REF!</v>
      </c>
      <c r="X32" t="e">
        <v>#REF!</v>
      </c>
      <c r="Y32" t="e">
        <v>#REF!</v>
      </c>
      <c r="Z32" t="e">
        <v>#REF!</v>
      </c>
      <c r="AA32" t="e">
        <v>#REF!</v>
      </c>
      <c r="AB32" t="e">
        <v>#REF!</v>
      </c>
      <c r="AC32" t="e">
        <v>#REF!</v>
      </c>
      <c r="AD32" t="e">
        <v>#REF!</v>
      </c>
      <c r="AE32" t="e">
        <v>#REF!</v>
      </c>
      <c r="AF32" t="e">
        <v>#REF!</v>
      </c>
      <c r="AG32" t="e">
        <v>#REF!</v>
      </c>
    </row>
    <row r="33" spans="1:33" x14ac:dyDescent="0.15">
      <c r="A33" t="e">
        <v>#REF!</v>
      </c>
      <c r="B33" t="e">
        <v>#REF!</v>
      </c>
      <c r="C33" t="e">
        <v>#REF!</v>
      </c>
      <c r="D33" t="e">
        <v>#REF!</v>
      </c>
      <c r="E33" t="e">
        <v>#REF!</v>
      </c>
      <c r="F33" t="e">
        <v>#REF!</v>
      </c>
      <c r="G33" t="e">
        <v>#REF!</v>
      </c>
      <c r="H33" t="e">
        <v>#REF!</v>
      </c>
      <c r="I33" t="e">
        <v>#REF!</v>
      </c>
      <c r="J33" t="e">
        <v>#REF!</v>
      </c>
      <c r="K33" t="e">
        <v>#REF!</v>
      </c>
      <c r="L33" t="e">
        <v>#REF!</v>
      </c>
      <c r="M33" t="e">
        <v>#REF!</v>
      </c>
      <c r="N33" t="e">
        <v>#REF!</v>
      </c>
      <c r="O33" t="e">
        <v>#REF!</v>
      </c>
      <c r="P33" t="e">
        <v>#REF!</v>
      </c>
      <c r="R33" t="e">
        <v>#REF!</v>
      </c>
      <c r="S33" t="e">
        <v>#REF!</v>
      </c>
      <c r="T33" t="e">
        <v>#REF!</v>
      </c>
      <c r="U33" t="e">
        <v>#REF!</v>
      </c>
      <c r="V33" t="e">
        <v>#REF!</v>
      </c>
      <c r="W33" t="e">
        <v>#REF!</v>
      </c>
      <c r="X33" t="e">
        <v>#REF!</v>
      </c>
      <c r="Y33" t="e">
        <v>#REF!</v>
      </c>
      <c r="Z33" t="e">
        <v>#REF!</v>
      </c>
      <c r="AA33" t="e">
        <v>#REF!</v>
      </c>
      <c r="AB33" t="e">
        <v>#REF!</v>
      </c>
      <c r="AC33" t="e">
        <v>#REF!</v>
      </c>
      <c r="AD33" t="e">
        <v>#REF!</v>
      </c>
      <c r="AE33" t="e">
        <v>#REF!</v>
      </c>
      <c r="AF33" t="e">
        <v>#REF!</v>
      </c>
      <c r="AG33" t="e">
        <v>#REF!</v>
      </c>
    </row>
    <row r="34" spans="1:33" x14ac:dyDescent="0.15">
      <c r="A34" t="e">
        <v>#REF!</v>
      </c>
      <c r="B34" t="e">
        <v>#REF!</v>
      </c>
      <c r="C34" t="e">
        <v>#REF!</v>
      </c>
      <c r="D34" t="e">
        <v>#REF!</v>
      </c>
      <c r="E34" t="e">
        <v>#REF!</v>
      </c>
      <c r="F34" t="e">
        <v>#REF!</v>
      </c>
      <c r="G34" t="e">
        <v>#REF!</v>
      </c>
      <c r="H34" t="e">
        <v>#REF!</v>
      </c>
      <c r="I34" t="e">
        <v>#REF!</v>
      </c>
      <c r="J34" t="e">
        <v>#REF!</v>
      </c>
      <c r="K34" t="e">
        <v>#REF!</v>
      </c>
      <c r="L34" t="e">
        <v>#REF!</v>
      </c>
      <c r="M34" t="e">
        <v>#REF!</v>
      </c>
      <c r="N34" t="e">
        <v>#REF!</v>
      </c>
      <c r="O34" t="e">
        <v>#REF!</v>
      </c>
      <c r="P34" t="e">
        <v>#REF!</v>
      </c>
      <c r="R34" t="e">
        <v>#REF!</v>
      </c>
      <c r="S34" t="e">
        <v>#REF!</v>
      </c>
      <c r="T34" t="e">
        <v>#REF!</v>
      </c>
      <c r="U34" t="e">
        <v>#REF!</v>
      </c>
      <c r="V34" t="e">
        <v>#REF!</v>
      </c>
      <c r="W34" t="e">
        <v>#REF!</v>
      </c>
      <c r="X34" t="e">
        <v>#REF!</v>
      </c>
      <c r="Y34" t="e">
        <v>#REF!</v>
      </c>
      <c r="Z34" t="e">
        <v>#REF!</v>
      </c>
      <c r="AA34" t="e">
        <v>#REF!</v>
      </c>
      <c r="AB34" t="e">
        <v>#REF!</v>
      </c>
      <c r="AC34" t="e">
        <v>#REF!</v>
      </c>
      <c r="AD34" t="e">
        <v>#REF!</v>
      </c>
      <c r="AE34" t="e">
        <v>#REF!</v>
      </c>
      <c r="AF34" t="e">
        <v>#REF!</v>
      </c>
      <c r="AG34" t="e">
        <v>#REF!</v>
      </c>
    </row>
    <row r="35" spans="1:33" x14ac:dyDescent="0.15">
      <c r="A35" t="e">
        <v>#REF!</v>
      </c>
      <c r="B35" t="e">
        <v>#REF!</v>
      </c>
      <c r="C35" t="e">
        <v>#REF!</v>
      </c>
      <c r="D35" t="e">
        <v>#REF!</v>
      </c>
      <c r="E35" t="e">
        <v>#REF!</v>
      </c>
      <c r="F35" t="e">
        <v>#REF!</v>
      </c>
      <c r="G35" t="e">
        <v>#REF!</v>
      </c>
      <c r="H35" t="e">
        <v>#REF!</v>
      </c>
      <c r="I35" t="e">
        <v>#REF!</v>
      </c>
      <c r="J35" t="e">
        <v>#REF!</v>
      </c>
      <c r="K35" t="e">
        <v>#REF!</v>
      </c>
      <c r="L35" t="e">
        <v>#REF!</v>
      </c>
      <c r="M35" t="e">
        <v>#REF!</v>
      </c>
      <c r="N35" t="e">
        <v>#REF!</v>
      </c>
      <c r="O35" t="e">
        <v>#REF!</v>
      </c>
      <c r="P35" t="e">
        <v>#REF!</v>
      </c>
      <c r="R35" t="e">
        <v>#REF!</v>
      </c>
      <c r="S35" t="e">
        <v>#REF!</v>
      </c>
      <c r="T35" t="e">
        <v>#REF!</v>
      </c>
      <c r="U35" t="e">
        <v>#REF!</v>
      </c>
      <c r="V35" t="e">
        <v>#REF!</v>
      </c>
      <c r="W35" t="e">
        <v>#REF!</v>
      </c>
      <c r="X35" t="e">
        <v>#REF!</v>
      </c>
      <c r="Y35" t="e">
        <v>#REF!</v>
      </c>
      <c r="Z35" t="e">
        <v>#REF!</v>
      </c>
      <c r="AA35" t="e">
        <v>#REF!</v>
      </c>
      <c r="AB35" t="e">
        <v>#REF!</v>
      </c>
      <c r="AC35" t="e">
        <v>#REF!</v>
      </c>
      <c r="AD35" t="e">
        <v>#REF!</v>
      </c>
      <c r="AE35" t="e">
        <v>#REF!</v>
      </c>
      <c r="AF35" t="e">
        <v>#REF!</v>
      </c>
      <c r="AG35" t="e">
        <v>#REF!</v>
      </c>
    </row>
    <row r="36" spans="1:33" x14ac:dyDescent="0.15">
      <c r="A36" t="e">
        <v>#REF!</v>
      </c>
      <c r="B36" t="e">
        <v>#REF!</v>
      </c>
      <c r="C36" t="e">
        <v>#REF!</v>
      </c>
      <c r="D36" t="e">
        <v>#REF!</v>
      </c>
      <c r="E36" t="e">
        <v>#REF!</v>
      </c>
      <c r="F36" t="e">
        <v>#REF!</v>
      </c>
      <c r="G36" t="e">
        <v>#REF!</v>
      </c>
      <c r="H36" t="e">
        <v>#REF!</v>
      </c>
      <c r="I36" t="e">
        <v>#REF!</v>
      </c>
      <c r="J36" t="e">
        <v>#REF!</v>
      </c>
      <c r="K36" t="e">
        <v>#REF!</v>
      </c>
      <c r="L36" t="e">
        <v>#REF!</v>
      </c>
      <c r="M36" t="e">
        <v>#REF!</v>
      </c>
      <c r="N36" t="e">
        <v>#REF!</v>
      </c>
      <c r="O36" t="e">
        <v>#REF!</v>
      </c>
      <c r="P36" t="e">
        <v>#REF!</v>
      </c>
      <c r="R36" t="e">
        <v>#REF!</v>
      </c>
      <c r="S36" t="e">
        <v>#REF!</v>
      </c>
      <c r="T36" t="e">
        <v>#REF!</v>
      </c>
      <c r="U36" t="e">
        <v>#REF!</v>
      </c>
      <c r="V36" t="e">
        <v>#REF!</v>
      </c>
      <c r="W36" t="e">
        <v>#REF!</v>
      </c>
      <c r="X36" t="e">
        <v>#REF!</v>
      </c>
      <c r="Y36" t="e">
        <v>#REF!</v>
      </c>
      <c r="Z36" t="e">
        <v>#REF!</v>
      </c>
      <c r="AA36" t="e">
        <v>#REF!</v>
      </c>
      <c r="AB36" t="e">
        <v>#REF!</v>
      </c>
      <c r="AC36" t="e">
        <v>#REF!</v>
      </c>
      <c r="AD36" t="e">
        <v>#REF!</v>
      </c>
      <c r="AE36" t="e">
        <v>#REF!</v>
      </c>
      <c r="AF36" t="e">
        <v>#REF!</v>
      </c>
      <c r="AG36" t="e">
        <v>#REF!</v>
      </c>
    </row>
    <row r="37" spans="1:33" x14ac:dyDescent="0.15">
      <c r="A37" t="e">
        <v>#REF!</v>
      </c>
      <c r="B37" t="e">
        <v>#REF!</v>
      </c>
      <c r="C37" t="e">
        <v>#REF!</v>
      </c>
      <c r="D37" t="e">
        <v>#REF!</v>
      </c>
      <c r="E37" t="e">
        <v>#REF!</v>
      </c>
      <c r="F37" t="e">
        <v>#REF!</v>
      </c>
      <c r="G37" t="e">
        <v>#REF!</v>
      </c>
      <c r="H37" t="e">
        <v>#REF!</v>
      </c>
      <c r="I37" t="e">
        <v>#REF!</v>
      </c>
      <c r="J37" t="e">
        <v>#REF!</v>
      </c>
      <c r="K37" t="e">
        <v>#REF!</v>
      </c>
      <c r="L37" t="e">
        <v>#REF!</v>
      </c>
      <c r="M37" t="e">
        <v>#REF!</v>
      </c>
      <c r="N37" t="e">
        <v>#REF!</v>
      </c>
      <c r="O37" t="e">
        <v>#REF!</v>
      </c>
      <c r="P37" t="e">
        <v>#REF!</v>
      </c>
      <c r="R37" t="e">
        <v>#REF!</v>
      </c>
      <c r="S37" t="e">
        <v>#REF!</v>
      </c>
      <c r="T37" t="e">
        <v>#REF!</v>
      </c>
      <c r="U37" t="e">
        <v>#REF!</v>
      </c>
      <c r="V37" t="e">
        <v>#REF!</v>
      </c>
      <c r="W37" t="e">
        <v>#REF!</v>
      </c>
      <c r="X37" t="e">
        <v>#REF!</v>
      </c>
      <c r="Y37" t="e">
        <v>#REF!</v>
      </c>
      <c r="Z37" t="e">
        <v>#REF!</v>
      </c>
      <c r="AA37" t="e">
        <v>#REF!</v>
      </c>
      <c r="AB37" t="e">
        <v>#REF!</v>
      </c>
      <c r="AC37" t="e">
        <v>#REF!</v>
      </c>
      <c r="AD37" t="e">
        <v>#REF!</v>
      </c>
      <c r="AE37" t="e">
        <v>#REF!</v>
      </c>
      <c r="AF37" t="e">
        <v>#REF!</v>
      </c>
      <c r="AG37" t="e">
        <v>#REF!</v>
      </c>
    </row>
    <row r="38" spans="1:33" x14ac:dyDescent="0.15">
      <c r="A38" t="e">
        <v>#REF!</v>
      </c>
      <c r="B38" t="e">
        <v>#REF!</v>
      </c>
      <c r="C38" t="e">
        <v>#REF!</v>
      </c>
      <c r="D38" t="e">
        <v>#REF!</v>
      </c>
      <c r="E38" t="e">
        <v>#REF!</v>
      </c>
      <c r="F38" t="e">
        <v>#REF!</v>
      </c>
      <c r="G38" t="e">
        <v>#REF!</v>
      </c>
      <c r="H38" t="e">
        <v>#REF!</v>
      </c>
      <c r="I38" t="e">
        <v>#REF!</v>
      </c>
      <c r="J38" t="e">
        <v>#REF!</v>
      </c>
      <c r="K38" t="e">
        <v>#REF!</v>
      </c>
      <c r="L38" t="e">
        <v>#REF!</v>
      </c>
      <c r="M38" t="e">
        <v>#REF!</v>
      </c>
      <c r="N38" t="e">
        <v>#REF!</v>
      </c>
      <c r="O38" t="e">
        <v>#REF!</v>
      </c>
      <c r="P38" t="e">
        <v>#REF!</v>
      </c>
      <c r="R38" t="e">
        <v>#REF!</v>
      </c>
      <c r="S38" t="e">
        <v>#REF!</v>
      </c>
      <c r="T38" t="e">
        <v>#REF!</v>
      </c>
      <c r="U38" t="e">
        <v>#REF!</v>
      </c>
      <c r="V38" t="e">
        <v>#REF!</v>
      </c>
      <c r="W38" t="e">
        <v>#REF!</v>
      </c>
      <c r="X38" t="e">
        <v>#REF!</v>
      </c>
      <c r="Y38" t="e">
        <v>#REF!</v>
      </c>
      <c r="Z38" t="e">
        <v>#REF!</v>
      </c>
      <c r="AA38" t="e">
        <v>#REF!</v>
      </c>
      <c r="AB38" t="e">
        <v>#REF!</v>
      </c>
      <c r="AC38" t="e">
        <v>#REF!</v>
      </c>
      <c r="AD38" t="e">
        <v>#REF!</v>
      </c>
      <c r="AE38" t="e">
        <v>#REF!</v>
      </c>
      <c r="AF38" t="e">
        <v>#REF!</v>
      </c>
      <c r="AG38" t="e">
        <v>#REF!</v>
      </c>
    </row>
    <row r="39" spans="1:33" x14ac:dyDescent="0.15">
      <c r="A39" t="e">
        <v>#REF!</v>
      </c>
      <c r="B39" t="e">
        <v>#REF!</v>
      </c>
      <c r="C39" t="e">
        <v>#REF!</v>
      </c>
      <c r="D39" t="e">
        <v>#REF!</v>
      </c>
      <c r="E39" t="e">
        <v>#REF!</v>
      </c>
      <c r="F39" t="e">
        <v>#REF!</v>
      </c>
      <c r="G39" t="e">
        <v>#REF!</v>
      </c>
      <c r="H39" t="e">
        <v>#REF!</v>
      </c>
      <c r="I39" t="e">
        <v>#REF!</v>
      </c>
      <c r="J39" t="e">
        <v>#REF!</v>
      </c>
      <c r="K39" t="e">
        <v>#REF!</v>
      </c>
      <c r="L39" t="e">
        <v>#REF!</v>
      </c>
      <c r="M39" t="e">
        <v>#REF!</v>
      </c>
      <c r="N39" t="e">
        <v>#REF!</v>
      </c>
      <c r="O39" t="e">
        <v>#REF!</v>
      </c>
      <c r="P39" t="e">
        <v>#REF!</v>
      </c>
      <c r="R39" t="e">
        <v>#REF!</v>
      </c>
      <c r="S39" t="e">
        <v>#REF!</v>
      </c>
      <c r="T39" t="e">
        <v>#REF!</v>
      </c>
      <c r="U39" t="e">
        <v>#REF!</v>
      </c>
      <c r="V39" t="e">
        <v>#REF!</v>
      </c>
      <c r="W39" t="e">
        <v>#REF!</v>
      </c>
      <c r="X39" t="e">
        <v>#REF!</v>
      </c>
      <c r="Y39" t="e">
        <v>#REF!</v>
      </c>
      <c r="Z39" t="e">
        <v>#REF!</v>
      </c>
      <c r="AA39" t="e">
        <v>#REF!</v>
      </c>
      <c r="AB39" t="e">
        <v>#REF!</v>
      </c>
      <c r="AC39" t="e">
        <v>#REF!</v>
      </c>
      <c r="AD39" t="e">
        <v>#REF!</v>
      </c>
      <c r="AE39" t="e">
        <v>#REF!</v>
      </c>
      <c r="AF39" t="e">
        <v>#REF!</v>
      </c>
      <c r="AG39" t="e">
        <v>#REF!</v>
      </c>
    </row>
    <row r="40" spans="1:33" x14ac:dyDescent="0.15">
      <c r="A40" t="e">
        <v>#REF!</v>
      </c>
      <c r="B40" t="e">
        <v>#REF!</v>
      </c>
      <c r="C40" t="e">
        <v>#REF!</v>
      </c>
      <c r="D40" t="e">
        <v>#REF!</v>
      </c>
      <c r="E40" t="e">
        <v>#REF!</v>
      </c>
      <c r="F40" t="e">
        <v>#REF!</v>
      </c>
      <c r="G40" t="e">
        <v>#REF!</v>
      </c>
      <c r="H40" t="e">
        <v>#REF!</v>
      </c>
      <c r="I40" t="e">
        <v>#REF!</v>
      </c>
      <c r="J40" t="e">
        <v>#REF!</v>
      </c>
      <c r="K40" t="e">
        <v>#REF!</v>
      </c>
      <c r="L40" t="e">
        <v>#REF!</v>
      </c>
      <c r="M40" t="e">
        <v>#REF!</v>
      </c>
      <c r="N40" t="e">
        <v>#REF!</v>
      </c>
      <c r="O40" t="e">
        <v>#REF!</v>
      </c>
      <c r="P40" t="e">
        <v>#REF!</v>
      </c>
      <c r="R40" t="e">
        <v>#REF!</v>
      </c>
      <c r="S40" t="e">
        <v>#REF!</v>
      </c>
      <c r="T40" t="e">
        <v>#REF!</v>
      </c>
      <c r="U40" t="e">
        <v>#REF!</v>
      </c>
      <c r="V40" t="e">
        <v>#REF!</v>
      </c>
      <c r="W40" t="e">
        <v>#REF!</v>
      </c>
      <c r="X40" t="e">
        <v>#REF!</v>
      </c>
      <c r="Y40" t="e">
        <v>#REF!</v>
      </c>
      <c r="Z40" t="e">
        <v>#REF!</v>
      </c>
      <c r="AA40" t="e">
        <v>#REF!</v>
      </c>
      <c r="AB40" t="e">
        <v>#REF!</v>
      </c>
      <c r="AC40" t="e">
        <v>#REF!</v>
      </c>
      <c r="AD40" t="e">
        <v>#REF!</v>
      </c>
      <c r="AE40" t="e">
        <v>#REF!</v>
      </c>
      <c r="AF40" t="e">
        <v>#REF!</v>
      </c>
      <c r="AG40" t="e">
        <v>#REF!</v>
      </c>
    </row>
    <row r="41" spans="1:33" x14ac:dyDescent="0.15">
      <c r="A41" t="e">
        <v>#REF!</v>
      </c>
      <c r="B41" t="e">
        <v>#REF!</v>
      </c>
      <c r="C41" t="e">
        <v>#REF!</v>
      </c>
      <c r="D41" t="e">
        <v>#REF!</v>
      </c>
      <c r="E41" t="e">
        <v>#REF!</v>
      </c>
      <c r="F41" t="e">
        <v>#REF!</v>
      </c>
      <c r="G41" t="e">
        <v>#REF!</v>
      </c>
      <c r="H41" t="e">
        <v>#REF!</v>
      </c>
      <c r="I41" t="e">
        <v>#REF!</v>
      </c>
      <c r="J41" t="e">
        <v>#REF!</v>
      </c>
      <c r="K41" t="e">
        <v>#REF!</v>
      </c>
      <c r="L41" t="e">
        <v>#REF!</v>
      </c>
      <c r="M41" t="e">
        <v>#REF!</v>
      </c>
      <c r="N41" t="e">
        <v>#REF!</v>
      </c>
      <c r="O41" t="e">
        <v>#REF!</v>
      </c>
      <c r="P41" t="e">
        <v>#REF!</v>
      </c>
      <c r="R41" t="e">
        <v>#REF!</v>
      </c>
      <c r="S41" t="e">
        <v>#REF!</v>
      </c>
      <c r="T41" t="e">
        <v>#REF!</v>
      </c>
      <c r="U41" t="e">
        <v>#REF!</v>
      </c>
      <c r="V41" t="e">
        <v>#REF!</v>
      </c>
      <c r="W41" t="e">
        <v>#REF!</v>
      </c>
      <c r="X41" t="e">
        <v>#REF!</v>
      </c>
      <c r="Y41" t="e">
        <v>#REF!</v>
      </c>
      <c r="Z41" t="e">
        <v>#REF!</v>
      </c>
      <c r="AA41" t="e">
        <v>#REF!</v>
      </c>
      <c r="AB41" t="e">
        <v>#REF!</v>
      </c>
      <c r="AC41" t="e">
        <v>#REF!</v>
      </c>
      <c r="AD41" t="e">
        <v>#REF!</v>
      </c>
      <c r="AE41" t="e">
        <v>#REF!</v>
      </c>
      <c r="AF41" t="e">
        <v>#REF!</v>
      </c>
      <c r="AG41" t="e">
        <v>#REF!</v>
      </c>
    </row>
    <row r="42" spans="1:33" x14ac:dyDescent="0.15">
      <c r="A42" t="e">
        <v>#REF!</v>
      </c>
      <c r="B42" t="e">
        <v>#REF!</v>
      </c>
      <c r="C42" t="e">
        <v>#REF!</v>
      </c>
      <c r="D42" t="e">
        <v>#REF!</v>
      </c>
      <c r="E42" t="e">
        <v>#REF!</v>
      </c>
      <c r="F42" t="e">
        <v>#REF!</v>
      </c>
      <c r="G42" t="e">
        <v>#REF!</v>
      </c>
      <c r="H42" t="e">
        <v>#REF!</v>
      </c>
      <c r="I42" t="e">
        <v>#REF!</v>
      </c>
      <c r="J42" t="e">
        <v>#REF!</v>
      </c>
      <c r="K42" t="e">
        <v>#REF!</v>
      </c>
      <c r="L42" t="e">
        <v>#REF!</v>
      </c>
      <c r="M42" t="e">
        <v>#REF!</v>
      </c>
      <c r="N42" t="e">
        <v>#REF!</v>
      </c>
      <c r="O42" t="e">
        <v>#REF!</v>
      </c>
      <c r="P42" t="e">
        <v>#REF!</v>
      </c>
      <c r="R42" t="e">
        <v>#REF!</v>
      </c>
      <c r="S42" t="e">
        <v>#REF!</v>
      </c>
      <c r="T42" t="e">
        <v>#REF!</v>
      </c>
      <c r="U42" t="e">
        <v>#REF!</v>
      </c>
      <c r="V42" t="e">
        <v>#REF!</v>
      </c>
      <c r="W42" t="e">
        <v>#REF!</v>
      </c>
      <c r="X42" t="e">
        <v>#REF!</v>
      </c>
      <c r="Y42" t="e">
        <v>#REF!</v>
      </c>
      <c r="Z42" t="e">
        <v>#REF!</v>
      </c>
      <c r="AA42" t="e">
        <v>#REF!</v>
      </c>
      <c r="AB42" t="e">
        <v>#REF!</v>
      </c>
      <c r="AC42" t="e">
        <v>#REF!</v>
      </c>
      <c r="AD42" t="e">
        <v>#REF!</v>
      </c>
      <c r="AE42" t="e">
        <v>#REF!</v>
      </c>
      <c r="AF42" t="e">
        <v>#REF!</v>
      </c>
      <c r="AG42" t="e">
        <v>#REF!</v>
      </c>
    </row>
    <row r="43" spans="1:33" x14ac:dyDescent="0.15">
      <c r="A43" t="e">
        <v>#REF!</v>
      </c>
      <c r="B43" t="e">
        <v>#REF!</v>
      </c>
      <c r="C43" t="e">
        <v>#REF!</v>
      </c>
      <c r="D43" t="e">
        <v>#REF!</v>
      </c>
      <c r="E43" t="e">
        <v>#REF!</v>
      </c>
      <c r="F43" t="e">
        <v>#REF!</v>
      </c>
      <c r="G43" t="e">
        <v>#REF!</v>
      </c>
      <c r="H43" t="e">
        <v>#REF!</v>
      </c>
      <c r="I43" t="e">
        <v>#REF!</v>
      </c>
      <c r="J43" t="e">
        <v>#REF!</v>
      </c>
      <c r="K43" t="e">
        <v>#REF!</v>
      </c>
      <c r="L43" t="e">
        <v>#REF!</v>
      </c>
      <c r="M43" t="e">
        <v>#REF!</v>
      </c>
      <c r="N43" t="e">
        <v>#REF!</v>
      </c>
      <c r="O43" t="e">
        <v>#REF!</v>
      </c>
      <c r="P43" t="e">
        <v>#REF!</v>
      </c>
      <c r="R43" t="e">
        <v>#REF!</v>
      </c>
      <c r="S43" t="e">
        <v>#REF!</v>
      </c>
      <c r="T43" t="e">
        <v>#REF!</v>
      </c>
      <c r="U43" t="e">
        <v>#REF!</v>
      </c>
      <c r="V43" t="e">
        <v>#REF!</v>
      </c>
      <c r="W43" t="e">
        <v>#REF!</v>
      </c>
      <c r="X43" t="e">
        <v>#REF!</v>
      </c>
      <c r="Y43" t="e">
        <v>#REF!</v>
      </c>
      <c r="Z43" t="e">
        <v>#REF!</v>
      </c>
      <c r="AA43" t="e">
        <v>#REF!</v>
      </c>
      <c r="AB43" t="e">
        <v>#REF!</v>
      </c>
      <c r="AC43" t="e">
        <v>#REF!</v>
      </c>
      <c r="AD43" t="e">
        <v>#REF!</v>
      </c>
      <c r="AE43" t="e">
        <v>#REF!</v>
      </c>
      <c r="AF43" t="e">
        <v>#REF!</v>
      </c>
      <c r="AG43" t="e">
        <v>#REF!</v>
      </c>
    </row>
    <row r="44" spans="1:33" x14ac:dyDescent="0.15">
      <c r="A44" t="e">
        <v>#REF!</v>
      </c>
      <c r="B44" t="e">
        <v>#REF!</v>
      </c>
      <c r="C44" t="e">
        <v>#REF!</v>
      </c>
      <c r="D44" t="e">
        <v>#REF!</v>
      </c>
      <c r="E44" t="e">
        <v>#REF!</v>
      </c>
      <c r="F44" t="e">
        <v>#REF!</v>
      </c>
      <c r="G44" t="e">
        <v>#REF!</v>
      </c>
      <c r="H44" t="e">
        <v>#REF!</v>
      </c>
      <c r="I44" t="e">
        <v>#REF!</v>
      </c>
      <c r="J44" t="e">
        <v>#REF!</v>
      </c>
      <c r="K44" t="e">
        <v>#REF!</v>
      </c>
      <c r="L44" t="e">
        <v>#REF!</v>
      </c>
      <c r="M44" t="e">
        <v>#REF!</v>
      </c>
      <c r="N44" t="e">
        <v>#REF!</v>
      </c>
      <c r="O44" t="e">
        <v>#REF!</v>
      </c>
      <c r="P44" t="e">
        <v>#REF!</v>
      </c>
      <c r="R44" t="e">
        <v>#REF!</v>
      </c>
      <c r="S44" t="e">
        <v>#REF!</v>
      </c>
      <c r="T44" t="e">
        <v>#REF!</v>
      </c>
      <c r="U44" t="e">
        <v>#REF!</v>
      </c>
      <c r="V44" t="e">
        <v>#REF!</v>
      </c>
      <c r="W44" t="e">
        <v>#REF!</v>
      </c>
      <c r="X44" t="e">
        <v>#REF!</v>
      </c>
      <c r="Y44" t="e">
        <v>#REF!</v>
      </c>
      <c r="Z44" t="e">
        <v>#REF!</v>
      </c>
      <c r="AA44" t="e">
        <v>#REF!</v>
      </c>
      <c r="AB44" t="e">
        <v>#REF!</v>
      </c>
      <c r="AC44" t="e">
        <v>#REF!</v>
      </c>
      <c r="AD44" t="e">
        <v>#REF!</v>
      </c>
      <c r="AE44" t="e">
        <v>#REF!</v>
      </c>
      <c r="AF44" t="e">
        <v>#REF!</v>
      </c>
      <c r="AG44" t="e">
        <v>#REF!</v>
      </c>
    </row>
    <row r="45" spans="1:33" x14ac:dyDescent="0.15">
      <c r="A45" t="e">
        <v>#REF!</v>
      </c>
      <c r="B45" t="e">
        <v>#REF!</v>
      </c>
      <c r="C45" t="e">
        <v>#REF!</v>
      </c>
      <c r="D45" t="e">
        <v>#REF!</v>
      </c>
      <c r="E45" t="e">
        <v>#REF!</v>
      </c>
      <c r="F45" t="e">
        <v>#REF!</v>
      </c>
      <c r="G45" t="e">
        <v>#REF!</v>
      </c>
      <c r="H45" t="e">
        <v>#REF!</v>
      </c>
      <c r="I45" t="e">
        <v>#REF!</v>
      </c>
      <c r="J45" t="e">
        <v>#REF!</v>
      </c>
      <c r="K45" t="e">
        <v>#REF!</v>
      </c>
      <c r="L45" t="e">
        <v>#REF!</v>
      </c>
      <c r="M45" t="e">
        <v>#REF!</v>
      </c>
      <c r="N45" t="e">
        <v>#REF!</v>
      </c>
      <c r="O45" t="e">
        <v>#REF!</v>
      </c>
      <c r="P45" t="e">
        <v>#REF!</v>
      </c>
      <c r="R45" t="e">
        <v>#REF!</v>
      </c>
      <c r="S45" t="e">
        <v>#REF!</v>
      </c>
      <c r="T45" t="e">
        <v>#REF!</v>
      </c>
      <c r="U45" t="e">
        <v>#REF!</v>
      </c>
      <c r="V45" t="e">
        <v>#REF!</v>
      </c>
      <c r="W45" t="e">
        <v>#REF!</v>
      </c>
      <c r="X45" t="e">
        <v>#REF!</v>
      </c>
      <c r="Y45" t="e">
        <v>#REF!</v>
      </c>
      <c r="Z45" t="e">
        <v>#REF!</v>
      </c>
      <c r="AA45" t="e">
        <v>#REF!</v>
      </c>
      <c r="AB45" t="e">
        <v>#REF!</v>
      </c>
      <c r="AC45" t="e">
        <v>#REF!</v>
      </c>
      <c r="AD45" t="e">
        <v>#REF!</v>
      </c>
      <c r="AE45" t="e">
        <v>#REF!</v>
      </c>
      <c r="AF45" t="e">
        <v>#REF!</v>
      </c>
      <c r="AG45" t="e">
        <v>#REF!</v>
      </c>
    </row>
    <row r="46" spans="1:33" x14ac:dyDescent="0.15">
      <c r="A46" t="e">
        <v>#REF!</v>
      </c>
      <c r="B46" t="e">
        <v>#REF!</v>
      </c>
      <c r="C46" t="e">
        <v>#REF!</v>
      </c>
      <c r="D46" t="e">
        <v>#REF!</v>
      </c>
      <c r="E46" t="e">
        <v>#REF!</v>
      </c>
      <c r="F46" t="e">
        <v>#REF!</v>
      </c>
      <c r="G46" t="e">
        <v>#REF!</v>
      </c>
      <c r="H46" t="e">
        <v>#REF!</v>
      </c>
      <c r="I46" t="e">
        <v>#REF!</v>
      </c>
      <c r="J46" t="e">
        <v>#REF!</v>
      </c>
      <c r="K46" t="e">
        <v>#REF!</v>
      </c>
      <c r="L46" t="e">
        <v>#REF!</v>
      </c>
      <c r="M46" t="e">
        <v>#REF!</v>
      </c>
      <c r="N46" t="e">
        <v>#REF!</v>
      </c>
      <c r="O46" t="e">
        <v>#REF!</v>
      </c>
      <c r="P46" t="e">
        <v>#REF!</v>
      </c>
      <c r="R46" t="e">
        <v>#REF!</v>
      </c>
      <c r="S46" t="e">
        <v>#REF!</v>
      </c>
      <c r="T46" t="e">
        <v>#REF!</v>
      </c>
      <c r="U46" t="e">
        <v>#REF!</v>
      </c>
      <c r="V46" t="e">
        <v>#REF!</v>
      </c>
      <c r="W46" t="e">
        <v>#REF!</v>
      </c>
      <c r="X46" t="e">
        <v>#REF!</v>
      </c>
      <c r="Y46" t="e">
        <v>#REF!</v>
      </c>
      <c r="Z46" t="e">
        <v>#REF!</v>
      </c>
      <c r="AA46" t="e">
        <v>#REF!</v>
      </c>
      <c r="AB46" t="e">
        <v>#REF!</v>
      </c>
      <c r="AC46" t="e">
        <v>#REF!</v>
      </c>
      <c r="AD46" t="e">
        <v>#REF!</v>
      </c>
      <c r="AE46" t="e">
        <v>#REF!</v>
      </c>
      <c r="AF46" t="e">
        <v>#REF!</v>
      </c>
      <c r="AG46" t="e">
        <v>#REF!</v>
      </c>
    </row>
    <row r="47" spans="1:33" x14ac:dyDescent="0.15">
      <c r="A47" t="e">
        <v>#REF!</v>
      </c>
      <c r="B47" t="e">
        <v>#REF!</v>
      </c>
      <c r="C47" t="e">
        <v>#REF!</v>
      </c>
      <c r="D47" t="e">
        <v>#REF!</v>
      </c>
      <c r="E47" t="e">
        <v>#REF!</v>
      </c>
      <c r="F47" t="e">
        <v>#REF!</v>
      </c>
      <c r="G47" t="e">
        <v>#REF!</v>
      </c>
      <c r="H47" t="e">
        <v>#REF!</v>
      </c>
      <c r="I47" t="e">
        <v>#REF!</v>
      </c>
      <c r="J47" t="e">
        <v>#REF!</v>
      </c>
      <c r="K47" t="e">
        <v>#REF!</v>
      </c>
      <c r="L47" t="e">
        <v>#REF!</v>
      </c>
      <c r="M47" t="e">
        <v>#REF!</v>
      </c>
      <c r="N47" t="e">
        <v>#REF!</v>
      </c>
      <c r="O47" t="e">
        <v>#REF!</v>
      </c>
      <c r="P47" t="e">
        <v>#REF!</v>
      </c>
      <c r="R47" t="e">
        <v>#REF!</v>
      </c>
      <c r="S47" t="e">
        <v>#REF!</v>
      </c>
      <c r="T47" t="e">
        <v>#REF!</v>
      </c>
      <c r="U47" t="e">
        <v>#REF!</v>
      </c>
      <c r="V47" t="e">
        <v>#REF!</v>
      </c>
      <c r="W47" t="e">
        <v>#REF!</v>
      </c>
      <c r="X47" t="e">
        <v>#REF!</v>
      </c>
      <c r="Y47" t="e">
        <v>#REF!</v>
      </c>
      <c r="Z47" t="e">
        <v>#REF!</v>
      </c>
      <c r="AA47" t="e">
        <v>#REF!</v>
      </c>
      <c r="AB47" t="e">
        <v>#REF!</v>
      </c>
      <c r="AC47" t="e">
        <v>#REF!</v>
      </c>
      <c r="AD47" t="e">
        <v>#REF!</v>
      </c>
      <c r="AE47" t="e">
        <v>#REF!</v>
      </c>
      <c r="AF47" t="e">
        <v>#REF!</v>
      </c>
      <c r="AG47" t="e">
        <v>#REF!</v>
      </c>
    </row>
    <row r="48" spans="1:33" x14ac:dyDescent="0.15">
      <c r="A48" t="e">
        <v>#REF!</v>
      </c>
      <c r="B48" t="e">
        <v>#REF!</v>
      </c>
      <c r="C48" t="e">
        <v>#REF!</v>
      </c>
      <c r="D48" t="e">
        <v>#REF!</v>
      </c>
      <c r="E48" t="e">
        <v>#REF!</v>
      </c>
      <c r="F48" t="e">
        <v>#REF!</v>
      </c>
      <c r="G48" t="e">
        <v>#REF!</v>
      </c>
      <c r="H48" t="e">
        <v>#REF!</v>
      </c>
      <c r="I48" t="e">
        <v>#REF!</v>
      </c>
      <c r="J48" t="e">
        <v>#REF!</v>
      </c>
      <c r="K48" t="e">
        <v>#REF!</v>
      </c>
      <c r="L48" t="e">
        <v>#REF!</v>
      </c>
      <c r="M48" t="e">
        <v>#REF!</v>
      </c>
      <c r="N48" t="e">
        <v>#REF!</v>
      </c>
      <c r="O48" t="e">
        <v>#REF!</v>
      </c>
      <c r="P48" t="e">
        <v>#REF!</v>
      </c>
      <c r="R48" t="e">
        <v>#REF!</v>
      </c>
      <c r="S48" t="e">
        <v>#REF!</v>
      </c>
      <c r="T48" t="e">
        <v>#REF!</v>
      </c>
      <c r="U48" t="e">
        <v>#REF!</v>
      </c>
      <c r="V48" t="e">
        <v>#REF!</v>
      </c>
      <c r="W48" t="e">
        <v>#REF!</v>
      </c>
      <c r="X48" t="e">
        <v>#REF!</v>
      </c>
      <c r="Y48" t="e">
        <v>#REF!</v>
      </c>
      <c r="Z48" t="e">
        <v>#REF!</v>
      </c>
      <c r="AA48" t="e">
        <v>#REF!</v>
      </c>
      <c r="AB48" t="e">
        <v>#REF!</v>
      </c>
      <c r="AC48" t="e">
        <v>#REF!</v>
      </c>
      <c r="AD48" t="e">
        <v>#REF!</v>
      </c>
      <c r="AE48" t="e">
        <v>#REF!</v>
      </c>
      <c r="AF48" t="e">
        <v>#REF!</v>
      </c>
      <c r="AG48" t="e">
        <v>#REF!</v>
      </c>
    </row>
    <row r="49" spans="1:33" x14ac:dyDescent="0.15">
      <c r="A49" t="e">
        <v>#REF!</v>
      </c>
      <c r="B49" t="e">
        <v>#REF!</v>
      </c>
      <c r="C49" t="e">
        <v>#REF!</v>
      </c>
      <c r="D49" t="e">
        <v>#REF!</v>
      </c>
      <c r="E49" t="e">
        <v>#REF!</v>
      </c>
      <c r="F49" t="e">
        <v>#REF!</v>
      </c>
      <c r="G49" t="e">
        <v>#REF!</v>
      </c>
      <c r="H49" t="e">
        <v>#REF!</v>
      </c>
      <c r="I49" t="e">
        <v>#REF!</v>
      </c>
      <c r="J49" t="e">
        <v>#REF!</v>
      </c>
      <c r="K49" t="e">
        <v>#REF!</v>
      </c>
      <c r="L49" t="e">
        <v>#REF!</v>
      </c>
      <c r="M49" t="e">
        <v>#REF!</v>
      </c>
      <c r="N49" t="e">
        <v>#REF!</v>
      </c>
      <c r="O49" t="e">
        <v>#REF!</v>
      </c>
      <c r="P49" t="e">
        <v>#REF!</v>
      </c>
      <c r="R49" t="e">
        <v>#REF!</v>
      </c>
      <c r="S49" t="e">
        <v>#REF!</v>
      </c>
      <c r="T49" t="e">
        <v>#REF!</v>
      </c>
      <c r="U49" t="e">
        <v>#REF!</v>
      </c>
      <c r="V49" t="e">
        <v>#REF!</v>
      </c>
      <c r="W49" t="e">
        <v>#REF!</v>
      </c>
      <c r="X49" t="e">
        <v>#REF!</v>
      </c>
      <c r="Y49" t="e">
        <v>#REF!</v>
      </c>
      <c r="Z49" t="e">
        <v>#REF!</v>
      </c>
      <c r="AA49" t="e">
        <v>#REF!</v>
      </c>
      <c r="AB49" t="e">
        <v>#REF!</v>
      </c>
      <c r="AC49" t="e">
        <v>#REF!</v>
      </c>
      <c r="AD49" t="e">
        <v>#REF!</v>
      </c>
      <c r="AE49" t="e">
        <v>#REF!</v>
      </c>
      <c r="AF49" t="e">
        <v>#REF!</v>
      </c>
      <c r="AG49" t="e">
        <v>#REF!</v>
      </c>
    </row>
    <row r="50" spans="1:33" x14ac:dyDescent="0.15">
      <c r="A50" t="e">
        <v>#REF!</v>
      </c>
      <c r="B50" t="e">
        <v>#REF!</v>
      </c>
      <c r="C50" t="e">
        <v>#REF!</v>
      </c>
      <c r="D50" t="e">
        <v>#REF!</v>
      </c>
      <c r="E50" t="e">
        <v>#REF!</v>
      </c>
      <c r="F50" t="e">
        <v>#REF!</v>
      </c>
      <c r="G50" t="e">
        <v>#REF!</v>
      </c>
      <c r="H50" t="e">
        <v>#REF!</v>
      </c>
      <c r="I50" t="e">
        <v>#REF!</v>
      </c>
      <c r="J50" t="e">
        <v>#REF!</v>
      </c>
      <c r="K50" t="e">
        <v>#REF!</v>
      </c>
      <c r="L50" t="e">
        <v>#REF!</v>
      </c>
      <c r="M50" t="e">
        <v>#REF!</v>
      </c>
      <c r="N50" t="e">
        <v>#REF!</v>
      </c>
      <c r="O50" t="e">
        <v>#REF!</v>
      </c>
      <c r="P50" t="e">
        <v>#REF!</v>
      </c>
      <c r="R50" t="e">
        <v>#REF!</v>
      </c>
      <c r="S50" t="e">
        <v>#REF!</v>
      </c>
      <c r="T50" t="e">
        <v>#REF!</v>
      </c>
      <c r="U50" t="e">
        <v>#REF!</v>
      </c>
      <c r="V50" t="e">
        <v>#REF!</v>
      </c>
      <c r="W50" t="e">
        <v>#REF!</v>
      </c>
      <c r="X50" t="e">
        <v>#REF!</v>
      </c>
      <c r="Y50" t="e">
        <v>#REF!</v>
      </c>
      <c r="Z50" t="e">
        <v>#REF!</v>
      </c>
      <c r="AA50" t="e">
        <v>#REF!</v>
      </c>
      <c r="AB50" t="e">
        <v>#REF!</v>
      </c>
      <c r="AC50" t="e">
        <v>#REF!</v>
      </c>
      <c r="AD50" t="e">
        <v>#REF!</v>
      </c>
      <c r="AE50" t="e">
        <v>#REF!</v>
      </c>
      <c r="AF50" t="e">
        <v>#REF!</v>
      </c>
      <c r="AG50" t="e">
        <v>#REF!</v>
      </c>
    </row>
    <row r="51" spans="1:33" x14ac:dyDescent="0.15">
      <c r="A51" t="e">
        <v>#REF!</v>
      </c>
      <c r="B51" t="e">
        <v>#REF!</v>
      </c>
      <c r="C51" t="e">
        <v>#REF!</v>
      </c>
      <c r="D51" t="e">
        <v>#REF!</v>
      </c>
      <c r="E51" t="e">
        <v>#REF!</v>
      </c>
      <c r="F51" t="e">
        <v>#REF!</v>
      </c>
      <c r="G51" t="e">
        <v>#REF!</v>
      </c>
      <c r="H51" t="e">
        <v>#REF!</v>
      </c>
      <c r="I51" t="e">
        <v>#REF!</v>
      </c>
      <c r="J51" t="e">
        <v>#REF!</v>
      </c>
      <c r="K51" t="e">
        <v>#REF!</v>
      </c>
      <c r="L51" t="e">
        <v>#REF!</v>
      </c>
      <c r="M51" t="e">
        <v>#REF!</v>
      </c>
      <c r="N51" t="e">
        <v>#REF!</v>
      </c>
      <c r="O51" t="e">
        <v>#REF!</v>
      </c>
      <c r="P51" t="e">
        <v>#REF!</v>
      </c>
      <c r="R51" t="e">
        <v>#REF!</v>
      </c>
      <c r="S51" t="e">
        <v>#REF!</v>
      </c>
      <c r="T51" t="e">
        <v>#REF!</v>
      </c>
      <c r="U51" t="e">
        <v>#REF!</v>
      </c>
      <c r="V51" t="e">
        <v>#REF!</v>
      </c>
      <c r="W51" t="e">
        <v>#REF!</v>
      </c>
      <c r="X51" t="e">
        <v>#REF!</v>
      </c>
      <c r="Y51" t="e">
        <v>#REF!</v>
      </c>
      <c r="Z51" t="e">
        <v>#REF!</v>
      </c>
      <c r="AA51" t="e">
        <v>#REF!</v>
      </c>
      <c r="AB51" t="e">
        <v>#REF!</v>
      </c>
      <c r="AC51" t="e">
        <v>#REF!</v>
      </c>
      <c r="AD51" t="e">
        <v>#REF!</v>
      </c>
      <c r="AE51" t="e">
        <v>#REF!</v>
      </c>
      <c r="AF51" t="e">
        <v>#REF!</v>
      </c>
      <c r="AG51" t="e">
        <v>#REF!</v>
      </c>
    </row>
    <row r="52" spans="1:33" x14ac:dyDescent="0.15">
      <c r="A52" t="e">
        <v>#REF!</v>
      </c>
      <c r="B52" t="e">
        <v>#REF!</v>
      </c>
      <c r="C52" t="e">
        <v>#REF!</v>
      </c>
      <c r="D52" t="e">
        <v>#REF!</v>
      </c>
      <c r="E52" t="e">
        <v>#REF!</v>
      </c>
      <c r="F52" t="e">
        <v>#REF!</v>
      </c>
      <c r="G52" t="e">
        <v>#REF!</v>
      </c>
      <c r="H52" t="e">
        <v>#REF!</v>
      </c>
      <c r="I52" t="e">
        <v>#REF!</v>
      </c>
      <c r="J52" t="e">
        <v>#REF!</v>
      </c>
      <c r="K52" t="e">
        <v>#REF!</v>
      </c>
      <c r="L52" t="e">
        <v>#REF!</v>
      </c>
      <c r="M52" t="e">
        <v>#REF!</v>
      </c>
      <c r="N52" t="e">
        <v>#REF!</v>
      </c>
      <c r="O52" t="e">
        <v>#REF!</v>
      </c>
      <c r="P52" t="e">
        <v>#REF!</v>
      </c>
      <c r="R52" t="e">
        <v>#REF!</v>
      </c>
      <c r="S52" t="e">
        <v>#REF!</v>
      </c>
      <c r="T52" t="e">
        <v>#REF!</v>
      </c>
      <c r="U52" t="e">
        <v>#REF!</v>
      </c>
      <c r="V52" t="e">
        <v>#REF!</v>
      </c>
      <c r="W52" t="e">
        <v>#REF!</v>
      </c>
      <c r="X52" t="e">
        <v>#REF!</v>
      </c>
      <c r="Y52" t="e">
        <v>#REF!</v>
      </c>
      <c r="Z52" t="e">
        <v>#REF!</v>
      </c>
      <c r="AA52" t="e">
        <v>#REF!</v>
      </c>
      <c r="AB52" t="e">
        <v>#REF!</v>
      </c>
      <c r="AC52" t="e">
        <v>#REF!</v>
      </c>
      <c r="AD52" t="e">
        <v>#REF!</v>
      </c>
      <c r="AE52" t="e">
        <v>#REF!</v>
      </c>
      <c r="AF52" t="e">
        <v>#REF!</v>
      </c>
      <c r="AG52" t="e">
        <v>#REF!</v>
      </c>
    </row>
    <row r="53" spans="1:33" x14ac:dyDescent="0.15">
      <c r="A53" t="e">
        <v>#REF!</v>
      </c>
      <c r="B53" t="e">
        <v>#REF!</v>
      </c>
      <c r="C53" t="e">
        <v>#REF!</v>
      </c>
      <c r="D53" t="e">
        <v>#REF!</v>
      </c>
      <c r="E53" t="e">
        <v>#REF!</v>
      </c>
      <c r="F53" t="e">
        <v>#REF!</v>
      </c>
      <c r="G53" t="e">
        <v>#REF!</v>
      </c>
      <c r="H53" t="e">
        <v>#REF!</v>
      </c>
      <c r="I53" t="e">
        <v>#REF!</v>
      </c>
      <c r="J53" t="e">
        <v>#REF!</v>
      </c>
      <c r="K53" t="e">
        <v>#REF!</v>
      </c>
      <c r="L53" t="e">
        <v>#REF!</v>
      </c>
      <c r="M53" t="e">
        <v>#REF!</v>
      </c>
      <c r="N53" t="e">
        <v>#REF!</v>
      </c>
      <c r="O53" t="e">
        <v>#REF!</v>
      </c>
      <c r="P53" t="e">
        <v>#REF!</v>
      </c>
      <c r="R53" t="e">
        <v>#REF!</v>
      </c>
      <c r="S53" t="e">
        <v>#REF!</v>
      </c>
      <c r="T53" t="e">
        <v>#REF!</v>
      </c>
      <c r="U53" t="e">
        <v>#REF!</v>
      </c>
      <c r="V53" t="e">
        <v>#REF!</v>
      </c>
      <c r="W53" t="e">
        <v>#REF!</v>
      </c>
      <c r="X53" t="e">
        <v>#REF!</v>
      </c>
      <c r="Y53" t="e">
        <v>#REF!</v>
      </c>
      <c r="Z53" t="e">
        <v>#REF!</v>
      </c>
      <c r="AA53" t="e">
        <v>#REF!</v>
      </c>
      <c r="AB53" t="e">
        <v>#REF!</v>
      </c>
      <c r="AC53" t="e">
        <v>#REF!</v>
      </c>
      <c r="AD53" t="e">
        <v>#REF!</v>
      </c>
      <c r="AE53" t="e">
        <v>#REF!</v>
      </c>
      <c r="AF53" t="e">
        <v>#REF!</v>
      </c>
      <c r="AG53" t="e">
        <v>#REF!</v>
      </c>
    </row>
    <row r="54" spans="1:33" x14ac:dyDescent="0.15">
      <c r="A54" t="e">
        <v>#REF!</v>
      </c>
      <c r="B54" t="e">
        <v>#REF!</v>
      </c>
      <c r="C54" t="e">
        <v>#REF!</v>
      </c>
      <c r="D54" t="e">
        <v>#REF!</v>
      </c>
      <c r="E54" t="e">
        <v>#REF!</v>
      </c>
      <c r="F54" t="e">
        <v>#REF!</v>
      </c>
      <c r="G54" t="e">
        <v>#REF!</v>
      </c>
      <c r="H54" t="e">
        <v>#REF!</v>
      </c>
      <c r="I54" t="e">
        <v>#REF!</v>
      </c>
      <c r="J54" t="e">
        <v>#REF!</v>
      </c>
      <c r="K54" t="e">
        <v>#REF!</v>
      </c>
      <c r="L54" t="e">
        <v>#REF!</v>
      </c>
      <c r="M54" t="e">
        <v>#REF!</v>
      </c>
      <c r="N54" t="e">
        <v>#REF!</v>
      </c>
      <c r="O54" t="e">
        <v>#REF!</v>
      </c>
      <c r="P54" t="e">
        <v>#REF!</v>
      </c>
      <c r="R54" t="e">
        <v>#REF!</v>
      </c>
      <c r="S54" t="e">
        <v>#REF!</v>
      </c>
      <c r="T54" t="e">
        <v>#REF!</v>
      </c>
      <c r="U54" t="e">
        <v>#REF!</v>
      </c>
      <c r="V54" t="e">
        <v>#REF!</v>
      </c>
      <c r="W54" t="e">
        <v>#REF!</v>
      </c>
      <c r="X54" t="e">
        <v>#REF!</v>
      </c>
      <c r="Y54" t="e">
        <v>#REF!</v>
      </c>
      <c r="Z54" t="e">
        <v>#REF!</v>
      </c>
      <c r="AA54" t="e">
        <v>#REF!</v>
      </c>
      <c r="AB54" t="e">
        <v>#REF!</v>
      </c>
      <c r="AC54" t="e">
        <v>#REF!</v>
      </c>
      <c r="AD54" t="e">
        <v>#REF!</v>
      </c>
      <c r="AE54" t="e">
        <v>#REF!</v>
      </c>
      <c r="AF54" t="e">
        <v>#REF!</v>
      </c>
      <c r="AG54" t="e">
        <v>#REF!</v>
      </c>
    </row>
    <row r="55" spans="1:33" x14ac:dyDescent="0.15">
      <c r="A55" t="e">
        <v>#REF!</v>
      </c>
      <c r="B55" t="e">
        <v>#REF!</v>
      </c>
      <c r="C55" t="e">
        <v>#REF!</v>
      </c>
      <c r="D55" t="e">
        <v>#REF!</v>
      </c>
      <c r="E55" t="e">
        <v>#REF!</v>
      </c>
      <c r="F55" t="e">
        <v>#REF!</v>
      </c>
      <c r="G55" t="e">
        <v>#REF!</v>
      </c>
      <c r="H55" t="e">
        <v>#REF!</v>
      </c>
      <c r="I55" t="e">
        <v>#REF!</v>
      </c>
      <c r="J55" t="e">
        <v>#REF!</v>
      </c>
      <c r="K55" t="e">
        <v>#REF!</v>
      </c>
      <c r="L55" t="e">
        <v>#REF!</v>
      </c>
      <c r="M55" t="e">
        <v>#REF!</v>
      </c>
      <c r="N55" t="e">
        <v>#REF!</v>
      </c>
      <c r="O55" t="e">
        <v>#REF!</v>
      </c>
      <c r="P55" t="e">
        <v>#REF!</v>
      </c>
      <c r="R55" t="e">
        <v>#REF!</v>
      </c>
      <c r="S55" t="e">
        <v>#REF!</v>
      </c>
      <c r="T55" t="e">
        <v>#REF!</v>
      </c>
      <c r="U55" t="e">
        <v>#REF!</v>
      </c>
      <c r="V55" t="e">
        <v>#REF!</v>
      </c>
      <c r="W55" t="e">
        <v>#REF!</v>
      </c>
      <c r="X55" t="e">
        <v>#REF!</v>
      </c>
      <c r="Y55" t="e">
        <v>#REF!</v>
      </c>
      <c r="Z55" t="e">
        <v>#REF!</v>
      </c>
      <c r="AA55" t="e">
        <v>#REF!</v>
      </c>
      <c r="AB55" t="e">
        <v>#REF!</v>
      </c>
      <c r="AC55" t="e">
        <v>#REF!</v>
      </c>
      <c r="AD55" t="e">
        <v>#REF!</v>
      </c>
      <c r="AE55" t="e">
        <v>#REF!</v>
      </c>
      <c r="AF55" t="e">
        <v>#REF!</v>
      </c>
      <c r="AG55" t="e">
        <v>#REF!</v>
      </c>
    </row>
    <row r="56" spans="1:33" x14ac:dyDescent="0.15">
      <c r="A56">
        <v>2012</v>
      </c>
      <c r="B56" t="e">
        <v>#REF!</v>
      </c>
      <c r="C56" t="e">
        <v>#REF!</v>
      </c>
      <c r="D56" t="e">
        <v>#REF!</v>
      </c>
      <c r="E56" t="e">
        <v>#REF!</v>
      </c>
      <c r="F56" t="e">
        <v>#REF!</v>
      </c>
      <c r="G56" t="e">
        <v>#REF!</v>
      </c>
      <c r="H56" t="e">
        <v>#REF!</v>
      </c>
      <c r="I56" t="e">
        <v>#REF!</v>
      </c>
      <c r="J56" t="e">
        <v>#REF!</v>
      </c>
      <c r="K56" t="e">
        <v>#REF!</v>
      </c>
      <c r="L56" t="e">
        <v>#REF!</v>
      </c>
      <c r="M56" t="e">
        <v>#REF!</v>
      </c>
      <c r="N56" t="e">
        <v>#REF!</v>
      </c>
      <c r="O56" t="e">
        <v>#REF!</v>
      </c>
      <c r="P56" t="e">
        <v>#REF!</v>
      </c>
      <c r="R56" t="e">
        <v>#REF!</v>
      </c>
      <c r="S56" t="e">
        <v>#REF!</v>
      </c>
      <c r="T56" t="e">
        <v>#REF!</v>
      </c>
      <c r="U56" t="e">
        <v>#REF!</v>
      </c>
      <c r="V56" t="e">
        <v>#REF!</v>
      </c>
      <c r="W56" t="e">
        <v>#REF!</v>
      </c>
      <c r="X56" t="e">
        <v>#REF!</v>
      </c>
      <c r="Y56" t="e">
        <v>#REF!</v>
      </c>
      <c r="Z56" t="e">
        <v>#REF!</v>
      </c>
      <c r="AA56" t="e">
        <v>#REF!</v>
      </c>
      <c r="AB56" t="e">
        <v>#REF!</v>
      </c>
      <c r="AC56" t="e">
        <v>#REF!</v>
      </c>
      <c r="AD56" t="e">
        <v>#REF!</v>
      </c>
      <c r="AE56" t="e">
        <v>#REF!</v>
      </c>
      <c r="AF56" t="e">
        <v>#REF!</v>
      </c>
      <c r="AG56" t="e">
        <v>#REF!</v>
      </c>
    </row>
    <row r="57" spans="1:33" x14ac:dyDescent="0.15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</row>
    <row r="58" spans="1:33" x14ac:dyDescent="0.15">
      <c r="A58" t="e">
        <f t="shared" ref="A58:B87" si="7">A26</f>
        <v>#REF!</v>
      </c>
      <c r="B58" s="27" t="e">
        <f t="shared" si="7"/>
        <v>#REF!</v>
      </c>
      <c r="C58" s="27" t="e">
        <f>C26+B58</f>
        <v>#REF!</v>
      </c>
      <c r="D58" s="27" t="e">
        <f t="shared" ref="D58:P58" si="8">D26+C58</f>
        <v>#REF!</v>
      </c>
      <c r="E58" s="27" t="e">
        <f t="shared" si="8"/>
        <v>#REF!</v>
      </c>
      <c r="F58" s="27" t="e">
        <f t="shared" si="8"/>
        <v>#REF!</v>
      </c>
      <c r="G58" s="27" t="e">
        <f t="shared" si="8"/>
        <v>#REF!</v>
      </c>
      <c r="H58" s="27" t="e">
        <f t="shared" si="8"/>
        <v>#REF!</v>
      </c>
      <c r="I58" s="27" t="e">
        <f t="shared" si="8"/>
        <v>#REF!</v>
      </c>
      <c r="J58" s="27" t="e">
        <f t="shared" si="8"/>
        <v>#REF!</v>
      </c>
      <c r="K58" s="27" t="e">
        <f t="shared" si="8"/>
        <v>#REF!</v>
      </c>
      <c r="L58" s="27" t="e">
        <f t="shared" si="8"/>
        <v>#REF!</v>
      </c>
      <c r="M58" s="27" t="e">
        <f t="shared" si="8"/>
        <v>#REF!</v>
      </c>
      <c r="N58" s="27" t="e">
        <f t="shared" si="8"/>
        <v>#REF!</v>
      </c>
      <c r="O58" s="27" t="e">
        <f t="shared" si="8"/>
        <v>#REF!</v>
      </c>
      <c r="P58" s="27" t="e">
        <f t="shared" si="8"/>
        <v>#REF!</v>
      </c>
    </row>
    <row r="59" spans="1:33" x14ac:dyDescent="0.15">
      <c r="A59" t="e">
        <f t="shared" si="7"/>
        <v>#REF!</v>
      </c>
      <c r="B59" s="27" t="e">
        <f t="shared" si="7"/>
        <v>#REF!</v>
      </c>
      <c r="C59" s="27" t="e">
        <f t="shared" ref="C59:P59" si="9">C27+B59</f>
        <v>#REF!</v>
      </c>
      <c r="D59" s="27" t="e">
        <f t="shared" si="9"/>
        <v>#REF!</v>
      </c>
      <c r="E59" s="27" t="e">
        <f t="shared" si="9"/>
        <v>#REF!</v>
      </c>
      <c r="F59" s="27" t="e">
        <f t="shared" si="9"/>
        <v>#REF!</v>
      </c>
      <c r="G59" s="27" t="e">
        <f t="shared" si="9"/>
        <v>#REF!</v>
      </c>
      <c r="H59" s="27" t="e">
        <f t="shared" si="9"/>
        <v>#REF!</v>
      </c>
      <c r="I59" s="27" t="e">
        <f t="shared" si="9"/>
        <v>#REF!</v>
      </c>
      <c r="J59" s="27" t="e">
        <f t="shared" si="9"/>
        <v>#REF!</v>
      </c>
      <c r="K59" s="27" t="e">
        <f t="shared" si="9"/>
        <v>#REF!</v>
      </c>
      <c r="L59" s="27" t="e">
        <f t="shared" si="9"/>
        <v>#REF!</v>
      </c>
      <c r="M59" s="27" t="e">
        <f t="shared" si="9"/>
        <v>#REF!</v>
      </c>
      <c r="N59" s="27" t="e">
        <f t="shared" si="9"/>
        <v>#REF!</v>
      </c>
      <c r="O59" s="27" t="e">
        <f t="shared" si="9"/>
        <v>#REF!</v>
      </c>
      <c r="P59" s="27" t="e">
        <f t="shared" si="9"/>
        <v>#REF!</v>
      </c>
    </row>
    <row r="60" spans="1:33" x14ac:dyDescent="0.15">
      <c r="A60" t="e">
        <f t="shared" si="7"/>
        <v>#REF!</v>
      </c>
      <c r="B60" s="27" t="e">
        <f t="shared" si="7"/>
        <v>#REF!</v>
      </c>
      <c r="C60" s="27" t="e">
        <f t="shared" ref="C60:P60" si="10">C28+B60</f>
        <v>#REF!</v>
      </c>
      <c r="D60" s="27" t="e">
        <f t="shared" si="10"/>
        <v>#REF!</v>
      </c>
      <c r="E60" s="27" t="e">
        <f t="shared" si="10"/>
        <v>#REF!</v>
      </c>
      <c r="F60" s="27" t="e">
        <f t="shared" si="10"/>
        <v>#REF!</v>
      </c>
      <c r="G60" s="27" t="e">
        <f t="shared" si="10"/>
        <v>#REF!</v>
      </c>
      <c r="H60" s="27" t="e">
        <f t="shared" si="10"/>
        <v>#REF!</v>
      </c>
      <c r="I60" s="27" t="e">
        <f t="shared" si="10"/>
        <v>#REF!</v>
      </c>
      <c r="J60" s="27" t="e">
        <f t="shared" si="10"/>
        <v>#REF!</v>
      </c>
      <c r="K60" s="27" t="e">
        <f t="shared" si="10"/>
        <v>#REF!</v>
      </c>
      <c r="L60" s="27" t="e">
        <f t="shared" si="10"/>
        <v>#REF!</v>
      </c>
      <c r="M60" s="27" t="e">
        <f t="shared" si="10"/>
        <v>#REF!</v>
      </c>
      <c r="N60" s="27" t="e">
        <f t="shared" si="10"/>
        <v>#REF!</v>
      </c>
      <c r="O60" s="27" t="e">
        <f t="shared" si="10"/>
        <v>#REF!</v>
      </c>
      <c r="P60" s="27" t="e">
        <f t="shared" si="10"/>
        <v>#REF!</v>
      </c>
    </row>
    <row r="61" spans="1:33" x14ac:dyDescent="0.15">
      <c r="A61" t="e">
        <f t="shared" si="7"/>
        <v>#REF!</v>
      </c>
      <c r="B61" s="27" t="e">
        <f t="shared" si="7"/>
        <v>#REF!</v>
      </c>
      <c r="C61" s="27" t="e">
        <f t="shared" ref="C61:P61" si="11">C29+B61</f>
        <v>#REF!</v>
      </c>
      <c r="D61" s="27" t="e">
        <f t="shared" si="11"/>
        <v>#REF!</v>
      </c>
      <c r="E61" s="27" t="e">
        <f t="shared" si="11"/>
        <v>#REF!</v>
      </c>
      <c r="F61" s="27" t="e">
        <f t="shared" si="11"/>
        <v>#REF!</v>
      </c>
      <c r="G61" s="27" t="e">
        <f t="shared" si="11"/>
        <v>#REF!</v>
      </c>
      <c r="H61" s="27" t="e">
        <f t="shared" si="11"/>
        <v>#REF!</v>
      </c>
      <c r="I61" s="27" t="e">
        <f t="shared" si="11"/>
        <v>#REF!</v>
      </c>
      <c r="J61" s="27" t="e">
        <f t="shared" si="11"/>
        <v>#REF!</v>
      </c>
      <c r="K61" s="27" t="e">
        <f t="shared" si="11"/>
        <v>#REF!</v>
      </c>
      <c r="L61" s="27" t="e">
        <f t="shared" si="11"/>
        <v>#REF!</v>
      </c>
      <c r="M61" s="27" t="e">
        <f t="shared" si="11"/>
        <v>#REF!</v>
      </c>
      <c r="N61" s="27" t="e">
        <f t="shared" si="11"/>
        <v>#REF!</v>
      </c>
      <c r="O61" s="27" t="e">
        <f t="shared" si="11"/>
        <v>#REF!</v>
      </c>
      <c r="P61" s="27" t="e">
        <f t="shared" si="11"/>
        <v>#REF!</v>
      </c>
    </row>
    <row r="62" spans="1:33" x14ac:dyDescent="0.15">
      <c r="A62" t="e">
        <f t="shared" si="7"/>
        <v>#REF!</v>
      </c>
      <c r="B62" s="27" t="e">
        <f t="shared" si="7"/>
        <v>#REF!</v>
      </c>
      <c r="C62" s="27" t="e">
        <f t="shared" ref="C62:P62" si="12">C30+B62</f>
        <v>#REF!</v>
      </c>
      <c r="D62" s="27" t="e">
        <f t="shared" si="12"/>
        <v>#REF!</v>
      </c>
      <c r="E62" s="27" t="e">
        <f t="shared" si="12"/>
        <v>#REF!</v>
      </c>
      <c r="F62" s="27" t="e">
        <f t="shared" si="12"/>
        <v>#REF!</v>
      </c>
      <c r="G62" s="27" t="e">
        <f t="shared" si="12"/>
        <v>#REF!</v>
      </c>
      <c r="H62" s="27" t="e">
        <f t="shared" si="12"/>
        <v>#REF!</v>
      </c>
      <c r="I62" s="27" t="e">
        <f t="shared" si="12"/>
        <v>#REF!</v>
      </c>
      <c r="J62" s="27" t="e">
        <f t="shared" si="12"/>
        <v>#REF!</v>
      </c>
      <c r="K62" s="27" t="e">
        <f t="shared" si="12"/>
        <v>#REF!</v>
      </c>
      <c r="L62" s="27" t="e">
        <f t="shared" si="12"/>
        <v>#REF!</v>
      </c>
      <c r="M62" s="27" t="e">
        <f t="shared" si="12"/>
        <v>#REF!</v>
      </c>
      <c r="N62" s="27" t="e">
        <f t="shared" si="12"/>
        <v>#REF!</v>
      </c>
      <c r="O62" s="27" t="e">
        <f t="shared" si="12"/>
        <v>#REF!</v>
      </c>
      <c r="P62" s="27" t="e">
        <f t="shared" si="12"/>
        <v>#REF!</v>
      </c>
    </row>
    <row r="63" spans="1:33" x14ac:dyDescent="0.15">
      <c r="A63" t="e">
        <f t="shared" si="7"/>
        <v>#REF!</v>
      </c>
      <c r="B63" s="27" t="e">
        <f t="shared" si="7"/>
        <v>#REF!</v>
      </c>
      <c r="C63" s="27" t="e">
        <f t="shared" ref="C63:P63" si="13">C31+B63</f>
        <v>#REF!</v>
      </c>
      <c r="D63" s="27" t="e">
        <f t="shared" si="13"/>
        <v>#REF!</v>
      </c>
      <c r="E63" s="27" t="e">
        <f t="shared" si="13"/>
        <v>#REF!</v>
      </c>
      <c r="F63" s="27" t="e">
        <f t="shared" si="13"/>
        <v>#REF!</v>
      </c>
      <c r="G63" s="27" t="e">
        <f t="shared" si="13"/>
        <v>#REF!</v>
      </c>
      <c r="H63" s="27" t="e">
        <f t="shared" si="13"/>
        <v>#REF!</v>
      </c>
      <c r="I63" s="27" t="e">
        <f t="shared" si="13"/>
        <v>#REF!</v>
      </c>
      <c r="J63" s="27" t="e">
        <f t="shared" si="13"/>
        <v>#REF!</v>
      </c>
      <c r="K63" s="27" t="e">
        <f t="shared" si="13"/>
        <v>#REF!</v>
      </c>
      <c r="L63" s="27" t="e">
        <f t="shared" si="13"/>
        <v>#REF!</v>
      </c>
      <c r="M63" s="27" t="e">
        <f t="shared" si="13"/>
        <v>#REF!</v>
      </c>
      <c r="N63" s="27" t="e">
        <f t="shared" si="13"/>
        <v>#REF!</v>
      </c>
      <c r="O63" s="27" t="e">
        <f t="shared" si="13"/>
        <v>#REF!</v>
      </c>
      <c r="P63" s="27" t="e">
        <f t="shared" si="13"/>
        <v>#REF!</v>
      </c>
    </row>
    <row r="64" spans="1:33" x14ac:dyDescent="0.15">
      <c r="A64" t="e">
        <f t="shared" si="7"/>
        <v>#REF!</v>
      </c>
      <c r="B64" s="27" t="e">
        <f t="shared" si="7"/>
        <v>#REF!</v>
      </c>
      <c r="C64" s="27" t="e">
        <f t="shared" ref="C64:P64" si="14">C32+B64</f>
        <v>#REF!</v>
      </c>
      <c r="D64" s="27" t="e">
        <f t="shared" si="14"/>
        <v>#REF!</v>
      </c>
      <c r="E64" s="27" t="e">
        <f t="shared" si="14"/>
        <v>#REF!</v>
      </c>
      <c r="F64" s="27" t="e">
        <f t="shared" si="14"/>
        <v>#REF!</v>
      </c>
      <c r="G64" s="27" t="e">
        <f t="shared" si="14"/>
        <v>#REF!</v>
      </c>
      <c r="H64" s="27" t="e">
        <f t="shared" si="14"/>
        <v>#REF!</v>
      </c>
      <c r="I64" s="27" t="e">
        <f t="shared" si="14"/>
        <v>#REF!</v>
      </c>
      <c r="J64" s="27" t="e">
        <f t="shared" si="14"/>
        <v>#REF!</v>
      </c>
      <c r="K64" s="27" t="e">
        <f t="shared" si="14"/>
        <v>#REF!</v>
      </c>
      <c r="L64" s="27" t="e">
        <f t="shared" si="14"/>
        <v>#REF!</v>
      </c>
      <c r="M64" s="27" t="e">
        <f t="shared" si="14"/>
        <v>#REF!</v>
      </c>
      <c r="N64" s="27" t="e">
        <f t="shared" si="14"/>
        <v>#REF!</v>
      </c>
      <c r="O64" s="27" t="e">
        <f t="shared" si="14"/>
        <v>#REF!</v>
      </c>
      <c r="P64" s="27" t="e">
        <f t="shared" si="14"/>
        <v>#REF!</v>
      </c>
    </row>
    <row r="65" spans="1:18" x14ac:dyDescent="0.15">
      <c r="A65" t="e">
        <f t="shared" si="7"/>
        <v>#REF!</v>
      </c>
      <c r="B65" s="27" t="e">
        <f t="shared" si="7"/>
        <v>#REF!</v>
      </c>
      <c r="C65" s="27" t="e">
        <f t="shared" ref="C65:P65" si="15">C33+B65</f>
        <v>#REF!</v>
      </c>
      <c r="D65" s="27" t="e">
        <f t="shared" si="15"/>
        <v>#REF!</v>
      </c>
      <c r="E65" s="27" t="e">
        <f t="shared" si="15"/>
        <v>#REF!</v>
      </c>
      <c r="F65" s="27" t="e">
        <f t="shared" si="15"/>
        <v>#REF!</v>
      </c>
      <c r="G65" s="27" t="e">
        <f t="shared" si="15"/>
        <v>#REF!</v>
      </c>
      <c r="H65" s="27" t="e">
        <f t="shared" si="15"/>
        <v>#REF!</v>
      </c>
      <c r="I65" s="27" t="e">
        <f t="shared" si="15"/>
        <v>#REF!</v>
      </c>
      <c r="J65" s="27" t="e">
        <f t="shared" si="15"/>
        <v>#REF!</v>
      </c>
      <c r="K65" s="27" t="e">
        <f t="shared" si="15"/>
        <v>#REF!</v>
      </c>
      <c r="L65" s="27" t="e">
        <f t="shared" si="15"/>
        <v>#REF!</v>
      </c>
      <c r="M65" s="27" t="e">
        <f t="shared" si="15"/>
        <v>#REF!</v>
      </c>
      <c r="N65" s="27" t="e">
        <f t="shared" si="15"/>
        <v>#REF!</v>
      </c>
      <c r="O65" s="27" t="e">
        <f t="shared" si="15"/>
        <v>#REF!</v>
      </c>
      <c r="P65" s="27" t="e">
        <f t="shared" si="15"/>
        <v>#REF!</v>
      </c>
    </row>
    <row r="66" spans="1:18" x14ac:dyDescent="0.15">
      <c r="A66" t="e">
        <f t="shared" si="7"/>
        <v>#REF!</v>
      </c>
      <c r="B66" s="27" t="e">
        <f t="shared" si="7"/>
        <v>#REF!</v>
      </c>
      <c r="C66" s="27" t="e">
        <f t="shared" ref="C66:P66" si="16">C34+B66</f>
        <v>#REF!</v>
      </c>
      <c r="D66" s="27" t="e">
        <f t="shared" si="16"/>
        <v>#REF!</v>
      </c>
      <c r="E66" s="27" t="e">
        <f t="shared" si="16"/>
        <v>#REF!</v>
      </c>
      <c r="F66" s="27" t="e">
        <f t="shared" si="16"/>
        <v>#REF!</v>
      </c>
      <c r="G66" s="27" t="e">
        <f t="shared" si="16"/>
        <v>#REF!</v>
      </c>
      <c r="H66" s="27" t="e">
        <f t="shared" si="16"/>
        <v>#REF!</v>
      </c>
      <c r="I66" s="27" t="e">
        <f t="shared" si="16"/>
        <v>#REF!</v>
      </c>
      <c r="J66" s="27" t="e">
        <f t="shared" si="16"/>
        <v>#REF!</v>
      </c>
      <c r="K66" s="27" t="e">
        <f t="shared" si="16"/>
        <v>#REF!</v>
      </c>
      <c r="L66" s="27" t="e">
        <f t="shared" si="16"/>
        <v>#REF!</v>
      </c>
      <c r="M66" s="27" t="e">
        <f t="shared" si="16"/>
        <v>#REF!</v>
      </c>
      <c r="N66" s="27" t="e">
        <f t="shared" si="16"/>
        <v>#REF!</v>
      </c>
      <c r="O66" s="27" t="e">
        <f t="shared" si="16"/>
        <v>#REF!</v>
      </c>
      <c r="P66" s="27" t="e">
        <f t="shared" si="16"/>
        <v>#REF!</v>
      </c>
    </row>
    <row r="67" spans="1:18" x14ac:dyDescent="0.15">
      <c r="A67" t="e">
        <f t="shared" si="7"/>
        <v>#REF!</v>
      </c>
      <c r="B67" s="27" t="e">
        <f t="shared" si="7"/>
        <v>#REF!</v>
      </c>
      <c r="C67" s="27" t="e">
        <f t="shared" ref="C67:P67" si="17">C35+B67</f>
        <v>#REF!</v>
      </c>
      <c r="D67" s="27" t="e">
        <f t="shared" si="17"/>
        <v>#REF!</v>
      </c>
      <c r="E67" s="27" t="e">
        <f t="shared" si="17"/>
        <v>#REF!</v>
      </c>
      <c r="F67" s="27" t="e">
        <f t="shared" si="17"/>
        <v>#REF!</v>
      </c>
      <c r="G67" s="27" t="e">
        <f t="shared" si="17"/>
        <v>#REF!</v>
      </c>
      <c r="H67" s="27" t="e">
        <f t="shared" si="17"/>
        <v>#REF!</v>
      </c>
      <c r="I67" s="27" t="e">
        <f t="shared" si="17"/>
        <v>#REF!</v>
      </c>
      <c r="J67" s="27" t="e">
        <f t="shared" si="17"/>
        <v>#REF!</v>
      </c>
      <c r="K67" s="27" t="e">
        <f t="shared" si="17"/>
        <v>#REF!</v>
      </c>
      <c r="L67" s="27" t="e">
        <f t="shared" si="17"/>
        <v>#REF!</v>
      </c>
      <c r="M67" s="27" t="e">
        <f t="shared" si="17"/>
        <v>#REF!</v>
      </c>
      <c r="N67" s="27" t="e">
        <f t="shared" si="17"/>
        <v>#REF!</v>
      </c>
      <c r="O67" s="27" t="e">
        <f t="shared" si="17"/>
        <v>#REF!</v>
      </c>
      <c r="P67" s="27" t="e">
        <f t="shared" si="17"/>
        <v>#REF!</v>
      </c>
    </row>
    <row r="68" spans="1:18" x14ac:dyDescent="0.15">
      <c r="A68" t="e">
        <f t="shared" si="7"/>
        <v>#REF!</v>
      </c>
      <c r="B68" s="27" t="e">
        <f t="shared" si="7"/>
        <v>#REF!</v>
      </c>
      <c r="C68" s="27" t="e">
        <f t="shared" ref="C68:P68" si="18">C36+B68</f>
        <v>#REF!</v>
      </c>
      <c r="D68" s="27" t="e">
        <f t="shared" si="18"/>
        <v>#REF!</v>
      </c>
      <c r="E68" s="27" t="e">
        <f t="shared" si="18"/>
        <v>#REF!</v>
      </c>
      <c r="F68" s="27" t="e">
        <f t="shared" si="18"/>
        <v>#REF!</v>
      </c>
      <c r="G68" s="27" t="e">
        <f t="shared" si="18"/>
        <v>#REF!</v>
      </c>
      <c r="H68" s="27" t="e">
        <f t="shared" si="18"/>
        <v>#REF!</v>
      </c>
      <c r="I68" s="27" t="e">
        <f t="shared" si="18"/>
        <v>#REF!</v>
      </c>
      <c r="J68" s="27" t="e">
        <f t="shared" si="18"/>
        <v>#REF!</v>
      </c>
      <c r="K68" s="27" t="e">
        <f t="shared" si="18"/>
        <v>#REF!</v>
      </c>
      <c r="L68" s="27" t="e">
        <f t="shared" si="18"/>
        <v>#REF!</v>
      </c>
      <c r="M68" s="27" t="e">
        <f t="shared" si="18"/>
        <v>#REF!</v>
      </c>
      <c r="N68" s="27" t="e">
        <f t="shared" si="18"/>
        <v>#REF!</v>
      </c>
      <c r="O68" s="27" t="e">
        <f t="shared" si="18"/>
        <v>#REF!</v>
      </c>
      <c r="P68" s="27" t="e">
        <f t="shared" si="18"/>
        <v>#REF!</v>
      </c>
    </row>
    <row r="69" spans="1:18" x14ac:dyDescent="0.15">
      <c r="A69" t="e">
        <f t="shared" si="7"/>
        <v>#REF!</v>
      </c>
      <c r="B69" s="27" t="e">
        <f t="shared" si="7"/>
        <v>#REF!</v>
      </c>
      <c r="C69" s="27" t="e">
        <f t="shared" ref="C69:P69" si="19">C37+B69</f>
        <v>#REF!</v>
      </c>
      <c r="D69" s="27" t="e">
        <f t="shared" si="19"/>
        <v>#REF!</v>
      </c>
      <c r="E69" s="27" t="e">
        <f t="shared" si="19"/>
        <v>#REF!</v>
      </c>
      <c r="F69" s="27" t="e">
        <f t="shared" si="19"/>
        <v>#REF!</v>
      </c>
      <c r="G69" s="27" t="e">
        <f t="shared" si="19"/>
        <v>#REF!</v>
      </c>
      <c r="H69" s="27" t="e">
        <f t="shared" si="19"/>
        <v>#REF!</v>
      </c>
      <c r="I69" s="27" t="e">
        <f t="shared" si="19"/>
        <v>#REF!</v>
      </c>
      <c r="J69" s="27" t="e">
        <f t="shared" si="19"/>
        <v>#REF!</v>
      </c>
      <c r="K69" s="27" t="e">
        <f t="shared" si="19"/>
        <v>#REF!</v>
      </c>
      <c r="L69" s="27" t="e">
        <f t="shared" si="19"/>
        <v>#REF!</v>
      </c>
      <c r="M69" s="27" t="e">
        <f t="shared" si="19"/>
        <v>#REF!</v>
      </c>
      <c r="N69" s="27" t="e">
        <f t="shared" si="19"/>
        <v>#REF!</v>
      </c>
      <c r="O69" s="27" t="e">
        <f t="shared" si="19"/>
        <v>#REF!</v>
      </c>
      <c r="P69" s="27" t="e">
        <f t="shared" si="19"/>
        <v>#REF!</v>
      </c>
    </row>
    <row r="70" spans="1:18" x14ac:dyDescent="0.15">
      <c r="A70" t="e">
        <f t="shared" si="7"/>
        <v>#REF!</v>
      </c>
      <c r="B70" s="27" t="e">
        <f t="shared" si="7"/>
        <v>#REF!</v>
      </c>
      <c r="C70" s="27" t="e">
        <f t="shared" ref="C70:P70" si="20">C38+B70</f>
        <v>#REF!</v>
      </c>
      <c r="D70" s="27" t="e">
        <f t="shared" si="20"/>
        <v>#REF!</v>
      </c>
      <c r="E70" s="27" t="e">
        <f t="shared" si="20"/>
        <v>#REF!</v>
      </c>
      <c r="F70" s="27" t="e">
        <f t="shared" si="20"/>
        <v>#REF!</v>
      </c>
      <c r="G70" s="27" t="e">
        <f t="shared" si="20"/>
        <v>#REF!</v>
      </c>
      <c r="H70" s="27" t="e">
        <f t="shared" si="20"/>
        <v>#REF!</v>
      </c>
      <c r="I70" s="27" t="e">
        <f t="shared" si="20"/>
        <v>#REF!</v>
      </c>
      <c r="J70" s="27" t="e">
        <f t="shared" si="20"/>
        <v>#REF!</v>
      </c>
      <c r="K70" s="27" t="e">
        <f t="shared" si="20"/>
        <v>#REF!</v>
      </c>
      <c r="L70" s="27" t="e">
        <f t="shared" si="20"/>
        <v>#REF!</v>
      </c>
      <c r="M70" s="27" t="e">
        <f t="shared" si="20"/>
        <v>#REF!</v>
      </c>
      <c r="N70" s="27" t="e">
        <f t="shared" si="20"/>
        <v>#REF!</v>
      </c>
      <c r="O70" s="27" t="e">
        <f t="shared" si="20"/>
        <v>#REF!</v>
      </c>
      <c r="P70" s="27" t="e">
        <f t="shared" si="20"/>
        <v>#REF!</v>
      </c>
    </row>
    <row r="71" spans="1:18" x14ac:dyDescent="0.15">
      <c r="A71" t="e">
        <f t="shared" si="7"/>
        <v>#REF!</v>
      </c>
      <c r="B71" s="27" t="e">
        <f t="shared" si="7"/>
        <v>#REF!</v>
      </c>
      <c r="C71" s="27" t="e">
        <f t="shared" ref="C71:P71" si="21">C39+B71</f>
        <v>#REF!</v>
      </c>
      <c r="D71" s="27" t="e">
        <f t="shared" si="21"/>
        <v>#REF!</v>
      </c>
      <c r="E71" s="27" t="e">
        <f t="shared" si="21"/>
        <v>#REF!</v>
      </c>
      <c r="F71" s="27" t="e">
        <f t="shared" si="21"/>
        <v>#REF!</v>
      </c>
      <c r="G71" s="27" t="e">
        <f t="shared" si="21"/>
        <v>#REF!</v>
      </c>
      <c r="H71" s="27" t="e">
        <f t="shared" si="21"/>
        <v>#REF!</v>
      </c>
      <c r="I71" s="27" t="e">
        <f t="shared" si="21"/>
        <v>#REF!</v>
      </c>
      <c r="J71" s="27" t="e">
        <f t="shared" si="21"/>
        <v>#REF!</v>
      </c>
      <c r="K71" s="27" t="e">
        <f t="shared" si="21"/>
        <v>#REF!</v>
      </c>
      <c r="L71" s="27" t="e">
        <f t="shared" si="21"/>
        <v>#REF!</v>
      </c>
      <c r="M71" s="27" t="e">
        <f t="shared" si="21"/>
        <v>#REF!</v>
      </c>
      <c r="N71" s="27" t="e">
        <f t="shared" si="21"/>
        <v>#REF!</v>
      </c>
      <c r="O71" s="27" t="e">
        <f t="shared" si="21"/>
        <v>#REF!</v>
      </c>
      <c r="P71" s="27" t="e">
        <f t="shared" si="21"/>
        <v>#REF!</v>
      </c>
    </row>
    <row r="72" spans="1:18" x14ac:dyDescent="0.15">
      <c r="A72" t="e">
        <f t="shared" si="7"/>
        <v>#REF!</v>
      </c>
      <c r="B72" s="27" t="e">
        <f t="shared" si="7"/>
        <v>#REF!</v>
      </c>
      <c r="C72" s="27" t="e">
        <f t="shared" ref="C72:P72" si="22">C40+B72</f>
        <v>#REF!</v>
      </c>
      <c r="D72" s="27" t="e">
        <f t="shared" si="22"/>
        <v>#REF!</v>
      </c>
      <c r="E72" s="27" t="e">
        <f t="shared" si="22"/>
        <v>#REF!</v>
      </c>
      <c r="F72" s="27" t="e">
        <f t="shared" si="22"/>
        <v>#REF!</v>
      </c>
      <c r="G72" s="27" t="e">
        <f t="shared" si="22"/>
        <v>#REF!</v>
      </c>
      <c r="H72" s="27" t="e">
        <f t="shared" si="22"/>
        <v>#REF!</v>
      </c>
      <c r="I72" s="27" t="e">
        <f t="shared" si="22"/>
        <v>#REF!</v>
      </c>
      <c r="J72" s="27" t="e">
        <f t="shared" si="22"/>
        <v>#REF!</v>
      </c>
      <c r="K72" s="27" t="e">
        <f t="shared" si="22"/>
        <v>#REF!</v>
      </c>
      <c r="L72" s="27" t="e">
        <f t="shared" si="22"/>
        <v>#REF!</v>
      </c>
      <c r="M72" s="27" t="e">
        <f t="shared" si="22"/>
        <v>#REF!</v>
      </c>
      <c r="N72" s="27" t="e">
        <f t="shared" si="22"/>
        <v>#REF!</v>
      </c>
      <c r="O72" s="27" t="e">
        <f t="shared" si="22"/>
        <v>#REF!</v>
      </c>
      <c r="P72" s="27" t="e">
        <f t="shared" si="22"/>
        <v>#REF!</v>
      </c>
    </row>
    <row r="73" spans="1:18" x14ac:dyDescent="0.15">
      <c r="A73" t="e">
        <f t="shared" si="7"/>
        <v>#REF!</v>
      </c>
      <c r="B73" s="27" t="e">
        <f t="shared" si="7"/>
        <v>#REF!</v>
      </c>
      <c r="C73" s="27" t="e">
        <f t="shared" ref="C73:P73" si="23">C41+B73</f>
        <v>#REF!</v>
      </c>
      <c r="D73" s="27" t="e">
        <f t="shared" si="23"/>
        <v>#REF!</v>
      </c>
      <c r="E73" s="27" t="e">
        <f t="shared" si="23"/>
        <v>#REF!</v>
      </c>
      <c r="F73" s="27" t="e">
        <f t="shared" si="23"/>
        <v>#REF!</v>
      </c>
      <c r="G73" s="27" t="e">
        <f t="shared" si="23"/>
        <v>#REF!</v>
      </c>
      <c r="H73" s="27" t="e">
        <f t="shared" si="23"/>
        <v>#REF!</v>
      </c>
      <c r="I73" s="27" t="e">
        <f t="shared" si="23"/>
        <v>#REF!</v>
      </c>
      <c r="J73" s="27" t="e">
        <f t="shared" si="23"/>
        <v>#REF!</v>
      </c>
      <c r="K73" s="27" t="e">
        <f t="shared" si="23"/>
        <v>#REF!</v>
      </c>
      <c r="L73" s="27" t="e">
        <f t="shared" si="23"/>
        <v>#REF!</v>
      </c>
      <c r="M73" s="27" t="e">
        <f t="shared" si="23"/>
        <v>#REF!</v>
      </c>
      <c r="N73" s="27" t="e">
        <f t="shared" si="23"/>
        <v>#REF!</v>
      </c>
      <c r="O73" s="27" t="e">
        <f t="shared" si="23"/>
        <v>#REF!</v>
      </c>
      <c r="P73" s="27" t="e">
        <f t="shared" si="23"/>
        <v>#REF!</v>
      </c>
      <c r="R73" s="27">
        <v>5089.0695079999996</v>
      </c>
    </row>
    <row r="74" spans="1:18" x14ac:dyDescent="0.15">
      <c r="A74" t="e">
        <f t="shared" si="7"/>
        <v>#REF!</v>
      </c>
      <c r="B74" s="27" t="e">
        <f t="shared" si="7"/>
        <v>#REF!</v>
      </c>
      <c r="C74" s="27" t="e">
        <f t="shared" ref="C74:P74" si="24">C42+B74</f>
        <v>#REF!</v>
      </c>
      <c r="D74" s="27" t="e">
        <f t="shared" si="24"/>
        <v>#REF!</v>
      </c>
      <c r="E74" s="27" t="e">
        <f t="shared" si="24"/>
        <v>#REF!</v>
      </c>
      <c r="F74" s="27" t="e">
        <f t="shared" si="24"/>
        <v>#REF!</v>
      </c>
      <c r="G74" s="27" t="e">
        <f t="shared" si="24"/>
        <v>#REF!</v>
      </c>
      <c r="H74" s="27" t="e">
        <f t="shared" si="24"/>
        <v>#REF!</v>
      </c>
      <c r="I74" s="27" t="e">
        <f t="shared" si="24"/>
        <v>#REF!</v>
      </c>
      <c r="J74" s="27" t="e">
        <f t="shared" si="24"/>
        <v>#REF!</v>
      </c>
      <c r="K74" s="27" t="e">
        <f t="shared" si="24"/>
        <v>#REF!</v>
      </c>
      <c r="L74" s="27" t="e">
        <f t="shared" si="24"/>
        <v>#REF!</v>
      </c>
      <c r="M74" s="27" t="e">
        <f t="shared" si="24"/>
        <v>#REF!</v>
      </c>
      <c r="N74" s="27" t="e">
        <f t="shared" si="24"/>
        <v>#REF!</v>
      </c>
      <c r="O74" s="27" t="e">
        <f t="shared" si="24"/>
        <v>#REF!</v>
      </c>
      <c r="P74" s="27" t="e">
        <f t="shared" si="24"/>
        <v>#REF!</v>
      </c>
      <c r="R74" s="27">
        <v>4199.9086539999998</v>
      </c>
    </row>
    <row r="75" spans="1:18" x14ac:dyDescent="0.15">
      <c r="A75" t="e">
        <f t="shared" si="7"/>
        <v>#REF!</v>
      </c>
      <c r="B75" s="27" t="e">
        <f t="shared" si="7"/>
        <v>#REF!</v>
      </c>
      <c r="C75" s="27" t="e">
        <f t="shared" ref="C75:P75" si="25">C43+B75</f>
        <v>#REF!</v>
      </c>
      <c r="D75" s="27" t="e">
        <f t="shared" si="25"/>
        <v>#REF!</v>
      </c>
      <c r="E75" s="27" t="e">
        <f t="shared" si="25"/>
        <v>#REF!</v>
      </c>
      <c r="F75" s="27" t="e">
        <f t="shared" si="25"/>
        <v>#REF!</v>
      </c>
      <c r="G75" s="27" t="e">
        <f t="shared" si="25"/>
        <v>#REF!</v>
      </c>
      <c r="H75" s="27" t="e">
        <f t="shared" si="25"/>
        <v>#REF!</v>
      </c>
      <c r="I75" s="27" t="e">
        <f t="shared" si="25"/>
        <v>#REF!</v>
      </c>
      <c r="J75" s="27" t="e">
        <f t="shared" si="25"/>
        <v>#REF!</v>
      </c>
      <c r="K75" s="27" t="e">
        <f t="shared" si="25"/>
        <v>#REF!</v>
      </c>
      <c r="L75" s="27" t="e">
        <f t="shared" si="25"/>
        <v>#REF!</v>
      </c>
      <c r="M75" s="27" t="e">
        <f t="shared" si="25"/>
        <v>#REF!</v>
      </c>
      <c r="N75" s="27" t="e">
        <f t="shared" si="25"/>
        <v>#REF!</v>
      </c>
      <c r="O75" s="27" t="e">
        <f t="shared" si="25"/>
        <v>#REF!</v>
      </c>
      <c r="P75" s="27" t="e">
        <f t="shared" si="25"/>
        <v>#REF!</v>
      </c>
      <c r="R75" s="27">
        <v>4958.2878339999997</v>
      </c>
    </row>
    <row r="76" spans="1:18" x14ac:dyDescent="0.15">
      <c r="A76" t="e">
        <f t="shared" si="7"/>
        <v>#REF!</v>
      </c>
      <c r="B76" s="27" t="e">
        <f t="shared" si="7"/>
        <v>#REF!</v>
      </c>
      <c r="C76" s="27" t="e">
        <f t="shared" ref="C76:P76" si="26">C44+B76</f>
        <v>#REF!</v>
      </c>
      <c r="D76" s="27" t="e">
        <f t="shared" si="26"/>
        <v>#REF!</v>
      </c>
      <c r="E76" s="27" t="e">
        <f t="shared" si="26"/>
        <v>#REF!</v>
      </c>
      <c r="F76" s="27" t="e">
        <f t="shared" si="26"/>
        <v>#REF!</v>
      </c>
      <c r="G76" s="27" t="e">
        <f t="shared" si="26"/>
        <v>#REF!</v>
      </c>
      <c r="H76" s="27" t="e">
        <f t="shared" si="26"/>
        <v>#REF!</v>
      </c>
      <c r="I76" s="27" t="e">
        <f t="shared" si="26"/>
        <v>#REF!</v>
      </c>
      <c r="J76" s="27" t="e">
        <f t="shared" si="26"/>
        <v>#REF!</v>
      </c>
      <c r="K76" s="27" t="e">
        <f t="shared" si="26"/>
        <v>#REF!</v>
      </c>
      <c r="L76" s="27" t="e">
        <f t="shared" si="26"/>
        <v>#REF!</v>
      </c>
      <c r="M76" s="27" t="e">
        <f t="shared" si="26"/>
        <v>#REF!</v>
      </c>
      <c r="N76" s="27" t="e">
        <f t="shared" si="26"/>
        <v>#REF!</v>
      </c>
      <c r="O76" s="27" t="e">
        <f t="shared" si="26"/>
        <v>#REF!</v>
      </c>
      <c r="P76" s="27" t="e">
        <f t="shared" si="26"/>
        <v>#REF!</v>
      </c>
      <c r="R76" s="27">
        <v>8457.6622769999994</v>
      </c>
    </row>
    <row r="77" spans="1:18" x14ac:dyDescent="0.15">
      <c r="A77" t="e">
        <f t="shared" si="7"/>
        <v>#REF!</v>
      </c>
      <c r="B77" s="27" t="e">
        <f t="shared" si="7"/>
        <v>#REF!</v>
      </c>
      <c r="C77" s="27" t="e">
        <f t="shared" ref="C77:P77" si="27">C45+B77</f>
        <v>#REF!</v>
      </c>
      <c r="D77" s="27" t="e">
        <f t="shared" si="27"/>
        <v>#REF!</v>
      </c>
      <c r="E77" s="27" t="e">
        <f t="shared" si="27"/>
        <v>#REF!</v>
      </c>
      <c r="F77" s="27" t="e">
        <f t="shared" si="27"/>
        <v>#REF!</v>
      </c>
      <c r="G77" s="27" t="e">
        <f t="shared" si="27"/>
        <v>#REF!</v>
      </c>
      <c r="H77" s="27" t="e">
        <f t="shared" si="27"/>
        <v>#REF!</v>
      </c>
      <c r="I77" s="27" t="e">
        <f t="shared" si="27"/>
        <v>#REF!</v>
      </c>
      <c r="J77" s="27" t="e">
        <f t="shared" si="27"/>
        <v>#REF!</v>
      </c>
      <c r="K77" s="27" t="e">
        <f t="shared" si="27"/>
        <v>#REF!</v>
      </c>
      <c r="L77" s="27" t="e">
        <f t="shared" si="27"/>
        <v>#REF!</v>
      </c>
      <c r="M77" s="27" t="e">
        <f t="shared" si="27"/>
        <v>#REF!</v>
      </c>
      <c r="N77" s="27" t="e">
        <f t="shared" si="27"/>
        <v>#REF!</v>
      </c>
      <c r="O77" s="27" t="e">
        <f t="shared" si="27"/>
        <v>#REF!</v>
      </c>
      <c r="P77" s="27" t="e">
        <f t="shared" si="27"/>
        <v>#REF!</v>
      </c>
      <c r="R77" s="27">
        <v>3886.4550599999998</v>
      </c>
    </row>
    <row r="78" spans="1:18" x14ac:dyDescent="0.15">
      <c r="A78" t="e">
        <f t="shared" si="7"/>
        <v>#REF!</v>
      </c>
      <c r="B78" s="27" t="e">
        <f t="shared" si="7"/>
        <v>#REF!</v>
      </c>
      <c r="C78" s="27" t="e">
        <f t="shared" ref="C78:P78" si="28">C46+B78</f>
        <v>#REF!</v>
      </c>
      <c r="D78" s="27" t="e">
        <f t="shared" si="28"/>
        <v>#REF!</v>
      </c>
      <c r="E78" s="27" t="e">
        <f t="shared" si="28"/>
        <v>#REF!</v>
      </c>
      <c r="F78" s="27" t="e">
        <f t="shared" si="28"/>
        <v>#REF!</v>
      </c>
      <c r="G78" s="27" t="e">
        <f t="shared" si="28"/>
        <v>#REF!</v>
      </c>
      <c r="H78" s="27" t="e">
        <f t="shared" si="28"/>
        <v>#REF!</v>
      </c>
      <c r="I78" s="27" t="e">
        <f t="shared" si="28"/>
        <v>#REF!</v>
      </c>
      <c r="J78" s="27" t="e">
        <f t="shared" si="28"/>
        <v>#REF!</v>
      </c>
      <c r="K78" s="27" t="e">
        <f t="shared" si="28"/>
        <v>#REF!</v>
      </c>
      <c r="L78" s="27" t="e">
        <f t="shared" si="28"/>
        <v>#REF!</v>
      </c>
      <c r="M78" s="27" t="e">
        <f t="shared" si="28"/>
        <v>#REF!</v>
      </c>
      <c r="N78" s="27" t="e">
        <f t="shared" si="28"/>
        <v>#REF!</v>
      </c>
      <c r="O78" s="27" t="e">
        <f t="shared" si="28"/>
        <v>#REF!</v>
      </c>
      <c r="P78" s="27" t="e">
        <f t="shared" si="28"/>
        <v>#REF!</v>
      </c>
      <c r="R78" s="27">
        <v>4843.1690639999997</v>
      </c>
    </row>
    <row r="79" spans="1:18" x14ac:dyDescent="0.15">
      <c r="A79" t="e">
        <f t="shared" si="7"/>
        <v>#REF!</v>
      </c>
      <c r="B79" s="27" t="e">
        <f t="shared" si="7"/>
        <v>#REF!</v>
      </c>
      <c r="C79" s="27" t="e">
        <f t="shared" ref="C79:P79" si="29">C47+B79</f>
        <v>#REF!</v>
      </c>
      <c r="D79" s="27" t="e">
        <f t="shared" si="29"/>
        <v>#REF!</v>
      </c>
      <c r="E79" s="27" t="e">
        <f t="shared" si="29"/>
        <v>#REF!</v>
      </c>
      <c r="F79" s="27" t="e">
        <f t="shared" si="29"/>
        <v>#REF!</v>
      </c>
      <c r="G79" s="27" t="e">
        <f t="shared" si="29"/>
        <v>#REF!</v>
      </c>
      <c r="H79" s="27" t="e">
        <f t="shared" si="29"/>
        <v>#REF!</v>
      </c>
      <c r="I79" s="27" t="e">
        <f t="shared" si="29"/>
        <v>#REF!</v>
      </c>
      <c r="J79" s="27" t="e">
        <f t="shared" si="29"/>
        <v>#REF!</v>
      </c>
      <c r="K79" s="27" t="e">
        <f t="shared" si="29"/>
        <v>#REF!</v>
      </c>
      <c r="L79" s="27" t="e">
        <f t="shared" si="29"/>
        <v>#REF!</v>
      </c>
      <c r="M79" s="27" t="e">
        <f t="shared" si="29"/>
        <v>#REF!</v>
      </c>
      <c r="N79" s="27" t="e">
        <f t="shared" si="29"/>
        <v>#REF!</v>
      </c>
      <c r="O79" s="27" t="e">
        <f t="shared" si="29"/>
        <v>#REF!</v>
      </c>
      <c r="P79" s="27" t="e">
        <f t="shared" si="29"/>
        <v>#REF!</v>
      </c>
      <c r="R79" s="27">
        <v>3045.4383509999998</v>
      </c>
    </row>
    <row r="80" spans="1:18" x14ac:dyDescent="0.15">
      <c r="A80" t="e">
        <f t="shared" si="7"/>
        <v>#REF!</v>
      </c>
      <c r="B80" s="27" t="e">
        <f t="shared" si="7"/>
        <v>#REF!</v>
      </c>
      <c r="C80" s="27" t="e">
        <f t="shared" ref="C80:P80" si="30">C48+B80</f>
        <v>#REF!</v>
      </c>
      <c r="D80" s="27" t="e">
        <f t="shared" si="30"/>
        <v>#REF!</v>
      </c>
      <c r="E80" s="27" t="e">
        <f t="shared" si="30"/>
        <v>#REF!</v>
      </c>
      <c r="F80" s="27" t="e">
        <f t="shared" si="30"/>
        <v>#REF!</v>
      </c>
      <c r="G80" s="27" t="e">
        <f t="shared" si="30"/>
        <v>#REF!</v>
      </c>
      <c r="H80" s="27" t="e">
        <f t="shared" si="30"/>
        <v>#REF!</v>
      </c>
      <c r="I80" s="27" t="e">
        <f t="shared" si="30"/>
        <v>#REF!</v>
      </c>
      <c r="J80" s="27" t="e">
        <f t="shared" si="30"/>
        <v>#REF!</v>
      </c>
      <c r="K80" s="27" t="e">
        <f t="shared" si="30"/>
        <v>#REF!</v>
      </c>
      <c r="L80" s="27" t="e">
        <f t="shared" si="30"/>
        <v>#REF!</v>
      </c>
      <c r="M80" s="27" t="e">
        <f t="shared" si="30"/>
        <v>#REF!</v>
      </c>
      <c r="N80" s="27" t="e">
        <f t="shared" si="30"/>
        <v>#REF!</v>
      </c>
      <c r="O80" s="27" t="e">
        <f t="shared" si="30"/>
        <v>#REF!</v>
      </c>
      <c r="P80" s="27" t="e">
        <f t="shared" si="30"/>
        <v>#REF!</v>
      </c>
      <c r="R80" s="27">
        <v>4337.5421380752796</v>
      </c>
    </row>
    <row r="81" spans="1:22" x14ac:dyDescent="0.15">
      <c r="A81" t="e">
        <f t="shared" si="7"/>
        <v>#REF!</v>
      </c>
      <c r="B81" s="27" t="e">
        <f t="shared" si="7"/>
        <v>#REF!</v>
      </c>
      <c r="C81" s="27" t="e">
        <f t="shared" ref="C81:P81" si="31">C49+B81</f>
        <v>#REF!</v>
      </c>
      <c r="D81" s="27" t="e">
        <f t="shared" si="31"/>
        <v>#REF!</v>
      </c>
      <c r="E81" s="27" t="e">
        <f t="shared" si="31"/>
        <v>#REF!</v>
      </c>
      <c r="F81" s="27" t="e">
        <f t="shared" si="31"/>
        <v>#REF!</v>
      </c>
      <c r="G81" s="27" t="e">
        <f t="shared" si="31"/>
        <v>#REF!</v>
      </c>
      <c r="H81" s="27" t="e">
        <f t="shared" si="31"/>
        <v>#REF!</v>
      </c>
      <c r="I81" s="27" t="e">
        <f t="shared" si="31"/>
        <v>#REF!</v>
      </c>
      <c r="J81" s="27" t="e">
        <f t="shared" si="31"/>
        <v>#REF!</v>
      </c>
      <c r="K81" s="27" t="e">
        <f t="shared" si="31"/>
        <v>#REF!</v>
      </c>
      <c r="L81" s="27" t="e">
        <f t="shared" si="31"/>
        <v>#REF!</v>
      </c>
      <c r="M81" s="27" t="e">
        <f t="shared" si="31"/>
        <v>#REF!</v>
      </c>
      <c r="N81" s="27" t="e">
        <f t="shared" si="31"/>
        <v>#REF!</v>
      </c>
      <c r="O81" s="27" t="e">
        <f t="shared" si="31"/>
        <v>#REF!</v>
      </c>
      <c r="P81" s="27" t="e">
        <f t="shared" si="31"/>
        <v>#REF!</v>
      </c>
      <c r="R81" s="27">
        <v>3031.1997265730997</v>
      </c>
    </row>
    <row r="82" spans="1:22" x14ac:dyDescent="0.15">
      <c r="A82" t="e">
        <f t="shared" si="7"/>
        <v>#REF!</v>
      </c>
      <c r="B82" s="27" t="e">
        <f t="shared" si="7"/>
        <v>#REF!</v>
      </c>
      <c r="C82" s="27" t="e">
        <f t="shared" ref="C82:P82" si="32">C50+B82</f>
        <v>#REF!</v>
      </c>
      <c r="D82" s="27" t="e">
        <f t="shared" si="32"/>
        <v>#REF!</v>
      </c>
      <c r="E82" s="27" t="e">
        <f t="shared" si="32"/>
        <v>#REF!</v>
      </c>
      <c r="F82" s="27" t="e">
        <f t="shared" si="32"/>
        <v>#REF!</v>
      </c>
      <c r="G82" s="27" t="e">
        <f t="shared" si="32"/>
        <v>#REF!</v>
      </c>
      <c r="H82" s="27" t="e">
        <f t="shared" si="32"/>
        <v>#REF!</v>
      </c>
      <c r="I82" s="27" t="e">
        <f t="shared" si="32"/>
        <v>#REF!</v>
      </c>
      <c r="J82" s="27" t="e">
        <f t="shared" si="32"/>
        <v>#REF!</v>
      </c>
      <c r="K82" s="27" t="e">
        <f t="shared" si="32"/>
        <v>#REF!</v>
      </c>
      <c r="L82" s="27" t="e">
        <f t="shared" si="32"/>
        <v>#REF!</v>
      </c>
      <c r="M82" s="27" t="e">
        <f t="shared" si="32"/>
        <v>#REF!</v>
      </c>
      <c r="N82" s="27" t="e">
        <f t="shared" si="32"/>
        <v>#REF!</v>
      </c>
      <c r="O82" s="27" t="e">
        <f t="shared" si="32"/>
        <v>#REF!</v>
      </c>
      <c r="P82" s="27" t="e">
        <f t="shared" si="32"/>
        <v>#REF!</v>
      </c>
      <c r="R82" s="27">
        <v>2282.4181841028203</v>
      </c>
    </row>
    <row r="83" spans="1:22" x14ac:dyDescent="0.15">
      <c r="A83" t="e">
        <f t="shared" si="7"/>
        <v>#REF!</v>
      </c>
      <c r="B83" s="27" t="e">
        <f t="shared" si="7"/>
        <v>#REF!</v>
      </c>
      <c r="C83" s="27" t="e">
        <f t="shared" ref="C83:P83" si="33">C51+B83</f>
        <v>#REF!</v>
      </c>
      <c r="D83" s="27" t="e">
        <f t="shared" si="33"/>
        <v>#REF!</v>
      </c>
      <c r="E83" s="27" t="e">
        <f t="shared" si="33"/>
        <v>#REF!</v>
      </c>
      <c r="F83" s="27" t="e">
        <f t="shared" si="33"/>
        <v>#REF!</v>
      </c>
      <c r="G83" s="27" t="e">
        <f t="shared" si="33"/>
        <v>#REF!</v>
      </c>
      <c r="H83" s="27" t="e">
        <f t="shared" si="33"/>
        <v>#REF!</v>
      </c>
      <c r="I83" s="27" t="e">
        <f t="shared" si="33"/>
        <v>#REF!</v>
      </c>
      <c r="J83" s="27" t="e">
        <f t="shared" si="33"/>
        <v>#REF!</v>
      </c>
      <c r="K83" s="27" t="e">
        <f t="shared" si="33"/>
        <v>#REF!</v>
      </c>
      <c r="L83" s="27" t="e">
        <f t="shared" si="33"/>
        <v>#REF!</v>
      </c>
      <c r="M83" s="27" t="e">
        <f t="shared" si="33"/>
        <v>#REF!</v>
      </c>
      <c r="N83" s="27" t="e">
        <f t="shared" si="33"/>
        <v>#REF!</v>
      </c>
      <c r="O83" s="27" t="e">
        <f t="shared" si="33"/>
        <v>#REF!</v>
      </c>
      <c r="P83" s="27" t="e">
        <f t="shared" si="33"/>
        <v>#REF!</v>
      </c>
      <c r="R83" s="27">
        <v>3748</v>
      </c>
    </row>
    <row r="84" spans="1:22" x14ac:dyDescent="0.15">
      <c r="A84" t="e">
        <f t="shared" si="7"/>
        <v>#REF!</v>
      </c>
      <c r="B84" s="27" t="e">
        <f t="shared" si="7"/>
        <v>#REF!</v>
      </c>
      <c r="C84" s="27" t="e">
        <f t="shared" ref="C84:P84" si="34">C52+B84</f>
        <v>#REF!</v>
      </c>
      <c r="D84" s="27" t="e">
        <f t="shared" si="34"/>
        <v>#REF!</v>
      </c>
      <c r="E84" s="27" t="e">
        <f t="shared" si="34"/>
        <v>#REF!</v>
      </c>
      <c r="F84" s="27" t="e">
        <f t="shared" si="34"/>
        <v>#REF!</v>
      </c>
      <c r="G84" s="27" t="e">
        <f t="shared" si="34"/>
        <v>#REF!</v>
      </c>
      <c r="H84" s="27" t="e">
        <f t="shared" si="34"/>
        <v>#REF!</v>
      </c>
      <c r="I84" s="27" t="e">
        <f t="shared" si="34"/>
        <v>#REF!</v>
      </c>
      <c r="J84" s="27" t="e">
        <f t="shared" si="34"/>
        <v>#REF!</v>
      </c>
      <c r="K84" s="27" t="e">
        <f t="shared" si="34"/>
        <v>#REF!</v>
      </c>
      <c r="L84" s="27" t="e">
        <f t="shared" si="34"/>
        <v>#REF!</v>
      </c>
      <c r="M84" s="27" t="e">
        <f t="shared" si="34"/>
        <v>#REF!</v>
      </c>
      <c r="N84" s="27" t="e">
        <f t="shared" si="34"/>
        <v>#REF!</v>
      </c>
      <c r="O84" s="27" t="e">
        <f t="shared" si="34"/>
        <v>#REF!</v>
      </c>
      <c r="P84" s="27" t="e">
        <f t="shared" si="34"/>
        <v>#REF!</v>
      </c>
      <c r="R84" s="27">
        <v>3112.3120976925197</v>
      </c>
    </row>
    <row r="85" spans="1:22" x14ac:dyDescent="0.15">
      <c r="A85" t="e">
        <f t="shared" si="7"/>
        <v>#REF!</v>
      </c>
      <c r="B85" s="27" t="e">
        <f t="shared" si="7"/>
        <v>#REF!</v>
      </c>
      <c r="C85" s="27" t="e">
        <f t="shared" ref="C85:P85" si="35">C53+B85</f>
        <v>#REF!</v>
      </c>
      <c r="D85" s="27" t="e">
        <f t="shared" si="35"/>
        <v>#REF!</v>
      </c>
      <c r="E85" s="27" t="e">
        <f t="shared" si="35"/>
        <v>#REF!</v>
      </c>
      <c r="F85" s="27" t="e">
        <f t="shared" si="35"/>
        <v>#REF!</v>
      </c>
      <c r="G85" s="27" t="e">
        <f t="shared" si="35"/>
        <v>#REF!</v>
      </c>
      <c r="H85" s="27" t="e">
        <f t="shared" si="35"/>
        <v>#REF!</v>
      </c>
      <c r="I85" s="27" t="e">
        <f t="shared" si="35"/>
        <v>#REF!</v>
      </c>
      <c r="J85" s="27" t="e">
        <f t="shared" si="35"/>
        <v>#REF!</v>
      </c>
      <c r="K85" s="27" t="e">
        <f t="shared" si="35"/>
        <v>#REF!</v>
      </c>
      <c r="L85" s="27" t="e">
        <f t="shared" si="35"/>
        <v>#REF!</v>
      </c>
      <c r="M85" s="27" t="e">
        <f t="shared" si="35"/>
        <v>#REF!</v>
      </c>
      <c r="N85" s="27" t="e">
        <f t="shared" si="35"/>
        <v>#REF!</v>
      </c>
      <c r="O85" s="27" t="e">
        <f t="shared" si="35"/>
        <v>#REF!</v>
      </c>
      <c r="P85" s="27" t="e">
        <f t="shared" si="35"/>
        <v>#REF!</v>
      </c>
    </row>
    <row r="86" spans="1:22" x14ac:dyDescent="0.15">
      <c r="A86" t="e">
        <f t="shared" si="7"/>
        <v>#REF!</v>
      </c>
      <c r="B86" s="27" t="e">
        <f t="shared" si="7"/>
        <v>#REF!</v>
      </c>
      <c r="C86" s="27" t="e">
        <f t="shared" ref="C86:P86" si="36">C54+B86</f>
        <v>#REF!</v>
      </c>
      <c r="D86" s="27" t="e">
        <f t="shared" si="36"/>
        <v>#REF!</v>
      </c>
      <c r="E86" s="27" t="e">
        <f t="shared" si="36"/>
        <v>#REF!</v>
      </c>
      <c r="F86" s="27" t="e">
        <f t="shared" si="36"/>
        <v>#REF!</v>
      </c>
      <c r="G86" s="27" t="e">
        <f t="shared" si="36"/>
        <v>#REF!</v>
      </c>
      <c r="H86" s="27" t="e">
        <f t="shared" si="36"/>
        <v>#REF!</v>
      </c>
      <c r="I86" s="27" t="e">
        <f t="shared" si="36"/>
        <v>#REF!</v>
      </c>
      <c r="J86" s="27" t="e">
        <f t="shared" si="36"/>
        <v>#REF!</v>
      </c>
      <c r="K86" s="27" t="e">
        <f t="shared" si="36"/>
        <v>#REF!</v>
      </c>
      <c r="L86" s="27" t="e">
        <f t="shared" si="36"/>
        <v>#REF!</v>
      </c>
      <c r="M86" s="27" t="e">
        <f t="shared" si="36"/>
        <v>#REF!</v>
      </c>
      <c r="N86" s="27" t="e">
        <f t="shared" si="36"/>
        <v>#REF!</v>
      </c>
      <c r="O86" s="27" t="e">
        <f t="shared" si="36"/>
        <v>#REF!</v>
      </c>
      <c r="P86" s="27" t="e">
        <f t="shared" si="36"/>
        <v>#REF!</v>
      </c>
    </row>
    <row r="87" spans="1:22" x14ac:dyDescent="0.15">
      <c r="A87" t="e">
        <f t="shared" si="7"/>
        <v>#REF!</v>
      </c>
      <c r="B87" s="27" t="e">
        <f t="shared" si="7"/>
        <v>#REF!</v>
      </c>
      <c r="C87" s="27" t="e">
        <f t="shared" ref="C87:P87" si="37">C55+B87</f>
        <v>#REF!</v>
      </c>
      <c r="D87" s="27" t="e">
        <f t="shared" si="37"/>
        <v>#REF!</v>
      </c>
      <c r="E87" s="27" t="e">
        <f t="shared" si="37"/>
        <v>#REF!</v>
      </c>
      <c r="F87" s="27" t="e">
        <f t="shared" si="37"/>
        <v>#REF!</v>
      </c>
      <c r="G87" s="27" t="e">
        <f t="shared" si="37"/>
        <v>#REF!</v>
      </c>
      <c r="H87" s="27" t="e">
        <f t="shared" si="37"/>
        <v>#REF!</v>
      </c>
      <c r="I87" s="27" t="e">
        <f t="shared" si="37"/>
        <v>#REF!</v>
      </c>
      <c r="J87" s="27" t="e">
        <f t="shared" si="37"/>
        <v>#REF!</v>
      </c>
      <c r="K87" s="27" t="e">
        <f t="shared" si="37"/>
        <v>#REF!</v>
      </c>
      <c r="L87" s="27" t="e">
        <f t="shared" si="37"/>
        <v>#REF!</v>
      </c>
      <c r="M87" s="27" t="e">
        <f t="shared" si="37"/>
        <v>#REF!</v>
      </c>
      <c r="N87" s="27" t="e">
        <f t="shared" si="37"/>
        <v>#REF!</v>
      </c>
      <c r="O87" s="27" t="e">
        <f t="shared" si="37"/>
        <v>#REF!</v>
      </c>
      <c r="P87" s="27" t="e">
        <f t="shared" si="37"/>
        <v>#REF!</v>
      </c>
    </row>
    <row r="90" spans="1:22" ht="35" x14ac:dyDescent="0.35">
      <c r="B90" s="203" t="s">
        <v>127</v>
      </c>
      <c r="T90">
        <f t="shared" ref="T90:V120" si="38">S153</f>
        <v>0</v>
      </c>
      <c r="U90" t="str">
        <f t="shared" si="38"/>
        <v>Predicted</v>
      </c>
      <c r="V90" t="str">
        <f t="shared" si="38"/>
        <v>Observed</v>
      </c>
    </row>
    <row r="91" spans="1:22" x14ac:dyDescent="0.15">
      <c r="A91">
        <f>pm.rep!A424</f>
        <v>1982</v>
      </c>
      <c r="B91" s="27">
        <f>pm.rep!B424*$R91</f>
        <v>577.97385226099993</v>
      </c>
      <c r="C91" s="27">
        <f>pm.rep!C424*$R91</f>
        <v>913.25619891999997</v>
      </c>
      <c r="D91" s="27">
        <f>pm.rep!D424*$R91</f>
        <v>1005.5510854999999</v>
      </c>
      <c r="E91" s="27">
        <f>pm.rep!E424*$R91</f>
        <v>2509.0503113</v>
      </c>
      <c r="F91" s="27">
        <f>pm.rep!F424*$R91</f>
        <v>795.21516593999991</v>
      </c>
      <c r="G91" s="27">
        <f>pm.rep!G424*$R91</f>
        <v>241.01674401999998</v>
      </c>
      <c r="H91" s="27">
        <f>pm.rep!H424*$R91</f>
        <v>119.346009224</v>
      </c>
      <c r="I91" s="27">
        <f>pm.rep!I424*$R91</f>
        <v>75.564939684000009</v>
      </c>
      <c r="J91" s="27">
        <f>pm.rep!J424*$R91</f>
        <v>39.519893000899998</v>
      </c>
      <c r="K91" s="27">
        <f>pm.rep!K424*$R91</f>
        <v>21.947201533399998</v>
      </c>
      <c r="L91" s="27">
        <f>pm.rep!L424*$R91</f>
        <v>4.55810280692</v>
      </c>
      <c r="M91" s="27">
        <f>pm.rep!M424*$R91</f>
        <v>2.7683228400099997</v>
      </c>
      <c r="N91" s="27">
        <f>pm.rep!N424*$R91</f>
        <v>2.1936789488900001</v>
      </c>
      <c r="O91" s="27">
        <f>pm.rep!O424*$R91</f>
        <v>1.24469997184</v>
      </c>
      <c r="P91" s="27">
        <f>pm.rep!P424*$R91</f>
        <v>1.1287097961100001</v>
      </c>
      <c r="Q91">
        <v>1982</v>
      </c>
      <c r="R91" s="27">
        <f t="array" ref="R91:R120">TRANSPOSE(pm.rep!B502:AE502)</f>
        <v>6310.33</v>
      </c>
      <c r="S91" s="27" t="e">
        <f>SUM(C26:P26)</f>
        <v>#REF!</v>
      </c>
      <c r="T91">
        <f t="shared" si="38"/>
        <v>1982</v>
      </c>
      <c r="U91" s="27">
        <f t="shared" si="38"/>
        <v>6310.33</v>
      </c>
      <c r="V91" s="27">
        <f t="shared" si="38"/>
        <v>12818.7</v>
      </c>
    </row>
    <row r="92" spans="1:22" x14ac:dyDescent="0.15">
      <c r="A92">
        <f>pm.rep!A425</f>
        <v>1983</v>
      </c>
      <c r="B92" s="27">
        <f>pm.rep!B425*$R92</f>
        <v>1674.0001868100001</v>
      </c>
      <c r="C92" s="27">
        <f>pm.rep!C425*$R92</f>
        <v>323.32555861599997</v>
      </c>
      <c r="D92" s="27">
        <f>pm.rep!D425*$R92</f>
        <v>878.59663808000005</v>
      </c>
      <c r="E92" s="27">
        <f>pm.rep!E425*$R92</f>
        <v>1009.682059</v>
      </c>
      <c r="F92" s="27">
        <f>pm.rep!F425*$R92</f>
        <v>2175.8752319499999</v>
      </c>
      <c r="G92" s="27">
        <f>pm.rep!G425*$R92</f>
        <v>571.90553941200005</v>
      </c>
      <c r="H92" s="27">
        <f>pm.rep!H425*$R92</f>
        <v>151.01156911799998</v>
      </c>
      <c r="I92" s="27">
        <f>pm.rep!I425*$R92</f>
        <v>67.918754986899998</v>
      </c>
      <c r="J92" s="27">
        <f>pm.rep!J425*$R92</f>
        <v>40.267534206400001</v>
      </c>
      <c r="K92" s="27">
        <f>pm.rep!K425*$R92</f>
        <v>20.284145282200001</v>
      </c>
      <c r="L92" s="27">
        <f>pm.rep!L425*$R92</f>
        <v>11.0777436885</v>
      </c>
      <c r="M92" s="27">
        <f>pm.rep!M425*$R92</f>
        <v>2.2812023260799998</v>
      </c>
      <c r="N92" s="27">
        <f>pm.rep!N425*$R92</f>
        <v>1.3796400988200002</v>
      </c>
      <c r="O92" s="27">
        <f>pm.rep!O425*$R92</f>
        <v>1.09099715358</v>
      </c>
      <c r="P92" s="27">
        <f>pm.rep!P425*$R92</f>
        <v>1.1788817649199999</v>
      </c>
      <c r="Q92">
        <v>1983</v>
      </c>
      <c r="R92" s="27">
        <v>6929.87</v>
      </c>
      <c r="S92" s="27" t="e">
        <f t="shared" ref="S92:S120" si="39">SUM(C27:P27)</f>
        <v>#REF!</v>
      </c>
      <c r="T92">
        <f t="shared" si="38"/>
        <v>1983</v>
      </c>
      <c r="U92" s="27">
        <f t="shared" si="38"/>
        <v>6929.87</v>
      </c>
      <c r="V92" s="27">
        <f t="shared" si="38"/>
        <v>15926.6</v>
      </c>
    </row>
    <row r="93" spans="1:22" x14ac:dyDescent="0.15">
      <c r="A93">
        <f>pm.rep!A426</f>
        <v>1984</v>
      </c>
      <c r="B93" s="27">
        <f>pm.rep!B426*$R93</f>
        <v>342.066396892</v>
      </c>
      <c r="C93" s="27">
        <f>pm.rep!C426*$R93</f>
        <v>504.18014948800004</v>
      </c>
      <c r="D93" s="27">
        <f>pm.rep!D426*$R93</f>
        <v>261.080455804</v>
      </c>
      <c r="E93" s="27">
        <f>pm.rep!E426*$R93</f>
        <v>784.73258315999999</v>
      </c>
      <c r="F93" s="27">
        <f>pm.rep!F426*$R93</f>
        <v>874.10043884000004</v>
      </c>
      <c r="G93" s="27">
        <f>pm.rep!G426*$R93</f>
        <v>1806.7303076200001</v>
      </c>
      <c r="H93" s="27">
        <f>pm.rep!H426*$R93</f>
        <v>454.52497704199999</v>
      </c>
      <c r="I93" s="27">
        <f>pm.rep!I426*$R93</f>
        <v>117.47606400399999</v>
      </c>
      <c r="J93" s="27">
        <f>pm.rep!J426*$R93</f>
        <v>51.7224346438</v>
      </c>
      <c r="K93" s="27">
        <f>pm.rep!K426*$R93</f>
        <v>30.141158898</v>
      </c>
      <c r="L93" s="27">
        <f>pm.rep!L426*$R93</f>
        <v>15.088392068400001</v>
      </c>
      <c r="M93" s="27">
        <f>pm.rep!M426*$R93</f>
        <v>8.2235977122000001</v>
      </c>
      <c r="N93" s="27">
        <f>pm.rep!N426*$R93</f>
        <v>1.6918783209400001</v>
      </c>
      <c r="O93" s="27">
        <f>pm.rep!O426*$R93</f>
        <v>1.02279640238</v>
      </c>
      <c r="P93" s="27">
        <f>pm.rep!P426*$R93</f>
        <v>1.68232571266</v>
      </c>
      <c r="Q93">
        <v>1984</v>
      </c>
      <c r="R93" s="27">
        <v>5254.46</v>
      </c>
      <c r="S93" s="27" t="e">
        <f t="shared" si="39"/>
        <v>#REF!</v>
      </c>
      <c r="T93">
        <f t="shared" si="38"/>
        <v>1984</v>
      </c>
      <c r="U93" s="27">
        <f t="shared" si="38"/>
        <v>5254.46</v>
      </c>
      <c r="V93" s="27">
        <f t="shared" si="38"/>
        <v>10877.4</v>
      </c>
    </row>
    <row r="94" spans="1:22" x14ac:dyDescent="0.15">
      <c r="A94">
        <f>pm.rep!A427</f>
        <v>1985</v>
      </c>
      <c r="B94" s="27">
        <f>pm.rep!B427*$R94</f>
        <v>1754.9800607500001</v>
      </c>
      <c r="C94" s="27">
        <f>pm.rep!C427*$R94</f>
        <v>168.015958625</v>
      </c>
      <c r="D94" s="27">
        <f>pm.rep!D427*$R94</f>
        <v>916.43971824999994</v>
      </c>
      <c r="E94" s="27">
        <f>pm.rep!E427*$R94</f>
        <v>397.25824919999997</v>
      </c>
      <c r="F94" s="27">
        <f>pm.rep!F427*$R94</f>
        <v>876.31242999999995</v>
      </c>
      <c r="G94" s="27">
        <f>pm.rep!G427*$R94</f>
        <v>697.01245700000004</v>
      </c>
      <c r="H94" s="27">
        <f>pm.rep!H427*$R94</f>
        <v>1159.5332555</v>
      </c>
      <c r="I94" s="27">
        <f>pm.rep!I427*$R94</f>
        <v>258.351556125</v>
      </c>
      <c r="J94" s="27">
        <f>pm.rep!J427*$R94</f>
        <v>63.252375937500005</v>
      </c>
      <c r="K94" s="27">
        <f>pm.rep!K427*$R94</f>
        <v>27.0813170875</v>
      </c>
      <c r="L94" s="27">
        <f>pm.rep!L427*$R94</f>
        <v>15.644182922499999</v>
      </c>
      <c r="M94" s="27">
        <f>pm.rep!M427*$R94</f>
        <v>7.8229484749999996</v>
      </c>
      <c r="N94" s="27">
        <f>pm.rep!N427*$R94</f>
        <v>4.2637513264999995</v>
      </c>
      <c r="O94" s="27">
        <f>pm.rep!O427*$R94</f>
        <v>0.87736623950000003</v>
      </c>
      <c r="P94" s="27">
        <f>pm.rep!P427*$R94</f>
        <v>1.4028743745000001</v>
      </c>
      <c r="Q94">
        <v>1985</v>
      </c>
      <c r="R94" s="27">
        <v>6348.25</v>
      </c>
      <c r="S94" s="27" t="e">
        <f t="shared" si="39"/>
        <v>#REF!</v>
      </c>
      <c r="T94">
        <f t="shared" si="38"/>
        <v>1985</v>
      </c>
      <c r="U94" s="27">
        <f t="shared" si="38"/>
        <v>6348.25</v>
      </c>
      <c r="V94" s="27">
        <f t="shared" si="38"/>
        <v>15166.2</v>
      </c>
    </row>
    <row r="95" spans="1:22" x14ac:dyDescent="0.15">
      <c r="A95">
        <f>pm.rep!A428</f>
        <v>1986</v>
      </c>
      <c r="B95" s="27">
        <f>pm.rep!B428*$R95</f>
        <v>960.40842065000004</v>
      </c>
      <c r="C95" s="27">
        <f>pm.rep!C428*$R95</f>
        <v>291.40287897000002</v>
      </c>
      <c r="D95" s="27">
        <f>pm.rep!D428*$R95</f>
        <v>171.30458009</v>
      </c>
      <c r="E95" s="27">
        <f>pm.rep!E428*$R95</f>
        <v>973.33521284999995</v>
      </c>
      <c r="F95" s="27">
        <f>pm.rep!F428*$R95</f>
        <v>392.67948160000003</v>
      </c>
      <c r="G95" s="27">
        <f>pm.rep!G428*$R95</f>
        <v>757.60528375000001</v>
      </c>
      <c r="H95" s="27">
        <f>pm.rep!H428*$R95</f>
        <v>525.07667064999998</v>
      </c>
      <c r="I95" s="27">
        <f>pm.rep!I428*$R95</f>
        <v>807.43284369999992</v>
      </c>
      <c r="J95" s="27">
        <f>pm.rep!J428*$R95</f>
        <v>167.95303777000001</v>
      </c>
      <c r="K95" s="27">
        <f>pm.rep!K428*$R95</f>
        <v>39.566585740500003</v>
      </c>
      <c r="L95" s="27">
        <f>pm.rep!L428*$R95</f>
        <v>16.585883597500001</v>
      </c>
      <c r="M95" s="27">
        <f>pm.rep!M428*$R95</f>
        <v>9.5075942045000001</v>
      </c>
      <c r="N95" s="27">
        <f>pm.rep!N428*$R95</f>
        <v>4.7370906061499998</v>
      </c>
      <c r="O95" s="27">
        <f>pm.rep!O428*$R95</f>
        <v>2.5775173469500001</v>
      </c>
      <c r="P95" s="27">
        <f>pm.rep!P428*$R95</f>
        <v>1.3768570158</v>
      </c>
      <c r="Q95">
        <v>1986</v>
      </c>
      <c r="R95" s="27">
        <v>5121.55</v>
      </c>
      <c r="S95" s="27" t="e">
        <f t="shared" si="39"/>
        <v>#REF!</v>
      </c>
      <c r="T95">
        <f t="shared" si="38"/>
        <v>1986</v>
      </c>
      <c r="U95" s="27">
        <f t="shared" si="38"/>
        <v>5121.55</v>
      </c>
      <c r="V95" s="27">
        <f t="shared" si="38"/>
        <v>9997.84</v>
      </c>
    </row>
    <row r="96" spans="1:22" x14ac:dyDescent="0.15">
      <c r="A96">
        <f>pm.rep!A429</f>
        <v>1987</v>
      </c>
      <c r="B96" s="27">
        <f>pm.rep!B429*$R96</f>
        <v>407.64561220799999</v>
      </c>
      <c r="C96" s="27">
        <f>pm.rep!C429*$R96</f>
        <v>246.523939665</v>
      </c>
      <c r="D96" s="27">
        <f>pm.rep!D429*$R96</f>
        <v>865.14631687999997</v>
      </c>
      <c r="E96" s="27">
        <f>pm.rep!E429*$R96</f>
        <v>483.85287104499997</v>
      </c>
      <c r="F96" s="27">
        <f>pm.rep!F429*$R96</f>
        <v>2216.1990444099997</v>
      </c>
      <c r="G96" s="27">
        <f>pm.rep!G429*$R96</f>
        <v>672.59850855000002</v>
      </c>
      <c r="H96" s="27">
        <f>pm.rep!H429*$R96</f>
        <v>967.57349266999995</v>
      </c>
      <c r="I96" s="27">
        <f>pm.rep!I429*$R96</f>
        <v>542.32989097399991</v>
      </c>
      <c r="J96" s="27">
        <f>pm.rep!J429*$R96</f>
        <v>740.71430703999999</v>
      </c>
      <c r="K96" s="27">
        <f>pm.rep!K429*$R96</f>
        <v>143.48915126199998</v>
      </c>
      <c r="L96" s="27">
        <f>pm.rep!L429*$R96</f>
        <v>32.770818500799997</v>
      </c>
      <c r="M96" s="27">
        <f>pm.rep!M429*$R96</f>
        <v>13.564088290399999</v>
      </c>
      <c r="N96" s="27">
        <f>pm.rep!N429*$R96</f>
        <v>7.7324766435999992</v>
      </c>
      <c r="O96" s="27">
        <f>pm.rep!O429*$R96</f>
        <v>3.8434252968499996</v>
      </c>
      <c r="P96" s="27">
        <f>pm.rep!P429*$R96</f>
        <v>3.2043960994099998</v>
      </c>
      <c r="Q96">
        <v>1987</v>
      </c>
      <c r="R96" s="27">
        <v>7347.19</v>
      </c>
      <c r="S96" s="27" t="e">
        <f t="shared" si="39"/>
        <v>#REF!</v>
      </c>
      <c r="T96">
        <f t="shared" si="38"/>
        <v>1987</v>
      </c>
      <c r="U96" s="27">
        <f t="shared" si="38"/>
        <v>7347.19</v>
      </c>
      <c r="V96" s="27">
        <f t="shared" si="38"/>
        <v>12858.9</v>
      </c>
    </row>
    <row r="97" spans="1:22" x14ac:dyDescent="0.15">
      <c r="A97">
        <f>pm.rep!A430</f>
        <v>1988</v>
      </c>
      <c r="B97" s="27">
        <f>pm.rep!B430*$R97</f>
        <v>397.84442432000003</v>
      </c>
      <c r="C97" s="27">
        <f>pm.rep!C430*$R97</f>
        <v>211.54672447999999</v>
      </c>
      <c r="D97" s="27">
        <f>pm.rep!D430*$R97</f>
        <v>558.54592976000004</v>
      </c>
      <c r="E97" s="27">
        <f>pm.rep!E430*$R97</f>
        <v>1804.6767199999999</v>
      </c>
      <c r="F97" s="27">
        <f>pm.rep!F430*$R97</f>
        <v>770.44761584000003</v>
      </c>
      <c r="G97" s="27">
        <f>pm.rep!G430*$R97</f>
        <v>2601.0373983999998</v>
      </c>
      <c r="H97" s="27">
        <f>pm.rep!H430*$R97</f>
        <v>596.45842592000008</v>
      </c>
      <c r="I97" s="27">
        <f>pm.rep!I430*$R97</f>
        <v>731.43993327999999</v>
      </c>
      <c r="J97" s="27">
        <f>pm.rep!J430*$R97</f>
        <v>370.43532848000001</v>
      </c>
      <c r="K97" s="27">
        <f>pm.rep!K430*$R97</f>
        <v>484.13212624000005</v>
      </c>
      <c r="L97" s="27">
        <f>pm.rep!L430*$R97</f>
        <v>92.179198720000016</v>
      </c>
      <c r="M97" s="27">
        <f>pm.rep!M430*$R97</f>
        <v>20.878841312000002</v>
      </c>
      <c r="N97" s="27">
        <f>pm.rep!N430*$R97</f>
        <v>8.6109355359999995</v>
      </c>
      <c r="O97" s="27">
        <f>pm.rep!O430*$R97</f>
        <v>4.9012405120000002</v>
      </c>
      <c r="P97" s="27">
        <f>pm.rep!P430*$R97</f>
        <v>4.4635901744000002</v>
      </c>
      <c r="Q97">
        <v>1988</v>
      </c>
      <c r="R97" s="27">
        <v>8657.6</v>
      </c>
      <c r="S97" s="27" t="e">
        <f t="shared" si="39"/>
        <v>#REF!</v>
      </c>
      <c r="T97">
        <f t="shared" si="38"/>
        <v>1988</v>
      </c>
      <c r="U97" s="27">
        <f t="shared" si="38"/>
        <v>8657.6</v>
      </c>
      <c r="V97" s="27">
        <f t="shared" si="38"/>
        <v>18892.400000000001</v>
      </c>
    </row>
    <row r="98" spans="1:22" x14ac:dyDescent="0.15">
      <c r="A98">
        <f>pm.rep!A431</f>
        <v>1989</v>
      </c>
      <c r="B98" s="27">
        <f>pm.rep!B431*$R98</f>
        <v>477.04544804699998</v>
      </c>
      <c r="C98" s="27">
        <f>pm.rep!C431*$R98</f>
        <v>142.69182724999999</v>
      </c>
      <c r="D98" s="27">
        <f>pm.rep!D431*$R98</f>
        <v>306.64454209199999</v>
      </c>
      <c r="E98" s="27">
        <f>pm.rep!E431*$R98</f>
        <v>769.75953016899996</v>
      </c>
      <c r="F98" s="27">
        <f>pm.rep!F431*$R98</f>
        <v>2046.7264070400001</v>
      </c>
      <c r="G98" s="27">
        <f>pm.rep!G431*$R98</f>
        <v>685.04769449899993</v>
      </c>
      <c r="H98" s="27">
        <f>pm.rep!H431*$R98</f>
        <v>1903.5673759900001</v>
      </c>
      <c r="I98" s="27">
        <f>pm.rep!I431*$R98</f>
        <v>391.54793131999998</v>
      </c>
      <c r="J98" s="27">
        <f>pm.rep!J431*$R98</f>
        <v>461.51170036999997</v>
      </c>
      <c r="K98" s="27">
        <f>pm.rep!K431*$R98</f>
        <v>227.55472548199998</v>
      </c>
      <c r="L98" s="27">
        <f>pm.rep!L431*$R98</f>
        <v>295.15132861199999</v>
      </c>
      <c r="M98" s="27">
        <f>pm.rep!M431*$R98</f>
        <v>55.955753249200001</v>
      </c>
      <c r="N98" s="27">
        <f>pm.rep!N431*$R98</f>
        <v>12.650788761799999</v>
      </c>
      <c r="O98" s="27">
        <f>pm.rep!O431*$R98</f>
        <v>5.2133792563299997</v>
      </c>
      <c r="P98" s="27">
        <f>pm.rep!P431*$R98</f>
        <v>5.6674468428199996</v>
      </c>
      <c r="Q98">
        <v>1989</v>
      </c>
      <c r="R98" s="27">
        <v>7786.73</v>
      </c>
      <c r="S98" s="27" t="e">
        <f t="shared" si="39"/>
        <v>#REF!</v>
      </c>
      <c r="T98">
        <f t="shared" si="38"/>
        <v>1989</v>
      </c>
      <c r="U98" s="27">
        <f t="shared" si="38"/>
        <v>7786.73</v>
      </c>
      <c r="V98" s="27">
        <f t="shared" si="38"/>
        <v>15757.8</v>
      </c>
    </row>
    <row r="99" spans="1:22" x14ac:dyDescent="0.15">
      <c r="A99">
        <f>pm.rep!A432</f>
        <v>1990</v>
      </c>
      <c r="B99" s="27">
        <f>pm.rep!B432*$R99</f>
        <v>967.75085353999998</v>
      </c>
      <c r="C99" s="27">
        <f>pm.rep!C432*$R99</f>
        <v>168.86377376799999</v>
      </c>
      <c r="D99" s="27">
        <f>pm.rep!D432*$R99</f>
        <v>146.80451475000001</v>
      </c>
      <c r="E99" s="27">
        <f>pm.rep!E432*$R99</f>
        <v>315.62657845799998</v>
      </c>
      <c r="F99" s="27">
        <f>pm.rep!F432*$R99</f>
        <v>665.47209013999998</v>
      </c>
      <c r="G99" s="27">
        <f>pm.rep!G432*$R99</f>
        <v>1459.51246094</v>
      </c>
      <c r="H99" s="27">
        <f>pm.rep!H432*$R99</f>
        <v>415.37439937400001</v>
      </c>
      <c r="I99" s="27">
        <f>pm.rep!I432*$R99</f>
        <v>1044.45565388</v>
      </c>
      <c r="J99" s="27">
        <f>pm.rep!J432*$R99</f>
        <v>209.81768996599999</v>
      </c>
      <c r="K99" s="27">
        <f>pm.rep!K432*$R99</f>
        <v>246.09114157399998</v>
      </c>
      <c r="L99" s="27">
        <f>pm.rep!L432*$R99</f>
        <v>120.68448346199999</v>
      </c>
      <c r="M99" s="27">
        <f>pm.rep!M432*$R99</f>
        <v>156.13267174000001</v>
      </c>
      <c r="N99" s="27">
        <f>pm.rep!N432*$R99</f>
        <v>29.569572421599997</v>
      </c>
      <c r="O99" s="27">
        <f>pm.rep!O432*$R99</f>
        <v>6.6824878841999995</v>
      </c>
      <c r="P99" s="27">
        <f>pm.rep!P432*$R99</f>
        <v>5.7463472975599998</v>
      </c>
      <c r="Q99">
        <v>1990</v>
      </c>
      <c r="R99" s="27">
        <v>5958.58</v>
      </c>
      <c r="S99" s="27" t="e">
        <f t="shared" si="39"/>
        <v>#REF!</v>
      </c>
      <c r="T99">
        <f t="shared" si="38"/>
        <v>1990</v>
      </c>
      <c r="U99" s="27">
        <f t="shared" si="38"/>
        <v>5958.58</v>
      </c>
      <c r="V99" s="27">
        <f t="shared" si="38"/>
        <v>15785.4</v>
      </c>
    </row>
    <row r="100" spans="1:22" x14ac:dyDescent="0.15">
      <c r="A100">
        <f>pm.rep!A433</f>
        <v>1991</v>
      </c>
      <c r="B100" s="27">
        <f>pm.rep!B433*$R100</f>
        <v>1011.7400888399999</v>
      </c>
      <c r="C100" s="27">
        <f>pm.rep!C433*$R100</f>
        <v>342.16361509199999</v>
      </c>
      <c r="D100" s="27">
        <f>pm.rep!D433*$R100</f>
        <v>147.70115271599997</v>
      </c>
      <c r="E100" s="27">
        <f>pm.rep!E433*$R100</f>
        <v>129.662353002</v>
      </c>
      <c r="F100" s="27">
        <f>pm.rep!F433*$R100</f>
        <v>239.23124908799997</v>
      </c>
      <c r="G100" s="27">
        <f>pm.rep!G433*$R100</f>
        <v>423.22725977999994</v>
      </c>
      <c r="H100" s="27">
        <f>pm.rep!H433*$R100</f>
        <v>804.49065059999998</v>
      </c>
      <c r="I100" s="27">
        <f>pm.rep!I433*$R100</f>
        <v>217.74040547999996</v>
      </c>
      <c r="J100" s="27">
        <f>pm.rep!J433*$R100</f>
        <v>523.3986669599999</v>
      </c>
      <c r="K100" s="27">
        <f>pm.rep!K433*$R100</f>
        <v>104.84753814599999</v>
      </c>
      <c r="L100" s="27">
        <f>pm.rep!L433*$R100</f>
        <v>123.22490614199999</v>
      </c>
      <c r="M100" s="27">
        <f>pm.rep!M433*$R100</f>
        <v>60.355185461999994</v>
      </c>
      <c r="N100" s="27">
        <f>pm.rep!N433*$R100</f>
        <v>78.047808617999991</v>
      </c>
      <c r="O100" s="27">
        <f>pm.rep!O433*$R100</f>
        <v>14.778822520799999</v>
      </c>
      <c r="P100" s="27">
        <f>pm.rep!P433*$R100</f>
        <v>6.2114387945999994</v>
      </c>
      <c r="Q100">
        <v>1991</v>
      </c>
      <c r="R100" s="27">
        <v>4226.82</v>
      </c>
      <c r="S100" s="27" t="e">
        <f t="shared" si="39"/>
        <v>#REF!</v>
      </c>
      <c r="T100">
        <f t="shared" si="38"/>
        <v>1991</v>
      </c>
      <c r="U100" s="27">
        <f t="shared" si="38"/>
        <v>4226.82</v>
      </c>
      <c r="V100" s="27">
        <f t="shared" si="38"/>
        <v>8479.68</v>
      </c>
    </row>
    <row r="101" spans="1:22" x14ac:dyDescent="0.15">
      <c r="A101">
        <f>pm.rep!A434</f>
        <v>1992</v>
      </c>
      <c r="B101" s="27">
        <f>pm.rep!B434*$R101</f>
        <v>681.46038899000007</v>
      </c>
      <c r="C101" s="27">
        <f>pm.rep!C434*$R101</f>
        <v>229.18809977500001</v>
      </c>
      <c r="D101" s="27">
        <f>pm.rep!D434*$R101</f>
        <v>823.93502252000008</v>
      </c>
      <c r="E101" s="27">
        <f>pm.rep!E434*$R101</f>
        <v>330.90663352399997</v>
      </c>
      <c r="F101" s="27">
        <f>pm.rep!F434*$R101</f>
        <v>212.04458883800001</v>
      </c>
      <c r="G101" s="27">
        <f>pm.rep!G434*$R101</f>
        <v>252.44540112200002</v>
      </c>
      <c r="H101" s="27">
        <f>pm.rep!H434*$R101</f>
        <v>312.70634976500003</v>
      </c>
      <c r="I101" s="27">
        <f>pm.rep!I434*$R101</f>
        <v>484.02092222000005</v>
      </c>
      <c r="J101" s="27">
        <f>pm.rep!J434*$R101</f>
        <v>124.89521368400001</v>
      </c>
      <c r="K101" s="27">
        <f>pm.rep!K434*$R101</f>
        <v>288.74163504800003</v>
      </c>
      <c r="L101" s="27">
        <f>pm.rep!L434*$R101</f>
        <v>57.421810291</v>
      </c>
      <c r="M101" s="27">
        <f>pm.rep!M434*$R101</f>
        <v>67.303466103000005</v>
      </c>
      <c r="N101" s="27">
        <f>pm.rep!N434*$R101</f>
        <v>32.934834809500003</v>
      </c>
      <c r="O101" s="27">
        <f>pm.rep!O434*$R101</f>
        <v>42.576009596000006</v>
      </c>
      <c r="P101" s="27">
        <f>pm.rep!P434*$R101</f>
        <v>11.4491099506</v>
      </c>
      <c r="Q101">
        <v>1992</v>
      </c>
      <c r="R101" s="27">
        <v>3952.03</v>
      </c>
      <c r="S101" s="27" t="e">
        <f t="shared" si="39"/>
        <v>#REF!</v>
      </c>
      <c r="T101">
        <f t="shared" si="38"/>
        <v>1992</v>
      </c>
      <c r="U101" s="27">
        <f t="shared" si="38"/>
        <v>3952.03</v>
      </c>
      <c r="V101" s="27">
        <f t="shared" si="38"/>
        <v>8325.0300000000007</v>
      </c>
    </row>
    <row r="102" spans="1:22" x14ac:dyDescent="0.15">
      <c r="A102">
        <f>pm.rep!A435</f>
        <v>1993</v>
      </c>
      <c r="B102" s="27">
        <f>pm.rep!B435*$R102</f>
        <v>1082.7704213700001</v>
      </c>
      <c r="C102" s="27">
        <f>pm.rep!C435*$R102</f>
        <v>196.051591989</v>
      </c>
      <c r="D102" s="27">
        <f>pm.rep!D435*$R102</f>
        <v>427.50704475600003</v>
      </c>
      <c r="E102" s="27">
        <f>pm.rep!E435*$R102</f>
        <v>1377.3924387300001</v>
      </c>
      <c r="F102" s="27">
        <f>pm.rep!F435*$R102</f>
        <v>429.76910691</v>
      </c>
      <c r="G102" s="27">
        <f>pm.rep!G435*$R102</f>
        <v>184.84752821700002</v>
      </c>
      <c r="H102" s="27">
        <f>pm.rep!H435*$R102</f>
        <v>154.42637921700003</v>
      </c>
      <c r="I102" s="27">
        <f>pm.rep!I435*$R102</f>
        <v>160.09061554200002</v>
      </c>
      <c r="J102" s="27">
        <f>pm.rep!J435*$R102</f>
        <v>232.39078958700003</v>
      </c>
      <c r="K102" s="27">
        <f>pm.rep!K435*$R102</f>
        <v>59.134173186000005</v>
      </c>
      <c r="L102" s="27">
        <f>pm.rep!L435*$R102</f>
        <v>136.373924544</v>
      </c>
      <c r="M102" s="27">
        <f>pm.rep!M435*$R102</f>
        <v>27.065741670000001</v>
      </c>
      <c r="N102" s="27">
        <f>pm.rep!N435*$R102</f>
        <v>31.701924777600002</v>
      </c>
      <c r="O102" s="27">
        <f>pm.rep!O435*$R102</f>
        <v>15.509791473</v>
      </c>
      <c r="P102" s="27">
        <f>pm.rep!P435*$R102</f>
        <v>25.439663148900003</v>
      </c>
      <c r="Q102">
        <v>1993</v>
      </c>
      <c r="R102" s="27">
        <v>4540.47</v>
      </c>
      <c r="S102" s="27" t="e">
        <f t="shared" si="39"/>
        <v>#REF!</v>
      </c>
      <c r="T102">
        <f t="shared" si="38"/>
        <v>1993</v>
      </c>
      <c r="U102" s="27">
        <f t="shared" si="38"/>
        <v>4540.47</v>
      </c>
      <c r="V102" s="27">
        <f t="shared" si="38"/>
        <v>10213.1</v>
      </c>
    </row>
    <row r="103" spans="1:22" x14ac:dyDescent="0.15">
      <c r="A103">
        <f>pm.rep!A436</f>
        <v>1994</v>
      </c>
      <c r="B103" s="27">
        <f>pm.rep!B436*$R103</f>
        <v>622.06228999999996</v>
      </c>
      <c r="C103" s="27">
        <f>pm.rep!C436*$R103</f>
        <v>315.53668949999997</v>
      </c>
      <c r="D103" s="27">
        <f>pm.rep!D436*$R103</f>
        <v>309.63700575000001</v>
      </c>
      <c r="E103" s="27">
        <f>pm.rep!E436*$R103</f>
        <v>645.46505250000007</v>
      </c>
      <c r="F103" s="27">
        <f>pm.rep!F436*$R103</f>
        <v>1580.9420599999999</v>
      </c>
      <c r="G103" s="27">
        <f>pm.rep!G436*$R103</f>
        <v>406.09558175000001</v>
      </c>
      <c r="H103" s="27">
        <f>pm.rep!H436*$R103</f>
        <v>137.97648949999999</v>
      </c>
      <c r="I103" s="27">
        <f>pm.rep!I436*$R103</f>
        <v>101.785382</v>
      </c>
      <c r="J103" s="27">
        <f>pm.rep!J436*$R103</f>
        <v>102.4680955</v>
      </c>
      <c r="K103" s="27">
        <f>pm.rep!K436*$R103</f>
        <v>147.68350875000002</v>
      </c>
      <c r="L103" s="27">
        <f>pm.rep!L436*$R103</f>
        <v>37.666187950000001</v>
      </c>
      <c r="M103" s="27">
        <f>pm.rep!M436*$R103</f>
        <v>86.767052250000006</v>
      </c>
      <c r="N103" s="27">
        <f>pm.rep!N436*$R103</f>
        <v>17.21413325</v>
      </c>
      <c r="O103" s="27">
        <f>pm.rep!O436*$R103</f>
        <v>20.160465849999998</v>
      </c>
      <c r="P103" s="27">
        <f>pm.rep!P436*$R103</f>
        <v>26.039959874999997</v>
      </c>
      <c r="Q103">
        <v>1994</v>
      </c>
      <c r="R103" s="27">
        <v>4557.5</v>
      </c>
      <c r="S103" s="27" t="e">
        <f t="shared" si="39"/>
        <v>#REF!</v>
      </c>
      <c r="T103">
        <f t="shared" si="38"/>
        <v>1994</v>
      </c>
      <c r="U103" s="27">
        <f t="shared" si="38"/>
        <v>4557.5</v>
      </c>
      <c r="V103" s="27">
        <f t="shared" si="38"/>
        <v>10042.799999999999</v>
      </c>
    </row>
    <row r="104" spans="1:22" x14ac:dyDescent="0.15">
      <c r="A104">
        <f>pm.rep!A437</f>
        <v>1995</v>
      </c>
      <c r="B104" s="27">
        <f>pm.rep!B437*$R104</f>
        <v>458.97865940000003</v>
      </c>
      <c r="C104" s="27">
        <f>pm.rep!C437*$R104</f>
        <v>54.820971600000007</v>
      </c>
      <c r="D104" s="27">
        <f>pm.rep!D437*$R104</f>
        <v>326.00909938000001</v>
      </c>
      <c r="E104" s="27">
        <f>pm.rep!E437*$R104</f>
        <v>321.44656419</v>
      </c>
      <c r="F104" s="27">
        <f>pm.rep!F437*$R104</f>
        <v>569.61659299999997</v>
      </c>
      <c r="G104" s="27">
        <f>pm.rep!G437*$R104</f>
        <v>1082.2334854000001</v>
      </c>
      <c r="H104" s="27">
        <f>pm.rep!H437*$R104</f>
        <v>256.47409877000001</v>
      </c>
      <c r="I104" s="27">
        <f>pm.rep!I437*$R104</f>
        <v>80.18068550000001</v>
      </c>
      <c r="J104" s="27">
        <f>pm.rep!J437*$R104</f>
        <v>58.202843169999994</v>
      </c>
      <c r="K104" s="27">
        <f>pm.rep!K437*$R104</f>
        <v>58.534148309999999</v>
      </c>
      <c r="L104" s="27">
        <f>pm.rep!L437*$R104</f>
        <v>84.458256770000006</v>
      </c>
      <c r="M104" s="27">
        <f>pm.rep!M437*$R104</f>
        <v>21.527848334000002</v>
      </c>
      <c r="N104" s="27">
        <f>pm.rep!N437*$R104</f>
        <v>49.582338759999999</v>
      </c>
      <c r="O104" s="27">
        <f>pm.rep!O437*$R104</f>
        <v>9.8364426900000002</v>
      </c>
      <c r="P104" s="27">
        <f>pm.rep!P437*$R104</f>
        <v>26.398863884000001</v>
      </c>
      <c r="Q104">
        <v>1995</v>
      </c>
      <c r="R104" s="27">
        <v>3458.3</v>
      </c>
      <c r="S104" s="27" t="e">
        <f t="shared" si="39"/>
        <v>#REF!</v>
      </c>
      <c r="T104">
        <f t="shared" si="38"/>
        <v>1995</v>
      </c>
      <c r="U104" s="27">
        <f t="shared" si="38"/>
        <v>3458.3</v>
      </c>
      <c r="V104" s="27">
        <f t="shared" si="38"/>
        <v>13415.1</v>
      </c>
    </row>
    <row r="105" spans="1:22" x14ac:dyDescent="0.15">
      <c r="A105">
        <f>pm.rep!A438</f>
        <v>1996</v>
      </c>
      <c r="B105" s="27">
        <f>pm.rep!B438*$R105</f>
        <v>627.39247094999996</v>
      </c>
      <c r="C105" s="27">
        <f>pm.rep!C438*$R105</f>
        <v>27.179041986000005</v>
      </c>
      <c r="D105" s="27">
        <f>pm.rep!D438*$R105</f>
        <v>70.948148304</v>
      </c>
      <c r="E105" s="27">
        <f>pm.rep!E438*$R105</f>
        <v>388.35071496</v>
      </c>
      <c r="F105" s="27">
        <f>pm.rep!F438*$R105</f>
        <v>310.19024652000002</v>
      </c>
      <c r="G105" s="27">
        <f>pm.rep!G438*$R105</f>
        <v>400.96525511999999</v>
      </c>
      <c r="H105" s="27">
        <f>pm.rep!H438*$R105</f>
        <v>560.99873324999999</v>
      </c>
      <c r="I105" s="27">
        <f>pm.rep!I438*$R105</f>
        <v>123.87521637600001</v>
      </c>
      <c r="J105" s="27">
        <f>pm.rep!J438*$R105</f>
        <v>38.513767926</v>
      </c>
      <c r="K105" s="27">
        <f>pm.rep!K438*$R105</f>
        <v>28.425105831</v>
      </c>
      <c r="L105" s="27">
        <f>pm.rep!L438*$R105</f>
        <v>28.750999452000002</v>
      </c>
      <c r="M105" s="27">
        <f>pm.rep!M438*$R105</f>
        <v>41.553191697000003</v>
      </c>
      <c r="N105" s="27">
        <f>pm.rep!N438*$R105</f>
        <v>10.601883797400001</v>
      </c>
      <c r="O105" s="27">
        <f>pm.rep!O438*$R105</f>
        <v>24.429736438500004</v>
      </c>
      <c r="P105" s="27">
        <f>pm.rep!P438*$R105</f>
        <v>17.856216400200001</v>
      </c>
      <c r="Q105">
        <v>1996</v>
      </c>
      <c r="R105" s="27">
        <v>2700.03</v>
      </c>
      <c r="S105" s="27" t="e">
        <f t="shared" si="39"/>
        <v>#REF!</v>
      </c>
      <c r="T105">
        <f t="shared" si="38"/>
        <v>1996</v>
      </c>
      <c r="U105" s="27">
        <f t="shared" si="38"/>
        <v>2700.03</v>
      </c>
      <c r="V105" s="27">
        <f t="shared" si="38"/>
        <v>6213.77</v>
      </c>
    </row>
    <row r="106" spans="1:22" x14ac:dyDescent="0.15">
      <c r="A106">
        <f>pm.rep!A439</f>
        <v>1997</v>
      </c>
      <c r="B106" s="27">
        <f>pm.rep!B439*$R106</f>
        <v>810.55983330000004</v>
      </c>
      <c r="C106" s="27">
        <f>pm.rep!C439*$R106</f>
        <v>106.66847376000001</v>
      </c>
      <c r="D106" s="27">
        <f>pm.rep!D439*$R106</f>
        <v>78.829248060000012</v>
      </c>
      <c r="E106" s="27">
        <f>pm.rep!E439*$R106</f>
        <v>184.23834426000002</v>
      </c>
      <c r="F106" s="27">
        <f>pm.rep!F439*$R106</f>
        <v>796.97251890000007</v>
      </c>
      <c r="G106" s="27">
        <f>pm.rep!G439*$R106</f>
        <v>454.50036585000004</v>
      </c>
      <c r="H106" s="27">
        <f>pm.rep!H439*$R106</f>
        <v>379.4445513</v>
      </c>
      <c r="I106" s="27">
        <f>pm.rep!I439*$R106</f>
        <v>374.06400165000002</v>
      </c>
      <c r="J106" s="27">
        <f>pm.rep!J439*$R106</f>
        <v>70.017633000000004</v>
      </c>
      <c r="K106" s="27">
        <f>pm.rep!K439*$R106</f>
        <v>20.882171646</v>
      </c>
      <c r="L106" s="27">
        <f>pm.rep!L439*$R106</f>
        <v>15.222894084000002</v>
      </c>
      <c r="M106" s="27">
        <f>pm.rep!M439*$R106</f>
        <v>15.247497595500001</v>
      </c>
      <c r="N106" s="27">
        <f>pm.rep!N439*$R106</f>
        <v>21.970029500999999</v>
      </c>
      <c r="O106" s="27">
        <f>pm.rep!O439*$R106</f>
        <v>5.6007728955000005</v>
      </c>
      <c r="P106" s="27">
        <f>pm.rep!P439*$R106</f>
        <v>22.330220881500001</v>
      </c>
      <c r="Q106">
        <v>1997</v>
      </c>
      <c r="R106" s="27">
        <v>3356.55</v>
      </c>
      <c r="S106" s="27" t="e">
        <f t="shared" si="39"/>
        <v>#REF!</v>
      </c>
      <c r="T106">
        <f t="shared" si="38"/>
        <v>1997</v>
      </c>
      <c r="U106" s="27">
        <f t="shared" si="38"/>
        <v>3356.55</v>
      </c>
      <c r="V106" s="27">
        <f t="shared" si="38"/>
        <v>8496.35</v>
      </c>
    </row>
    <row r="107" spans="1:22" x14ac:dyDescent="0.15">
      <c r="A107">
        <f>pm.rep!A440</f>
        <v>1998</v>
      </c>
      <c r="B107" s="27">
        <f>pm.rep!B440*$R107</f>
        <v>344.75746201999999</v>
      </c>
      <c r="C107" s="27">
        <f>pm.rep!C440*$R107</f>
        <v>169.15466744599999</v>
      </c>
      <c r="D107" s="27">
        <f>pm.rep!D440*$R107</f>
        <v>175.43506531</v>
      </c>
      <c r="E107" s="27">
        <f>pm.rep!E440*$R107</f>
        <v>122.902732302</v>
      </c>
      <c r="F107" s="27">
        <f>pm.rep!F440*$R107</f>
        <v>246.27705551</v>
      </c>
      <c r="G107" s="27">
        <f>pm.rep!G440*$R107</f>
        <v>862.24063020000006</v>
      </c>
      <c r="H107" s="27">
        <f>pm.rep!H440*$R107</f>
        <v>406.61353408000002</v>
      </c>
      <c r="I107" s="27">
        <f>pm.rep!I440*$R107</f>
        <v>274.68826668600002</v>
      </c>
      <c r="J107" s="27">
        <f>pm.rep!J440*$R107</f>
        <v>243.24759332800002</v>
      </c>
      <c r="K107" s="27">
        <f>pm.rep!K440*$R107</f>
        <v>44.089467890000002</v>
      </c>
      <c r="L107" s="27">
        <f>pm.rep!L440*$R107</f>
        <v>13.1415583046</v>
      </c>
      <c r="M107" s="27">
        <f>pm.rep!M440*$R107</f>
        <v>9.5512956908</v>
      </c>
      <c r="N107" s="27">
        <f>pm.rep!N440*$R107</f>
        <v>9.5653814054000001</v>
      </c>
      <c r="O107" s="27">
        <f>pm.rep!O440*$R107</f>
        <v>13.7897078848</v>
      </c>
      <c r="P107" s="27">
        <f>pm.rep!P440*$R107</f>
        <v>17.524282631200002</v>
      </c>
      <c r="Q107">
        <v>1998</v>
      </c>
      <c r="R107" s="27">
        <v>2952.98</v>
      </c>
      <c r="S107" s="27" t="e">
        <f t="shared" si="39"/>
        <v>#REF!</v>
      </c>
      <c r="T107">
        <f t="shared" si="38"/>
        <v>1998</v>
      </c>
      <c r="U107" s="27">
        <f t="shared" si="38"/>
        <v>2952.98</v>
      </c>
      <c r="V107" s="27">
        <f t="shared" si="38"/>
        <v>6296.36</v>
      </c>
    </row>
    <row r="108" spans="1:22" x14ac:dyDescent="0.15">
      <c r="A108">
        <f>pm.rep!A441</f>
        <v>1999</v>
      </c>
      <c r="B108" s="27">
        <f>pm.rep!B441*$R108</f>
        <v>455.80716078</v>
      </c>
      <c r="C108" s="27">
        <f>pm.rep!C441*$R108</f>
        <v>194.920429396</v>
      </c>
      <c r="D108" s="27">
        <f>pm.rep!D441*$R108</f>
        <v>521.60367696000003</v>
      </c>
      <c r="E108" s="27">
        <f>pm.rep!E441*$R108</f>
        <v>518.83562642000004</v>
      </c>
      <c r="F108" s="27">
        <f>pm.rep!F441*$R108</f>
        <v>306.15587244199997</v>
      </c>
      <c r="G108" s="27">
        <f>pm.rep!G441*$R108</f>
        <v>476.70978059999999</v>
      </c>
      <c r="H108" s="27">
        <f>pm.rep!H441*$R108</f>
        <v>1165.58860308</v>
      </c>
      <c r="I108" s="27">
        <f>pm.rep!I441*$R108</f>
        <v>420.51925775399997</v>
      </c>
      <c r="J108" s="27">
        <f>pm.rep!J441*$R108</f>
        <v>221.02770672399998</v>
      </c>
      <c r="K108" s="27">
        <f>pm.rep!K441*$R108</f>
        <v>167.95925589000001</v>
      </c>
      <c r="L108" s="27">
        <f>pm.rep!L441*$R108</f>
        <v>28.321266202</v>
      </c>
      <c r="M108" s="27">
        <f>pm.rep!M441*$R108</f>
        <v>8.0893906352000009</v>
      </c>
      <c r="N108" s="27">
        <f>pm.rep!N441*$R108</f>
        <v>5.7579515254000002</v>
      </c>
      <c r="O108" s="27">
        <f>pm.rep!O441*$R108</f>
        <v>5.7094993519999999</v>
      </c>
      <c r="P108" s="27">
        <f>pm.rep!P441*$R108</f>
        <v>18.572445072599997</v>
      </c>
      <c r="Q108">
        <v>1999</v>
      </c>
      <c r="R108" s="27">
        <v>4515.58</v>
      </c>
      <c r="S108" s="27" t="e">
        <f t="shared" si="39"/>
        <v>#REF!</v>
      </c>
      <c r="T108">
        <f t="shared" si="38"/>
        <v>1999</v>
      </c>
      <c r="U108" s="27">
        <f t="shared" si="38"/>
        <v>4515.58</v>
      </c>
      <c r="V108" s="27">
        <f t="shared" si="38"/>
        <v>9138.4500000000007</v>
      </c>
    </row>
    <row r="109" spans="1:22" x14ac:dyDescent="0.15">
      <c r="A109">
        <f>pm.rep!A442</f>
        <v>2000</v>
      </c>
      <c r="B109" s="27">
        <f>pm.rep!B442*$R109</f>
        <v>470.43360959999995</v>
      </c>
      <c r="C109" s="27">
        <f>pm.rep!C442*$R109</f>
        <v>204.58038223999998</v>
      </c>
      <c r="D109" s="27">
        <f>pm.rep!D442*$R109</f>
        <v>263.82647456000001</v>
      </c>
      <c r="E109" s="27">
        <f>pm.rep!E442*$R109</f>
        <v>718.99566240000001</v>
      </c>
      <c r="F109" s="27">
        <f>pm.rep!F442*$R109</f>
        <v>656.00064480000003</v>
      </c>
      <c r="G109" s="27">
        <f>pm.rep!G442*$R109</f>
        <v>345.52481183999998</v>
      </c>
      <c r="H109" s="27">
        <f>pm.rep!H442*$R109</f>
        <v>438.42453295999996</v>
      </c>
      <c r="I109" s="27">
        <f>pm.rep!I442*$R109</f>
        <v>862.07578560000002</v>
      </c>
      <c r="J109" s="27">
        <f>pm.rep!J442*$R109</f>
        <v>288.79116671999998</v>
      </c>
      <c r="K109" s="27">
        <f>pm.rep!K442*$R109</f>
        <v>144.0605904</v>
      </c>
      <c r="L109" s="27">
        <f>pm.rep!L442*$R109</f>
        <v>105.8723008</v>
      </c>
      <c r="M109" s="27">
        <f>pm.rep!M442*$R109</f>
        <v>17.484907616000001</v>
      </c>
      <c r="N109" s="27">
        <f>pm.rep!N442*$R109</f>
        <v>4.9414185120000003</v>
      </c>
      <c r="O109" s="27">
        <f>pm.rep!O442*$R109</f>
        <v>3.4985883999999996</v>
      </c>
      <c r="P109" s="27">
        <f>pm.rep!P442*$R109</f>
        <v>14.694389023999999</v>
      </c>
      <c r="Q109">
        <v>2000</v>
      </c>
      <c r="R109" s="27">
        <v>4539.2</v>
      </c>
      <c r="S109" s="27" t="e">
        <f t="shared" si="39"/>
        <v>#REF!</v>
      </c>
      <c r="T109">
        <f t="shared" si="38"/>
        <v>2000</v>
      </c>
      <c r="U109" s="27">
        <f t="shared" si="38"/>
        <v>4539.2</v>
      </c>
      <c r="V109" s="27">
        <f t="shared" si="38"/>
        <v>11305.7</v>
      </c>
    </row>
    <row r="110" spans="1:22" x14ac:dyDescent="0.15">
      <c r="A110">
        <f>pm.rep!A443</f>
        <v>2001</v>
      </c>
      <c r="B110" s="27">
        <f>pm.rep!B443*$R110</f>
        <v>681.59480323999992</v>
      </c>
      <c r="C110" s="27">
        <f>pm.rep!C443*$R110</f>
        <v>224.16287246699997</v>
      </c>
      <c r="D110" s="27">
        <f>pm.rep!D443*$R110</f>
        <v>208.07313961199998</v>
      </c>
      <c r="E110" s="27">
        <f>pm.rep!E443*$R110</f>
        <v>271.61980739699999</v>
      </c>
      <c r="F110" s="27">
        <f>pm.rep!F443*$R110</f>
        <v>641.08915520999994</v>
      </c>
      <c r="G110" s="27">
        <f>pm.rep!G443*$R110</f>
        <v>502.73550295999996</v>
      </c>
      <c r="H110" s="27">
        <f>pm.rep!H443*$R110</f>
        <v>240.79833895100001</v>
      </c>
      <c r="I110" s="27">
        <f>pm.rep!I443*$R110</f>
        <v>267.11952121500002</v>
      </c>
      <c r="J110" s="27">
        <f>pm.rep!J443*$R110</f>
        <v>481.92772813999994</v>
      </c>
      <c r="K110" s="27">
        <f>pm.rep!K443*$R110</f>
        <v>161.25257387499997</v>
      </c>
      <c r="L110" s="27">
        <f>pm.rep!L443*$R110</f>
        <v>79.871054578999988</v>
      </c>
      <c r="M110" s="27">
        <f>pm.rep!M443*$R110</f>
        <v>58.108917993999995</v>
      </c>
      <c r="N110" s="27">
        <f>pm.rep!N443*$R110</f>
        <v>9.5506073417999993</v>
      </c>
      <c r="O110" s="27">
        <f>pm.rep!O443*$R110</f>
        <v>2.6930015143699997</v>
      </c>
      <c r="P110" s="27">
        <f>pm.rep!P443*$R110</f>
        <v>9.8952145094999988</v>
      </c>
      <c r="Q110">
        <v>2001</v>
      </c>
      <c r="R110" s="27">
        <v>3840.49</v>
      </c>
      <c r="S110" s="27" t="e">
        <f t="shared" si="39"/>
        <v>#REF!</v>
      </c>
      <c r="T110">
        <f t="shared" si="38"/>
        <v>2001</v>
      </c>
      <c r="U110" s="27">
        <f t="shared" si="38"/>
        <v>3840.49</v>
      </c>
      <c r="V110" s="27">
        <f t="shared" si="38"/>
        <v>8144.45</v>
      </c>
    </row>
    <row r="111" spans="1:22" x14ac:dyDescent="0.15">
      <c r="A111">
        <f>pm.rep!A444</f>
        <v>2002</v>
      </c>
      <c r="B111" s="27">
        <f>pm.rep!B444*$R111</f>
        <v>310.605076935</v>
      </c>
      <c r="C111" s="27">
        <f>pm.rep!C444*$R111</f>
        <v>270.883222128</v>
      </c>
      <c r="D111" s="27">
        <f>pm.rep!D444*$R111</f>
        <v>309.94265127300002</v>
      </c>
      <c r="E111" s="27">
        <f>pm.rep!E444*$R111</f>
        <v>318.50343149400004</v>
      </c>
      <c r="F111" s="27">
        <f>pm.rep!F444*$R111</f>
        <v>389.52283110000002</v>
      </c>
      <c r="G111" s="27">
        <f>pm.rep!G444*$R111</f>
        <v>739.92044163000003</v>
      </c>
      <c r="H111" s="27">
        <f>pm.rep!H444*$R111</f>
        <v>481.78872551999996</v>
      </c>
      <c r="I111" s="27">
        <f>pm.rep!I444*$R111</f>
        <v>196.779144567</v>
      </c>
      <c r="J111" s="27">
        <f>pm.rep!J444*$R111</f>
        <v>194.47719659400002</v>
      </c>
      <c r="K111" s="27">
        <f>pm.rep!K444*$R111</f>
        <v>334.92158761500002</v>
      </c>
      <c r="L111" s="27">
        <f>pm.rep!L444*$R111</f>
        <v>108.02463248700001</v>
      </c>
      <c r="M111" s="27">
        <f>pm.rep!M444*$R111</f>
        <v>52.293280295999999</v>
      </c>
      <c r="N111" s="27">
        <f>pm.rep!N444*$R111</f>
        <v>37.621416570000001</v>
      </c>
      <c r="O111" s="27">
        <f>pm.rep!O444*$R111</f>
        <v>6.1502575991999997</v>
      </c>
      <c r="P111" s="27">
        <f>pm.rep!P444*$R111</f>
        <v>8.0767809036000013</v>
      </c>
      <c r="Q111">
        <v>2002</v>
      </c>
      <c r="R111" s="27">
        <v>3759.51</v>
      </c>
      <c r="S111" s="27" t="e">
        <f t="shared" si="39"/>
        <v>#REF!</v>
      </c>
      <c r="T111">
        <f t="shared" si="38"/>
        <v>2002</v>
      </c>
      <c r="U111" s="27">
        <f t="shared" si="38"/>
        <v>3759.51</v>
      </c>
      <c r="V111" s="27">
        <f t="shared" si="38"/>
        <v>9537.39</v>
      </c>
    </row>
    <row r="112" spans="1:22" x14ac:dyDescent="0.15">
      <c r="A112">
        <f>pm.rep!A445</f>
        <v>2003</v>
      </c>
      <c r="B112" s="27">
        <f>pm.rep!B445*$R112</f>
        <v>132.276292512</v>
      </c>
      <c r="C112" s="27">
        <f>pm.rep!C445*$R112</f>
        <v>84.192056928</v>
      </c>
      <c r="D112" s="27">
        <f>pm.rep!D445*$R112</f>
        <v>226.32178550400002</v>
      </c>
      <c r="E112" s="27">
        <f>pm.rep!E445*$R112</f>
        <v>300.46408080000003</v>
      </c>
      <c r="F112" s="27">
        <f>pm.rep!F445*$R112</f>
        <v>300.51676703999999</v>
      </c>
      <c r="G112" s="27">
        <f>pm.rep!G445*$R112</f>
        <v>332.08414368000001</v>
      </c>
      <c r="H112" s="27">
        <f>pm.rep!H445*$R112</f>
        <v>525.04888415999994</v>
      </c>
      <c r="I112" s="27">
        <f>pm.rep!I445*$R112</f>
        <v>309.43737935999997</v>
      </c>
      <c r="J112" s="27">
        <f>pm.rep!J445*$R112</f>
        <v>118.97662176</v>
      </c>
      <c r="K112" s="27">
        <f>pm.rep!K445*$R112</f>
        <v>116.92019462399999</v>
      </c>
      <c r="L112" s="27">
        <f>pm.rep!L445*$R112</f>
        <v>201.18240744000002</v>
      </c>
      <c r="M112" s="27">
        <f>pm.rep!M445*$R112</f>
        <v>64.12525459199999</v>
      </c>
      <c r="N112" s="27">
        <f>pm.rep!N445*$R112</f>
        <v>30.879127967999999</v>
      </c>
      <c r="O112" s="27">
        <f>pm.rep!O445*$R112</f>
        <v>22.164546575999999</v>
      </c>
      <c r="P112" s="27">
        <f>pm.rep!P445*$R112</f>
        <v>8.3709839184000003</v>
      </c>
      <c r="Q112">
        <v>2003</v>
      </c>
      <c r="R112" s="27">
        <v>2772.96</v>
      </c>
      <c r="S112" s="27" t="e">
        <f t="shared" si="39"/>
        <v>#REF!</v>
      </c>
      <c r="T112">
        <f t="shared" si="38"/>
        <v>2003</v>
      </c>
      <c r="U112" s="27">
        <f t="shared" si="38"/>
        <v>2772.96</v>
      </c>
      <c r="V112" s="27">
        <f t="shared" si="38"/>
        <v>15526.5</v>
      </c>
    </row>
    <row r="113" spans="1:22" x14ac:dyDescent="0.15">
      <c r="A113">
        <f>pm.rep!A446</f>
        <v>2004</v>
      </c>
      <c r="B113" s="27">
        <f>pm.rep!B446*$R113</f>
        <v>158.31350416999999</v>
      </c>
      <c r="C113" s="27">
        <f>pm.rep!C446*$R113</f>
        <v>67.628433569999999</v>
      </c>
      <c r="D113" s="27">
        <f>pm.rep!D446*$R113</f>
        <v>205.00677860999997</v>
      </c>
      <c r="E113" s="27">
        <f>pm.rep!E446*$R113</f>
        <v>528.5042612499999</v>
      </c>
      <c r="F113" s="27">
        <f>pm.rep!F446*$R113</f>
        <v>614.4792616499999</v>
      </c>
      <c r="G113" s="27">
        <f>pm.rep!G446*$R113</f>
        <v>447.48261979999995</v>
      </c>
      <c r="H113" s="27">
        <f>pm.rep!H446*$R113</f>
        <v>327.1033463</v>
      </c>
      <c r="I113" s="27">
        <f>pm.rep!I446*$R113</f>
        <v>377.46736139999996</v>
      </c>
      <c r="J113" s="27">
        <f>pm.rep!J446*$R113</f>
        <v>190.13437513</v>
      </c>
      <c r="K113" s="27">
        <f>pm.rep!K446*$R113</f>
        <v>70.229028114999991</v>
      </c>
      <c r="L113" s="27">
        <f>pm.rep!L446*$R113</f>
        <v>68.668736265000007</v>
      </c>
      <c r="M113" s="27">
        <f>pm.rep!M446*$R113</f>
        <v>116.55412557999999</v>
      </c>
      <c r="N113" s="27">
        <f>pm.rep!N446*$R113</f>
        <v>36.960751285000001</v>
      </c>
      <c r="O113" s="27">
        <f>pm.rep!O446*$R113</f>
        <v>17.764555263000002</v>
      </c>
      <c r="P113" s="27">
        <f>pm.rep!P446*$R113</f>
        <v>17.552894050500001</v>
      </c>
      <c r="Q113">
        <v>2004</v>
      </c>
      <c r="R113" s="27">
        <v>3243.85</v>
      </c>
      <c r="S113" s="27" t="e">
        <f t="shared" si="39"/>
        <v>#REF!</v>
      </c>
      <c r="T113">
        <f t="shared" si="38"/>
        <v>2004</v>
      </c>
      <c r="U113" s="27">
        <f t="shared" si="38"/>
        <v>3243.85</v>
      </c>
      <c r="V113" s="27">
        <f t="shared" si="38"/>
        <v>6744.19</v>
      </c>
    </row>
    <row r="114" spans="1:22" x14ac:dyDescent="0.15">
      <c r="A114">
        <f>pm.rep!A447</f>
        <v>2005</v>
      </c>
      <c r="B114" s="27">
        <f>pm.rep!B447*$R114</f>
        <v>157.08862075999997</v>
      </c>
      <c r="C114" s="27">
        <f>pm.rep!C447*$R114</f>
        <v>44.36729218</v>
      </c>
      <c r="D114" s="27">
        <f>pm.rep!D447*$R114</f>
        <v>187.86364500999997</v>
      </c>
      <c r="E114" s="27">
        <f>pm.rep!E447*$R114</f>
        <v>562.77577924999991</v>
      </c>
      <c r="F114" s="27">
        <f>pm.rep!F447*$R114</f>
        <v>1070.9088391499999</v>
      </c>
      <c r="G114" s="27">
        <f>pm.rep!G447*$R114</f>
        <v>888.05269774999988</v>
      </c>
      <c r="H114" s="27">
        <f>pm.rep!H447*$R114</f>
        <v>439.00603094999997</v>
      </c>
      <c r="I114" s="27">
        <f>pm.rep!I447*$R114</f>
        <v>235.05587359999998</v>
      </c>
      <c r="J114" s="27">
        <f>pm.rep!J447*$R114</f>
        <v>235.906165405</v>
      </c>
      <c r="K114" s="27">
        <f>pm.rep!K447*$R114</f>
        <v>115.65456662</v>
      </c>
      <c r="L114" s="27">
        <f>pm.rep!L447*$R114</f>
        <v>42.61338448499999</v>
      </c>
      <c r="M114" s="27">
        <f>pm.rep!M447*$R114</f>
        <v>41.281853147</v>
      </c>
      <c r="N114" s="27">
        <f>pm.rep!N447*$R114</f>
        <v>69.833056369999994</v>
      </c>
      <c r="O114" s="27">
        <f>pm.rep!O447*$R114</f>
        <v>22.118045064499999</v>
      </c>
      <c r="P114" s="27">
        <f>pm.rep!P447*$R114</f>
        <v>21.123323528499999</v>
      </c>
      <c r="Q114">
        <v>2005</v>
      </c>
      <c r="R114" s="27">
        <v>4133.6499999999996</v>
      </c>
      <c r="S114" s="27" t="e">
        <f t="shared" si="39"/>
        <v>#REF!</v>
      </c>
      <c r="T114">
        <f t="shared" si="38"/>
        <v>2005</v>
      </c>
      <c r="U114" s="27">
        <f t="shared" si="38"/>
        <v>4133.6499999999996</v>
      </c>
      <c r="V114" s="27">
        <f t="shared" si="38"/>
        <v>10345.6</v>
      </c>
    </row>
    <row r="115" spans="1:22" x14ac:dyDescent="0.15">
      <c r="A115">
        <f>pm.rep!A448</f>
        <v>2006</v>
      </c>
      <c r="B115" s="27">
        <f>pm.rep!B448*$R115</f>
        <v>386.52778211999998</v>
      </c>
      <c r="C115" s="27">
        <f>pm.rep!C448*$R115</f>
        <v>12.481060686000001</v>
      </c>
      <c r="D115" s="27">
        <f>pm.rep!D448*$R115</f>
        <v>33.549753252000002</v>
      </c>
      <c r="E115" s="27">
        <f>pm.rep!E448*$R115</f>
        <v>145.04768559600001</v>
      </c>
      <c r="F115" s="27">
        <f>pm.rep!F448*$R115</f>
        <v>378.99449423999999</v>
      </c>
      <c r="G115" s="27">
        <f>pm.rep!G448*$R115</f>
        <v>598.58008326000004</v>
      </c>
      <c r="H115" s="27">
        <f>pm.rep!H448*$R115</f>
        <v>459.38558838</v>
      </c>
      <c r="I115" s="27">
        <f>pm.rep!I448*$R115</f>
        <v>220.89402992400002</v>
      </c>
      <c r="J115" s="27">
        <f>pm.rep!J448*$R115</f>
        <v>118.55940128400002</v>
      </c>
      <c r="K115" s="27">
        <f>pm.rep!K448*$R115</f>
        <v>120.414519552</v>
      </c>
      <c r="L115" s="27">
        <f>pm.rep!L448*$R115</f>
        <v>59.788685208000004</v>
      </c>
      <c r="M115" s="27">
        <f>pm.rep!M448*$R115</f>
        <v>21.999546525</v>
      </c>
      <c r="N115" s="27">
        <f>pm.rep!N448*$R115</f>
        <v>21.301966176000001</v>
      </c>
      <c r="O115" s="27">
        <f>pm.rep!O448*$R115</f>
        <v>36.029043168000001</v>
      </c>
      <c r="P115" s="27">
        <f>pm.rep!P448*$R115</f>
        <v>22.307414973</v>
      </c>
      <c r="Q115">
        <v>2006</v>
      </c>
      <c r="R115" s="27">
        <v>2635.86</v>
      </c>
      <c r="S115" s="27" t="e">
        <f t="shared" si="39"/>
        <v>#REF!</v>
      </c>
      <c r="T115">
        <f t="shared" si="38"/>
        <v>2006</v>
      </c>
      <c r="U115" s="27">
        <f t="shared" si="38"/>
        <v>2635.86</v>
      </c>
      <c r="V115" s="27">
        <f t="shared" si="38"/>
        <v>5056.71</v>
      </c>
    </row>
    <row r="116" spans="1:22" x14ac:dyDescent="0.15">
      <c r="A116">
        <f>pm.rep!A449</f>
        <v>2007</v>
      </c>
      <c r="B116" s="27">
        <f>pm.rep!B449*$R116</f>
        <v>751.72451235000005</v>
      </c>
      <c r="C116" s="27">
        <f>pm.rep!C449*$R116</f>
        <v>52.367480865000005</v>
      </c>
      <c r="D116" s="27">
        <f>pm.rep!D449*$R116</f>
        <v>44.728005420000002</v>
      </c>
      <c r="E116" s="27">
        <f>pm.rep!E449*$R116</f>
        <v>123.8502027</v>
      </c>
      <c r="F116" s="27">
        <f>pm.rep!F449*$R116</f>
        <v>410.07421140000002</v>
      </c>
      <c r="G116" s="27">
        <f>pm.rep!G449*$R116</f>
        <v>624.75989520000007</v>
      </c>
      <c r="H116" s="27">
        <f>pm.rep!H449*$R116</f>
        <v>575.43386985000006</v>
      </c>
      <c r="I116" s="27">
        <f>pm.rep!I449*$R116</f>
        <v>305.20393816500001</v>
      </c>
      <c r="J116" s="27">
        <f>pm.rep!J449*$R116</f>
        <v>121.58365464000002</v>
      </c>
      <c r="K116" s="27">
        <f>pm.rep!K449*$R116</f>
        <v>61.537486920000006</v>
      </c>
      <c r="L116" s="27">
        <f>pm.rep!L449*$R116</f>
        <v>61.492490220000008</v>
      </c>
      <c r="M116" s="27">
        <f>pm.rep!M449*$R116</f>
        <v>30.203327783999999</v>
      </c>
      <c r="N116" s="27">
        <f>pm.rep!N449*$R116</f>
        <v>11.072241547500001</v>
      </c>
      <c r="O116" s="27">
        <f>pm.rep!O449*$R116</f>
        <v>10.707639715500001</v>
      </c>
      <c r="P116" s="27">
        <f>pm.rep!P449*$R116</f>
        <v>29.308986231000002</v>
      </c>
      <c r="Q116">
        <v>2007</v>
      </c>
      <c r="R116" s="27">
        <v>3214.05</v>
      </c>
      <c r="S116" s="27" t="e">
        <f t="shared" si="39"/>
        <v>#REF!</v>
      </c>
      <c r="T116">
        <f t="shared" si="38"/>
        <v>2007</v>
      </c>
      <c r="U116" s="27">
        <f t="shared" si="38"/>
        <v>3214.05</v>
      </c>
      <c r="V116" s="27">
        <f t="shared" si="38"/>
        <v>7357.24</v>
      </c>
    </row>
    <row r="117" spans="1:22" x14ac:dyDescent="0.15">
      <c r="A117">
        <f>pm.rep!A450</f>
        <v>2008</v>
      </c>
      <c r="B117" s="27">
        <f>pm.rep!B450*$R117</f>
        <v>252.043452</v>
      </c>
      <c r="C117" s="27">
        <f>pm.rep!C450*$R117</f>
        <v>83.250031168000007</v>
      </c>
      <c r="D117" s="27">
        <f>pm.rep!D450*$R117</f>
        <v>97.040070159999999</v>
      </c>
      <c r="E117" s="27">
        <f>pm.rep!E450*$R117</f>
        <v>89.54959876800001</v>
      </c>
      <c r="F117" s="27">
        <f>pm.rep!F450*$R117</f>
        <v>206.91959460800001</v>
      </c>
      <c r="G117" s="27">
        <f>pm.rep!G450*$R117</f>
        <v>444.00713200000001</v>
      </c>
      <c r="H117" s="27">
        <f>pm.rep!H450*$R117</f>
        <v>471.98280096000002</v>
      </c>
      <c r="I117" s="27">
        <f>pm.rep!I450*$R117</f>
        <v>382.98941088000004</v>
      </c>
      <c r="J117" s="27">
        <f>pm.rep!J450*$R117</f>
        <v>193.96010227200003</v>
      </c>
      <c r="K117" s="27">
        <f>pm.rep!K450*$R117</f>
        <v>77.607513936000004</v>
      </c>
      <c r="L117" s="27">
        <f>pm.rep!L450*$R117</f>
        <v>39.397021936000002</v>
      </c>
      <c r="M117" s="27">
        <f>pm.rep!M450*$R117</f>
        <v>39.283058688000004</v>
      </c>
      <c r="N117" s="27">
        <f>pm.rep!N450*$R117</f>
        <v>19.282022680000001</v>
      </c>
      <c r="O117" s="27">
        <f>pm.rep!O450*$R117</f>
        <v>7.0671793279999999</v>
      </c>
      <c r="P117" s="27">
        <f>pm.rep!P450*$R117</f>
        <v>25.539917152000001</v>
      </c>
      <c r="Q117">
        <v>2008</v>
      </c>
      <c r="R117" s="27">
        <v>2429.92</v>
      </c>
      <c r="S117" s="27" t="e">
        <f t="shared" si="39"/>
        <v>#REF!</v>
      </c>
      <c r="T117">
        <f t="shared" si="38"/>
        <v>2008</v>
      </c>
      <c r="U117" s="27">
        <f t="shared" si="38"/>
        <v>2429.92</v>
      </c>
      <c r="V117" s="27">
        <f t="shared" si="38"/>
        <v>4636.5</v>
      </c>
    </row>
    <row r="118" spans="1:22" x14ac:dyDescent="0.15">
      <c r="A118">
        <f>pm.rep!A451</f>
        <v>2009</v>
      </c>
      <c r="B118" s="27">
        <f>pm.rep!B451*$R118</f>
        <v>417.74910483000002</v>
      </c>
      <c r="C118" s="27">
        <f>pm.rep!C451*$R118</f>
        <v>45.904494873000004</v>
      </c>
      <c r="D118" s="27">
        <f>pm.rep!D451*$R118</f>
        <v>217.213964304</v>
      </c>
      <c r="E118" s="27">
        <f>pm.rep!E451*$R118</f>
        <v>245.36994474000002</v>
      </c>
      <c r="F118" s="27">
        <f>pm.rep!F451*$R118</f>
        <v>163.312341156</v>
      </c>
      <c r="G118" s="27">
        <f>pm.rep!G451*$R118</f>
        <v>207.42647961600002</v>
      </c>
      <c r="H118" s="27">
        <f>pm.rep!H451*$R118</f>
        <v>264.79356125999999</v>
      </c>
      <c r="I118" s="27">
        <f>pm.rep!I451*$R118</f>
        <v>236.76066375000002</v>
      </c>
      <c r="J118" s="27">
        <f>pm.rep!J451*$R118</f>
        <v>183.95547896400001</v>
      </c>
      <c r="K118" s="27">
        <f>pm.rep!K451*$R118</f>
        <v>92.16649563</v>
      </c>
      <c r="L118" s="27">
        <f>pm.rep!L451*$R118</f>
        <v>37.298693259000004</v>
      </c>
      <c r="M118" s="27">
        <f>pm.rep!M451*$R118</f>
        <v>18.911561103299999</v>
      </c>
      <c r="N118" s="27">
        <f>pm.rep!N451*$R118</f>
        <v>18.850889484300001</v>
      </c>
      <c r="O118" s="27">
        <f>pm.rep!O451*$R118</f>
        <v>9.2521391982000001</v>
      </c>
      <c r="P118" s="27">
        <f>pm.rep!P451*$R118</f>
        <v>15.645470852100001</v>
      </c>
      <c r="Q118">
        <v>2009</v>
      </c>
      <c r="R118" s="27">
        <v>2174.61</v>
      </c>
      <c r="S118" s="27" t="e">
        <f t="shared" si="39"/>
        <v>#REF!</v>
      </c>
      <c r="T118">
        <f t="shared" si="38"/>
        <v>2009</v>
      </c>
      <c r="U118" s="27">
        <f t="shared" si="38"/>
        <v>2174.61</v>
      </c>
      <c r="V118" s="27">
        <f t="shared" si="38"/>
        <v>3648.9</v>
      </c>
    </row>
    <row r="119" spans="1:22" x14ac:dyDescent="0.15">
      <c r="A119">
        <f>pm.rep!A452</f>
        <v>2010</v>
      </c>
      <c r="B119" s="27">
        <f>pm.rep!B452*$R119</f>
        <v>250.64542731200001</v>
      </c>
      <c r="C119" s="27">
        <f>pm.rep!C452*$R119</f>
        <v>225.69712497600003</v>
      </c>
      <c r="D119" s="27">
        <f>pm.rep!D452*$R119</f>
        <v>180.87018022400002</v>
      </c>
      <c r="E119" s="27">
        <f>pm.rep!E452*$R119</f>
        <v>863.77796016000002</v>
      </c>
      <c r="F119" s="27">
        <f>pm.rep!F452*$R119</f>
        <v>657.85924336000005</v>
      </c>
      <c r="G119" s="27">
        <f>pm.rep!G452*$R119</f>
        <v>226.5372132</v>
      </c>
      <c r="H119" s="27">
        <f>pm.rep!H452*$R119</f>
        <v>168.886550368</v>
      </c>
      <c r="I119" s="27">
        <f>pm.rep!I452*$R119</f>
        <v>174.81697182400001</v>
      </c>
      <c r="J119" s="27">
        <f>pm.rep!J452*$R119</f>
        <v>149.457709104</v>
      </c>
      <c r="K119" s="27">
        <f>pm.rep!K452*$R119</f>
        <v>114.38167651200001</v>
      </c>
      <c r="L119" s="27">
        <f>pm.rep!L452*$R119</f>
        <v>57.304228240000008</v>
      </c>
      <c r="M119" s="27">
        <f>pm.rep!M452*$R119</f>
        <v>23.169708393600001</v>
      </c>
      <c r="N119" s="27">
        <f>pm.rep!N452*$R119</f>
        <v>11.7451663344</v>
      </c>
      <c r="O119" s="27">
        <f>pm.rep!O452*$R119</f>
        <v>11.7068267376</v>
      </c>
      <c r="P119" s="27">
        <f>pm.rep!P452*$R119</f>
        <v>15.461695337600002</v>
      </c>
      <c r="Q119">
        <v>2010</v>
      </c>
      <c r="R119" s="27">
        <v>3132.32</v>
      </c>
      <c r="S119" s="27" t="e">
        <f t="shared" si="39"/>
        <v>#REF!</v>
      </c>
      <c r="T119">
        <f t="shared" si="38"/>
        <v>2010</v>
      </c>
      <c r="U119" s="27">
        <f t="shared" si="38"/>
        <v>3132.32</v>
      </c>
      <c r="V119" s="27">
        <f t="shared" si="38"/>
        <v>7033.5</v>
      </c>
    </row>
    <row r="120" spans="1:22" x14ac:dyDescent="0.15">
      <c r="A120">
        <f>pm.rep!A453</f>
        <v>2011</v>
      </c>
      <c r="B120" s="27">
        <f>pm.rep!B453*$R120</f>
        <v>409.71383639999993</v>
      </c>
      <c r="C120" s="27">
        <f>pm.rep!C453*$R120</f>
        <v>26.990067939999996</v>
      </c>
      <c r="D120" s="27">
        <f>pm.rep!D453*$R120</f>
        <v>217.99007608400001</v>
      </c>
      <c r="E120" s="27">
        <f>pm.rep!E453*$R120</f>
        <v>176.67709241599999</v>
      </c>
      <c r="F120" s="27">
        <f>pm.rep!F453*$R120</f>
        <v>615.81022888000007</v>
      </c>
      <c r="G120" s="27">
        <f>pm.rep!G453*$R120</f>
        <v>376.85745811999999</v>
      </c>
      <c r="H120" s="27">
        <f>pm.rep!H453*$R120</f>
        <v>115.68052403599999</v>
      </c>
      <c r="I120" s="27">
        <f>pm.rep!I453*$R120</f>
        <v>82.056863063999998</v>
      </c>
      <c r="J120" s="27">
        <f>pm.rep!J453*$R120</f>
        <v>83.788461327999997</v>
      </c>
      <c r="K120" s="27">
        <f>pm.rep!K453*$R120</f>
        <v>72.235232212</v>
      </c>
      <c r="L120" s="27">
        <f>pm.rep!L453*$R120</f>
        <v>55.429473087999995</v>
      </c>
      <c r="M120" s="27">
        <f>pm.rep!M453*$R120</f>
        <v>27.767660491999997</v>
      </c>
      <c r="N120" s="27">
        <f>pm.rep!N453*$R120</f>
        <v>11.2271167888</v>
      </c>
      <c r="O120" s="27">
        <f>pm.rep!O453*$R120</f>
        <v>5.6912260064</v>
      </c>
      <c r="P120" s="27">
        <f>pm.rep!P453*$R120</f>
        <v>13.164728966399998</v>
      </c>
      <c r="Q120">
        <v>2011</v>
      </c>
      <c r="R120" s="27">
        <v>2291.08</v>
      </c>
      <c r="S120" s="27" t="e">
        <f t="shared" si="39"/>
        <v>#REF!</v>
      </c>
      <c r="T120">
        <f t="shared" si="38"/>
        <v>2011</v>
      </c>
      <c r="U120" s="27">
        <f t="shared" si="38"/>
        <v>2291.08</v>
      </c>
      <c r="V120" s="27">
        <f t="shared" si="38"/>
        <v>4950.78</v>
      </c>
    </row>
    <row r="121" spans="1:22" x14ac:dyDescent="0.15">
      <c r="S121" s="27"/>
    </row>
    <row r="122" spans="1:22" x14ac:dyDescent="0.15">
      <c r="A122">
        <f t="shared" ref="A122:B151" si="40">A91</f>
        <v>1982</v>
      </c>
      <c r="B122" s="27">
        <f t="shared" si="40"/>
        <v>577.97385226099993</v>
      </c>
      <c r="C122" s="27">
        <f>C91+B122</f>
        <v>1491.2300511809999</v>
      </c>
      <c r="D122" s="27">
        <f t="shared" ref="D122:P122" si="41">D91+C122</f>
        <v>2496.7811366809997</v>
      </c>
      <c r="E122" s="27">
        <f t="shared" si="41"/>
        <v>5005.8314479809997</v>
      </c>
      <c r="F122" s="27">
        <f t="shared" si="41"/>
        <v>5801.0466139209993</v>
      </c>
      <c r="G122" s="27">
        <f t="shared" si="41"/>
        <v>6042.0633579409996</v>
      </c>
      <c r="H122" s="27">
        <f t="shared" si="41"/>
        <v>6161.4093671649998</v>
      </c>
      <c r="I122" s="27">
        <f t="shared" si="41"/>
        <v>6236.9743068489997</v>
      </c>
      <c r="J122" s="27">
        <f t="shared" si="41"/>
        <v>6276.4941998498998</v>
      </c>
      <c r="K122" s="27">
        <f t="shared" si="41"/>
        <v>6298.4414013833002</v>
      </c>
      <c r="L122" s="27">
        <f t="shared" si="41"/>
        <v>6302.9995041902203</v>
      </c>
      <c r="M122" s="27">
        <f t="shared" si="41"/>
        <v>6305.7678270302304</v>
      </c>
      <c r="N122" s="27">
        <f t="shared" si="41"/>
        <v>6307.9615059791204</v>
      </c>
      <c r="O122" s="27">
        <f t="shared" si="41"/>
        <v>6309.2062059509608</v>
      </c>
      <c r="P122" s="27">
        <f t="shared" si="41"/>
        <v>6310.3349157470711</v>
      </c>
    </row>
    <row r="123" spans="1:22" x14ac:dyDescent="0.15">
      <c r="A123">
        <f t="shared" si="40"/>
        <v>1983</v>
      </c>
      <c r="B123" s="27">
        <f t="shared" si="40"/>
        <v>1674.0001868100001</v>
      </c>
      <c r="C123" s="27">
        <f t="shared" ref="C123:P123" si="42">C92+B123</f>
        <v>1997.3257454260001</v>
      </c>
      <c r="D123" s="27">
        <f t="shared" si="42"/>
        <v>2875.9223835060002</v>
      </c>
      <c r="E123" s="27">
        <f t="shared" si="42"/>
        <v>3885.6044425059999</v>
      </c>
      <c r="F123" s="27">
        <f t="shared" si="42"/>
        <v>6061.4796744559999</v>
      </c>
      <c r="G123" s="27">
        <f t="shared" si="42"/>
        <v>6633.3852138679995</v>
      </c>
      <c r="H123" s="27">
        <f t="shared" si="42"/>
        <v>6784.3967829859994</v>
      </c>
      <c r="I123" s="27">
        <f t="shared" si="42"/>
        <v>6852.3155379728996</v>
      </c>
      <c r="J123" s="27">
        <f t="shared" si="42"/>
        <v>6892.5830721793</v>
      </c>
      <c r="K123" s="27">
        <f t="shared" si="42"/>
        <v>6912.8672174615003</v>
      </c>
      <c r="L123" s="27">
        <f t="shared" si="42"/>
        <v>6923.9449611500004</v>
      </c>
      <c r="M123" s="27">
        <f t="shared" si="42"/>
        <v>6926.2261634760807</v>
      </c>
      <c r="N123" s="27">
        <f t="shared" si="42"/>
        <v>6927.6058035749011</v>
      </c>
      <c r="O123" s="27">
        <f t="shared" si="42"/>
        <v>6928.6968007284813</v>
      </c>
      <c r="P123" s="27">
        <f t="shared" si="42"/>
        <v>6929.8756824934017</v>
      </c>
    </row>
    <row r="124" spans="1:22" x14ac:dyDescent="0.15">
      <c r="A124">
        <f t="shared" si="40"/>
        <v>1984</v>
      </c>
      <c r="B124" s="27">
        <f t="shared" si="40"/>
        <v>342.066396892</v>
      </c>
      <c r="C124" s="27">
        <f t="shared" ref="C124:P124" si="43">C93+B124</f>
        <v>846.24654638000004</v>
      </c>
      <c r="D124" s="27">
        <f t="shared" si="43"/>
        <v>1107.3270021840001</v>
      </c>
      <c r="E124" s="27">
        <f t="shared" si="43"/>
        <v>1892.059585344</v>
      </c>
      <c r="F124" s="27">
        <f t="shared" si="43"/>
        <v>2766.1600241840001</v>
      </c>
      <c r="G124" s="27">
        <f t="shared" si="43"/>
        <v>4572.8903318040002</v>
      </c>
      <c r="H124" s="27">
        <f t="shared" si="43"/>
        <v>5027.4153088459998</v>
      </c>
      <c r="I124" s="27">
        <f t="shared" si="43"/>
        <v>5144.8913728500002</v>
      </c>
      <c r="J124" s="27">
        <f t="shared" si="43"/>
        <v>5196.6138074937999</v>
      </c>
      <c r="K124" s="27">
        <f t="shared" si="43"/>
        <v>5226.7549663917998</v>
      </c>
      <c r="L124" s="27">
        <f t="shared" si="43"/>
        <v>5241.8433584601999</v>
      </c>
      <c r="M124" s="27">
        <f t="shared" si="43"/>
        <v>5250.0669561723998</v>
      </c>
      <c r="N124" s="27">
        <f t="shared" si="43"/>
        <v>5251.7588344933401</v>
      </c>
      <c r="O124" s="27">
        <f t="shared" si="43"/>
        <v>5252.7816308957199</v>
      </c>
      <c r="P124" s="27">
        <f t="shared" si="43"/>
        <v>5254.4639566083797</v>
      </c>
    </row>
    <row r="125" spans="1:22" x14ac:dyDescent="0.15">
      <c r="A125">
        <f t="shared" si="40"/>
        <v>1985</v>
      </c>
      <c r="B125" s="27">
        <f t="shared" si="40"/>
        <v>1754.9800607500001</v>
      </c>
      <c r="C125" s="27">
        <f t="shared" ref="C125:P125" si="44">C94+B125</f>
        <v>1922.9960193750001</v>
      </c>
      <c r="D125" s="27">
        <f t="shared" si="44"/>
        <v>2839.435737625</v>
      </c>
      <c r="E125" s="27">
        <f t="shared" si="44"/>
        <v>3236.6939868250001</v>
      </c>
      <c r="F125" s="27">
        <f t="shared" si="44"/>
        <v>4113.0064168250001</v>
      </c>
      <c r="G125" s="27">
        <f t="shared" si="44"/>
        <v>4810.0188738249999</v>
      </c>
      <c r="H125" s="27">
        <f t="shared" si="44"/>
        <v>5969.5521293250004</v>
      </c>
      <c r="I125" s="27">
        <f t="shared" si="44"/>
        <v>6227.90368545</v>
      </c>
      <c r="J125" s="27">
        <f t="shared" si="44"/>
        <v>6291.1560613874999</v>
      </c>
      <c r="K125" s="27">
        <f t="shared" si="44"/>
        <v>6318.2373784749998</v>
      </c>
      <c r="L125" s="27">
        <f t="shared" si="44"/>
        <v>6333.8815613974994</v>
      </c>
      <c r="M125" s="27">
        <f t="shared" si="44"/>
        <v>6341.7045098724993</v>
      </c>
      <c r="N125" s="27">
        <f t="shared" si="44"/>
        <v>6345.9682611989992</v>
      </c>
      <c r="O125" s="27">
        <f t="shared" si="44"/>
        <v>6346.8456274384989</v>
      </c>
      <c r="P125" s="27">
        <f t="shared" si="44"/>
        <v>6348.2485018129992</v>
      </c>
    </row>
    <row r="126" spans="1:22" x14ac:dyDescent="0.15">
      <c r="A126">
        <f t="shared" si="40"/>
        <v>1986</v>
      </c>
      <c r="B126" s="27">
        <f t="shared" si="40"/>
        <v>960.40842065000004</v>
      </c>
      <c r="C126" s="27">
        <f t="shared" ref="C126:P126" si="45">C95+B126</f>
        <v>1251.81129962</v>
      </c>
      <c r="D126" s="27">
        <f t="shared" si="45"/>
        <v>1423.1158797099999</v>
      </c>
      <c r="E126" s="27">
        <f t="shared" si="45"/>
        <v>2396.4510925599998</v>
      </c>
      <c r="F126" s="27">
        <f t="shared" si="45"/>
        <v>2789.1305741599999</v>
      </c>
      <c r="G126" s="27">
        <f t="shared" si="45"/>
        <v>3546.73585791</v>
      </c>
      <c r="H126" s="27">
        <f t="shared" si="45"/>
        <v>4071.8125285599999</v>
      </c>
      <c r="I126" s="27">
        <f t="shared" si="45"/>
        <v>4879.2453722600003</v>
      </c>
      <c r="J126" s="27">
        <f t="shared" si="45"/>
        <v>5047.1984100300006</v>
      </c>
      <c r="K126" s="27">
        <f t="shared" si="45"/>
        <v>5086.7649957705007</v>
      </c>
      <c r="L126" s="27">
        <f t="shared" si="45"/>
        <v>5103.3508793680003</v>
      </c>
      <c r="M126" s="27">
        <f t="shared" si="45"/>
        <v>5112.8584735724999</v>
      </c>
      <c r="N126" s="27">
        <f t="shared" si="45"/>
        <v>5117.5955641786495</v>
      </c>
      <c r="O126" s="27">
        <f t="shared" si="45"/>
        <v>5120.1730815255996</v>
      </c>
      <c r="P126" s="27">
        <f t="shared" si="45"/>
        <v>5121.5499385413996</v>
      </c>
    </row>
    <row r="127" spans="1:22" x14ac:dyDescent="0.15">
      <c r="A127">
        <f t="shared" si="40"/>
        <v>1987</v>
      </c>
      <c r="B127" s="27">
        <f t="shared" si="40"/>
        <v>407.64561220799999</v>
      </c>
      <c r="C127" s="27">
        <f t="shared" ref="C127:P127" si="46">C96+B127</f>
        <v>654.16955187300005</v>
      </c>
      <c r="D127" s="27">
        <f t="shared" si="46"/>
        <v>1519.3158687529999</v>
      </c>
      <c r="E127" s="27">
        <f t="shared" si="46"/>
        <v>2003.1687397979999</v>
      </c>
      <c r="F127" s="27">
        <f t="shared" si="46"/>
        <v>4219.3677842079996</v>
      </c>
      <c r="G127" s="27">
        <f t="shared" si="46"/>
        <v>4891.9662927579993</v>
      </c>
      <c r="H127" s="27">
        <f t="shared" si="46"/>
        <v>5859.539785427999</v>
      </c>
      <c r="I127" s="27">
        <f t="shared" si="46"/>
        <v>6401.8696764019987</v>
      </c>
      <c r="J127" s="27">
        <f t="shared" si="46"/>
        <v>7142.5839834419985</v>
      </c>
      <c r="K127" s="27">
        <f t="shared" si="46"/>
        <v>7286.0731347039982</v>
      </c>
      <c r="L127" s="27">
        <f t="shared" si="46"/>
        <v>7318.8439532047978</v>
      </c>
      <c r="M127" s="27">
        <f t="shared" si="46"/>
        <v>7332.4080414951977</v>
      </c>
      <c r="N127" s="27">
        <f t="shared" si="46"/>
        <v>7340.1405181387981</v>
      </c>
      <c r="O127" s="27">
        <f t="shared" si="46"/>
        <v>7343.9839434356481</v>
      </c>
      <c r="P127" s="27">
        <f t="shared" si="46"/>
        <v>7347.1883395350578</v>
      </c>
    </row>
    <row r="128" spans="1:22" x14ac:dyDescent="0.15">
      <c r="A128">
        <f t="shared" si="40"/>
        <v>1988</v>
      </c>
      <c r="B128" s="27">
        <f t="shared" si="40"/>
        <v>397.84442432000003</v>
      </c>
      <c r="C128" s="27">
        <f t="shared" ref="C128:P128" si="47">C97+B128</f>
        <v>609.3911488</v>
      </c>
      <c r="D128" s="27">
        <f t="shared" si="47"/>
        <v>1167.9370785599999</v>
      </c>
      <c r="E128" s="27">
        <f t="shared" si="47"/>
        <v>2972.6137985599999</v>
      </c>
      <c r="F128" s="27">
        <f t="shared" si="47"/>
        <v>3743.0614144000001</v>
      </c>
      <c r="G128" s="27">
        <f t="shared" si="47"/>
        <v>6344.0988127999999</v>
      </c>
      <c r="H128" s="27">
        <f t="shared" si="47"/>
        <v>6940.55723872</v>
      </c>
      <c r="I128" s="27">
        <f t="shared" si="47"/>
        <v>7671.9971720000003</v>
      </c>
      <c r="J128" s="27">
        <f t="shared" si="47"/>
        <v>8042.4325004800003</v>
      </c>
      <c r="K128" s="27">
        <f t="shared" si="47"/>
        <v>8526.5646267200009</v>
      </c>
      <c r="L128" s="27">
        <f t="shared" si="47"/>
        <v>8618.7438254400004</v>
      </c>
      <c r="M128" s="27">
        <f t="shared" si="47"/>
        <v>8639.6226667520004</v>
      </c>
      <c r="N128" s="27">
        <f t="shared" si="47"/>
        <v>8648.2336022880008</v>
      </c>
      <c r="O128" s="27">
        <f t="shared" si="47"/>
        <v>8653.1348428000001</v>
      </c>
      <c r="P128" s="27">
        <f t="shared" si="47"/>
        <v>8657.5984329744006</v>
      </c>
    </row>
    <row r="129" spans="1:16" x14ac:dyDescent="0.15">
      <c r="A129">
        <f t="shared" si="40"/>
        <v>1989</v>
      </c>
      <c r="B129" s="27">
        <f t="shared" si="40"/>
        <v>477.04544804699998</v>
      </c>
      <c r="C129" s="27">
        <f t="shared" ref="C129:P129" si="48">C98+B129</f>
        <v>619.737275297</v>
      </c>
      <c r="D129" s="27">
        <f t="shared" si="48"/>
        <v>926.38181738899993</v>
      </c>
      <c r="E129" s="27">
        <f t="shared" si="48"/>
        <v>1696.1413475579998</v>
      </c>
      <c r="F129" s="27">
        <f t="shared" si="48"/>
        <v>3742.8677545979999</v>
      </c>
      <c r="G129" s="27">
        <f t="shared" si="48"/>
        <v>4427.9154490969995</v>
      </c>
      <c r="H129" s="27">
        <f t="shared" si="48"/>
        <v>6331.4828250869996</v>
      </c>
      <c r="I129" s="27">
        <f t="shared" si="48"/>
        <v>6723.0307564069999</v>
      </c>
      <c r="J129" s="27">
        <f t="shared" si="48"/>
        <v>7184.5424567769996</v>
      </c>
      <c r="K129" s="27">
        <f t="shared" si="48"/>
        <v>7412.097182259</v>
      </c>
      <c r="L129" s="27">
        <f t="shared" si="48"/>
        <v>7707.2485108709998</v>
      </c>
      <c r="M129" s="27">
        <f t="shared" si="48"/>
        <v>7763.2042641201997</v>
      </c>
      <c r="N129" s="27">
        <f t="shared" si="48"/>
        <v>7775.8550528819997</v>
      </c>
      <c r="O129" s="27">
        <f t="shared" si="48"/>
        <v>7781.0684321383296</v>
      </c>
      <c r="P129" s="27">
        <f t="shared" si="48"/>
        <v>7786.7358789811497</v>
      </c>
    </row>
    <row r="130" spans="1:16" x14ac:dyDescent="0.15">
      <c r="A130">
        <f t="shared" si="40"/>
        <v>1990</v>
      </c>
      <c r="B130" s="27">
        <f t="shared" si="40"/>
        <v>967.75085353999998</v>
      </c>
      <c r="C130" s="27">
        <f t="shared" ref="C130:P130" si="49">C99+B130</f>
        <v>1136.6146273079999</v>
      </c>
      <c r="D130" s="27">
        <f t="shared" si="49"/>
        <v>1283.4191420579998</v>
      </c>
      <c r="E130" s="27">
        <f t="shared" si="49"/>
        <v>1599.0457205159998</v>
      </c>
      <c r="F130" s="27">
        <f t="shared" si="49"/>
        <v>2264.5178106559997</v>
      </c>
      <c r="G130" s="27">
        <f t="shared" si="49"/>
        <v>3724.0302715959997</v>
      </c>
      <c r="H130" s="27">
        <f t="shared" si="49"/>
        <v>4139.4046709699996</v>
      </c>
      <c r="I130" s="27">
        <f t="shared" si="49"/>
        <v>5183.8603248499994</v>
      </c>
      <c r="J130" s="27">
        <f t="shared" si="49"/>
        <v>5393.6780148159996</v>
      </c>
      <c r="K130" s="27">
        <f t="shared" si="49"/>
        <v>5639.7691563899998</v>
      </c>
      <c r="L130" s="27">
        <f t="shared" si="49"/>
        <v>5760.4536398519995</v>
      </c>
      <c r="M130" s="27">
        <f t="shared" si="49"/>
        <v>5916.5863115919992</v>
      </c>
      <c r="N130" s="27">
        <f t="shared" si="49"/>
        <v>5946.1558840135995</v>
      </c>
      <c r="O130" s="27">
        <f t="shared" si="49"/>
        <v>5952.8383718977993</v>
      </c>
      <c r="P130" s="27">
        <f t="shared" si="49"/>
        <v>5958.584719195359</v>
      </c>
    </row>
    <row r="131" spans="1:16" x14ac:dyDescent="0.15">
      <c r="A131">
        <f t="shared" si="40"/>
        <v>1991</v>
      </c>
      <c r="B131" s="27">
        <f t="shared" si="40"/>
        <v>1011.7400888399999</v>
      </c>
      <c r="C131" s="27">
        <f t="shared" ref="C131:P131" si="50">C100+B131</f>
        <v>1353.9037039319999</v>
      </c>
      <c r="D131" s="27">
        <f t="shared" si="50"/>
        <v>1501.6048566479999</v>
      </c>
      <c r="E131" s="27">
        <f t="shared" si="50"/>
        <v>1631.2672096499998</v>
      </c>
      <c r="F131" s="27">
        <f t="shared" si="50"/>
        <v>1870.4984587379997</v>
      </c>
      <c r="G131" s="27">
        <f t="shared" si="50"/>
        <v>2293.7257185179997</v>
      </c>
      <c r="H131" s="27">
        <f t="shared" si="50"/>
        <v>3098.2163691179994</v>
      </c>
      <c r="I131" s="27">
        <f t="shared" si="50"/>
        <v>3315.9567745979994</v>
      </c>
      <c r="J131" s="27">
        <f t="shared" si="50"/>
        <v>3839.3554415579993</v>
      </c>
      <c r="K131" s="27">
        <f t="shared" si="50"/>
        <v>3944.2029797039991</v>
      </c>
      <c r="L131" s="27">
        <f t="shared" si="50"/>
        <v>4067.4278858459988</v>
      </c>
      <c r="M131" s="27">
        <f t="shared" si="50"/>
        <v>4127.7830713079984</v>
      </c>
      <c r="N131" s="27">
        <f t="shared" si="50"/>
        <v>4205.8308799259985</v>
      </c>
      <c r="O131" s="27">
        <f t="shared" si="50"/>
        <v>4220.6097024467981</v>
      </c>
      <c r="P131" s="27">
        <f t="shared" si="50"/>
        <v>4226.8211412413984</v>
      </c>
    </row>
    <row r="132" spans="1:16" x14ac:dyDescent="0.15">
      <c r="A132">
        <f t="shared" si="40"/>
        <v>1992</v>
      </c>
      <c r="B132" s="27">
        <f t="shared" si="40"/>
        <v>681.46038899000007</v>
      </c>
      <c r="C132" s="27">
        <f t="shared" ref="C132:P132" si="51">C101+B132</f>
        <v>910.64848876500014</v>
      </c>
      <c r="D132" s="27">
        <f t="shared" si="51"/>
        <v>1734.5835112850002</v>
      </c>
      <c r="E132" s="27">
        <f t="shared" si="51"/>
        <v>2065.4901448090004</v>
      </c>
      <c r="F132" s="27">
        <f t="shared" si="51"/>
        <v>2277.5347336470004</v>
      </c>
      <c r="G132" s="27">
        <f t="shared" si="51"/>
        <v>2529.9801347690004</v>
      </c>
      <c r="H132" s="27">
        <f t="shared" si="51"/>
        <v>2842.6864845340006</v>
      </c>
      <c r="I132" s="27">
        <f t="shared" si="51"/>
        <v>3326.7074067540007</v>
      </c>
      <c r="J132" s="27">
        <f t="shared" si="51"/>
        <v>3451.6026204380005</v>
      </c>
      <c r="K132" s="27">
        <f t="shared" si="51"/>
        <v>3740.3442554860003</v>
      </c>
      <c r="L132" s="27">
        <f t="shared" si="51"/>
        <v>3797.7660657770002</v>
      </c>
      <c r="M132" s="27">
        <f t="shared" si="51"/>
        <v>3865.0695318800003</v>
      </c>
      <c r="N132" s="27">
        <f t="shared" si="51"/>
        <v>3898.0043666895003</v>
      </c>
      <c r="O132" s="27">
        <f t="shared" si="51"/>
        <v>3940.5803762855003</v>
      </c>
      <c r="P132" s="27">
        <f t="shared" si="51"/>
        <v>3952.0294862361002</v>
      </c>
    </row>
    <row r="133" spans="1:16" x14ac:dyDescent="0.15">
      <c r="A133">
        <f t="shared" si="40"/>
        <v>1993</v>
      </c>
      <c r="B133" s="27">
        <f t="shared" si="40"/>
        <v>1082.7704213700001</v>
      </c>
      <c r="C133" s="27">
        <f t="shared" ref="C133:P133" si="52">C102+B133</f>
        <v>1278.822013359</v>
      </c>
      <c r="D133" s="27">
        <f t="shared" si="52"/>
        <v>1706.329058115</v>
      </c>
      <c r="E133" s="27">
        <f t="shared" si="52"/>
        <v>3083.7214968449998</v>
      </c>
      <c r="F133" s="27">
        <f t="shared" si="52"/>
        <v>3513.4906037549999</v>
      </c>
      <c r="G133" s="27">
        <f t="shared" si="52"/>
        <v>3698.3381319720002</v>
      </c>
      <c r="H133" s="27">
        <f t="shared" si="52"/>
        <v>3852.7645111890001</v>
      </c>
      <c r="I133" s="27">
        <f t="shared" si="52"/>
        <v>4012.8551267310004</v>
      </c>
      <c r="J133" s="27">
        <f t="shared" si="52"/>
        <v>4245.2459163180001</v>
      </c>
      <c r="K133" s="27">
        <f t="shared" si="52"/>
        <v>4304.3800895040004</v>
      </c>
      <c r="L133" s="27">
        <f t="shared" si="52"/>
        <v>4440.7540140480005</v>
      </c>
      <c r="M133" s="27">
        <f t="shared" si="52"/>
        <v>4467.8197557180001</v>
      </c>
      <c r="N133" s="27">
        <f t="shared" si="52"/>
        <v>4499.5216804955999</v>
      </c>
      <c r="O133" s="27">
        <f t="shared" si="52"/>
        <v>4515.0314719686003</v>
      </c>
      <c r="P133" s="27">
        <f t="shared" si="52"/>
        <v>4540.4711351175001</v>
      </c>
    </row>
    <row r="134" spans="1:16" x14ac:dyDescent="0.15">
      <c r="A134">
        <f t="shared" si="40"/>
        <v>1994</v>
      </c>
      <c r="B134" s="27">
        <f t="shared" si="40"/>
        <v>622.06228999999996</v>
      </c>
      <c r="C134" s="27">
        <f t="shared" ref="C134:P134" si="53">C103+B134</f>
        <v>937.59897949999993</v>
      </c>
      <c r="D134" s="27">
        <f t="shared" si="53"/>
        <v>1247.2359852499999</v>
      </c>
      <c r="E134" s="27">
        <f t="shared" si="53"/>
        <v>1892.7010377500001</v>
      </c>
      <c r="F134" s="27">
        <f t="shared" si="53"/>
        <v>3473.6430977499999</v>
      </c>
      <c r="G134" s="27">
        <f t="shared" si="53"/>
        <v>3879.7386794999998</v>
      </c>
      <c r="H134" s="27">
        <f t="shared" si="53"/>
        <v>4017.7151689999996</v>
      </c>
      <c r="I134" s="27">
        <f t="shared" si="53"/>
        <v>4119.5005509999992</v>
      </c>
      <c r="J134" s="27">
        <f t="shared" si="53"/>
        <v>4221.9686464999995</v>
      </c>
      <c r="K134" s="27">
        <f t="shared" si="53"/>
        <v>4369.6521552499999</v>
      </c>
      <c r="L134" s="27">
        <f t="shared" si="53"/>
        <v>4407.3183431999996</v>
      </c>
      <c r="M134" s="27">
        <f t="shared" si="53"/>
        <v>4494.0853954499999</v>
      </c>
      <c r="N134" s="27">
        <f t="shared" si="53"/>
        <v>4511.2995286999994</v>
      </c>
      <c r="O134" s="27">
        <f t="shared" si="53"/>
        <v>4531.4599945499995</v>
      </c>
      <c r="P134" s="27">
        <f t="shared" si="53"/>
        <v>4557.4999544249995</v>
      </c>
    </row>
    <row r="135" spans="1:16" x14ac:dyDescent="0.15">
      <c r="A135">
        <f t="shared" si="40"/>
        <v>1995</v>
      </c>
      <c r="B135" s="27">
        <f t="shared" si="40"/>
        <v>458.97865940000003</v>
      </c>
      <c r="C135" s="27">
        <f t="shared" ref="C135:P135" si="54">C104+B135</f>
        <v>513.79963100000009</v>
      </c>
      <c r="D135" s="27">
        <f t="shared" si="54"/>
        <v>839.80873038000004</v>
      </c>
      <c r="E135" s="27">
        <f t="shared" si="54"/>
        <v>1161.2552945699999</v>
      </c>
      <c r="F135" s="27">
        <f t="shared" si="54"/>
        <v>1730.8718875699999</v>
      </c>
      <c r="G135" s="27">
        <f t="shared" si="54"/>
        <v>2813.1053729699997</v>
      </c>
      <c r="H135" s="27">
        <f t="shared" si="54"/>
        <v>3069.5794717399999</v>
      </c>
      <c r="I135" s="27">
        <f t="shared" si="54"/>
        <v>3149.7601572399999</v>
      </c>
      <c r="J135" s="27">
        <f t="shared" si="54"/>
        <v>3207.9630004099999</v>
      </c>
      <c r="K135" s="27">
        <f t="shared" si="54"/>
        <v>3266.49714872</v>
      </c>
      <c r="L135" s="27">
        <f t="shared" si="54"/>
        <v>3350.95540549</v>
      </c>
      <c r="M135" s="27">
        <f t="shared" si="54"/>
        <v>3372.4832538239998</v>
      </c>
      <c r="N135" s="27">
        <f t="shared" si="54"/>
        <v>3422.0655925839997</v>
      </c>
      <c r="O135" s="27">
        <f t="shared" si="54"/>
        <v>3431.9020352739994</v>
      </c>
      <c r="P135" s="27">
        <f t="shared" si="54"/>
        <v>3458.3008991579995</v>
      </c>
    </row>
    <row r="136" spans="1:16" x14ac:dyDescent="0.15">
      <c r="A136">
        <f t="shared" si="40"/>
        <v>1996</v>
      </c>
      <c r="B136" s="27">
        <f t="shared" si="40"/>
        <v>627.39247094999996</v>
      </c>
      <c r="C136" s="27">
        <f t="shared" ref="C136:P136" si="55">C105+B136</f>
        <v>654.57151293599998</v>
      </c>
      <c r="D136" s="27">
        <f t="shared" si="55"/>
        <v>725.51966124</v>
      </c>
      <c r="E136" s="27">
        <f t="shared" si="55"/>
        <v>1113.8703762</v>
      </c>
      <c r="F136" s="27">
        <f t="shared" si="55"/>
        <v>1424.0606227200001</v>
      </c>
      <c r="G136" s="27">
        <f t="shared" si="55"/>
        <v>1825.02587784</v>
      </c>
      <c r="H136" s="27">
        <f t="shared" si="55"/>
        <v>2386.0246110899998</v>
      </c>
      <c r="I136" s="27">
        <f t="shared" si="55"/>
        <v>2509.8998274659998</v>
      </c>
      <c r="J136" s="27">
        <f t="shared" si="55"/>
        <v>2548.4135953919999</v>
      </c>
      <c r="K136" s="27">
        <f t="shared" si="55"/>
        <v>2576.838701223</v>
      </c>
      <c r="L136" s="27">
        <f t="shared" si="55"/>
        <v>2605.5897006750001</v>
      </c>
      <c r="M136" s="27">
        <f t="shared" si="55"/>
        <v>2647.142892372</v>
      </c>
      <c r="N136" s="27">
        <f t="shared" si="55"/>
        <v>2657.7447761694002</v>
      </c>
      <c r="O136" s="27">
        <f t="shared" si="55"/>
        <v>2682.1745126079004</v>
      </c>
      <c r="P136" s="27">
        <f t="shared" si="55"/>
        <v>2700.0307290081005</v>
      </c>
    </row>
    <row r="137" spans="1:16" x14ac:dyDescent="0.15">
      <c r="A137">
        <f t="shared" si="40"/>
        <v>1997</v>
      </c>
      <c r="B137" s="27">
        <f t="shared" ref="B137:B151" si="56">B106</f>
        <v>810.55983330000004</v>
      </c>
      <c r="C137" s="27">
        <f t="shared" ref="C137:P137" si="57">C106+B137</f>
        <v>917.22830706000002</v>
      </c>
      <c r="D137" s="27">
        <f t="shared" si="57"/>
        <v>996.05755512000007</v>
      </c>
      <c r="E137" s="27">
        <f t="shared" si="57"/>
        <v>1180.29589938</v>
      </c>
      <c r="F137" s="27">
        <f t="shared" si="57"/>
        <v>1977.2684182800001</v>
      </c>
      <c r="G137" s="27">
        <f t="shared" si="57"/>
        <v>2431.7687841300003</v>
      </c>
      <c r="H137" s="27">
        <f t="shared" si="57"/>
        <v>2811.2133354300004</v>
      </c>
      <c r="I137" s="27">
        <f t="shared" si="57"/>
        <v>3185.2773370800005</v>
      </c>
      <c r="J137" s="27">
        <f t="shared" si="57"/>
        <v>3255.2949700800004</v>
      </c>
      <c r="K137" s="27">
        <f t="shared" si="57"/>
        <v>3276.1771417260006</v>
      </c>
      <c r="L137" s="27">
        <f t="shared" si="57"/>
        <v>3291.4000358100006</v>
      </c>
      <c r="M137" s="27">
        <f t="shared" si="57"/>
        <v>3306.6475334055008</v>
      </c>
      <c r="N137" s="27">
        <f t="shared" si="57"/>
        <v>3328.617562906501</v>
      </c>
      <c r="O137" s="27">
        <f t="shared" si="57"/>
        <v>3334.2183358020011</v>
      </c>
      <c r="P137" s="27">
        <f t="shared" si="57"/>
        <v>3356.5485566835009</v>
      </c>
    </row>
    <row r="138" spans="1:16" x14ac:dyDescent="0.15">
      <c r="A138">
        <f t="shared" si="40"/>
        <v>1998</v>
      </c>
      <c r="B138" s="27">
        <f t="shared" si="56"/>
        <v>344.75746201999999</v>
      </c>
      <c r="C138" s="27">
        <f t="shared" ref="C138:P138" si="58">C107+B138</f>
        <v>513.91212946600001</v>
      </c>
      <c r="D138" s="27">
        <f t="shared" si="58"/>
        <v>689.34719477600004</v>
      </c>
      <c r="E138" s="27">
        <f t="shared" si="58"/>
        <v>812.24992707800004</v>
      </c>
      <c r="F138" s="27">
        <f t="shared" si="58"/>
        <v>1058.526982588</v>
      </c>
      <c r="G138" s="27">
        <f t="shared" si="58"/>
        <v>1920.767612788</v>
      </c>
      <c r="H138" s="27">
        <f t="shared" si="58"/>
        <v>2327.3811468680001</v>
      </c>
      <c r="I138" s="27">
        <f t="shared" si="58"/>
        <v>2602.0694135540002</v>
      </c>
      <c r="J138" s="27">
        <f t="shared" si="58"/>
        <v>2845.3170068820004</v>
      </c>
      <c r="K138" s="27">
        <f t="shared" si="58"/>
        <v>2889.4064747720004</v>
      </c>
      <c r="L138" s="27">
        <f t="shared" si="58"/>
        <v>2902.5480330766004</v>
      </c>
      <c r="M138" s="27">
        <f t="shared" si="58"/>
        <v>2912.0993287674005</v>
      </c>
      <c r="N138" s="27">
        <f t="shared" si="58"/>
        <v>2921.6647101728004</v>
      </c>
      <c r="O138" s="27">
        <f t="shared" si="58"/>
        <v>2935.4544180576004</v>
      </c>
      <c r="P138" s="27">
        <f t="shared" si="58"/>
        <v>2952.9787006888005</v>
      </c>
    </row>
    <row r="139" spans="1:16" x14ac:dyDescent="0.15">
      <c r="A139">
        <f t="shared" si="40"/>
        <v>1999</v>
      </c>
      <c r="B139" s="27">
        <f t="shared" si="56"/>
        <v>455.80716078</v>
      </c>
      <c r="C139" s="27">
        <f t="shared" ref="C139:P139" si="59">C108+B139</f>
        <v>650.72759017600004</v>
      </c>
      <c r="D139" s="27">
        <f t="shared" si="59"/>
        <v>1172.331267136</v>
      </c>
      <c r="E139" s="27">
        <f t="shared" si="59"/>
        <v>1691.1668935560001</v>
      </c>
      <c r="F139" s="27">
        <f t="shared" si="59"/>
        <v>1997.322765998</v>
      </c>
      <c r="G139" s="27">
        <f t="shared" si="59"/>
        <v>2474.032546598</v>
      </c>
      <c r="H139" s="27">
        <f t="shared" si="59"/>
        <v>3639.6211496779997</v>
      </c>
      <c r="I139" s="27">
        <f t="shared" si="59"/>
        <v>4060.1404074319998</v>
      </c>
      <c r="J139" s="27">
        <f t="shared" si="59"/>
        <v>4281.1681141560002</v>
      </c>
      <c r="K139" s="27">
        <f t="shared" si="59"/>
        <v>4449.1273700460006</v>
      </c>
      <c r="L139" s="27">
        <f t="shared" si="59"/>
        <v>4477.4486362480002</v>
      </c>
      <c r="M139" s="27">
        <f t="shared" si="59"/>
        <v>4485.5380268832005</v>
      </c>
      <c r="N139" s="27">
        <f t="shared" si="59"/>
        <v>4491.2959784086006</v>
      </c>
      <c r="O139" s="27">
        <f t="shared" si="59"/>
        <v>4497.005477760601</v>
      </c>
      <c r="P139" s="27">
        <f t="shared" si="59"/>
        <v>4515.5779228332012</v>
      </c>
    </row>
    <row r="140" spans="1:16" x14ac:dyDescent="0.15">
      <c r="A140">
        <f t="shared" si="40"/>
        <v>2000</v>
      </c>
      <c r="B140" s="27">
        <f t="shared" si="56"/>
        <v>470.43360959999995</v>
      </c>
      <c r="C140" s="27">
        <f t="shared" ref="C140:P140" si="60">C109+B140</f>
        <v>675.0139918399999</v>
      </c>
      <c r="D140" s="27">
        <f t="shared" si="60"/>
        <v>938.84046639999997</v>
      </c>
      <c r="E140" s="27">
        <f t="shared" si="60"/>
        <v>1657.8361288000001</v>
      </c>
      <c r="F140" s="27">
        <f t="shared" si="60"/>
        <v>2313.8367736</v>
      </c>
      <c r="G140" s="27">
        <f t="shared" si="60"/>
        <v>2659.36158544</v>
      </c>
      <c r="H140" s="27">
        <f t="shared" si="60"/>
        <v>3097.7861183999999</v>
      </c>
      <c r="I140" s="27">
        <f t="shared" si="60"/>
        <v>3959.8619039999999</v>
      </c>
      <c r="J140" s="27">
        <f t="shared" si="60"/>
        <v>4248.65307072</v>
      </c>
      <c r="K140" s="27">
        <f t="shared" si="60"/>
        <v>4392.7136611200003</v>
      </c>
      <c r="L140" s="27">
        <f t="shared" si="60"/>
        <v>4498.58596192</v>
      </c>
      <c r="M140" s="27">
        <f t="shared" si="60"/>
        <v>4516.0708695359999</v>
      </c>
      <c r="N140" s="27">
        <f t="shared" si="60"/>
        <v>4521.0122880480003</v>
      </c>
      <c r="O140" s="27">
        <f t="shared" si="60"/>
        <v>4524.5108764480001</v>
      </c>
      <c r="P140" s="27">
        <f t="shared" si="60"/>
        <v>4539.2052654720001</v>
      </c>
    </row>
    <row r="141" spans="1:16" x14ac:dyDescent="0.15">
      <c r="A141">
        <f t="shared" si="40"/>
        <v>2001</v>
      </c>
      <c r="B141" s="27">
        <f t="shared" si="56"/>
        <v>681.59480323999992</v>
      </c>
      <c r="C141" s="27">
        <f t="shared" ref="C141:P141" si="61">C110+B141</f>
        <v>905.75767570699986</v>
      </c>
      <c r="D141" s="27">
        <f t="shared" si="61"/>
        <v>1113.8308153189998</v>
      </c>
      <c r="E141" s="27">
        <f t="shared" si="61"/>
        <v>1385.4506227159998</v>
      </c>
      <c r="F141" s="27">
        <f t="shared" si="61"/>
        <v>2026.5397779259997</v>
      </c>
      <c r="G141" s="27">
        <f t="shared" si="61"/>
        <v>2529.2752808859996</v>
      </c>
      <c r="H141" s="27">
        <f t="shared" si="61"/>
        <v>2770.0736198369996</v>
      </c>
      <c r="I141" s="27">
        <f t="shared" si="61"/>
        <v>3037.1931410519996</v>
      </c>
      <c r="J141" s="27">
        <f t="shared" si="61"/>
        <v>3519.1208691919996</v>
      </c>
      <c r="K141" s="27">
        <f t="shared" si="61"/>
        <v>3680.3734430669997</v>
      </c>
      <c r="L141" s="27">
        <f t="shared" si="61"/>
        <v>3760.2444976459997</v>
      </c>
      <c r="M141" s="27">
        <f t="shared" si="61"/>
        <v>3818.3534156399996</v>
      </c>
      <c r="N141" s="27">
        <f t="shared" si="61"/>
        <v>3827.9040229817997</v>
      </c>
      <c r="O141" s="27">
        <f t="shared" si="61"/>
        <v>3830.5970244961695</v>
      </c>
      <c r="P141" s="27">
        <f t="shared" si="61"/>
        <v>3840.4922390056695</v>
      </c>
    </row>
    <row r="142" spans="1:16" x14ac:dyDescent="0.15">
      <c r="A142">
        <f t="shared" si="40"/>
        <v>2002</v>
      </c>
      <c r="B142" s="27">
        <f t="shared" si="56"/>
        <v>310.605076935</v>
      </c>
      <c r="C142" s="27">
        <f t="shared" ref="C142:P142" si="62">C111+B142</f>
        <v>581.488299063</v>
      </c>
      <c r="D142" s="27">
        <f t="shared" si="62"/>
        <v>891.43095033600002</v>
      </c>
      <c r="E142" s="27">
        <f t="shared" si="62"/>
        <v>1209.9343818300001</v>
      </c>
      <c r="F142" s="27">
        <f t="shared" si="62"/>
        <v>1599.4572129300002</v>
      </c>
      <c r="G142" s="27">
        <f t="shared" si="62"/>
        <v>2339.3776545600003</v>
      </c>
      <c r="H142" s="27">
        <f t="shared" si="62"/>
        <v>2821.1663800800002</v>
      </c>
      <c r="I142" s="27">
        <f t="shared" si="62"/>
        <v>3017.9455246470002</v>
      </c>
      <c r="J142" s="27">
        <f t="shared" si="62"/>
        <v>3212.4227212410001</v>
      </c>
      <c r="K142" s="27">
        <f t="shared" si="62"/>
        <v>3547.3443088560002</v>
      </c>
      <c r="L142" s="27">
        <f t="shared" si="62"/>
        <v>3655.3689413430002</v>
      </c>
      <c r="M142" s="27">
        <f t="shared" si="62"/>
        <v>3707.6622216390001</v>
      </c>
      <c r="N142" s="27">
        <f t="shared" si="62"/>
        <v>3745.2836382089999</v>
      </c>
      <c r="O142" s="27">
        <f t="shared" si="62"/>
        <v>3751.4338958081998</v>
      </c>
      <c r="P142" s="27">
        <f t="shared" si="62"/>
        <v>3759.5106767118</v>
      </c>
    </row>
    <row r="143" spans="1:16" x14ac:dyDescent="0.15">
      <c r="A143">
        <f t="shared" si="40"/>
        <v>2003</v>
      </c>
      <c r="B143" s="27">
        <f t="shared" si="56"/>
        <v>132.276292512</v>
      </c>
      <c r="C143" s="27">
        <f t="shared" ref="C143:P143" si="63">C112+B143</f>
        <v>216.46834944</v>
      </c>
      <c r="D143" s="27">
        <f t="shared" si="63"/>
        <v>442.79013494399999</v>
      </c>
      <c r="E143" s="27">
        <f t="shared" si="63"/>
        <v>743.25421574400002</v>
      </c>
      <c r="F143" s="27">
        <f t="shared" si="63"/>
        <v>1043.7709827839999</v>
      </c>
      <c r="G143" s="27">
        <f t="shared" si="63"/>
        <v>1375.855126464</v>
      </c>
      <c r="H143" s="27">
        <f t="shared" si="63"/>
        <v>1900.904010624</v>
      </c>
      <c r="I143" s="27">
        <f t="shared" si="63"/>
        <v>2210.3413899839998</v>
      </c>
      <c r="J143" s="27">
        <f t="shared" si="63"/>
        <v>2329.3180117439997</v>
      </c>
      <c r="K143" s="27">
        <f t="shared" si="63"/>
        <v>2446.2382063679997</v>
      </c>
      <c r="L143" s="27">
        <f t="shared" si="63"/>
        <v>2647.4206138079999</v>
      </c>
      <c r="M143" s="27">
        <f t="shared" si="63"/>
        <v>2711.5458684</v>
      </c>
      <c r="N143" s="27">
        <f t="shared" si="63"/>
        <v>2742.4249963679999</v>
      </c>
      <c r="O143" s="27">
        <f t="shared" si="63"/>
        <v>2764.5895429439997</v>
      </c>
      <c r="P143" s="27">
        <f t="shared" si="63"/>
        <v>2772.9605268623995</v>
      </c>
    </row>
    <row r="144" spans="1:16" x14ac:dyDescent="0.15">
      <c r="A144">
        <f t="shared" si="40"/>
        <v>2004</v>
      </c>
      <c r="B144" s="27">
        <f t="shared" si="56"/>
        <v>158.31350416999999</v>
      </c>
      <c r="C144" s="27">
        <f t="shared" ref="C144:P144" si="64">C113+B144</f>
        <v>225.94193773999999</v>
      </c>
      <c r="D144" s="27">
        <f t="shared" si="64"/>
        <v>430.94871634999993</v>
      </c>
      <c r="E144" s="27">
        <f t="shared" si="64"/>
        <v>959.45297759999983</v>
      </c>
      <c r="F144" s="27">
        <f t="shared" si="64"/>
        <v>1573.9322392499998</v>
      </c>
      <c r="G144" s="27">
        <f t="shared" si="64"/>
        <v>2021.4148590499999</v>
      </c>
      <c r="H144" s="27">
        <f t="shared" si="64"/>
        <v>2348.5182053499998</v>
      </c>
      <c r="I144" s="27">
        <f t="shared" si="64"/>
        <v>2725.9855667499996</v>
      </c>
      <c r="J144" s="27">
        <f t="shared" si="64"/>
        <v>2916.1199418799997</v>
      </c>
      <c r="K144" s="27">
        <f t="shared" si="64"/>
        <v>2986.3489699949996</v>
      </c>
      <c r="L144" s="27">
        <f t="shared" si="64"/>
        <v>3055.0177062599996</v>
      </c>
      <c r="M144" s="27">
        <f t="shared" si="64"/>
        <v>3171.5718318399995</v>
      </c>
      <c r="N144" s="27">
        <f t="shared" si="64"/>
        <v>3208.5325831249993</v>
      </c>
      <c r="O144" s="27">
        <f t="shared" si="64"/>
        <v>3226.2971383879994</v>
      </c>
      <c r="P144" s="27">
        <f t="shared" si="64"/>
        <v>3243.8500324384995</v>
      </c>
    </row>
    <row r="145" spans="1:55" x14ac:dyDescent="0.15">
      <c r="A145">
        <f t="shared" si="40"/>
        <v>2005</v>
      </c>
      <c r="B145" s="27">
        <f t="shared" si="56"/>
        <v>157.08862075999997</v>
      </c>
      <c r="C145" s="27">
        <f t="shared" ref="C145:P145" si="65">C114+B145</f>
        <v>201.45591293999996</v>
      </c>
      <c r="D145" s="27">
        <f t="shared" si="65"/>
        <v>389.31955794999993</v>
      </c>
      <c r="E145" s="27">
        <f t="shared" si="65"/>
        <v>952.0953371999999</v>
      </c>
      <c r="F145" s="27">
        <f t="shared" si="65"/>
        <v>2023.0041763499999</v>
      </c>
      <c r="G145" s="27">
        <f t="shared" si="65"/>
        <v>2911.0568740999997</v>
      </c>
      <c r="H145" s="27">
        <f t="shared" si="65"/>
        <v>3350.0629050499997</v>
      </c>
      <c r="I145" s="27">
        <f t="shared" si="65"/>
        <v>3585.1187786499995</v>
      </c>
      <c r="J145" s="27">
        <f t="shared" si="65"/>
        <v>3821.0249440549997</v>
      </c>
      <c r="K145" s="27">
        <f t="shared" si="65"/>
        <v>3936.6795106749996</v>
      </c>
      <c r="L145" s="27">
        <f t="shared" si="65"/>
        <v>3979.2928951599997</v>
      </c>
      <c r="M145" s="27">
        <f t="shared" si="65"/>
        <v>4020.5747483069999</v>
      </c>
      <c r="N145" s="27">
        <f t="shared" si="65"/>
        <v>4090.4078046770001</v>
      </c>
      <c r="O145" s="27">
        <f t="shared" si="65"/>
        <v>4112.5258497414998</v>
      </c>
      <c r="P145" s="27">
        <f t="shared" si="65"/>
        <v>4133.6491732699997</v>
      </c>
    </row>
    <row r="146" spans="1:55" x14ac:dyDescent="0.15">
      <c r="A146">
        <f t="shared" si="40"/>
        <v>2006</v>
      </c>
      <c r="B146" s="27">
        <f t="shared" si="56"/>
        <v>386.52778211999998</v>
      </c>
      <c r="C146" s="27">
        <f t="shared" ref="C146:P146" si="66">C115+B146</f>
        <v>399.00884280599996</v>
      </c>
      <c r="D146" s="27">
        <f t="shared" si="66"/>
        <v>432.55859605799998</v>
      </c>
      <c r="E146" s="27">
        <f t="shared" si="66"/>
        <v>577.60628165399999</v>
      </c>
      <c r="F146" s="27">
        <f t="shared" si="66"/>
        <v>956.60077589399998</v>
      </c>
      <c r="G146" s="27">
        <f t="shared" si="66"/>
        <v>1555.180859154</v>
      </c>
      <c r="H146" s="27">
        <f t="shared" si="66"/>
        <v>2014.566447534</v>
      </c>
      <c r="I146" s="27">
        <f t="shared" si="66"/>
        <v>2235.4604774579998</v>
      </c>
      <c r="J146" s="27">
        <f t="shared" si="66"/>
        <v>2354.0198787419999</v>
      </c>
      <c r="K146" s="27">
        <f t="shared" si="66"/>
        <v>2474.4343982939999</v>
      </c>
      <c r="L146" s="27">
        <f t="shared" si="66"/>
        <v>2534.223083502</v>
      </c>
      <c r="M146" s="27">
        <f t="shared" si="66"/>
        <v>2556.2226300269999</v>
      </c>
      <c r="N146" s="27">
        <f t="shared" si="66"/>
        <v>2577.5245962029999</v>
      </c>
      <c r="O146" s="27">
        <f t="shared" si="66"/>
        <v>2613.5536393709999</v>
      </c>
      <c r="P146" s="27">
        <f t="shared" si="66"/>
        <v>2635.861054344</v>
      </c>
    </row>
    <row r="147" spans="1:55" x14ac:dyDescent="0.15">
      <c r="A147">
        <f t="shared" si="40"/>
        <v>2007</v>
      </c>
      <c r="B147" s="27">
        <f t="shared" si="56"/>
        <v>751.72451235000005</v>
      </c>
      <c r="C147" s="27">
        <f t="shared" ref="C147:P147" si="67">C116+B147</f>
        <v>804.091993215</v>
      </c>
      <c r="D147" s="27">
        <f t="shared" si="67"/>
        <v>848.81999863500005</v>
      </c>
      <c r="E147" s="27">
        <f t="shared" si="67"/>
        <v>972.670201335</v>
      </c>
      <c r="F147" s="27">
        <f t="shared" si="67"/>
        <v>1382.744412735</v>
      </c>
      <c r="G147" s="27">
        <f t="shared" si="67"/>
        <v>2007.504307935</v>
      </c>
      <c r="H147" s="27">
        <f t="shared" si="67"/>
        <v>2582.9381777850003</v>
      </c>
      <c r="I147" s="27">
        <f t="shared" si="67"/>
        <v>2888.1421159500005</v>
      </c>
      <c r="J147" s="27">
        <f t="shared" si="67"/>
        <v>3009.7257705900006</v>
      </c>
      <c r="K147" s="27">
        <f t="shared" si="67"/>
        <v>3071.2632575100006</v>
      </c>
      <c r="L147" s="27">
        <f t="shared" si="67"/>
        <v>3132.7557477300006</v>
      </c>
      <c r="M147" s="27">
        <f t="shared" si="67"/>
        <v>3162.9590755140007</v>
      </c>
      <c r="N147" s="27">
        <f t="shared" si="67"/>
        <v>3174.0313170615009</v>
      </c>
      <c r="O147" s="27">
        <f t="shared" si="67"/>
        <v>3184.738956777001</v>
      </c>
      <c r="P147" s="27">
        <f t="shared" si="67"/>
        <v>3214.0479430080009</v>
      </c>
    </row>
    <row r="148" spans="1:55" x14ac:dyDescent="0.15">
      <c r="A148">
        <f t="shared" si="40"/>
        <v>2008</v>
      </c>
      <c r="B148" s="27">
        <f t="shared" si="56"/>
        <v>252.043452</v>
      </c>
      <c r="C148" s="27">
        <f t="shared" ref="C148:P148" si="68">C117+B148</f>
        <v>335.29348316800002</v>
      </c>
      <c r="D148" s="27">
        <f t="shared" si="68"/>
        <v>432.33355332799999</v>
      </c>
      <c r="E148" s="27">
        <f t="shared" si="68"/>
        <v>521.883152096</v>
      </c>
      <c r="F148" s="27">
        <f t="shared" si="68"/>
        <v>728.80274670400001</v>
      </c>
      <c r="G148" s="27">
        <f t="shared" si="68"/>
        <v>1172.8098787040001</v>
      </c>
      <c r="H148" s="27">
        <f t="shared" si="68"/>
        <v>1644.7926796640002</v>
      </c>
      <c r="I148" s="27">
        <f t="shared" si="68"/>
        <v>2027.7820905440003</v>
      </c>
      <c r="J148" s="27">
        <f t="shared" si="68"/>
        <v>2221.7421928160002</v>
      </c>
      <c r="K148" s="27">
        <f t="shared" si="68"/>
        <v>2299.3497067520002</v>
      </c>
      <c r="L148" s="27">
        <f t="shared" si="68"/>
        <v>2338.7467286880001</v>
      </c>
      <c r="M148" s="27">
        <f t="shared" si="68"/>
        <v>2378.0297873760001</v>
      </c>
      <c r="N148" s="27">
        <f t="shared" si="68"/>
        <v>2397.311810056</v>
      </c>
      <c r="O148" s="27">
        <f t="shared" si="68"/>
        <v>2404.3789893839999</v>
      </c>
      <c r="P148" s="27">
        <f t="shared" si="68"/>
        <v>2429.9189065359997</v>
      </c>
    </row>
    <row r="149" spans="1:55" x14ac:dyDescent="0.15">
      <c r="A149">
        <f t="shared" si="40"/>
        <v>2009</v>
      </c>
      <c r="B149" s="27">
        <f t="shared" si="56"/>
        <v>417.74910483000002</v>
      </c>
      <c r="C149" s="27">
        <f t="shared" ref="C149:P149" si="69">C118+B149</f>
        <v>463.65359970300005</v>
      </c>
      <c r="D149" s="27">
        <f t="shared" si="69"/>
        <v>680.86756400700006</v>
      </c>
      <c r="E149" s="27">
        <f t="shared" si="69"/>
        <v>926.23750874700011</v>
      </c>
      <c r="F149" s="27">
        <f t="shared" si="69"/>
        <v>1089.549849903</v>
      </c>
      <c r="G149" s="27">
        <f t="shared" si="69"/>
        <v>1296.976329519</v>
      </c>
      <c r="H149" s="27">
        <f t="shared" si="69"/>
        <v>1561.769890779</v>
      </c>
      <c r="I149" s="27">
        <f t="shared" si="69"/>
        <v>1798.530554529</v>
      </c>
      <c r="J149" s="27">
        <f t="shared" si="69"/>
        <v>1982.4860334929999</v>
      </c>
      <c r="K149" s="27">
        <f t="shared" si="69"/>
        <v>2074.652529123</v>
      </c>
      <c r="L149" s="27">
        <f t="shared" si="69"/>
        <v>2111.9512223820002</v>
      </c>
      <c r="M149" s="27">
        <f t="shared" si="69"/>
        <v>2130.8627834853</v>
      </c>
      <c r="N149" s="27">
        <f t="shared" si="69"/>
        <v>2149.7136729695999</v>
      </c>
      <c r="O149" s="27">
        <f t="shared" si="69"/>
        <v>2158.9658121677999</v>
      </c>
      <c r="P149" s="27">
        <f t="shared" si="69"/>
        <v>2174.6112830198999</v>
      </c>
    </row>
    <row r="150" spans="1:55" x14ac:dyDescent="0.15">
      <c r="A150">
        <f t="shared" si="40"/>
        <v>2010</v>
      </c>
      <c r="B150" s="27">
        <f t="shared" si="56"/>
        <v>250.64542731200001</v>
      </c>
      <c r="C150" s="27">
        <f t="shared" ref="C150:P150" si="70">C119+B150</f>
        <v>476.34255228800004</v>
      </c>
      <c r="D150" s="27">
        <f t="shared" si="70"/>
        <v>657.212732512</v>
      </c>
      <c r="E150" s="27">
        <f t="shared" si="70"/>
        <v>1520.990692672</v>
      </c>
      <c r="F150" s="27">
        <f t="shared" si="70"/>
        <v>2178.8499360320002</v>
      </c>
      <c r="G150" s="27">
        <f t="shared" si="70"/>
        <v>2405.3871492320004</v>
      </c>
      <c r="H150" s="27">
        <f t="shared" si="70"/>
        <v>2574.2736996000003</v>
      </c>
      <c r="I150" s="27">
        <f t="shared" si="70"/>
        <v>2749.0906714240004</v>
      </c>
      <c r="J150" s="27">
        <f t="shared" si="70"/>
        <v>2898.5483805280005</v>
      </c>
      <c r="K150" s="27">
        <f t="shared" si="70"/>
        <v>3012.9300570400005</v>
      </c>
      <c r="L150" s="27">
        <f t="shared" si="70"/>
        <v>3070.2342852800007</v>
      </c>
      <c r="M150" s="27">
        <f t="shared" si="70"/>
        <v>3093.4039936736008</v>
      </c>
      <c r="N150" s="27">
        <f t="shared" si="70"/>
        <v>3105.1491600080008</v>
      </c>
      <c r="O150" s="27">
        <f t="shared" si="70"/>
        <v>3116.8559867456006</v>
      </c>
      <c r="P150" s="27">
        <f t="shared" si="70"/>
        <v>3132.3176820832005</v>
      </c>
    </row>
    <row r="151" spans="1:55" x14ac:dyDescent="0.15">
      <c r="A151">
        <f t="shared" si="40"/>
        <v>2011</v>
      </c>
      <c r="B151" s="27">
        <f t="shared" si="56"/>
        <v>409.71383639999993</v>
      </c>
      <c r="C151" s="27">
        <f t="shared" ref="C151:P151" si="71">C120+B151</f>
        <v>436.70390433999995</v>
      </c>
      <c r="D151" s="27">
        <f t="shared" si="71"/>
        <v>654.69398042399996</v>
      </c>
      <c r="E151" s="27">
        <f t="shared" si="71"/>
        <v>831.3710728399999</v>
      </c>
      <c r="F151" s="27">
        <f t="shared" si="71"/>
        <v>1447.18130172</v>
      </c>
      <c r="G151" s="27">
        <f t="shared" si="71"/>
        <v>1824.03875984</v>
      </c>
      <c r="H151" s="27">
        <f t="shared" si="71"/>
        <v>1939.719283876</v>
      </c>
      <c r="I151" s="27">
        <f t="shared" si="71"/>
        <v>2021.77614694</v>
      </c>
      <c r="J151" s="27">
        <f t="shared" si="71"/>
        <v>2105.564608268</v>
      </c>
      <c r="K151" s="27">
        <f t="shared" si="71"/>
        <v>2177.7998404800001</v>
      </c>
      <c r="L151" s="27">
        <f t="shared" si="71"/>
        <v>2233.2293135680002</v>
      </c>
      <c r="M151" s="27">
        <f t="shared" si="71"/>
        <v>2260.99697406</v>
      </c>
      <c r="N151" s="27">
        <f t="shared" si="71"/>
        <v>2272.2240908487997</v>
      </c>
      <c r="O151" s="27">
        <f t="shared" si="71"/>
        <v>2277.9153168551998</v>
      </c>
      <c r="P151" s="27">
        <f t="shared" si="71"/>
        <v>2291.0800458215999</v>
      </c>
    </row>
    <row r="153" spans="1:55" x14ac:dyDescent="0.1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J153">
        <v>9</v>
      </c>
      <c r="K153">
        <v>10</v>
      </c>
      <c r="L153">
        <v>11</v>
      </c>
      <c r="M153">
        <v>12</v>
      </c>
      <c r="N153">
        <v>13</v>
      </c>
      <c r="O153">
        <v>14</v>
      </c>
      <c r="P153">
        <v>15</v>
      </c>
      <c r="S153">
        <f t="array" ref="S153:W183">TRANSPOSE(Y153:BC157)</f>
        <v>0</v>
      </c>
      <c r="T153" t="str">
        <v>Predicted</v>
      </c>
      <c r="U153" t="str">
        <v>Observed</v>
      </c>
      <c r="V153" t="str">
        <v>Stderr</v>
      </c>
      <c r="W153" t="str">
        <v>NormRes</v>
      </c>
      <c r="Y153">
        <f>Summary!U5</f>
        <v>0</v>
      </c>
      <c r="Z153">
        <f>Summary!V5</f>
        <v>1982</v>
      </c>
      <c r="AA153">
        <f>Summary!W5</f>
        <v>1983</v>
      </c>
      <c r="AB153">
        <f>Summary!X5</f>
        <v>1984</v>
      </c>
      <c r="AC153">
        <f>Summary!Y5</f>
        <v>1985</v>
      </c>
      <c r="AD153">
        <f>Summary!Z5</f>
        <v>1986</v>
      </c>
      <c r="AE153">
        <f>Summary!AA5</f>
        <v>1987</v>
      </c>
      <c r="AF153">
        <f>Summary!AB5</f>
        <v>1988</v>
      </c>
      <c r="AG153">
        <f>Summary!AC5</f>
        <v>1989</v>
      </c>
      <c r="AH153">
        <f>Summary!AD5</f>
        <v>1990</v>
      </c>
      <c r="AI153">
        <f>Summary!AE5</f>
        <v>1991</v>
      </c>
      <c r="AJ153">
        <f>Summary!AF5</f>
        <v>1992</v>
      </c>
      <c r="AK153">
        <f>Summary!AG5</f>
        <v>1993</v>
      </c>
      <c r="AL153">
        <f>Summary!AH5</f>
        <v>1994</v>
      </c>
      <c r="AM153">
        <f>Summary!AI5</f>
        <v>1995</v>
      </c>
      <c r="AN153">
        <f>Summary!AJ5</f>
        <v>1996</v>
      </c>
      <c r="AO153">
        <f>Summary!AK5</f>
        <v>1997</v>
      </c>
      <c r="AP153">
        <f>Summary!AL5</f>
        <v>1998</v>
      </c>
      <c r="AQ153">
        <f>Summary!AM5</f>
        <v>1999</v>
      </c>
      <c r="AR153">
        <f>Summary!AN5</f>
        <v>2000</v>
      </c>
      <c r="AS153">
        <f>Summary!AO5</f>
        <v>2001</v>
      </c>
      <c r="AT153">
        <f>Summary!AP5</f>
        <v>2002</v>
      </c>
      <c r="AU153">
        <f>Summary!AQ5</f>
        <v>2003</v>
      </c>
      <c r="AV153">
        <f>Summary!AR5</f>
        <v>2004</v>
      </c>
      <c r="AW153">
        <f>Summary!AS5</f>
        <v>2005</v>
      </c>
      <c r="AX153">
        <f>Summary!AT5</f>
        <v>2006</v>
      </c>
      <c r="AY153">
        <f>Summary!AU5</f>
        <v>2007</v>
      </c>
      <c r="AZ153">
        <f>Summary!AV5</f>
        <v>2008</v>
      </c>
      <c r="BA153">
        <f>Summary!AW5</f>
        <v>2009</v>
      </c>
      <c r="BB153">
        <f>Summary!AX5</f>
        <v>2010</v>
      </c>
      <c r="BC153">
        <f>Summary!AY5</f>
        <v>2011</v>
      </c>
    </row>
    <row r="154" spans="1:55" x14ac:dyDescent="0.15">
      <c r="A154" t="e">
        <f t="shared" ref="A154:A183" si="72">A58</f>
        <v>#REF!</v>
      </c>
      <c r="B154" s="27" t="e">
        <f>B58-B122</f>
        <v>#REF!</v>
      </c>
      <c r="C154" s="27" t="e">
        <f t="shared" ref="C154:P154" si="73">C58-C122</f>
        <v>#REF!</v>
      </c>
      <c r="D154" s="27" t="e">
        <f t="shared" si="73"/>
        <v>#REF!</v>
      </c>
      <c r="E154" s="27" t="e">
        <f t="shared" si="73"/>
        <v>#REF!</v>
      </c>
      <c r="F154" s="27" t="e">
        <f t="shared" si="73"/>
        <v>#REF!</v>
      </c>
      <c r="G154" s="27" t="e">
        <f t="shared" si="73"/>
        <v>#REF!</v>
      </c>
      <c r="H154" s="27" t="e">
        <f t="shared" si="73"/>
        <v>#REF!</v>
      </c>
      <c r="I154" s="27" t="e">
        <f t="shared" si="73"/>
        <v>#REF!</v>
      </c>
      <c r="J154" s="27" t="e">
        <f t="shared" si="73"/>
        <v>#REF!</v>
      </c>
      <c r="K154" s="27" t="e">
        <f t="shared" si="73"/>
        <v>#REF!</v>
      </c>
      <c r="L154" s="27" t="e">
        <f t="shared" si="73"/>
        <v>#REF!</v>
      </c>
      <c r="M154" s="27" t="e">
        <f t="shared" si="73"/>
        <v>#REF!</v>
      </c>
      <c r="N154" s="27" t="e">
        <f t="shared" si="73"/>
        <v>#REF!</v>
      </c>
      <c r="O154" s="27" t="e">
        <f t="shared" si="73"/>
        <v>#REF!</v>
      </c>
      <c r="P154" s="27" t="e">
        <f t="shared" si="73"/>
        <v>#REF!</v>
      </c>
      <c r="Q154" s="27">
        <f>U154-T154</f>
        <v>6508.3700000000008</v>
      </c>
      <c r="S154">
        <v>1982</v>
      </c>
      <c r="T154" s="27">
        <v>6310.33</v>
      </c>
      <c r="U154" s="27">
        <v>12818.7</v>
      </c>
      <c r="V154">
        <v>1273.2812289999999</v>
      </c>
      <c r="W154">
        <v>5.1114945007957866</v>
      </c>
      <c r="Y154" t="str">
        <f>Summary!U6</f>
        <v>Predicted</v>
      </c>
      <c r="Z154">
        <f>Summary!V6</f>
        <v>6310.33</v>
      </c>
      <c r="AA154">
        <f>Summary!W6</f>
        <v>6929.87</v>
      </c>
      <c r="AB154">
        <f>Summary!X6</f>
        <v>5254.46</v>
      </c>
      <c r="AC154">
        <f>Summary!Y6</f>
        <v>6348.25</v>
      </c>
      <c r="AD154">
        <f>Summary!Z6</f>
        <v>5121.55</v>
      </c>
      <c r="AE154">
        <f>Summary!AA6</f>
        <v>7347.19</v>
      </c>
      <c r="AF154">
        <f>Summary!AB6</f>
        <v>8657.6</v>
      </c>
      <c r="AG154">
        <f>Summary!AC6</f>
        <v>7786.73</v>
      </c>
      <c r="AH154">
        <f>Summary!AD6</f>
        <v>5958.58</v>
      </c>
      <c r="AI154">
        <f>Summary!AE6</f>
        <v>4226.82</v>
      </c>
      <c r="AJ154">
        <f>Summary!AF6</f>
        <v>3952.03</v>
      </c>
      <c r="AK154">
        <f>Summary!AG6</f>
        <v>4540.47</v>
      </c>
      <c r="AL154">
        <f>Summary!AH6</f>
        <v>4557.5</v>
      </c>
      <c r="AM154">
        <f>Summary!AI6</f>
        <v>3458.3</v>
      </c>
      <c r="AN154">
        <f>Summary!AJ6</f>
        <v>2700.03</v>
      </c>
      <c r="AO154">
        <f>Summary!AK6</f>
        <v>3356.55</v>
      </c>
      <c r="AP154">
        <f>Summary!AL6</f>
        <v>2952.98</v>
      </c>
      <c r="AQ154">
        <f>Summary!AM6</f>
        <v>4515.58</v>
      </c>
      <c r="AR154">
        <f>Summary!AN6</f>
        <v>4539.2</v>
      </c>
      <c r="AS154">
        <f>Summary!AO6</f>
        <v>3840.49</v>
      </c>
      <c r="AT154">
        <f>Summary!AP6</f>
        <v>3759.51</v>
      </c>
      <c r="AU154">
        <f>Summary!AQ6</f>
        <v>2772.96</v>
      </c>
      <c r="AV154">
        <f>Summary!AR6</f>
        <v>3243.85</v>
      </c>
      <c r="AW154">
        <f>Summary!AS6</f>
        <v>4133.6499999999996</v>
      </c>
      <c r="AX154">
        <f>Summary!AT6</f>
        <v>2635.86</v>
      </c>
      <c r="AY154">
        <f>Summary!AU6</f>
        <v>3214.05</v>
      </c>
      <c r="AZ154">
        <f>Summary!AV6</f>
        <v>2429.92</v>
      </c>
      <c r="BA154">
        <f>Summary!AW6</f>
        <v>2174.61</v>
      </c>
      <c r="BB154">
        <f>Summary!AX6</f>
        <v>3132.32</v>
      </c>
      <c r="BC154">
        <f>Summary!AY6</f>
        <v>2291.08</v>
      </c>
    </row>
    <row r="155" spans="1:55" x14ac:dyDescent="0.15">
      <c r="A155" t="e">
        <f t="shared" si="72"/>
        <v>#REF!</v>
      </c>
      <c r="B155" s="27" t="e">
        <f t="shared" ref="B155:P155" si="74">B59-B123</f>
        <v>#REF!</v>
      </c>
      <c r="C155" s="27" t="e">
        <f t="shared" si="74"/>
        <v>#REF!</v>
      </c>
      <c r="D155" s="27" t="e">
        <f t="shared" si="74"/>
        <v>#REF!</v>
      </c>
      <c r="E155" s="27" t="e">
        <f t="shared" si="74"/>
        <v>#REF!</v>
      </c>
      <c r="F155" s="27" t="e">
        <f t="shared" si="74"/>
        <v>#REF!</v>
      </c>
      <c r="G155" s="27" t="e">
        <f t="shared" si="74"/>
        <v>#REF!</v>
      </c>
      <c r="H155" s="27" t="e">
        <f t="shared" si="74"/>
        <v>#REF!</v>
      </c>
      <c r="I155" s="27" t="e">
        <f t="shared" si="74"/>
        <v>#REF!</v>
      </c>
      <c r="J155" s="27" t="e">
        <f t="shared" si="74"/>
        <v>#REF!</v>
      </c>
      <c r="K155" s="27" t="e">
        <f t="shared" si="74"/>
        <v>#REF!</v>
      </c>
      <c r="L155" s="27" t="e">
        <f t="shared" si="74"/>
        <v>#REF!</v>
      </c>
      <c r="M155" s="27" t="e">
        <f t="shared" si="74"/>
        <v>#REF!</v>
      </c>
      <c r="N155" s="27" t="e">
        <f t="shared" si="74"/>
        <v>#REF!</v>
      </c>
      <c r="O155" s="27" t="e">
        <f t="shared" si="74"/>
        <v>#REF!</v>
      </c>
      <c r="P155" s="27" t="e">
        <f t="shared" si="74"/>
        <v>#REF!</v>
      </c>
      <c r="Q155" s="27">
        <f t="shared" ref="Q155:Q183" si="75">U155-T155</f>
        <v>8996.73</v>
      </c>
      <c r="S155">
        <v>1983</v>
      </c>
      <c r="T155" s="27">
        <v>6929.87</v>
      </c>
      <c r="U155" s="27">
        <v>15926.6</v>
      </c>
      <c r="V155">
        <v>1128.2297269999999</v>
      </c>
      <c r="W155">
        <v>7.9742004528834762</v>
      </c>
      <c r="Y155" t="str">
        <f>Summary!U7</f>
        <v>Observed</v>
      </c>
      <c r="Z155">
        <f>Summary!V7</f>
        <v>12818.7</v>
      </c>
      <c r="AA155">
        <f>Summary!W7</f>
        <v>15926.6</v>
      </c>
      <c r="AB155">
        <f>Summary!X7</f>
        <v>10877.4</v>
      </c>
      <c r="AC155">
        <f>Summary!Y7</f>
        <v>15166.2</v>
      </c>
      <c r="AD155">
        <f>Summary!Z7</f>
        <v>9997.84</v>
      </c>
      <c r="AE155">
        <f>Summary!AA7</f>
        <v>12858.9</v>
      </c>
      <c r="AF155">
        <f>Summary!AB7</f>
        <v>18892.400000000001</v>
      </c>
      <c r="AG155">
        <f>Summary!AC7</f>
        <v>15757.8</v>
      </c>
      <c r="AH155">
        <f>Summary!AD7</f>
        <v>15785.4</v>
      </c>
      <c r="AI155">
        <f>Summary!AE7</f>
        <v>8479.68</v>
      </c>
      <c r="AJ155">
        <f>Summary!AF7</f>
        <v>8325.0300000000007</v>
      </c>
      <c r="AK155">
        <f>Summary!AG7</f>
        <v>10213.1</v>
      </c>
      <c r="AL155">
        <f>Summary!AH7</f>
        <v>10042.799999999999</v>
      </c>
      <c r="AM155">
        <f>Summary!AI7</f>
        <v>13415.1</v>
      </c>
      <c r="AN155">
        <f>Summary!AJ7</f>
        <v>6213.77</v>
      </c>
      <c r="AO155">
        <f>Summary!AK7</f>
        <v>8496.35</v>
      </c>
      <c r="AP155">
        <f>Summary!AL7</f>
        <v>6296.36</v>
      </c>
      <c r="AQ155">
        <f>Summary!AM7</f>
        <v>9138.4500000000007</v>
      </c>
      <c r="AR155">
        <f>Summary!AN7</f>
        <v>11305.7</v>
      </c>
      <c r="AS155">
        <f>Summary!AO7</f>
        <v>8144.45</v>
      </c>
      <c r="AT155">
        <f>Summary!AP7</f>
        <v>9537.39</v>
      </c>
      <c r="AU155">
        <f>Summary!AQ7</f>
        <v>15526.5</v>
      </c>
      <c r="AV155">
        <f>Summary!AR7</f>
        <v>6744.19</v>
      </c>
      <c r="AW155">
        <f>Summary!AS7</f>
        <v>10345.6</v>
      </c>
      <c r="AX155">
        <f>Summary!AT7</f>
        <v>5056.71</v>
      </c>
      <c r="AY155">
        <f>Summary!AU7</f>
        <v>7357.24</v>
      </c>
      <c r="AZ155">
        <f>Summary!AV7</f>
        <v>4636.5</v>
      </c>
      <c r="BA155">
        <f>Summary!AW7</f>
        <v>3648.9</v>
      </c>
      <c r="BB155">
        <f>Summary!AX7</f>
        <v>7033.5</v>
      </c>
      <c r="BC155">
        <f>Summary!AY7</f>
        <v>4950.78</v>
      </c>
    </row>
    <row r="156" spans="1:55" x14ac:dyDescent="0.15">
      <c r="A156" t="e">
        <f t="shared" si="72"/>
        <v>#REF!</v>
      </c>
      <c r="B156" s="27" t="e">
        <f t="shared" ref="B156:P156" si="76">B60-B124</f>
        <v>#REF!</v>
      </c>
      <c r="C156" s="27" t="e">
        <f t="shared" si="76"/>
        <v>#REF!</v>
      </c>
      <c r="D156" s="27" t="e">
        <f t="shared" si="76"/>
        <v>#REF!</v>
      </c>
      <c r="E156" s="27" t="e">
        <f t="shared" si="76"/>
        <v>#REF!</v>
      </c>
      <c r="F156" s="27" t="e">
        <f t="shared" si="76"/>
        <v>#REF!</v>
      </c>
      <c r="G156" s="27" t="e">
        <f t="shared" si="76"/>
        <v>#REF!</v>
      </c>
      <c r="H156" s="27" t="e">
        <f t="shared" si="76"/>
        <v>#REF!</v>
      </c>
      <c r="I156" s="27" t="e">
        <f t="shared" si="76"/>
        <v>#REF!</v>
      </c>
      <c r="J156" s="27" t="e">
        <f t="shared" si="76"/>
        <v>#REF!</v>
      </c>
      <c r="K156" s="27" t="e">
        <f t="shared" si="76"/>
        <v>#REF!</v>
      </c>
      <c r="L156" s="27" t="e">
        <f t="shared" si="76"/>
        <v>#REF!</v>
      </c>
      <c r="M156" s="27" t="e">
        <f t="shared" si="76"/>
        <v>#REF!</v>
      </c>
      <c r="N156" s="27" t="e">
        <f t="shared" si="76"/>
        <v>#REF!</v>
      </c>
      <c r="O156" s="27" t="e">
        <f t="shared" si="76"/>
        <v>#REF!</v>
      </c>
      <c r="P156" s="27" t="e">
        <f t="shared" si="76"/>
        <v>#REF!</v>
      </c>
      <c r="Q156" s="27">
        <f t="shared" si="75"/>
        <v>5622.94</v>
      </c>
      <c r="S156">
        <v>1984</v>
      </c>
      <c r="T156" s="27">
        <v>5254.46</v>
      </c>
      <c r="U156" s="27">
        <v>10877.4</v>
      </c>
      <c r="V156">
        <v>739.22674370000004</v>
      </c>
      <c r="W156">
        <v>7.6065159275162184</v>
      </c>
      <c r="Y156" t="str">
        <f>Summary!U8</f>
        <v>Stderr</v>
      </c>
      <c r="Z156">
        <f>Summary!V8</f>
        <v>1273.2812289999999</v>
      </c>
      <c r="AA156">
        <f>Summary!W8</f>
        <v>1128.2297269999999</v>
      </c>
      <c r="AB156">
        <f>Summary!X8</f>
        <v>739.22674370000004</v>
      </c>
      <c r="AC156">
        <f>Summary!Y8</f>
        <v>1930.851273</v>
      </c>
      <c r="AD156">
        <f>Summary!Z8</f>
        <v>826.37305709999998</v>
      </c>
      <c r="AE156">
        <f>Summary!AA8</f>
        <v>1125.6309409999999</v>
      </c>
      <c r="AF156">
        <f>Summary!AB8</f>
        <v>1456.237948</v>
      </c>
      <c r="AG156">
        <f>Summary!AC8</f>
        <v>1136.2500769999999</v>
      </c>
      <c r="AH156">
        <f>Summary!AD8</f>
        <v>1369.8423049999999</v>
      </c>
      <c r="AI156">
        <f>Summary!AE8</f>
        <v>827.37876029999995</v>
      </c>
      <c r="AJ156">
        <f>Summary!AF8</f>
        <v>802.10384590000001</v>
      </c>
      <c r="AK156">
        <f>Summary!AG8</f>
        <v>863.1712933</v>
      </c>
      <c r="AL156">
        <f>Summary!AH8</f>
        <v>972.72426849999999</v>
      </c>
      <c r="AM156">
        <f>Summary!AI8</f>
        <v>1809.1080569999999</v>
      </c>
      <c r="AN156">
        <f>Summary!AJ8</f>
        <v>458.01831700000002</v>
      </c>
      <c r="AO156">
        <f>Summary!AK8</f>
        <v>981.64882130000001</v>
      </c>
      <c r="AP156">
        <f>Summary!AL8</f>
        <v>578.14863890000004</v>
      </c>
      <c r="AQ156">
        <f>Summary!AM8</f>
        <v>833.79533160000005</v>
      </c>
      <c r="AR156">
        <f>Summary!AN8</f>
        <v>1006.046504</v>
      </c>
      <c r="AS156">
        <f>Summary!AO8</f>
        <v>695.62402029999998</v>
      </c>
      <c r="AT156">
        <f>Summary!AP8</f>
        <v>750.12433099999998</v>
      </c>
      <c r="AU156">
        <f>Summary!AQ8</f>
        <v>1863.12202</v>
      </c>
      <c r="AV156">
        <f>Summary!AR8</f>
        <v>498.72073189999998</v>
      </c>
      <c r="AW156">
        <f>Summary!AS8</f>
        <v>697.37650199999996</v>
      </c>
      <c r="AX156">
        <f>Summary!AT8</f>
        <v>427.32597920000001</v>
      </c>
      <c r="AY156">
        <f>Summary!AU8</f>
        <v>668.51356580000004</v>
      </c>
      <c r="AZ156">
        <f>Summary!AV8</f>
        <v>430.89842470000002</v>
      </c>
      <c r="BA156">
        <f>Summary!AW8</f>
        <v>415.07588490000001</v>
      </c>
      <c r="BB156">
        <f>Summary!AX8</f>
        <v>707.02709560000005</v>
      </c>
      <c r="BC156">
        <f>Summary!AY8</f>
        <v>452.59352639999997</v>
      </c>
    </row>
    <row r="157" spans="1:55" x14ac:dyDescent="0.15">
      <c r="A157" t="e">
        <f t="shared" si="72"/>
        <v>#REF!</v>
      </c>
      <c r="B157" s="27" t="e">
        <f t="shared" ref="B157:P157" si="77">B61-B125</f>
        <v>#REF!</v>
      </c>
      <c r="C157" s="27" t="e">
        <f t="shared" si="77"/>
        <v>#REF!</v>
      </c>
      <c r="D157" s="27" t="e">
        <f t="shared" si="77"/>
        <v>#REF!</v>
      </c>
      <c r="E157" s="27" t="e">
        <f t="shared" si="77"/>
        <v>#REF!</v>
      </c>
      <c r="F157" s="27" t="e">
        <f t="shared" si="77"/>
        <v>#REF!</v>
      </c>
      <c r="G157" s="27" t="e">
        <f t="shared" si="77"/>
        <v>#REF!</v>
      </c>
      <c r="H157" s="27" t="e">
        <f t="shared" si="77"/>
        <v>#REF!</v>
      </c>
      <c r="I157" s="27" t="e">
        <f t="shared" si="77"/>
        <v>#REF!</v>
      </c>
      <c r="J157" s="27" t="e">
        <f t="shared" si="77"/>
        <v>#REF!</v>
      </c>
      <c r="K157" s="27" t="e">
        <f t="shared" si="77"/>
        <v>#REF!</v>
      </c>
      <c r="L157" s="27" t="e">
        <f t="shared" si="77"/>
        <v>#REF!</v>
      </c>
      <c r="M157" s="27" t="e">
        <f t="shared" si="77"/>
        <v>#REF!</v>
      </c>
      <c r="N157" s="27" t="e">
        <f t="shared" si="77"/>
        <v>#REF!</v>
      </c>
      <c r="O157" s="27" t="e">
        <f t="shared" si="77"/>
        <v>#REF!</v>
      </c>
      <c r="P157" s="27" t="e">
        <f t="shared" si="77"/>
        <v>#REF!</v>
      </c>
      <c r="Q157" s="27">
        <f t="shared" si="75"/>
        <v>8817.9500000000007</v>
      </c>
      <c r="S157">
        <v>1985</v>
      </c>
      <c r="T157" s="27">
        <v>6348.25</v>
      </c>
      <c r="U157" s="27">
        <v>15166.2</v>
      </c>
      <c r="V157">
        <v>1930.851273</v>
      </c>
      <c r="W157">
        <v>4.5668716815766892</v>
      </c>
      <c r="Y157" t="str">
        <f>Summary!U9</f>
        <v>NormRes</v>
      </c>
      <c r="Z157">
        <f>Summary!V9</f>
        <v>5.1114945007957866</v>
      </c>
      <c r="AA157">
        <f>Summary!W9</f>
        <v>7.9742004528834762</v>
      </c>
      <c r="AB157">
        <f>Summary!X9</f>
        <v>7.6065159275162184</v>
      </c>
      <c r="AC157">
        <f>Summary!Y9</f>
        <v>4.5668716815766892</v>
      </c>
      <c r="AD157">
        <f>Summary!Z9</f>
        <v>5.9008337192313816</v>
      </c>
      <c r="AE157">
        <f>Summary!AA9</f>
        <v>4.8965516131810034</v>
      </c>
      <c r="AF157">
        <f>Summary!AB9</f>
        <v>7.0282470073359198</v>
      </c>
      <c r="AG157">
        <f>Summary!AC9</f>
        <v>7.0152426489120492</v>
      </c>
      <c r="AH157">
        <f>Summary!AD9</f>
        <v>7.1736870471378822</v>
      </c>
      <c r="AI157">
        <f>Summary!AE9</f>
        <v>5.1401609565828741</v>
      </c>
      <c r="AJ157">
        <f>Summary!AF9</f>
        <v>5.4519125202464007</v>
      </c>
      <c r="AK157">
        <f>Summary!AG9</f>
        <v>6.5718473772603163</v>
      </c>
      <c r="AL157">
        <f>Summary!AH9</f>
        <v>5.6391108741006999</v>
      </c>
      <c r="AM157">
        <f>Summary!AI9</f>
        <v>5.5037066257452416</v>
      </c>
      <c r="AN157">
        <f>Summary!AJ9</f>
        <v>7.671614583047341</v>
      </c>
      <c r="AO157">
        <f>Summary!AK9</f>
        <v>5.2358846549556795</v>
      </c>
      <c r="AP157">
        <f>Summary!AL9</f>
        <v>5.7829073270174911</v>
      </c>
      <c r="AQ157">
        <f>Summary!AM9</f>
        <v>5.5443702126863776</v>
      </c>
      <c r="AR157">
        <f>Summary!AN9</f>
        <v>6.7258322285268841</v>
      </c>
      <c r="AS157">
        <f>Summary!AO9</f>
        <v>6.187192900762458</v>
      </c>
      <c r="AT157">
        <f>Summary!AP9</f>
        <v>7.7025631101679322</v>
      </c>
      <c r="AU157">
        <f>Summary!AQ9</f>
        <v>6.8452521429594828</v>
      </c>
      <c r="AV157">
        <f>Summary!AR9</f>
        <v>7.0186374379596952</v>
      </c>
      <c r="AW157">
        <f>Summary!AS9</f>
        <v>8.9075986675559093</v>
      </c>
      <c r="AX157">
        <f>Summary!AT9</f>
        <v>5.6651130935968146</v>
      </c>
      <c r="AY157">
        <f>Summary!AU9</f>
        <v>6.1976154441113049</v>
      </c>
      <c r="AZ157">
        <f>Summary!AV9</f>
        <v>5.1208820304605762</v>
      </c>
      <c r="BA157">
        <f>Summary!AW9</f>
        <v>3.5518565487252665</v>
      </c>
      <c r="BB157">
        <f>Summary!AX9</f>
        <v>5.5177234709645253</v>
      </c>
      <c r="BC157">
        <f>Summary!AY9</f>
        <v>5.8765754365858287</v>
      </c>
    </row>
    <row r="158" spans="1:55" x14ac:dyDescent="0.15">
      <c r="A158" t="e">
        <f t="shared" si="72"/>
        <v>#REF!</v>
      </c>
      <c r="B158" s="27" t="e">
        <f t="shared" ref="B158:P158" si="78">B62-B126</f>
        <v>#REF!</v>
      </c>
      <c r="C158" s="27" t="e">
        <f t="shared" si="78"/>
        <v>#REF!</v>
      </c>
      <c r="D158" s="27" t="e">
        <f t="shared" si="78"/>
        <v>#REF!</v>
      </c>
      <c r="E158" s="27" t="e">
        <f t="shared" si="78"/>
        <v>#REF!</v>
      </c>
      <c r="F158" s="27" t="e">
        <f t="shared" si="78"/>
        <v>#REF!</v>
      </c>
      <c r="G158" s="27" t="e">
        <f t="shared" si="78"/>
        <v>#REF!</v>
      </c>
      <c r="H158" s="27" t="e">
        <f t="shared" si="78"/>
        <v>#REF!</v>
      </c>
      <c r="I158" s="27" t="e">
        <f t="shared" si="78"/>
        <v>#REF!</v>
      </c>
      <c r="J158" s="27" t="e">
        <f t="shared" si="78"/>
        <v>#REF!</v>
      </c>
      <c r="K158" s="27" t="e">
        <f t="shared" si="78"/>
        <v>#REF!</v>
      </c>
      <c r="L158" s="27" t="e">
        <f t="shared" si="78"/>
        <v>#REF!</v>
      </c>
      <c r="M158" s="27" t="e">
        <f t="shared" si="78"/>
        <v>#REF!</v>
      </c>
      <c r="N158" s="27" t="e">
        <f t="shared" si="78"/>
        <v>#REF!</v>
      </c>
      <c r="O158" s="27" t="e">
        <f t="shared" si="78"/>
        <v>#REF!</v>
      </c>
      <c r="P158" s="27" t="e">
        <f t="shared" si="78"/>
        <v>#REF!</v>
      </c>
      <c r="Q158" s="27">
        <f t="shared" si="75"/>
        <v>4876.29</v>
      </c>
      <c r="S158">
        <v>1986</v>
      </c>
      <c r="T158" s="27">
        <v>5121.55</v>
      </c>
      <c r="U158" s="27">
        <v>9997.84</v>
      </c>
      <c r="V158">
        <v>826.37305709999998</v>
      </c>
      <c r="W158">
        <v>5.9008337192313816</v>
      </c>
    </row>
    <row r="159" spans="1:55" x14ac:dyDescent="0.15">
      <c r="A159" t="e">
        <f t="shared" si="72"/>
        <v>#REF!</v>
      </c>
      <c r="B159" s="27" t="e">
        <f t="shared" ref="B159:P159" si="79">B63-B127</f>
        <v>#REF!</v>
      </c>
      <c r="C159" s="27" t="e">
        <f t="shared" si="79"/>
        <v>#REF!</v>
      </c>
      <c r="D159" s="27" t="e">
        <f t="shared" si="79"/>
        <v>#REF!</v>
      </c>
      <c r="E159" s="27" t="e">
        <f t="shared" si="79"/>
        <v>#REF!</v>
      </c>
      <c r="F159" s="27" t="e">
        <f t="shared" si="79"/>
        <v>#REF!</v>
      </c>
      <c r="G159" s="27" t="e">
        <f t="shared" si="79"/>
        <v>#REF!</v>
      </c>
      <c r="H159" s="27" t="e">
        <f t="shared" si="79"/>
        <v>#REF!</v>
      </c>
      <c r="I159" s="27" t="e">
        <f t="shared" si="79"/>
        <v>#REF!</v>
      </c>
      <c r="J159" s="27" t="e">
        <f t="shared" si="79"/>
        <v>#REF!</v>
      </c>
      <c r="K159" s="27" t="e">
        <f t="shared" si="79"/>
        <v>#REF!</v>
      </c>
      <c r="L159" s="27" t="e">
        <f t="shared" si="79"/>
        <v>#REF!</v>
      </c>
      <c r="M159" s="27" t="e">
        <f t="shared" si="79"/>
        <v>#REF!</v>
      </c>
      <c r="N159" s="27" t="e">
        <f t="shared" si="79"/>
        <v>#REF!</v>
      </c>
      <c r="O159" s="27" t="e">
        <f t="shared" si="79"/>
        <v>#REF!</v>
      </c>
      <c r="P159" s="27" t="e">
        <f t="shared" si="79"/>
        <v>#REF!</v>
      </c>
      <c r="Q159" s="27">
        <f t="shared" si="75"/>
        <v>5511.71</v>
      </c>
      <c r="S159">
        <v>1987</v>
      </c>
      <c r="T159" s="27">
        <v>7347.19</v>
      </c>
      <c r="U159" s="27">
        <v>12858.9</v>
      </c>
      <c r="V159">
        <v>1125.6309409999999</v>
      </c>
      <c r="W159">
        <v>4.8965516131810034</v>
      </c>
    </row>
    <row r="160" spans="1:55" x14ac:dyDescent="0.15">
      <c r="A160" t="e">
        <f t="shared" si="72"/>
        <v>#REF!</v>
      </c>
      <c r="B160" s="27" t="e">
        <f t="shared" ref="B160:P160" si="80">B64-B128</f>
        <v>#REF!</v>
      </c>
      <c r="C160" s="27" t="e">
        <f t="shared" si="80"/>
        <v>#REF!</v>
      </c>
      <c r="D160" s="27" t="e">
        <f t="shared" si="80"/>
        <v>#REF!</v>
      </c>
      <c r="E160" s="27" t="e">
        <f t="shared" si="80"/>
        <v>#REF!</v>
      </c>
      <c r="F160" s="27" t="e">
        <f t="shared" si="80"/>
        <v>#REF!</v>
      </c>
      <c r="G160" s="27" t="e">
        <f t="shared" si="80"/>
        <v>#REF!</v>
      </c>
      <c r="H160" s="27" t="e">
        <f t="shared" si="80"/>
        <v>#REF!</v>
      </c>
      <c r="I160" s="27" t="e">
        <f t="shared" si="80"/>
        <v>#REF!</v>
      </c>
      <c r="J160" s="27" t="e">
        <f t="shared" si="80"/>
        <v>#REF!</v>
      </c>
      <c r="K160" s="27" t="e">
        <f t="shared" si="80"/>
        <v>#REF!</v>
      </c>
      <c r="L160" s="27" t="e">
        <f t="shared" si="80"/>
        <v>#REF!</v>
      </c>
      <c r="M160" s="27" t="e">
        <f t="shared" si="80"/>
        <v>#REF!</v>
      </c>
      <c r="N160" s="27" t="e">
        <f t="shared" si="80"/>
        <v>#REF!</v>
      </c>
      <c r="O160" s="27" t="e">
        <f t="shared" si="80"/>
        <v>#REF!</v>
      </c>
      <c r="P160" s="27" t="e">
        <f t="shared" si="80"/>
        <v>#REF!</v>
      </c>
      <c r="Q160" s="27">
        <f t="shared" si="75"/>
        <v>10234.800000000001</v>
      </c>
      <c r="S160">
        <v>1988</v>
      </c>
      <c r="T160" s="27">
        <v>8657.6</v>
      </c>
      <c r="U160" s="27">
        <v>18892.400000000001</v>
      </c>
      <c r="V160">
        <v>1456.237948</v>
      </c>
      <c r="W160">
        <v>7.0282470073359198</v>
      </c>
    </row>
    <row r="161" spans="1:23" x14ac:dyDescent="0.15">
      <c r="A161" t="e">
        <f t="shared" si="72"/>
        <v>#REF!</v>
      </c>
      <c r="B161" s="27" t="e">
        <f t="shared" ref="B161:P161" si="81">B65-B129</f>
        <v>#REF!</v>
      </c>
      <c r="C161" s="27" t="e">
        <f t="shared" si="81"/>
        <v>#REF!</v>
      </c>
      <c r="D161" s="27" t="e">
        <f t="shared" si="81"/>
        <v>#REF!</v>
      </c>
      <c r="E161" s="27" t="e">
        <f t="shared" si="81"/>
        <v>#REF!</v>
      </c>
      <c r="F161" s="27" t="e">
        <f t="shared" si="81"/>
        <v>#REF!</v>
      </c>
      <c r="G161" s="27" t="e">
        <f t="shared" si="81"/>
        <v>#REF!</v>
      </c>
      <c r="H161" s="27" t="e">
        <f t="shared" si="81"/>
        <v>#REF!</v>
      </c>
      <c r="I161" s="27" t="e">
        <f t="shared" si="81"/>
        <v>#REF!</v>
      </c>
      <c r="J161" s="27" t="e">
        <f t="shared" si="81"/>
        <v>#REF!</v>
      </c>
      <c r="K161" s="27" t="e">
        <f t="shared" si="81"/>
        <v>#REF!</v>
      </c>
      <c r="L161" s="27" t="e">
        <f t="shared" si="81"/>
        <v>#REF!</v>
      </c>
      <c r="M161" s="27" t="e">
        <f t="shared" si="81"/>
        <v>#REF!</v>
      </c>
      <c r="N161" s="27" t="e">
        <f t="shared" si="81"/>
        <v>#REF!</v>
      </c>
      <c r="O161" s="27" t="e">
        <f t="shared" si="81"/>
        <v>#REF!</v>
      </c>
      <c r="P161" s="27" t="e">
        <f t="shared" si="81"/>
        <v>#REF!</v>
      </c>
      <c r="Q161" s="27">
        <f t="shared" si="75"/>
        <v>7971.07</v>
      </c>
      <c r="S161">
        <v>1989</v>
      </c>
      <c r="T161" s="27">
        <v>7786.73</v>
      </c>
      <c r="U161" s="27">
        <v>15757.8</v>
      </c>
      <c r="V161">
        <v>1136.2500769999999</v>
      </c>
      <c r="W161">
        <v>7.0152426489120492</v>
      </c>
    </row>
    <row r="162" spans="1:23" x14ac:dyDescent="0.15">
      <c r="A162" t="e">
        <f t="shared" si="72"/>
        <v>#REF!</v>
      </c>
      <c r="B162" s="27" t="e">
        <f t="shared" ref="B162:P162" si="82">B66-B130</f>
        <v>#REF!</v>
      </c>
      <c r="C162" s="27" t="e">
        <f t="shared" si="82"/>
        <v>#REF!</v>
      </c>
      <c r="D162" s="27" t="e">
        <f t="shared" si="82"/>
        <v>#REF!</v>
      </c>
      <c r="E162" s="27" t="e">
        <f t="shared" si="82"/>
        <v>#REF!</v>
      </c>
      <c r="F162" s="27" t="e">
        <f t="shared" si="82"/>
        <v>#REF!</v>
      </c>
      <c r="G162" s="27" t="e">
        <f t="shared" si="82"/>
        <v>#REF!</v>
      </c>
      <c r="H162" s="27" t="e">
        <f t="shared" si="82"/>
        <v>#REF!</v>
      </c>
      <c r="I162" s="27" t="e">
        <f t="shared" si="82"/>
        <v>#REF!</v>
      </c>
      <c r="J162" s="27" t="e">
        <f t="shared" si="82"/>
        <v>#REF!</v>
      </c>
      <c r="K162" s="27" t="e">
        <f t="shared" si="82"/>
        <v>#REF!</v>
      </c>
      <c r="L162" s="27" t="e">
        <f t="shared" si="82"/>
        <v>#REF!</v>
      </c>
      <c r="M162" s="27" t="e">
        <f t="shared" si="82"/>
        <v>#REF!</v>
      </c>
      <c r="N162" s="27" t="e">
        <f t="shared" si="82"/>
        <v>#REF!</v>
      </c>
      <c r="O162" s="27" t="e">
        <f t="shared" si="82"/>
        <v>#REF!</v>
      </c>
      <c r="P162" s="27" t="e">
        <f t="shared" si="82"/>
        <v>#REF!</v>
      </c>
      <c r="Q162" s="27">
        <f t="shared" si="75"/>
        <v>9826.82</v>
      </c>
      <c r="S162">
        <v>1990</v>
      </c>
      <c r="T162" s="27">
        <v>5958.58</v>
      </c>
      <c r="U162" s="27">
        <v>15785.4</v>
      </c>
      <c r="V162">
        <v>1369.8423049999999</v>
      </c>
      <c r="W162">
        <v>7.1736870471378822</v>
      </c>
    </row>
    <row r="163" spans="1:23" x14ac:dyDescent="0.15">
      <c r="A163" t="e">
        <f t="shared" si="72"/>
        <v>#REF!</v>
      </c>
      <c r="B163" s="27" t="e">
        <f t="shared" ref="B163:P163" si="83">B67-B131</f>
        <v>#REF!</v>
      </c>
      <c r="C163" s="27" t="e">
        <f t="shared" si="83"/>
        <v>#REF!</v>
      </c>
      <c r="D163" s="27" t="e">
        <f t="shared" si="83"/>
        <v>#REF!</v>
      </c>
      <c r="E163" s="27" t="e">
        <f t="shared" si="83"/>
        <v>#REF!</v>
      </c>
      <c r="F163" s="27" t="e">
        <f t="shared" si="83"/>
        <v>#REF!</v>
      </c>
      <c r="G163" s="27" t="e">
        <f t="shared" si="83"/>
        <v>#REF!</v>
      </c>
      <c r="H163" s="27" t="e">
        <f t="shared" si="83"/>
        <v>#REF!</v>
      </c>
      <c r="I163" s="27" t="e">
        <f t="shared" si="83"/>
        <v>#REF!</v>
      </c>
      <c r="J163" s="27" t="e">
        <f t="shared" si="83"/>
        <v>#REF!</v>
      </c>
      <c r="K163" s="27" t="e">
        <f t="shared" si="83"/>
        <v>#REF!</v>
      </c>
      <c r="L163" s="27" t="e">
        <f t="shared" si="83"/>
        <v>#REF!</v>
      </c>
      <c r="M163" s="27" t="e">
        <f t="shared" si="83"/>
        <v>#REF!</v>
      </c>
      <c r="N163" s="27" t="e">
        <f t="shared" si="83"/>
        <v>#REF!</v>
      </c>
      <c r="O163" s="27" t="e">
        <f t="shared" si="83"/>
        <v>#REF!</v>
      </c>
      <c r="P163" s="27" t="e">
        <f t="shared" si="83"/>
        <v>#REF!</v>
      </c>
      <c r="Q163" s="27">
        <f t="shared" si="75"/>
        <v>4252.8600000000006</v>
      </c>
      <c r="S163">
        <v>1991</v>
      </c>
      <c r="T163" s="27">
        <v>4226.82</v>
      </c>
      <c r="U163" s="27">
        <v>8479.68</v>
      </c>
      <c r="V163">
        <v>827.37876029999995</v>
      </c>
      <c r="W163">
        <v>5.1401609565828741</v>
      </c>
    </row>
    <row r="164" spans="1:23" x14ac:dyDescent="0.15">
      <c r="A164" t="e">
        <f t="shared" si="72"/>
        <v>#REF!</v>
      </c>
      <c r="B164" s="27" t="e">
        <f t="shared" ref="B164:P164" si="84">B68-B132</f>
        <v>#REF!</v>
      </c>
      <c r="C164" s="27" t="e">
        <f t="shared" si="84"/>
        <v>#REF!</v>
      </c>
      <c r="D164" s="27" t="e">
        <f t="shared" si="84"/>
        <v>#REF!</v>
      </c>
      <c r="E164" s="27" t="e">
        <f t="shared" si="84"/>
        <v>#REF!</v>
      </c>
      <c r="F164" s="27" t="e">
        <f t="shared" si="84"/>
        <v>#REF!</v>
      </c>
      <c r="G164" s="27" t="e">
        <f t="shared" si="84"/>
        <v>#REF!</v>
      </c>
      <c r="H164" s="27" t="e">
        <f t="shared" si="84"/>
        <v>#REF!</v>
      </c>
      <c r="I164" s="27" t="e">
        <f t="shared" si="84"/>
        <v>#REF!</v>
      </c>
      <c r="J164" s="27" t="e">
        <f t="shared" si="84"/>
        <v>#REF!</v>
      </c>
      <c r="K164" s="27" t="e">
        <f t="shared" si="84"/>
        <v>#REF!</v>
      </c>
      <c r="L164" s="27" t="e">
        <f t="shared" si="84"/>
        <v>#REF!</v>
      </c>
      <c r="M164" s="27" t="e">
        <f t="shared" si="84"/>
        <v>#REF!</v>
      </c>
      <c r="N164" s="27" t="e">
        <f t="shared" si="84"/>
        <v>#REF!</v>
      </c>
      <c r="O164" s="27" t="e">
        <f t="shared" si="84"/>
        <v>#REF!</v>
      </c>
      <c r="P164" s="27" t="e">
        <f t="shared" si="84"/>
        <v>#REF!</v>
      </c>
      <c r="Q164" s="27">
        <f t="shared" si="75"/>
        <v>4373</v>
      </c>
      <c r="S164">
        <v>1992</v>
      </c>
      <c r="T164" s="27">
        <v>3952.03</v>
      </c>
      <c r="U164" s="27">
        <v>8325.0300000000007</v>
      </c>
      <c r="V164">
        <v>802.10384590000001</v>
      </c>
      <c r="W164">
        <v>5.4519125202464007</v>
      </c>
    </row>
    <row r="165" spans="1:23" x14ac:dyDescent="0.15">
      <c r="A165" t="e">
        <f t="shared" si="72"/>
        <v>#REF!</v>
      </c>
      <c r="B165" s="27" t="e">
        <f t="shared" ref="B165:P165" si="85">B69-B133</f>
        <v>#REF!</v>
      </c>
      <c r="C165" s="27" t="e">
        <f t="shared" si="85"/>
        <v>#REF!</v>
      </c>
      <c r="D165" s="27" t="e">
        <f t="shared" si="85"/>
        <v>#REF!</v>
      </c>
      <c r="E165" s="27" t="e">
        <f t="shared" si="85"/>
        <v>#REF!</v>
      </c>
      <c r="F165" s="27" t="e">
        <f t="shared" si="85"/>
        <v>#REF!</v>
      </c>
      <c r="G165" s="27" t="e">
        <f t="shared" si="85"/>
        <v>#REF!</v>
      </c>
      <c r="H165" s="27" t="e">
        <f t="shared" si="85"/>
        <v>#REF!</v>
      </c>
      <c r="I165" s="27" t="e">
        <f t="shared" si="85"/>
        <v>#REF!</v>
      </c>
      <c r="J165" s="27" t="e">
        <f t="shared" si="85"/>
        <v>#REF!</v>
      </c>
      <c r="K165" s="27" t="e">
        <f t="shared" si="85"/>
        <v>#REF!</v>
      </c>
      <c r="L165" s="27" t="e">
        <f t="shared" si="85"/>
        <v>#REF!</v>
      </c>
      <c r="M165" s="27" t="e">
        <f t="shared" si="85"/>
        <v>#REF!</v>
      </c>
      <c r="N165" s="27" t="e">
        <f t="shared" si="85"/>
        <v>#REF!</v>
      </c>
      <c r="O165" s="27" t="e">
        <f t="shared" si="85"/>
        <v>#REF!</v>
      </c>
      <c r="P165" s="27" t="e">
        <f t="shared" si="85"/>
        <v>#REF!</v>
      </c>
      <c r="Q165" s="27">
        <f t="shared" si="75"/>
        <v>5672.63</v>
      </c>
      <c r="S165">
        <v>1993</v>
      </c>
      <c r="T165" s="27">
        <v>4540.47</v>
      </c>
      <c r="U165" s="27">
        <v>10213.1</v>
      </c>
      <c r="V165">
        <v>863.1712933</v>
      </c>
      <c r="W165">
        <v>6.5718473772603163</v>
      </c>
    </row>
    <row r="166" spans="1:23" x14ac:dyDescent="0.15">
      <c r="A166" t="e">
        <f t="shared" si="72"/>
        <v>#REF!</v>
      </c>
      <c r="B166" s="27" t="e">
        <f t="shared" ref="B166:P166" si="86">B70-B134</f>
        <v>#REF!</v>
      </c>
      <c r="C166" s="27" t="e">
        <f t="shared" si="86"/>
        <v>#REF!</v>
      </c>
      <c r="D166" s="27" t="e">
        <f t="shared" si="86"/>
        <v>#REF!</v>
      </c>
      <c r="E166" s="27" t="e">
        <f t="shared" si="86"/>
        <v>#REF!</v>
      </c>
      <c r="F166" s="27" t="e">
        <f t="shared" si="86"/>
        <v>#REF!</v>
      </c>
      <c r="G166" s="27" t="e">
        <f t="shared" si="86"/>
        <v>#REF!</v>
      </c>
      <c r="H166" s="27" t="e">
        <f t="shared" si="86"/>
        <v>#REF!</v>
      </c>
      <c r="I166" s="27" t="e">
        <f t="shared" si="86"/>
        <v>#REF!</v>
      </c>
      <c r="J166" s="27" t="e">
        <f t="shared" si="86"/>
        <v>#REF!</v>
      </c>
      <c r="K166" s="27" t="e">
        <f t="shared" si="86"/>
        <v>#REF!</v>
      </c>
      <c r="L166" s="27" t="e">
        <f t="shared" si="86"/>
        <v>#REF!</v>
      </c>
      <c r="M166" s="27" t="e">
        <f t="shared" si="86"/>
        <v>#REF!</v>
      </c>
      <c r="N166" s="27" t="e">
        <f t="shared" si="86"/>
        <v>#REF!</v>
      </c>
      <c r="O166" s="27" t="e">
        <f t="shared" si="86"/>
        <v>#REF!</v>
      </c>
      <c r="P166" s="27" t="e">
        <f t="shared" si="86"/>
        <v>#REF!</v>
      </c>
      <c r="Q166" s="27">
        <f t="shared" si="75"/>
        <v>5485.2999999999993</v>
      </c>
      <c r="S166">
        <v>1994</v>
      </c>
      <c r="T166" s="27">
        <v>4557.5</v>
      </c>
      <c r="U166" s="27">
        <v>10042.799999999999</v>
      </c>
      <c r="V166">
        <v>972.72426849999999</v>
      </c>
      <c r="W166">
        <v>5.6391108741006999</v>
      </c>
    </row>
    <row r="167" spans="1:23" x14ac:dyDescent="0.15">
      <c r="A167" t="e">
        <f t="shared" si="72"/>
        <v>#REF!</v>
      </c>
      <c r="B167" s="27" t="e">
        <f t="shared" ref="B167:P167" si="87">B71-B135</f>
        <v>#REF!</v>
      </c>
      <c r="C167" s="27" t="e">
        <f t="shared" si="87"/>
        <v>#REF!</v>
      </c>
      <c r="D167" s="27" t="e">
        <f t="shared" si="87"/>
        <v>#REF!</v>
      </c>
      <c r="E167" s="27" t="e">
        <f t="shared" si="87"/>
        <v>#REF!</v>
      </c>
      <c r="F167" s="27" t="e">
        <f t="shared" si="87"/>
        <v>#REF!</v>
      </c>
      <c r="G167" s="27" t="e">
        <f t="shared" si="87"/>
        <v>#REF!</v>
      </c>
      <c r="H167" s="27" t="e">
        <f t="shared" si="87"/>
        <v>#REF!</v>
      </c>
      <c r="I167" s="27" t="e">
        <f t="shared" si="87"/>
        <v>#REF!</v>
      </c>
      <c r="J167" s="27" t="e">
        <f t="shared" si="87"/>
        <v>#REF!</v>
      </c>
      <c r="K167" s="27" t="e">
        <f t="shared" si="87"/>
        <v>#REF!</v>
      </c>
      <c r="L167" s="27" t="e">
        <f t="shared" si="87"/>
        <v>#REF!</v>
      </c>
      <c r="M167" s="27" t="e">
        <f t="shared" si="87"/>
        <v>#REF!</v>
      </c>
      <c r="N167" s="27" t="e">
        <f t="shared" si="87"/>
        <v>#REF!</v>
      </c>
      <c r="O167" s="27" t="e">
        <f t="shared" si="87"/>
        <v>#REF!</v>
      </c>
      <c r="P167" s="27" t="e">
        <f t="shared" si="87"/>
        <v>#REF!</v>
      </c>
      <c r="Q167" s="27">
        <f t="shared" si="75"/>
        <v>9956.7999999999993</v>
      </c>
      <c r="S167">
        <v>1995</v>
      </c>
      <c r="T167" s="27">
        <v>3458.3</v>
      </c>
      <c r="U167" s="27">
        <v>13415.1</v>
      </c>
      <c r="V167">
        <v>1809.1080569999999</v>
      </c>
      <c r="W167">
        <v>5.5037066257452416</v>
      </c>
    </row>
    <row r="168" spans="1:23" x14ac:dyDescent="0.15">
      <c r="A168" t="e">
        <f t="shared" si="72"/>
        <v>#REF!</v>
      </c>
      <c r="B168" s="27" t="e">
        <f t="shared" ref="B168:P168" si="88">B72-B136</f>
        <v>#REF!</v>
      </c>
      <c r="C168" s="27" t="e">
        <f t="shared" si="88"/>
        <v>#REF!</v>
      </c>
      <c r="D168" s="27" t="e">
        <f t="shared" si="88"/>
        <v>#REF!</v>
      </c>
      <c r="E168" s="27" t="e">
        <f t="shared" si="88"/>
        <v>#REF!</v>
      </c>
      <c r="F168" s="27" t="e">
        <f t="shared" si="88"/>
        <v>#REF!</v>
      </c>
      <c r="G168" s="27" t="e">
        <f t="shared" si="88"/>
        <v>#REF!</v>
      </c>
      <c r="H168" s="27" t="e">
        <f t="shared" si="88"/>
        <v>#REF!</v>
      </c>
      <c r="I168" s="27" t="e">
        <f t="shared" si="88"/>
        <v>#REF!</v>
      </c>
      <c r="J168" s="27" t="e">
        <f t="shared" si="88"/>
        <v>#REF!</v>
      </c>
      <c r="K168" s="27" t="e">
        <f t="shared" si="88"/>
        <v>#REF!</v>
      </c>
      <c r="L168" s="27" t="e">
        <f t="shared" si="88"/>
        <v>#REF!</v>
      </c>
      <c r="M168" s="27" t="e">
        <f t="shared" si="88"/>
        <v>#REF!</v>
      </c>
      <c r="N168" s="27" t="e">
        <f t="shared" si="88"/>
        <v>#REF!</v>
      </c>
      <c r="O168" s="27" t="e">
        <f t="shared" si="88"/>
        <v>#REF!</v>
      </c>
      <c r="P168" s="27" t="e">
        <f t="shared" si="88"/>
        <v>#REF!</v>
      </c>
      <c r="Q168" s="27">
        <f t="shared" si="75"/>
        <v>3513.7400000000002</v>
      </c>
      <c r="S168">
        <v>1996</v>
      </c>
      <c r="T168" s="27">
        <v>2700.03</v>
      </c>
      <c r="U168" s="27">
        <v>6213.77</v>
      </c>
      <c r="V168">
        <v>458.01831700000002</v>
      </c>
      <c r="W168">
        <v>7.671614583047341</v>
      </c>
    </row>
    <row r="169" spans="1:23" x14ac:dyDescent="0.15">
      <c r="A169" t="e">
        <f t="shared" si="72"/>
        <v>#REF!</v>
      </c>
      <c r="B169" s="27" t="e">
        <f t="shared" ref="B169:P169" si="89">B73-B137</f>
        <v>#REF!</v>
      </c>
      <c r="C169" s="27" t="e">
        <f t="shared" si="89"/>
        <v>#REF!</v>
      </c>
      <c r="D169" s="27" t="e">
        <f t="shared" si="89"/>
        <v>#REF!</v>
      </c>
      <c r="E169" s="27" t="e">
        <f t="shared" si="89"/>
        <v>#REF!</v>
      </c>
      <c r="F169" s="27" t="e">
        <f t="shared" si="89"/>
        <v>#REF!</v>
      </c>
      <c r="G169" s="27" t="e">
        <f t="shared" si="89"/>
        <v>#REF!</v>
      </c>
      <c r="H169" s="27" t="e">
        <f t="shared" si="89"/>
        <v>#REF!</v>
      </c>
      <c r="I169" s="27" t="e">
        <f t="shared" si="89"/>
        <v>#REF!</v>
      </c>
      <c r="J169" s="27" t="e">
        <f t="shared" si="89"/>
        <v>#REF!</v>
      </c>
      <c r="K169" s="27" t="e">
        <f t="shared" si="89"/>
        <v>#REF!</v>
      </c>
      <c r="L169" s="27" t="e">
        <f t="shared" si="89"/>
        <v>#REF!</v>
      </c>
      <c r="M169" s="27" t="e">
        <f t="shared" si="89"/>
        <v>#REF!</v>
      </c>
      <c r="N169" s="27" t="e">
        <f t="shared" si="89"/>
        <v>#REF!</v>
      </c>
      <c r="O169" s="27" t="e">
        <f t="shared" si="89"/>
        <v>#REF!</v>
      </c>
      <c r="P169" s="27" t="e">
        <f t="shared" si="89"/>
        <v>#REF!</v>
      </c>
      <c r="Q169" s="27">
        <f t="shared" si="75"/>
        <v>5139.8</v>
      </c>
      <c r="S169">
        <v>1997</v>
      </c>
      <c r="T169" s="27">
        <v>3356.55</v>
      </c>
      <c r="U169" s="27">
        <v>8496.35</v>
      </c>
      <c r="V169">
        <v>981.64882130000001</v>
      </c>
      <c r="W169">
        <v>5.2358846549556795</v>
      </c>
    </row>
    <row r="170" spans="1:23" x14ac:dyDescent="0.15">
      <c r="A170" t="e">
        <f t="shared" si="72"/>
        <v>#REF!</v>
      </c>
      <c r="B170" s="27" t="e">
        <f t="shared" ref="B170:P170" si="90">B74-B138</f>
        <v>#REF!</v>
      </c>
      <c r="C170" s="27" t="e">
        <f t="shared" si="90"/>
        <v>#REF!</v>
      </c>
      <c r="D170" s="27" t="e">
        <f t="shared" si="90"/>
        <v>#REF!</v>
      </c>
      <c r="E170" s="27" t="e">
        <f t="shared" si="90"/>
        <v>#REF!</v>
      </c>
      <c r="F170" s="27" t="e">
        <f t="shared" si="90"/>
        <v>#REF!</v>
      </c>
      <c r="G170" s="27" t="e">
        <f t="shared" si="90"/>
        <v>#REF!</v>
      </c>
      <c r="H170" s="27" t="e">
        <f t="shared" si="90"/>
        <v>#REF!</v>
      </c>
      <c r="I170" s="27" t="e">
        <f t="shared" si="90"/>
        <v>#REF!</v>
      </c>
      <c r="J170" s="27" t="e">
        <f t="shared" si="90"/>
        <v>#REF!</v>
      </c>
      <c r="K170" s="27" t="e">
        <f t="shared" si="90"/>
        <v>#REF!</v>
      </c>
      <c r="L170" s="27" t="e">
        <f t="shared" si="90"/>
        <v>#REF!</v>
      </c>
      <c r="M170" s="27" t="e">
        <f t="shared" si="90"/>
        <v>#REF!</v>
      </c>
      <c r="N170" s="27" t="e">
        <f t="shared" si="90"/>
        <v>#REF!</v>
      </c>
      <c r="O170" s="27" t="e">
        <f t="shared" si="90"/>
        <v>#REF!</v>
      </c>
      <c r="P170" s="27" t="e">
        <f t="shared" si="90"/>
        <v>#REF!</v>
      </c>
      <c r="Q170" s="27">
        <f t="shared" si="75"/>
        <v>3343.3799999999997</v>
      </c>
      <c r="S170">
        <v>1998</v>
      </c>
      <c r="T170" s="27">
        <v>2952.98</v>
      </c>
      <c r="U170" s="27">
        <v>6296.36</v>
      </c>
      <c r="V170">
        <v>578.14863890000004</v>
      </c>
      <c r="W170">
        <v>5.7829073270174911</v>
      </c>
    </row>
    <row r="171" spans="1:23" x14ac:dyDescent="0.15">
      <c r="A171" t="e">
        <f t="shared" si="72"/>
        <v>#REF!</v>
      </c>
      <c r="B171" s="27" t="e">
        <f t="shared" ref="B171:P171" si="91">B75-B139</f>
        <v>#REF!</v>
      </c>
      <c r="C171" s="27" t="e">
        <f t="shared" si="91"/>
        <v>#REF!</v>
      </c>
      <c r="D171" s="27" t="e">
        <f t="shared" si="91"/>
        <v>#REF!</v>
      </c>
      <c r="E171" s="27" t="e">
        <f t="shared" si="91"/>
        <v>#REF!</v>
      </c>
      <c r="F171" s="27" t="e">
        <f t="shared" si="91"/>
        <v>#REF!</v>
      </c>
      <c r="G171" s="27" t="e">
        <f t="shared" si="91"/>
        <v>#REF!</v>
      </c>
      <c r="H171" s="27" t="e">
        <f t="shared" si="91"/>
        <v>#REF!</v>
      </c>
      <c r="I171" s="27" t="e">
        <f t="shared" si="91"/>
        <v>#REF!</v>
      </c>
      <c r="J171" s="27" t="e">
        <f t="shared" si="91"/>
        <v>#REF!</v>
      </c>
      <c r="K171" s="27" t="e">
        <f t="shared" si="91"/>
        <v>#REF!</v>
      </c>
      <c r="L171" s="27" t="e">
        <f t="shared" si="91"/>
        <v>#REF!</v>
      </c>
      <c r="M171" s="27" t="e">
        <f t="shared" si="91"/>
        <v>#REF!</v>
      </c>
      <c r="N171" s="27" t="e">
        <f t="shared" si="91"/>
        <v>#REF!</v>
      </c>
      <c r="O171" s="27" t="e">
        <f t="shared" si="91"/>
        <v>#REF!</v>
      </c>
      <c r="P171" s="27" t="e">
        <f t="shared" si="91"/>
        <v>#REF!</v>
      </c>
      <c r="Q171" s="27">
        <f t="shared" si="75"/>
        <v>4622.8700000000008</v>
      </c>
      <c r="S171">
        <v>1999</v>
      </c>
      <c r="T171" s="27">
        <v>4515.58</v>
      </c>
      <c r="U171" s="27">
        <v>9138.4500000000007</v>
      </c>
      <c r="V171">
        <v>833.79533160000005</v>
      </c>
      <c r="W171">
        <v>5.5443702126863776</v>
      </c>
    </row>
    <row r="172" spans="1:23" x14ac:dyDescent="0.15">
      <c r="A172" t="e">
        <f t="shared" si="72"/>
        <v>#REF!</v>
      </c>
      <c r="B172" s="27" t="e">
        <f t="shared" ref="B172:P172" si="92">B76-B140</f>
        <v>#REF!</v>
      </c>
      <c r="C172" s="27" t="e">
        <f t="shared" si="92"/>
        <v>#REF!</v>
      </c>
      <c r="D172" s="27" t="e">
        <f t="shared" si="92"/>
        <v>#REF!</v>
      </c>
      <c r="E172" s="27" t="e">
        <f t="shared" si="92"/>
        <v>#REF!</v>
      </c>
      <c r="F172" s="27" t="e">
        <f t="shared" si="92"/>
        <v>#REF!</v>
      </c>
      <c r="G172" s="27" t="e">
        <f t="shared" si="92"/>
        <v>#REF!</v>
      </c>
      <c r="H172" s="27" t="e">
        <f t="shared" si="92"/>
        <v>#REF!</v>
      </c>
      <c r="I172" s="27" t="e">
        <f t="shared" si="92"/>
        <v>#REF!</v>
      </c>
      <c r="J172" s="27" t="e">
        <f t="shared" si="92"/>
        <v>#REF!</v>
      </c>
      <c r="K172" s="27" t="e">
        <f t="shared" si="92"/>
        <v>#REF!</v>
      </c>
      <c r="L172" s="27" t="e">
        <f t="shared" si="92"/>
        <v>#REF!</v>
      </c>
      <c r="M172" s="27" t="e">
        <f t="shared" si="92"/>
        <v>#REF!</v>
      </c>
      <c r="N172" s="27" t="e">
        <f t="shared" si="92"/>
        <v>#REF!</v>
      </c>
      <c r="O172" s="27" t="e">
        <f t="shared" si="92"/>
        <v>#REF!</v>
      </c>
      <c r="P172" s="27" t="e">
        <f t="shared" si="92"/>
        <v>#REF!</v>
      </c>
      <c r="Q172" s="27">
        <f t="shared" si="75"/>
        <v>6766.5000000000009</v>
      </c>
      <c r="S172">
        <v>2000</v>
      </c>
      <c r="T172" s="27">
        <v>4539.2</v>
      </c>
      <c r="U172" s="27">
        <v>11305.7</v>
      </c>
      <c r="V172">
        <v>1006.046504</v>
      </c>
      <c r="W172">
        <v>6.7258322285268841</v>
      </c>
    </row>
    <row r="173" spans="1:23" x14ac:dyDescent="0.15">
      <c r="A173" t="e">
        <f t="shared" si="72"/>
        <v>#REF!</v>
      </c>
      <c r="B173" s="27" t="e">
        <f t="shared" ref="B173:P173" si="93">B77-B141</f>
        <v>#REF!</v>
      </c>
      <c r="C173" s="27" t="e">
        <f t="shared" si="93"/>
        <v>#REF!</v>
      </c>
      <c r="D173" s="27" t="e">
        <f t="shared" si="93"/>
        <v>#REF!</v>
      </c>
      <c r="E173" s="27" t="e">
        <f t="shared" si="93"/>
        <v>#REF!</v>
      </c>
      <c r="F173" s="27" t="e">
        <f t="shared" si="93"/>
        <v>#REF!</v>
      </c>
      <c r="G173" s="27" t="e">
        <f t="shared" si="93"/>
        <v>#REF!</v>
      </c>
      <c r="H173" s="27" t="e">
        <f t="shared" si="93"/>
        <v>#REF!</v>
      </c>
      <c r="I173" s="27" t="e">
        <f t="shared" si="93"/>
        <v>#REF!</v>
      </c>
      <c r="J173" s="27" t="e">
        <f t="shared" si="93"/>
        <v>#REF!</v>
      </c>
      <c r="K173" s="27" t="e">
        <f t="shared" si="93"/>
        <v>#REF!</v>
      </c>
      <c r="L173" s="27" t="e">
        <f t="shared" si="93"/>
        <v>#REF!</v>
      </c>
      <c r="M173" s="27" t="e">
        <f t="shared" si="93"/>
        <v>#REF!</v>
      </c>
      <c r="N173" s="27" t="e">
        <f t="shared" si="93"/>
        <v>#REF!</v>
      </c>
      <c r="O173" s="27" t="e">
        <f t="shared" si="93"/>
        <v>#REF!</v>
      </c>
      <c r="P173" s="27" t="e">
        <f t="shared" si="93"/>
        <v>#REF!</v>
      </c>
      <c r="Q173" s="27">
        <f t="shared" si="75"/>
        <v>4303.96</v>
      </c>
      <c r="S173">
        <v>2001</v>
      </c>
      <c r="T173" s="27">
        <v>3840.49</v>
      </c>
      <c r="U173" s="27">
        <v>8144.45</v>
      </c>
      <c r="V173">
        <v>695.62402029999998</v>
      </c>
      <c r="W173">
        <v>6.187192900762458</v>
      </c>
    </row>
    <row r="174" spans="1:23" x14ac:dyDescent="0.15">
      <c r="A174" t="e">
        <f t="shared" si="72"/>
        <v>#REF!</v>
      </c>
      <c r="B174" s="27" t="e">
        <f t="shared" ref="B174:P174" si="94">B78-B142</f>
        <v>#REF!</v>
      </c>
      <c r="C174" s="27" t="e">
        <f t="shared" si="94"/>
        <v>#REF!</v>
      </c>
      <c r="D174" s="27" t="e">
        <f t="shared" si="94"/>
        <v>#REF!</v>
      </c>
      <c r="E174" s="27" t="e">
        <f t="shared" si="94"/>
        <v>#REF!</v>
      </c>
      <c r="F174" s="27" t="e">
        <f t="shared" si="94"/>
        <v>#REF!</v>
      </c>
      <c r="G174" s="27" t="e">
        <f t="shared" si="94"/>
        <v>#REF!</v>
      </c>
      <c r="H174" s="27" t="e">
        <f t="shared" si="94"/>
        <v>#REF!</v>
      </c>
      <c r="I174" s="27" t="e">
        <f t="shared" si="94"/>
        <v>#REF!</v>
      </c>
      <c r="J174" s="27" t="e">
        <f t="shared" si="94"/>
        <v>#REF!</v>
      </c>
      <c r="K174" s="27" t="e">
        <f t="shared" si="94"/>
        <v>#REF!</v>
      </c>
      <c r="L174" s="27" t="e">
        <f t="shared" si="94"/>
        <v>#REF!</v>
      </c>
      <c r="M174" s="27" t="e">
        <f t="shared" si="94"/>
        <v>#REF!</v>
      </c>
      <c r="N174" s="27" t="e">
        <f t="shared" si="94"/>
        <v>#REF!</v>
      </c>
      <c r="O174" s="27" t="e">
        <f t="shared" si="94"/>
        <v>#REF!</v>
      </c>
      <c r="P174" s="27" t="e">
        <f t="shared" si="94"/>
        <v>#REF!</v>
      </c>
      <c r="Q174" s="27">
        <f t="shared" si="75"/>
        <v>5777.8799999999992</v>
      </c>
      <c r="S174">
        <v>2002</v>
      </c>
      <c r="T174" s="27">
        <v>3759.51</v>
      </c>
      <c r="U174" s="27">
        <v>9537.39</v>
      </c>
      <c r="V174">
        <v>750.12433099999998</v>
      </c>
      <c r="W174">
        <v>7.7025631101679322</v>
      </c>
    </row>
    <row r="175" spans="1:23" x14ac:dyDescent="0.15">
      <c r="A175" t="e">
        <f t="shared" si="72"/>
        <v>#REF!</v>
      </c>
      <c r="B175" s="27" t="e">
        <f t="shared" ref="B175:P175" si="95">B79-B143</f>
        <v>#REF!</v>
      </c>
      <c r="C175" s="27" t="e">
        <f t="shared" si="95"/>
        <v>#REF!</v>
      </c>
      <c r="D175" s="27" t="e">
        <f t="shared" si="95"/>
        <v>#REF!</v>
      </c>
      <c r="E175" s="27" t="e">
        <f t="shared" si="95"/>
        <v>#REF!</v>
      </c>
      <c r="F175" s="27" t="e">
        <f t="shared" si="95"/>
        <v>#REF!</v>
      </c>
      <c r="G175" s="27" t="e">
        <f t="shared" si="95"/>
        <v>#REF!</v>
      </c>
      <c r="H175" s="27" t="e">
        <f t="shared" si="95"/>
        <v>#REF!</v>
      </c>
      <c r="I175" s="27" t="e">
        <f t="shared" si="95"/>
        <v>#REF!</v>
      </c>
      <c r="J175" s="27" t="e">
        <f t="shared" si="95"/>
        <v>#REF!</v>
      </c>
      <c r="K175" s="27" t="e">
        <f t="shared" si="95"/>
        <v>#REF!</v>
      </c>
      <c r="L175" s="27" t="e">
        <f t="shared" si="95"/>
        <v>#REF!</v>
      </c>
      <c r="M175" s="27" t="e">
        <f t="shared" si="95"/>
        <v>#REF!</v>
      </c>
      <c r="N175" s="27" t="e">
        <f t="shared" si="95"/>
        <v>#REF!</v>
      </c>
      <c r="O175" s="27" t="e">
        <f t="shared" si="95"/>
        <v>#REF!</v>
      </c>
      <c r="P175" s="27" t="e">
        <f t="shared" si="95"/>
        <v>#REF!</v>
      </c>
      <c r="Q175" s="27">
        <f t="shared" si="75"/>
        <v>12753.54</v>
      </c>
      <c r="S175">
        <v>2003</v>
      </c>
      <c r="T175" s="27">
        <v>2772.96</v>
      </c>
      <c r="U175" s="27">
        <v>15526.5</v>
      </c>
      <c r="V175">
        <v>1863.12202</v>
      </c>
      <c r="W175">
        <v>6.8452521429594828</v>
      </c>
    </row>
    <row r="176" spans="1:23" x14ac:dyDescent="0.15">
      <c r="A176" t="e">
        <f t="shared" si="72"/>
        <v>#REF!</v>
      </c>
      <c r="B176" s="27" t="e">
        <f t="shared" ref="B176:P176" si="96">B80-B144</f>
        <v>#REF!</v>
      </c>
      <c r="C176" s="27" t="e">
        <f t="shared" si="96"/>
        <v>#REF!</v>
      </c>
      <c r="D176" s="27" t="e">
        <f t="shared" si="96"/>
        <v>#REF!</v>
      </c>
      <c r="E176" s="27" t="e">
        <f t="shared" si="96"/>
        <v>#REF!</v>
      </c>
      <c r="F176" s="27" t="e">
        <f t="shared" si="96"/>
        <v>#REF!</v>
      </c>
      <c r="G176" s="27" t="e">
        <f t="shared" si="96"/>
        <v>#REF!</v>
      </c>
      <c r="H176" s="27" t="e">
        <f t="shared" si="96"/>
        <v>#REF!</v>
      </c>
      <c r="I176" s="27" t="e">
        <f t="shared" si="96"/>
        <v>#REF!</v>
      </c>
      <c r="J176" s="27" t="e">
        <f t="shared" si="96"/>
        <v>#REF!</v>
      </c>
      <c r="K176" s="27" t="e">
        <f t="shared" si="96"/>
        <v>#REF!</v>
      </c>
      <c r="L176" s="27" t="e">
        <f t="shared" si="96"/>
        <v>#REF!</v>
      </c>
      <c r="M176" s="27" t="e">
        <f t="shared" si="96"/>
        <v>#REF!</v>
      </c>
      <c r="N176" s="27" t="e">
        <f t="shared" si="96"/>
        <v>#REF!</v>
      </c>
      <c r="O176" s="27" t="e">
        <f t="shared" si="96"/>
        <v>#REF!</v>
      </c>
      <c r="P176" s="27" t="e">
        <f t="shared" si="96"/>
        <v>#REF!</v>
      </c>
      <c r="Q176" s="27">
        <f t="shared" si="75"/>
        <v>3500.3399999999997</v>
      </c>
      <c r="S176">
        <v>2004</v>
      </c>
      <c r="T176" s="27">
        <v>3243.85</v>
      </c>
      <c r="U176" s="27">
        <v>6744.19</v>
      </c>
      <c r="V176">
        <v>498.72073189999998</v>
      </c>
      <c r="W176">
        <v>7.0186374379596952</v>
      </c>
    </row>
    <row r="177" spans="1:23" x14ac:dyDescent="0.15">
      <c r="A177" t="e">
        <f t="shared" si="72"/>
        <v>#REF!</v>
      </c>
      <c r="B177" s="27" t="e">
        <f t="shared" ref="B177:P177" si="97">B81-B145</f>
        <v>#REF!</v>
      </c>
      <c r="C177" s="27" t="e">
        <f t="shared" si="97"/>
        <v>#REF!</v>
      </c>
      <c r="D177" s="27" t="e">
        <f t="shared" si="97"/>
        <v>#REF!</v>
      </c>
      <c r="E177" s="27" t="e">
        <f t="shared" si="97"/>
        <v>#REF!</v>
      </c>
      <c r="F177" s="27" t="e">
        <f t="shared" si="97"/>
        <v>#REF!</v>
      </c>
      <c r="G177" s="27" t="e">
        <f t="shared" si="97"/>
        <v>#REF!</v>
      </c>
      <c r="H177" s="27" t="e">
        <f t="shared" si="97"/>
        <v>#REF!</v>
      </c>
      <c r="I177" s="27" t="e">
        <f t="shared" si="97"/>
        <v>#REF!</v>
      </c>
      <c r="J177" s="27" t="e">
        <f t="shared" si="97"/>
        <v>#REF!</v>
      </c>
      <c r="K177" s="27" t="e">
        <f t="shared" si="97"/>
        <v>#REF!</v>
      </c>
      <c r="L177" s="27" t="e">
        <f t="shared" si="97"/>
        <v>#REF!</v>
      </c>
      <c r="M177" s="27" t="e">
        <f t="shared" si="97"/>
        <v>#REF!</v>
      </c>
      <c r="N177" s="27" t="e">
        <f t="shared" si="97"/>
        <v>#REF!</v>
      </c>
      <c r="O177" s="27" t="e">
        <f t="shared" si="97"/>
        <v>#REF!</v>
      </c>
      <c r="P177" s="27" t="e">
        <f t="shared" si="97"/>
        <v>#REF!</v>
      </c>
      <c r="Q177" s="27">
        <f t="shared" si="75"/>
        <v>6211.9500000000007</v>
      </c>
      <c r="S177">
        <v>2005</v>
      </c>
      <c r="T177" s="27">
        <v>4133.6499999999996</v>
      </c>
      <c r="U177" s="27">
        <v>10345.6</v>
      </c>
      <c r="V177">
        <v>697.37650199999996</v>
      </c>
      <c r="W177">
        <v>8.9075986675559093</v>
      </c>
    </row>
    <row r="178" spans="1:23" x14ac:dyDescent="0.15">
      <c r="A178" t="e">
        <f t="shared" si="72"/>
        <v>#REF!</v>
      </c>
      <c r="B178" s="27" t="e">
        <f t="shared" ref="B178:P178" si="98">B82-B146</f>
        <v>#REF!</v>
      </c>
      <c r="C178" s="27" t="e">
        <f t="shared" si="98"/>
        <v>#REF!</v>
      </c>
      <c r="D178" s="27" t="e">
        <f t="shared" si="98"/>
        <v>#REF!</v>
      </c>
      <c r="E178" s="27" t="e">
        <f t="shared" si="98"/>
        <v>#REF!</v>
      </c>
      <c r="F178" s="27" t="e">
        <f t="shared" si="98"/>
        <v>#REF!</v>
      </c>
      <c r="G178" s="27" t="e">
        <f t="shared" si="98"/>
        <v>#REF!</v>
      </c>
      <c r="H178" s="27" t="e">
        <f t="shared" si="98"/>
        <v>#REF!</v>
      </c>
      <c r="I178" s="27" t="e">
        <f t="shared" si="98"/>
        <v>#REF!</v>
      </c>
      <c r="J178" s="27" t="e">
        <f t="shared" si="98"/>
        <v>#REF!</v>
      </c>
      <c r="K178" s="27" t="e">
        <f t="shared" si="98"/>
        <v>#REF!</v>
      </c>
      <c r="L178" s="27" t="e">
        <f t="shared" si="98"/>
        <v>#REF!</v>
      </c>
      <c r="M178" s="27" t="e">
        <f t="shared" si="98"/>
        <v>#REF!</v>
      </c>
      <c r="N178" s="27" t="e">
        <f t="shared" si="98"/>
        <v>#REF!</v>
      </c>
      <c r="O178" s="27" t="e">
        <f t="shared" si="98"/>
        <v>#REF!</v>
      </c>
      <c r="P178" s="27" t="e">
        <f t="shared" si="98"/>
        <v>#REF!</v>
      </c>
      <c r="Q178" s="27">
        <f t="shared" si="75"/>
        <v>2420.85</v>
      </c>
      <c r="S178">
        <v>2006</v>
      </c>
      <c r="T178" s="27">
        <v>2635.86</v>
      </c>
      <c r="U178" s="27">
        <v>5056.71</v>
      </c>
      <c r="V178">
        <v>427.32597920000001</v>
      </c>
      <c r="W178">
        <v>5.6651130935968146</v>
      </c>
    </row>
    <row r="179" spans="1:23" x14ac:dyDescent="0.15">
      <c r="A179" t="e">
        <f t="shared" si="72"/>
        <v>#REF!</v>
      </c>
      <c r="B179" s="27" t="e">
        <f t="shared" ref="B179:P179" si="99">B83-B147</f>
        <v>#REF!</v>
      </c>
      <c r="C179" s="27" t="e">
        <f t="shared" si="99"/>
        <v>#REF!</v>
      </c>
      <c r="D179" s="27" t="e">
        <f t="shared" si="99"/>
        <v>#REF!</v>
      </c>
      <c r="E179" s="27" t="e">
        <f t="shared" si="99"/>
        <v>#REF!</v>
      </c>
      <c r="F179" s="27" t="e">
        <f t="shared" si="99"/>
        <v>#REF!</v>
      </c>
      <c r="G179" s="27" t="e">
        <f t="shared" si="99"/>
        <v>#REF!</v>
      </c>
      <c r="H179" s="27" t="e">
        <f t="shared" si="99"/>
        <v>#REF!</v>
      </c>
      <c r="I179" s="27" t="e">
        <f t="shared" si="99"/>
        <v>#REF!</v>
      </c>
      <c r="J179" s="27" t="e">
        <f t="shared" si="99"/>
        <v>#REF!</v>
      </c>
      <c r="K179" s="27" t="e">
        <f t="shared" si="99"/>
        <v>#REF!</v>
      </c>
      <c r="L179" s="27" t="e">
        <f t="shared" si="99"/>
        <v>#REF!</v>
      </c>
      <c r="M179" s="27" t="e">
        <f t="shared" si="99"/>
        <v>#REF!</v>
      </c>
      <c r="N179" s="27" t="e">
        <f t="shared" si="99"/>
        <v>#REF!</v>
      </c>
      <c r="O179" s="27" t="e">
        <f t="shared" si="99"/>
        <v>#REF!</v>
      </c>
      <c r="P179" s="27" t="e">
        <f t="shared" si="99"/>
        <v>#REF!</v>
      </c>
      <c r="Q179" s="27">
        <f t="shared" si="75"/>
        <v>4143.1899999999996</v>
      </c>
      <c r="S179">
        <v>2007</v>
      </c>
      <c r="T179" s="27">
        <v>3214.05</v>
      </c>
      <c r="U179" s="27">
        <v>7357.24</v>
      </c>
      <c r="V179">
        <v>668.51356580000004</v>
      </c>
      <c r="W179">
        <v>6.1976154441113049</v>
      </c>
    </row>
    <row r="180" spans="1:23" x14ac:dyDescent="0.15">
      <c r="A180" t="e">
        <f t="shared" si="72"/>
        <v>#REF!</v>
      </c>
      <c r="B180" s="27" t="e">
        <f t="shared" ref="B180:P180" si="100">B84-B148</f>
        <v>#REF!</v>
      </c>
      <c r="C180" s="27" t="e">
        <f t="shared" si="100"/>
        <v>#REF!</v>
      </c>
      <c r="D180" s="27" t="e">
        <f t="shared" si="100"/>
        <v>#REF!</v>
      </c>
      <c r="E180" s="27" t="e">
        <f t="shared" si="100"/>
        <v>#REF!</v>
      </c>
      <c r="F180" s="27" t="e">
        <f t="shared" si="100"/>
        <v>#REF!</v>
      </c>
      <c r="G180" s="27" t="e">
        <f t="shared" si="100"/>
        <v>#REF!</v>
      </c>
      <c r="H180" s="27" t="e">
        <f t="shared" si="100"/>
        <v>#REF!</v>
      </c>
      <c r="I180" s="27" t="e">
        <f t="shared" si="100"/>
        <v>#REF!</v>
      </c>
      <c r="J180" s="27" t="e">
        <f t="shared" si="100"/>
        <v>#REF!</v>
      </c>
      <c r="K180" s="27" t="e">
        <f t="shared" si="100"/>
        <v>#REF!</v>
      </c>
      <c r="L180" s="27" t="e">
        <f t="shared" si="100"/>
        <v>#REF!</v>
      </c>
      <c r="M180" s="27" t="e">
        <f t="shared" si="100"/>
        <v>#REF!</v>
      </c>
      <c r="N180" s="27" t="e">
        <f t="shared" si="100"/>
        <v>#REF!</v>
      </c>
      <c r="O180" s="27" t="e">
        <f t="shared" si="100"/>
        <v>#REF!</v>
      </c>
      <c r="P180" s="27" t="e">
        <f t="shared" si="100"/>
        <v>#REF!</v>
      </c>
      <c r="Q180" s="27">
        <f t="shared" si="75"/>
        <v>2206.58</v>
      </c>
      <c r="S180">
        <v>2008</v>
      </c>
      <c r="T180" s="27">
        <v>2429.92</v>
      </c>
      <c r="U180" s="27">
        <v>4636.5</v>
      </c>
      <c r="V180">
        <v>430.89842470000002</v>
      </c>
      <c r="W180">
        <v>5.1208820304605762</v>
      </c>
    </row>
    <row r="181" spans="1:23" x14ac:dyDescent="0.15">
      <c r="A181" t="e">
        <f t="shared" si="72"/>
        <v>#REF!</v>
      </c>
      <c r="B181" s="27" t="e">
        <f t="shared" ref="B181:P181" si="101">B85-B149</f>
        <v>#REF!</v>
      </c>
      <c r="C181" s="27" t="e">
        <f t="shared" si="101"/>
        <v>#REF!</v>
      </c>
      <c r="D181" s="27" t="e">
        <f t="shared" si="101"/>
        <v>#REF!</v>
      </c>
      <c r="E181" s="27" t="e">
        <f t="shared" si="101"/>
        <v>#REF!</v>
      </c>
      <c r="F181" s="27" t="e">
        <f t="shared" si="101"/>
        <v>#REF!</v>
      </c>
      <c r="G181" s="27" t="e">
        <f t="shared" si="101"/>
        <v>#REF!</v>
      </c>
      <c r="H181" s="27" t="e">
        <f t="shared" si="101"/>
        <v>#REF!</v>
      </c>
      <c r="I181" s="27" t="e">
        <f t="shared" si="101"/>
        <v>#REF!</v>
      </c>
      <c r="J181" s="27" t="e">
        <f t="shared" si="101"/>
        <v>#REF!</v>
      </c>
      <c r="K181" s="27" t="e">
        <f t="shared" si="101"/>
        <v>#REF!</v>
      </c>
      <c r="L181" s="27" t="e">
        <f t="shared" si="101"/>
        <v>#REF!</v>
      </c>
      <c r="M181" s="27" t="e">
        <f t="shared" si="101"/>
        <v>#REF!</v>
      </c>
      <c r="N181" s="27" t="e">
        <f t="shared" si="101"/>
        <v>#REF!</v>
      </c>
      <c r="O181" s="27" t="e">
        <f t="shared" si="101"/>
        <v>#REF!</v>
      </c>
      <c r="P181" s="27" t="e">
        <f t="shared" si="101"/>
        <v>#REF!</v>
      </c>
      <c r="Q181" s="27">
        <f t="shared" si="75"/>
        <v>1474.29</v>
      </c>
      <c r="S181">
        <v>2009</v>
      </c>
      <c r="T181" s="27">
        <v>2174.61</v>
      </c>
      <c r="U181" s="27">
        <v>3648.9</v>
      </c>
      <c r="V181">
        <v>415.07588490000001</v>
      </c>
      <c r="W181">
        <v>3.5518565487252665</v>
      </c>
    </row>
    <row r="182" spans="1:23" x14ac:dyDescent="0.15">
      <c r="A182" t="e">
        <f t="shared" si="72"/>
        <v>#REF!</v>
      </c>
      <c r="B182" s="27" t="e">
        <f t="shared" ref="B182:P182" si="102">B86-B150</f>
        <v>#REF!</v>
      </c>
      <c r="C182" s="27" t="e">
        <f t="shared" si="102"/>
        <v>#REF!</v>
      </c>
      <c r="D182" s="27" t="e">
        <f t="shared" si="102"/>
        <v>#REF!</v>
      </c>
      <c r="E182" s="27" t="e">
        <f t="shared" si="102"/>
        <v>#REF!</v>
      </c>
      <c r="F182" s="27" t="e">
        <f t="shared" si="102"/>
        <v>#REF!</v>
      </c>
      <c r="G182" s="27" t="e">
        <f t="shared" si="102"/>
        <v>#REF!</v>
      </c>
      <c r="H182" s="27" t="e">
        <f t="shared" si="102"/>
        <v>#REF!</v>
      </c>
      <c r="I182" s="27" t="e">
        <f t="shared" si="102"/>
        <v>#REF!</v>
      </c>
      <c r="J182" s="27" t="e">
        <f t="shared" si="102"/>
        <v>#REF!</v>
      </c>
      <c r="K182" s="27" t="e">
        <f t="shared" si="102"/>
        <v>#REF!</v>
      </c>
      <c r="L182" s="27" t="e">
        <f t="shared" si="102"/>
        <v>#REF!</v>
      </c>
      <c r="M182" s="27" t="e">
        <f t="shared" si="102"/>
        <v>#REF!</v>
      </c>
      <c r="N182" s="27" t="e">
        <f t="shared" si="102"/>
        <v>#REF!</v>
      </c>
      <c r="O182" s="27" t="e">
        <f t="shared" si="102"/>
        <v>#REF!</v>
      </c>
      <c r="P182" s="27" t="e">
        <f t="shared" si="102"/>
        <v>#REF!</v>
      </c>
      <c r="Q182" s="27">
        <f t="shared" si="75"/>
        <v>3901.18</v>
      </c>
      <c r="S182">
        <v>2010</v>
      </c>
      <c r="T182" s="27">
        <v>3132.32</v>
      </c>
      <c r="U182" s="27">
        <v>7033.5</v>
      </c>
      <c r="V182">
        <v>707.02709560000005</v>
      </c>
      <c r="W182">
        <v>5.5177234709645253</v>
      </c>
    </row>
    <row r="183" spans="1:23" x14ac:dyDescent="0.15">
      <c r="A183" t="e">
        <f t="shared" si="72"/>
        <v>#REF!</v>
      </c>
      <c r="B183" s="27" t="e">
        <f t="shared" ref="B183:P183" si="103">B87-B151</f>
        <v>#REF!</v>
      </c>
      <c r="C183" s="27" t="e">
        <f t="shared" si="103"/>
        <v>#REF!</v>
      </c>
      <c r="D183" s="27" t="e">
        <f t="shared" si="103"/>
        <v>#REF!</v>
      </c>
      <c r="E183" s="27" t="e">
        <f t="shared" si="103"/>
        <v>#REF!</v>
      </c>
      <c r="F183" s="27" t="e">
        <f t="shared" si="103"/>
        <v>#REF!</v>
      </c>
      <c r="G183" s="27" t="e">
        <f t="shared" si="103"/>
        <v>#REF!</v>
      </c>
      <c r="H183" s="27" t="e">
        <f t="shared" si="103"/>
        <v>#REF!</v>
      </c>
      <c r="I183" s="27" t="e">
        <f t="shared" si="103"/>
        <v>#REF!</v>
      </c>
      <c r="J183" s="27" t="e">
        <f t="shared" si="103"/>
        <v>#REF!</v>
      </c>
      <c r="K183" s="27" t="e">
        <f t="shared" si="103"/>
        <v>#REF!</v>
      </c>
      <c r="L183" s="27" t="e">
        <f t="shared" si="103"/>
        <v>#REF!</v>
      </c>
      <c r="M183" s="27" t="e">
        <f t="shared" si="103"/>
        <v>#REF!</v>
      </c>
      <c r="N183" s="27" t="e">
        <f t="shared" si="103"/>
        <v>#REF!</v>
      </c>
      <c r="O183" s="27" t="e">
        <f t="shared" si="103"/>
        <v>#REF!</v>
      </c>
      <c r="P183" s="27" t="e">
        <f t="shared" si="103"/>
        <v>#REF!</v>
      </c>
      <c r="Q183" s="27">
        <f t="shared" si="75"/>
        <v>2659.7</v>
      </c>
      <c r="S183">
        <v>2011</v>
      </c>
      <c r="T183" s="27">
        <v>2291.08</v>
      </c>
      <c r="U183" s="27">
        <v>4950.78</v>
      </c>
      <c r="V183">
        <v>452.59352639999997</v>
      </c>
      <c r="W183">
        <v>5.8765754365858287</v>
      </c>
    </row>
    <row r="189" spans="1:23" x14ac:dyDescent="0.15"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  <c r="N189">
        <v>13</v>
      </c>
      <c r="O189">
        <v>14</v>
      </c>
      <c r="P189">
        <v>15</v>
      </c>
    </row>
    <row r="190" spans="1:23" x14ac:dyDescent="0.15">
      <c r="A190">
        <v>2011</v>
      </c>
      <c r="B190">
        <v>0.406553</v>
      </c>
      <c r="C190">
        <v>0.63588699999999998</v>
      </c>
      <c r="D190">
        <v>0.63588699999999998</v>
      </c>
      <c r="E190">
        <v>0.63588699999999998</v>
      </c>
      <c r="F190">
        <v>0.63588699999999998</v>
      </c>
      <c r="G190">
        <v>0.63588699999999998</v>
      </c>
      <c r="H190">
        <v>0.63588699999999998</v>
      </c>
      <c r="I190">
        <v>0.63588699999999998</v>
      </c>
      <c r="J190">
        <v>0.63588699999999998</v>
      </c>
      <c r="K190">
        <v>0.63588699999999998</v>
      </c>
      <c r="L190">
        <v>0.63588699999999998</v>
      </c>
      <c r="M190">
        <v>0.63588699999999998</v>
      </c>
      <c r="N190">
        <v>0.63588699999999998</v>
      </c>
      <c r="O190">
        <v>0.63588699999999998</v>
      </c>
      <c r="P190">
        <v>0.63588699999999998</v>
      </c>
    </row>
    <row r="191" spans="1:23" x14ac:dyDescent="0.15">
      <c r="B191">
        <v>2010</v>
      </c>
      <c r="C191">
        <v>2009</v>
      </c>
      <c r="D191">
        <v>2008</v>
      </c>
      <c r="E191">
        <v>2007</v>
      </c>
      <c r="F191">
        <v>2006</v>
      </c>
      <c r="G191">
        <v>2005</v>
      </c>
      <c r="H191">
        <v>2004</v>
      </c>
      <c r="I191">
        <v>2003</v>
      </c>
      <c r="J191">
        <v>2002</v>
      </c>
      <c r="K191">
        <v>2001</v>
      </c>
      <c r="L191">
        <v>2000</v>
      </c>
      <c r="M191">
        <v>1999</v>
      </c>
      <c r="N191">
        <v>1998</v>
      </c>
      <c r="O191">
        <v>1997</v>
      </c>
      <c r="P191">
        <v>1996</v>
      </c>
    </row>
    <row r="192" spans="1:23" x14ac:dyDescent="0.15">
      <c r="A192">
        <f>pm.rep!A56</f>
        <v>2011</v>
      </c>
      <c r="B192" s="27">
        <f>pm.rep!B110</f>
        <v>13479.2</v>
      </c>
      <c r="C192" s="27">
        <f>pm.rep!C110</f>
        <v>9147.59</v>
      </c>
      <c r="D192" s="27">
        <f>pm.rep!D110</f>
        <v>14734.1</v>
      </c>
      <c r="E192" s="27">
        <f>pm.rep!E110</f>
        <v>2768.26</v>
      </c>
      <c r="F192" s="27">
        <f>pm.rep!F110</f>
        <v>3180.79</v>
      </c>
      <c r="G192" s="27">
        <f>pm.rep!G110</f>
        <v>936.346</v>
      </c>
      <c r="H192" s="27">
        <f>pm.rep!H110</f>
        <v>216.465</v>
      </c>
      <c r="I192" s="27">
        <f>pm.rep!I110</f>
        <v>142.62799999999999</v>
      </c>
      <c r="J192" s="27">
        <f>pm.rep!J110</f>
        <v>142.64400000000001</v>
      </c>
      <c r="K192" s="27">
        <f>pm.rep!K110</f>
        <v>121.753</v>
      </c>
      <c r="L192" s="27">
        <f>pm.rep!L110</f>
        <v>93.365300000000005</v>
      </c>
      <c r="M192" s="27">
        <f>pm.rep!M110</f>
        <v>46.7654</v>
      </c>
      <c r="N192" s="27">
        <f>pm.rep!N110</f>
        <v>18.907800000000002</v>
      </c>
      <c r="O192" s="27">
        <f>pm.rep!O110</f>
        <v>9.5846300000000006</v>
      </c>
      <c r="P192" s="27">
        <f>pm.rep!P110</f>
        <v>22.1708</v>
      </c>
    </row>
    <row r="193" spans="1:18" x14ac:dyDescent="0.15">
      <c r="A193">
        <f>A192+1</f>
        <v>2012</v>
      </c>
      <c r="B193" s="27">
        <f>pm.rep!B858</f>
        <v>24938.400000000001</v>
      </c>
      <c r="C193" s="27">
        <f t="shared" ref="C193:O193" si="104">B192*B$190</f>
        <v>5480.0091976000003</v>
      </c>
      <c r="D193" s="27">
        <f t="shared" si="104"/>
        <v>5816.8335623299999</v>
      </c>
      <c r="E193" s="27">
        <f t="shared" si="104"/>
        <v>9369.2226467</v>
      </c>
      <c r="F193" s="27">
        <f t="shared" si="104"/>
        <v>1760.30054662</v>
      </c>
      <c r="G193" s="27">
        <f t="shared" si="104"/>
        <v>2022.6230107299998</v>
      </c>
      <c r="H193" s="27">
        <f t="shared" si="104"/>
        <v>595.41024890200003</v>
      </c>
      <c r="I193" s="27">
        <f t="shared" si="104"/>
        <v>137.64727945499999</v>
      </c>
      <c r="J193" s="27">
        <f t="shared" si="104"/>
        <v>90.695291035999986</v>
      </c>
      <c r="K193" s="27">
        <f t="shared" si="104"/>
        <v>90.705465227999994</v>
      </c>
      <c r="L193" s="27">
        <f t="shared" si="104"/>
        <v>77.421149911000001</v>
      </c>
      <c r="M193" s="27">
        <f t="shared" si="104"/>
        <v>59.369780521100004</v>
      </c>
      <c r="N193" s="27">
        <f t="shared" si="104"/>
        <v>29.7375099098</v>
      </c>
      <c r="O193" s="27">
        <f t="shared" si="104"/>
        <v>12.023224218600001</v>
      </c>
      <c r="P193" s="27">
        <f>O192*O$190+P192*P$190</f>
        <v>20.192865116410001</v>
      </c>
      <c r="Q193" s="27"/>
      <c r="R193">
        <f>pm.rep!B858</f>
        <v>24938.400000000001</v>
      </c>
    </row>
    <row r="194" spans="1:18" x14ac:dyDescent="0.15">
      <c r="A194">
        <f>A193+1</f>
        <v>2013</v>
      </c>
      <c r="B194" s="27">
        <f>pm.rep!B859</f>
        <v>24058.6</v>
      </c>
      <c r="C194" s="27">
        <f t="shared" ref="C194:O194" si="105">B193*B$190</f>
        <v>10138.781335200001</v>
      </c>
      <c r="D194" s="27">
        <f t="shared" si="105"/>
        <v>3484.6666086342711</v>
      </c>
      <c r="E194" s="27">
        <f t="shared" si="105"/>
        <v>3698.8488434493365</v>
      </c>
      <c r="F194" s="27">
        <f t="shared" si="105"/>
        <v>5957.7668811421227</v>
      </c>
      <c r="G194" s="27">
        <f t="shared" si="105"/>
        <v>1119.3522336885519</v>
      </c>
      <c r="H194" s="27">
        <f t="shared" si="105"/>
        <v>1286.1596784240674</v>
      </c>
      <c r="I194" s="27">
        <f t="shared" si="105"/>
        <v>378.61363694354611</v>
      </c>
      <c r="J194" s="27">
        <f t="shared" si="105"/>
        <v>87.528115590801576</v>
      </c>
      <c r="K194" s="27">
        <f t="shared" si="105"/>
        <v>57.671956531008924</v>
      </c>
      <c r="L194" s="27">
        <f t="shared" si="105"/>
        <v>57.67842616743723</v>
      </c>
      <c r="M194" s="27">
        <f t="shared" si="105"/>
        <v>49.231102753456057</v>
      </c>
      <c r="N194" s="27">
        <f t="shared" si="105"/>
        <v>37.752471626220718</v>
      </c>
      <c r="O194" s="27">
        <f t="shared" si="105"/>
        <v>18.909695964012993</v>
      </c>
      <c r="P194" s="27">
        <f>O193*O$190+P193*P$190</f>
        <v>20.485792398971505</v>
      </c>
      <c r="Q194" s="27"/>
    </row>
    <row r="195" spans="1:18" x14ac:dyDescent="0.15">
      <c r="A195">
        <f>A194+1</f>
        <v>2014</v>
      </c>
      <c r="B195" s="27">
        <f>pm.rep!B860</f>
        <v>23755.7</v>
      </c>
      <c r="C195" s="27">
        <f t="shared" ref="C195:O195" si="106">B194*B$190</f>
        <v>9781.0960058000001</v>
      </c>
      <c r="D195" s="27">
        <f t="shared" si="106"/>
        <v>6447.1192468963227</v>
      </c>
      <c r="E195" s="27">
        <f t="shared" si="106"/>
        <v>2215.8541957646207</v>
      </c>
      <c r="F195" s="27">
        <f t="shared" si="106"/>
        <v>2352.0498945144682</v>
      </c>
      <c r="G195" s="27">
        <f t="shared" si="106"/>
        <v>3788.4665087488206</v>
      </c>
      <c r="H195" s="27">
        <f t="shared" si="106"/>
        <v>711.78153382351218</v>
      </c>
      <c r="I195" s="27">
        <f t="shared" si="106"/>
        <v>817.85221943404486</v>
      </c>
      <c r="J195" s="27">
        <f t="shared" si="106"/>
        <v>240.75548975512069</v>
      </c>
      <c r="K195" s="27">
        <f t="shared" si="106"/>
        <v>55.657990838688043</v>
      </c>
      <c r="L195" s="27">
        <f t="shared" si="106"/>
        <v>36.672847422633673</v>
      </c>
      <c r="M195" s="27">
        <f t="shared" si="106"/>
        <v>36.676961380333154</v>
      </c>
      <c r="N195" s="27">
        <f t="shared" si="106"/>
        <v>31.30541823658691</v>
      </c>
      <c r="O195" s="27">
        <f t="shared" si="106"/>
        <v>24.006305924982613</v>
      </c>
      <c r="P195" s="27">
        <f>O194*O$190+P194*P$190</f>
        <v>25.051078908673119</v>
      </c>
      <c r="Q195" s="27"/>
    </row>
    <row r="196" spans="1:18" x14ac:dyDescent="0.15">
      <c r="A196">
        <f>A195+1</f>
        <v>2015</v>
      </c>
      <c r="B196" s="27">
        <f>pm.rep!B861</f>
        <v>23474</v>
      </c>
      <c r="C196" s="27">
        <f t="shared" ref="C196:O196" si="107">B195*B$190</f>
        <v>9657.9511020999998</v>
      </c>
      <c r="D196" s="27">
        <f t="shared" si="107"/>
        <v>6219.6717958401441</v>
      </c>
      <c r="E196" s="27">
        <f t="shared" si="107"/>
        <v>4099.6393165511618</v>
      </c>
      <c r="F196" s="27">
        <f t="shared" si="107"/>
        <v>1409.0328769821774</v>
      </c>
      <c r="G196" s="27">
        <f t="shared" si="107"/>
        <v>1495.6379512731216</v>
      </c>
      <c r="H196" s="27">
        <f t="shared" si="107"/>
        <v>2409.036602848761</v>
      </c>
      <c r="I196" s="27">
        <f t="shared" si="107"/>
        <v>452.61262419843166</v>
      </c>
      <c r="J196" s="27">
        <f t="shared" si="107"/>
        <v>520.06159425925648</v>
      </c>
      <c r="K196" s="27">
        <f t="shared" si="107"/>
        <v>153.09328611391442</v>
      </c>
      <c r="L196" s="27">
        <f t="shared" si="107"/>
        <v>35.392192820440826</v>
      </c>
      <c r="M196" s="27">
        <f t="shared" si="107"/>
        <v>23.319786929036258</v>
      </c>
      <c r="N196" s="27">
        <f t="shared" si="107"/>
        <v>23.322402941255909</v>
      </c>
      <c r="O196" s="27">
        <f t="shared" si="107"/>
        <v>19.90670848620854</v>
      </c>
      <c r="P196" s="27">
        <f>O195*O$190+P195*P$190</f>
        <v>31.194953269718841</v>
      </c>
      <c r="Q196" s="27"/>
    </row>
    <row r="197" spans="1:18" x14ac:dyDescent="0.15">
      <c r="A197">
        <f>A196+1</f>
        <v>2016</v>
      </c>
      <c r="B197" s="27" t="str">
        <f>pm.rep!B862</f>
        <v>MSY,</v>
      </c>
      <c r="C197" s="27">
        <f t="shared" ref="C197:O197" si="108">B196*B$190</f>
        <v>9543.4251220000006</v>
      </c>
      <c r="D197" s="27">
        <f t="shared" si="108"/>
        <v>6141.3655524610622</v>
      </c>
      <c r="E197" s="27">
        <f t="shared" si="108"/>
        <v>3955.0084392414014</v>
      </c>
      <c r="F197" s="27">
        <f t="shared" si="108"/>
        <v>2606.9073460837685</v>
      </c>
      <c r="G197" s="27">
        <f t="shared" si="108"/>
        <v>895.98568904556578</v>
      </c>
      <c r="H197" s="27">
        <f t="shared" si="108"/>
        <v>951.05672992121151</v>
      </c>
      <c r="I197" s="27">
        <f t="shared" si="108"/>
        <v>1531.87505827569</v>
      </c>
      <c r="J197" s="27">
        <f t="shared" si="108"/>
        <v>287.81048376366812</v>
      </c>
      <c r="K197" s="27">
        <f t="shared" si="108"/>
        <v>330.70040698873584</v>
      </c>
      <c r="L197" s="27">
        <f t="shared" si="108"/>
        <v>97.350030427118696</v>
      </c>
      <c r="M197" s="27">
        <f t="shared" si="108"/>
        <v>22.505435316011656</v>
      </c>
      <c r="N197" s="27">
        <f t="shared" si="108"/>
        <v>14.828749350944079</v>
      </c>
      <c r="O197" s="27">
        <f t="shared" si="108"/>
        <v>14.830412839106396</v>
      </c>
      <c r="P197" s="27">
        <f>O196*O$190+P196*P$190</f>
        <v>32.494882388991392</v>
      </c>
      <c r="Q197" s="27"/>
    </row>
    <row r="199" spans="1:18" x14ac:dyDescent="0.15">
      <c r="B199">
        <f>Stdev!B789</f>
        <v>0</v>
      </c>
      <c r="C199">
        <f>Stdev!C789</f>
        <v>0</v>
      </c>
      <c r="D199">
        <f>Stdev!D789</f>
        <v>0</v>
      </c>
      <c r="E199">
        <f>Stdev!E789</f>
        <v>0</v>
      </c>
      <c r="F199">
        <f>Stdev!F789</f>
        <v>0</v>
      </c>
      <c r="G199">
        <f>Stdev!G789</f>
        <v>0</v>
      </c>
      <c r="H199">
        <f>Stdev!H789</f>
        <v>0</v>
      </c>
      <c r="I199">
        <f>Stdev!I789</f>
        <v>0</v>
      </c>
      <c r="J199">
        <f>Stdev!J780</f>
        <v>779</v>
      </c>
      <c r="K199" t="str">
        <f>Stdev!K780</f>
        <v>Percent_Bzero_2</v>
      </c>
      <c r="L199">
        <f>Stdev!L780</f>
        <v>0.56276999999999999</v>
      </c>
      <c r="M199">
        <f>Stdev!M780</f>
        <v>0.10313</v>
      </c>
      <c r="N199">
        <f>Stdev!N780</f>
        <v>0</v>
      </c>
      <c r="O199">
        <f>Stdev!O780</f>
        <v>0</v>
      </c>
      <c r="P199">
        <f>Stdev!P780</f>
        <v>0</v>
      </c>
    </row>
    <row r="200" spans="1:18" x14ac:dyDescent="0.15">
      <c r="D200" s="27">
        <f>D$199*D192</f>
        <v>0</v>
      </c>
      <c r="E200" s="27">
        <f>E$199*E192+D200</f>
        <v>0</v>
      </c>
      <c r="F200" s="27">
        <f t="shared" ref="F200:P202" si="109">F$199*F192+E200</f>
        <v>0</v>
      </c>
      <c r="G200" s="27">
        <f t="shared" si="109"/>
        <v>0</v>
      </c>
      <c r="H200" s="27">
        <f t="shared" si="109"/>
        <v>0</v>
      </c>
      <c r="I200" s="27">
        <f t="shared" si="109"/>
        <v>0</v>
      </c>
      <c r="J200" s="27">
        <f t="shared" si="109"/>
        <v>111119.67600000001</v>
      </c>
      <c r="K200" s="27" t="e">
        <f t="shared" si="109"/>
        <v>#VALUE!</v>
      </c>
      <c r="L200" s="27" t="e">
        <f t="shared" si="109"/>
        <v>#VALUE!</v>
      </c>
      <c r="M200" s="27" t="e">
        <f t="shared" si="109"/>
        <v>#VALUE!</v>
      </c>
      <c r="N200" s="27" t="e">
        <f t="shared" si="109"/>
        <v>#VALUE!</v>
      </c>
      <c r="O200" s="27" t="e">
        <f t="shared" si="109"/>
        <v>#VALUE!</v>
      </c>
      <c r="P200" s="27" t="e">
        <f t="shared" si="109"/>
        <v>#VALUE!</v>
      </c>
    </row>
    <row r="201" spans="1:18" x14ac:dyDescent="0.15">
      <c r="C201" t="s">
        <v>829</v>
      </c>
      <c r="D201" s="27">
        <f>D$199*D193</f>
        <v>0</v>
      </c>
      <c r="E201" s="27">
        <f>E$199*E193+D201</f>
        <v>0</v>
      </c>
      <c r="F201" s="27">
        <f t="shared" si="109"/>
        <v>0</v>
      </c>
      <c r="G201" s="27">
        <f t="shared" si="109"/>
        <v>0</v>
      </c>
      <c r="H201" s="27">
        <f t="shared" si="109"/>
        <v>0</v>
      </c>
      <c r="I201" s="27">
        <f t="shared" si="109"/>
        <v>0</v>
      </c>
      <c r="J201" s="27">
        <f t="shared" si="109"/>
        <v>70651.631717043987</v>
      </c>
      <c r="K201" s="27" t="e">
        <f t="shared" si="109"/>
        <v>#VALUE!</v>
      </c>
      <c r="L201" s="27" t="e">
        <f t="shared" si="109"/>
        <v>#VALUE!</v>
      </c>
      <c r="M201" s="27" t="e">
        <f t="shared" si="109"/>
        <v>#VALUE!</v>
      </c>
      <c r="N201" s="27" t="e">
        <f t="shared" si="109"/>
        <v>#VALUE!</v>
      </c>
      <c r="O201" s="27" t="e">
        <f t="shared" si="109"/>
        <v>#VALUE!</v>
      </c>
      <c r="P201" s="27" t="e">
        <f t="shared" si="109"/>
        <v>#VALUE!</v>
      </c>
    </row>
    <row r="202" spans="1:18" x14ac:dyDescent="0.15">
      <c r="D202" s="27">
        <f>D$213*D194</f>
        <v>0</v>
      </c>
      <c r="E202" s="27">
        <f>E$199*E194+D202</f>
        <v>0</v>
      </c>
      <c r="F202" s="27">
        <f t="shared" si="109"/>
        <v>0</v>
      </c>
      <c r="G202" s="27">
        <f t="shared" si="109"/>
        <v>0</v>
      </c>
      <c r="H202" s="27">
        <f t="shared" si="109"/>
        <v>0</v>
      </c>
      <c r="I202" s="27">
        <f t="shared" si="109"/>
        <v>0</v>
      </c>
      <c r="J202" s="27">
        <f t="shared" si="109"/>
        <v>68184.402045234427</v>
      </c>
      <c r="K202" s="27" t="e">
        <f t="shared" si="109"/>
        <v>#VALUE!</v>
      </c>
      <c r="L202" s="27" t="e">
        <f t="shared" si="109"/>
        <v>#VALUE!</v>
      </c>
      <c r="M202" s="27" t="e">
        <f t="shared" si="109"/>
        <v>#VALUE!</v>
      </c>
      <c r="N202" s="27" t="e">
        <f t="shared" si="109"/>
        <v>#VALUE!</v>
      </c>
      <c r="O202" s="27" t="e">
        <f t="shared" si="109"/>
        <v>#VALUE!</v>
      </c>
      <c r="P202" s="27" t="e">
        <f t="shared" si="109"/>
        <v>#VALUE!</v>
      </c>
    </row>
    <row r="203" spans="1:18" x14ac:dyDescent="0.15"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</row>
    <row r="204" spans="1:18" x14ac:dyDescent="0.15">
      <c r="A204" s="31" t="e">
        <v>#REF!</v>
      </c>
      <c r="B204" s="31" t="e">
        <v>#REF!</v>
      </c>
      <c r="C204" s="31" t="e">
        <v>#REF!</v>
      </c>
      <c r="D204" s="31" t="e">
        <v>#REF!</v>
      </c>
      <c r="E204" s="31" t="e">
        <v>#REF!</v>
      </c>
      <c r="F204" s="31" t="e">
        <v>#REF!</v>
      </c>
      <c r="G204" s="31" t="e">
        <v>#REF!</v>
      </c>
      <c r="H204" s="31" t="e">
        <v>#REF!</v>
      </c>
      <c r="I204" s="31" t="e">
        <v>#REF!</v>
      </c>
      <c r="J204" s="31" t="e">
        <v>#REF!</v>
      </c>
      <c r="K204" s="31" t="e">
        <v>#REF!</v>
      </c>
      <c r="L204" s="31" t="e">
        <v>#REF!</v>
      </c>
      <c r="M204" s="31" t="e">
        <v>#REF!</v>
      </c>
      <c r="N204" s="31" t="e">
        <v>#REF!</v>
      </c>
      <c r="O204" s="31" t="e">
        <v>#REF!</v>
      </c>
      <c r="P204" s="31" t="e">
        <v>#REF!</v>
      </c>
    </row>
    <row r="205" spans="1:18" x14ac:dyDescent="0.15">
      <c r="B205">
        <v>2010</v>
      </c>
      <c r="C205">
        <v>2009</v>
      </c>
      <c r="D205">
        <v>2008</v>
      </c>
      <c r="E205">
        <v>2007</v>
      </c>
      <c r="F205">
        <v>2006</v>
      </c>
      <c r="G205">
        <v>2005</v>
      </c>
      <c r="H205">
        <v>2004</v>
      </c>
      <c r="I205">
        <v>2003</v>
      </c>
      <c r="J205">
        <v>2002</v>
      </c>
      <c r="K205">
        <v>2001</v>
      </c>
      <c r="L205">
        <v>2000</v>
      </c>
      <c r="M205">
        <v>1999</v>
      </c>
      <c r="N205">
        <v>1998</v>
      </c>
      <c r="O205">
        <v>1997</v>
      </c>
    </row>
    <row r="206" spans="1:18" x14ac:dyDescent="0.15">
      <c r="A206" t="e">
        <v>#REF!</v>
      </c>
      <c r="B206" s="27" t="e">
        <v>#REF!</v>
      </c>
      <c r="C206" s="27" t="e">
        <v>#REF!</v>
      </c>
      <c r="D206" s="27" t="e">
        <v>#REF!</v>
      </c>
      <c r="E206" s="27" t="e">
        <v>#REF!</v>
      </c>
      <c r="F206" s="27" t="e">
        <v>#REF!</v>
      </c>
      <c r="G206" s="27" t="e">
        <v>#REF!</v>
      </c>
      <c r="H206" s="27" t="e">
        <v>#REF!</v>
      </c>
      <c r="I206" s="27" t="e">
        <v>#REF!</v>
      </c>
      <c r="J206" s="27" t="e">
        <v>#REF!</v>
      </c>
      <c r="K206" s="27" t="e">
        <v>#REF!</v>
      </c>
      <c r="L206" s="27" t="e">
        <v>#REF!</v>
      </c>
      <c r="M206" s="27" t="e">
        <v>#REF!</v>
      </c>
      <c r="N206" s="27" t="e">
        <v>#REF!</v>
      </c>
      <c r="O206" s="27" t="e">
        <v>#REF!</v>
      </c>
      <c r="P206" s="27" t="e">
        <v>#REF!</v>
      </c>
    </row>
    <row r="207" spans="1:18" x14ac:dyDescent="0.15">
      <c r="A207" t="e">
        <f>A206+1</f>
        <v>#REF!</v>
      </c>
      <c r="B207" s="27" t="e">
        <f>B206</f>
        <v>#REF!</v>
      </c>
      <c r="C207" s="27" t="e">
        <f t="shared" ref="C207:O207" si="110">B206*B$190</f>
        <v>#REF!</v>
      </c>
      <c r="D207" s="27" t="e">
        <f t="shared" si="110"/>
        <v>#REF!</v>
      </c>
      <c r="E207" s="27" t="e">
        <f t="shared" si="110"/>
        <v>#REF!</v>
      </c>
      <c r="F207" s="27" t="e">
        <f t="shared" si="110"/>
        <v>#REF!</v>
      </c>
      <c r="G207" s="27" t="e">
        <f t="shared" si="110"/>
        <v>#REF!</v>
      </c>
      <c r="H207" s="27" t="e">
        <f t="shared" si="110"/>
        <v>#REF!</v>
      </c>
      <c r="I207" s="27" t="e">
        <f t="shared" si="110"/>
        <v>#REF!</v>
      </c>
      <c r="J207" s="27" t="e">
        <f t="shared" si="110"/>
        <v>#REF!</v>
      </c>
      <c r="K207" s="27" t="e">
        <f t="shared" si="110"/>
        <v>#REF!</v>
      </c>
      <c r="L207" s="27" t="e">
        <f t="shared" si="110"/>
        <v>#REF!</v>
      </c>
      <c r="M207" s="27" t="e">
        <f t="shared" si="110"/>
        <v>#REF!</v>
      </c>
      <c r="N207" s="27" t="e">
        <f t="shared" si="110"/>
        <v>#REF!</v>
      </c>
      <c r="O207" s="27" t="e">
        <f t="shared" si="110"/>
        <v>#REF!</v>
      </c>
      <c r="P207" s="27" t="e">
        <f>O206*O$190+P206*P$190</f>
        <v>#REF!</v>
      </c>
      <c r="R207" s="27" t="e">
        <v>#REF!</v>
      </c>
    </row>
    <row r="208" spans="1:18" x14ac:dyDescent="0.15">
      <c r="A208" t="e">
        <f>A207+1</f>
        <v>#REF!</v>
      </c>
      <c r="B208" s="27" t="e">
        <f>B207</f>
        <v>#REF!</v>
      </c>
      <c r="C208" s="27" t="e">
        <f t="shared" ref="C208:O208" si="111">B207*B$190</f>
        <v>#REF!</v>
      </c>
      <c r="D208" s="27" t="e">
        <f t="shared" si="111"/>
        <v>#REF!</v>
      </c>
      <c r="E208" s="27" t="e">
        <f t="shared" si="111"/>
        <v>#REF!</v>
      </c>
      <c r="F208" s="27" t="e">
        <f t="shared" si="111"/>
        <v>#REF!</v>
      </c>
      <c r="G208" s="27" t="e">
        <f t="shared" si="111"/>
        <v>#REF!</v>
      </c>
      <c r="H208" s="27" t="e">
        <f t="shared" si="111"/>
        <v>#REF!</v>
      </c>
      <c r="I208" s="27" t="e">
        <f t="shared" si="111"/>
        <v>#REF!</v>
      </c>
      <c r="J208" s="27" t="e">
        <f t="shared" si="111"/>
        <v>#REF!</v>
      </c>
      <c r="K208" s="27" t="e">
        <f t="shared" si="111"/>
        <v>#REF!</v>
      </c>
      <c r="L208" s="27" t="e">
        <f t="shared" si="111"/>
        <v>#REF!</v>
      </c>
      <c r="M208" s="27" t="e">
        <f t="shared" si="111"/>
        <v>#REF!</v>
      </c>
      <c r="N208" s="27" t="e">
        <f t="shared" si="111"/>
        <v>#REF!</v>
      </c>
      <c r="O208" s="27" t="e">
        <f t="shared" si="111"/>
        <v>#REF!</v>
      </c>
      <c r="P208" s="27" t="e">
        <f>O207*O$190+P207*P$190</f>
        <v>#REF!</v>
      </c>
    </row>
    <row r="209" spans="1:17" x14ac:dyDescent="0.15">
      <c r="A209" t="e">
        <f>A208+1</f>
        <v>#REF!</v>
      </c>
      <c r="B209" s="27" t="e">
        <f>B208</f>
        <v>#REF!</v>
      </c>
      <c r="C209" s="27" t="e">
        <f t="shared" ref="C209:O209" si="112">B208*B$190</f>
        <v>#REF!</v>
      </c>
      <c r="D209" s="27" t="e">
        <f t="shared" si="112"/>
        <v>#REF!</v>
      </c>
      <c r="E209" s="27" t="e">
        <f t="shared" si="112"/>
        <v>#REF!</v>
      </c>
      <c r="F209" s="27" t="e">
        <f t="shared" si="112"/>
        <v>#REF!</v>
      </c>
      <c r="G209" s="27" t="e">
        <f t="shared" si="112"/>
        <v>#REF!</v>
      </c>
      <c r="H209" s="27" t="e">
        <f t="shared" si="112"/>
        <v>#REF!</v>
      </c>
      <c r="I209" s="27" t="e">
        <f t="shared" si="112"/>
        <v>#REF!</v>
      </c>
      <c r="J209" s="27" t="e">
        <f t="shared" si="112"/>
        <v>#REF!</v>
      </c>
      <c r="K209" s="27" t="e">
        <f t="shared" si="112"/>
        <v>#REF!</v>
      </c>
      <c r="L209" s="27" t="e">
        <f t="shared" si="112"/>
        <v>#REF!</v>
      </c>
      <c r="M209" s="27" t="e">
        <f t="shared" si="112"/>
        <v>#REF!</v>
      </c>
      <c r="N209" s="27" t="e">
        <f t="shared" si="112"/>
        <v>#REF!</v>
      </c>
      <c r="O209" s="27" t="e">
        <f t="shared" si="112"/>
        <v>#REF!</v>
      </c>
      <c r="P209" s="27" t="e">
        <f>O208*O$190+P208*P$190</f>
        <v>#REF!</v>
      </c>
    </row>
    <row r="210" spans="1:17" x14ac:dyDescent="0.15">
      <c r="A210" t="e">
        <f>A209+1</f>
        <v>#REF!</v>
      </c>
      <c r="B210" s="27" t="e">
        <f>B209</f>
        <v>#REF!</v>
      </c>
      <c r="C210" s="27" t="e">
        <f t="shared" ref="C210:O210" si="113">B209*B$190</f>
        <v>#REF!</v>
      </c>
      <c r="D210" s="27" t="e">
        <f t="shared" si="113"/>
        <v>#REF!</v>
      </c>
      <c r="E210" s="27" t="e">
        <f t="shared" si="113"/>
        <v>#REF!</v>
      </c>
      <c r="F210" s="27" t="e">
        <f t="shared" si="113"/>
        <v>#REF!</v>
      </c>
      <c r="G210" s="27" t="e">
        <f t="shared" si="113"/>
        <v>#REF!</v>
      </c>
      <c r="H210" s="27" t="e">
        <f t="shared" si="113"/>
        <v>#REF!</v>
      </c>
      <c r="I210" s="27" t="e">
        <f t="shared" si="113"/>
        <v>#REF!</v>
      </c>
      <c r="J210" s="27" t="e">
        <f t="shared" si="113"/>
        <v>#REF!</v>
      </c>
      <c r="K210" s="27" t="e">
        <f t="shared" si="113"/>
        <v>#REF!</v>
      </c>
      <c r="L210" s="27" t="e">
        <f t="shared" si="113"/>
        <v>#REF!</v>
      </c>
      <c r="M210" s="27" t="e">
        <f t="shared" si="113"/>
        <v>#REF!</v>
      </c>
      <c r="N210" s="27" t="e">
        <f t="shared" si="113"/>
        <v>#REF!</v>
      </c>
      <c r="O210" s="27" t="e">
        <f t="shared" si="113"/>
        <v>#REF!</v>
      </c>
      <c r="P210" s="27" t="e">
        <f>O209*O$190+P209*P$190</f>
        <v>#REF!</v>
      </c>
    </row>
    <row r="211" spans="1:17" x14ac:dyDescent="0.15">
      <c r="A211" t="e">
        <f>A210+1</f>
        <v>#REF!</v>
      </c>
      <c r="B211" s="27" t="e">
        <f>B210</f>
        <v>#REF!</v>
      </c>
      <c r="C211" s="27" t="e">
        <f t="shared" ref="C211:O211" si="114">B210*B$190</f>
        <v>#REF!</v>
      </c>
      <c r="D211" s="27" t="e">
        <f t="shared" si="114"/>
        <v>#REF!</v>
      </c>
      <c r="E211" s="27" t="e">
        <f t="shared" si="114"/>
        <v>#REF!</v>
      </c>
      <c r="F211" s="27" t="e">
        <f t="shared" si="114"/>
        <v>#REF!</v>
      </c>
      <c r="G211" s="27" t="e">
        <f t="shared" si="114"/>
        <v>#REF!</v>
      </c>
      <c r="H211" s="27" t="e">
        <f t="shared" si="114"/>
        <v>#REF!</v>
      </c>
      <c r="I211" s="27" t="e">
        <f t="shared" si="114"/>
        <v>#REF!</v>
      </c>
      <c r="J211" s="27" t="e">
        <f t="shared" si="114"/>
        <v>#REF!</v>
      </c>
      <c r="K211" s="27" t="e">
        <f t="shared" si="114"/>
        <v>#REF!</v>
      </c>
      <c r="L211" s="27" t="e">
        <f t="shared" si="114"/>
        <v>#REF!</v>
      </c>
      <c r="M211" s="27" t="e">
        <f t="shared" si="114"/>
        <v>#REF!</v>
      </c>
      <c r="N211" s="27" t="e">
        <f t="shared" si="114"/>
        <v>#REF!</v>
      </c>
      <c r="O211" s="27" t="e">
        <f t="shared" si="114"/>
        <v>#REF!</v>
      </c>
      <c r="P211" s="27" t="e">
        <f>O210*O$190+P210*P$190</f>
        <v>#REF!</v>
      </c>
    </row>
    <row r="215" spans="1:17" x14ac:dyDescent="0.15">
      <c r="A215" t="e">
        <f>A207</f>
        <v>#REF!</v>
      </c>
      <c r="D215" s="27" t="e">
        <f>D$213*D207</f>
        <v>#REF!</v>
      </c>
      <c r="E215" s="27" t="e">
        <f>E$213*E207+D215</f>
        <v>#REF!</v>
      </c>
      <c r="F215" s="27" t="e">
        <f t="shared" ref="F215:P215" si="115">F$213*F207+E215</f>
        <v>#REF!</v>
      </c>
      <c r="G215" s="27" t="e">
        <f t="shared" si="115"/>
        <v>#REF!</v>
      </c>
      <c r="H215" s="27" t="e">
        <f t="shared" si="115"/>
        <v>#REF!</v>
      </c>
      <c r="I215" s="27" t="e">
        <f t="shared" si="115"/>
        <v>#REF!</v>
      </c>
      <c r="J215" s="27" t="e">
        <f t="shared" si="115"/>
        <v>#REF!</v>
      </c>
      <c r="K215" s="27" t="e">
        <f t="shared" si="115"/>
        <v>#REF!</v>
      </c>
      <c r="L215" s="27" t="e">
        <f t="shared" si="115"/>
        <v>#REF!</v>
      </c>
      <c r="M215" s="27" t="e">
        <f t="shared" si="115"/>
        <v>#REF!</v>
      </c>
      <c r="N215" s="27" t="e">
        <f t="shared" si="115"/>
        <v>#REF!</v>
      </c>
      <c r="O215" s="27" t="e">
        <f t="shared" si="115"/>
        <v>#REF!</v>
      </c>
      <c r="P215" s="27" t="e">
        <f t="shared" si="115"/>
        <v>#REF!</v>
      </c>
    </row>
    <row r="216" spans="1:17" x14ac:dyDescent="0.15">
      <c r="A216" t="e">
        <f>A208</f>
        <v>#REF!</v>
      </c>
      <c r="C216" t="s">
        <v>829</v>
      </c>
      <c r="D216" s="27" t="e">
        <f>D$230*D225</f>
        <v>#REF!</v>
      </c>
      <c r="E216" s="27" t="e">
        <f>E$230*E225+D216</f>
        <v>#REF!</v>
      </c>
      <c r="F216" s="27" t="e">
        <f t="shared" ref="F216:P216" si="116">F$230*F225+E216</f>
        <v>#REF!</v>
      </c>
      <c r="G216" s="27" t="e">
        <f t="shared" si="116"/>
        <v>#REF!</v>
      </c>
      <c r="H216" s="27" t="e">
        <f t="shared" si="116"/>
        <v>#REF!</v>
      </c>
      <c r="I216" s="27" t="e">
        <f t="shared" si="116"/>
        <v>#REF!</v>
      </c>
      <c r="J216" s="27" t="e">
        <f t="shared" si="116"/>
        <v>#REF!</v>
      </c>
      <c r="K216" s="27" t="e">
        <f t="shared" si="116"/>
        <v>#REF!</v>
      </c>
      <c r="L216" s="27" t="e">
        <f t="shared" si="116"/>
        <v>#REF!</v>
      </c>
      <c r="M216" s="27" t="e">
        <f t="shared" si="116"/>
        <v>#REF!</v>
      </c>
      <c r="N216" s="27" t="e">
        <f t="shared" si="116"/>
        <v>#REF!</v>
      </c>
      <c r="O216" s="27" t="e">
        <f t="shared" si="116"/>
        <v>#REF!</v>
      </c>
      <c r="P216" s="27" t="e">
        <f t="shared" si="116"/>
        <v>#REF!</v>
      </c>
    </row>
    <row r="217" spans="1:17" x14ac:dyDescent="0.15"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J217">
        <v>9</v>
      </c>
      <c r="K217" t="s">
        <v>83</v>
      </c>
      <c r="L217">
        <v>11</v>
      </c>
      <c r="M217">
        <v>12</v>
      </c>
      <c r="N217">
        <v>13</v>
      </c>
      <c r="O217">
        <v>14</v>
      </c>
      <c r="P217">
        <v>15</v>
      </c>
    </row>
    <row r="218" spans="1:17" x14ac:dyDescent="0.15">
      <c r="B218" s="27" t="e">
        <f>SUM(D218:K218)</f>
        <v>#REF!</v>
      </c>
      <c r="C218" t="s">
        <v>957</v>
      </c>
      <c r="D218" s="27" t="e">
        <f>D$230*pm.rep!D112</f>
        <v>#REF!</v>
      </c>
      <c r="E218" s="27" t="e">
        <f>E$230*pm.rep!E112</f>
        <v>#REF!</v>
      </c>
      <c r="F218" s="27" t="e">
        <f>F$230*pm.rep!F112</f>
        <v>#REF!</v>
      </c>
      <c r="G218" s="27" t="e">
        <f>G$230*pm.rep!G112</f>
        <v>#REF!</v>
      </c>
      <c r="H218" s="27" t="e">
        <f>H$230*pm.rep!H112</f>
        <v>#REF!</v>
      </c>
      <c r="I218" s="27" t="e">
        <f>I$230*pm.rep!I112</f>
        <v>#REF!</v>
      </c>
      <c r="J218" s="27" t="e">
        <f>J$230*pm.rep!J112</f>
        <v>#REF!</v>
      </c>
      <c r="K218" s="27" t="e">
        <f>SUM(L218:Q218)</f>
        <v>#REF!</v>
      </c>
      <c r="L218" s="27" t="e">
        <f>K$230*pm.rep!K112</f>
        <v>#REF!</v>
      </c>
      <c r="M218" s="27" t="e">
        <f>L$230*pm.rep!L112</f>
        <v>#REF!</v>
      </c>
      <c r="N218" s="27" t="e">
        <f>M$230*pm.rep!M112</f>
        <v>#REF!</v>
      </c>
      <c r="O218" s="27" t="e">
        <f>N$230*pm.rep!N112</f>
        <v>#REF!</v>
      </c>
      <c r="P218" s="27" t="e">
        <f>O$230*pm.rep!O112</f>
        <v>#REF!</v>
      </c>
      <c r="Q218" s="27" t="e">
        <f>P$230*pm.rep!P112</f>
        <v>#REF!</v>
      </c>
    </row>
    <row r="219" spans="1:17" x14ac:dyDescent="0.15">
      <c r="B219" s="27" t="e">
        <f>SUM(D219:K219)</f>
        <v>#REF!</v>
      </c>
      <c r="C219" t="s">
        <v>958</v>
      </c>
      <c r="D219" s="27" t="e">
        <f>D$230*D226</f>
        <v>#REF!</v>
      </c>
      <c r="E219" s="27" t="e">
        <f t="shared" ref="E219:J219" si="117">E$230*E226</f>
        <v>#REF!</v>
      </c>
      <c r="F219" s="27" t="e">
        <f t="shared" si="117"/>
        <v>#REF!</v>
      </c>
      <c r="G219" s="27" t="e">
        <f t="shared" si="117"/>
        <v>#REF!</v>
      </c>
      <c r="H219" s="27" t="e">
        <f t="shared" si="117"/>
        <v>#REF!</v>
      </c>
      <c r="I219" s="27" t="e">
        <f t="shared" si="117"/>
        <v>#REF!</v>
      </c>
      <c r="J219" s="27" t="e">
        <f t="shared" si="117"/>
        <v>#REF!</v>
      </c>
      <c r="K219" s="27" t="e">
        <f>SUM(L219:Q219)</f>
        <v>#REF!</v>
      </c>
      <c r="L219" s="27" t="e">
        <f t="shared" ref="L219:Q219" si="118">K$230*K226</f>
        <v>#REF!</v>
      </c>
      <c r="M219" s="27" t="e">
        <f t="shared" si="118"/>
        <v>#REF!</v>
      </c>
      <c r="N219" s="27" t="e">
        <f t="shared" si="118"/>
        <v>#REF!</v>
      </c>
      <c r="O219" s="27" t="e">
        <f t="shared" si="118"/>
        <v>#REF!</v>
      </c>
      <c r="P219" s="27" t="e">
        <f t="shared" si="118"/>
        <v>#REF!</v>
      </c>
      <c r="Q219" s="27" t="e">
        <f t="shared" si="118"/>
        <v>#REF!</v>
      </c>
    </row>
    <row r="220" spans="1:17" x14ac:dyDescent="0.15">
      <c r="D220">
        <f t="shared" ref="D220:P220" si="119">D217</f>
        <v>3</v>
      </c>
      <c r="E220">
        <f t="shared" si="119"/>
        <v>4</v>
      </c>
      <c r="F220">
        <f t="shared" si="119"/>
        <v>5</v>
      </c>
      <c r="G220">
        <f t="shared" si="119"/>
        <v>6</v>
      </c>
      <c r="H220">
        <f t="shared" si="119"/>
        <v>7</v>
      </c>
      <c r="I220">
        <f t="shared" si="119"/>
        <v>8</v>
      </c>
      <c r="J220">
        <f t="shared" si="119"/>
        <v>9</v>
      </c>
      <c r="K220" t="str">
        <f t="shared" si="119"/>
        <v>10+</v>
      </c>
      <c r="L220">
        <f t="shared" si="119"/>
        <v>11</v>
      </c>
      <c r="M220">
        <f t="shared" si="119"/>
        <v>12</v>
      </c>
      <c r="N220">
        <f t="shared" si="119"/>
        <v>13</v>
      </c>
      <c r="O220">
        <f t="shared" si="119"/>
        <v>14</v>
      </c>
      <c r="P220">
        <f t="shared" si="119"/>
        <v>15</v>
      </c>
    </row>
    <row r="221" spans="1:17" x14ac:dyDescent="0.15">
      <c r="C221" t="str">
        <f>C218</f>
        <v>2013 (in 2013)</v>
      </c>
      <c r="D221" t="e">
        <f t="shared" ref="D221:N221" si="120">E221+D218</f>
        <v>#REF!</v>
      </c>
      <c r="E221" t="e">
        <f t="shared" si="120"/>
        <v>#REF!</v>
      </c>
      <c r="F221" t="e">
        <f t="shared" si="120"/>
        <v>#REF!</v>
      </c>
      <c r="G221" t="e">
        <f t="shared" si="120"/>
        <v>#REF!</v>
      </c>
      <c r="H221" t="e">
        <f t="shared" si="120"/>
        <v>#REF!</v>
      </c>
      <c r="I221" t="e">
        <f t="shared" si="120"/>
        <v>#REF!</v>
      </c>
      <c r="J221" t="e">
        <f t="shared" si="120"/>
        <v>#REF!</v>
      </c>
      <c r="K221" t="e">
        <f t="shared" si="120"/>
        <v>#REF!</v>
      </c>
      <c r="L221" t="e">
        <f t="shared" si="120"/>
        <v>#REF!</v>
      </c>
      <c r="M221" t="e">
        <f t="shared" si="120"/>
        <v>#REF!</v>
      </c>
      <c r="N221" t="e">
        <f t="shared" si="120"/>
        <v>#REF!</v>
      </c>
      <c r="O221" t="e">
        <f>P221+O218</f>
        <v>#REF!</v>
      </c>
      <c r="P221" t="e">
        <f>P218</f>
        <v>#REF!</v>
      </c>
    </row>
    <row r="222" spans="1:17" x14ac:dyDescent="0.15">
      <c r="C222" t="str">
        <f>C219</f>
        <v>2013 (in 2012)</v>
      </c>
      <c r="D222" t="e">
        <f t="shared" ref="D222:N222" si="121">E222+D219</f>
        <v>#REF!</v>
      </c>
      <c r="E222" t="e">
        <f t="shared" si="121"/>
        <v>#REF!</v>
      </c>
      <c r="F222" t="e">
        <f t="shared" si="121"/>
        <v>#REF!</v>
      </c>
      <c r="G222" t="e">
        <f t="shared" si="121"/>
        <v>#REF!</v>
      </c>
      <c r="H222" t="e">
        <f t="shared" si="121"/>
        <v>#REF!</v>
      </c>
      <c r="I222" t="e">
        <f t="shared" si="121"/>
        <v>#REF!</v>
      </c>
      <c r="J222" t="e">
        <f t="shared" si="121"/>
        <v>#REF!</v>
      </c>
      <c r="K222" t="e">
        <f t="shared" si="121"/>
        <v>#REF!</v>
      </c>
      <c r="L222" t="e">
        <f t="shared" si="121"/>
        <v>#REF!</v>
      </c>
      <c r="M222" t="e">
        <f t="shared" si="121"/>
        <v>#REF!</v>
      </c>
      <c r="N222" t="e">
        <f t="shared" si="121"/>
        <v>#REF!</v>
      </c>
      <c r="O222" t="e">
        <f>P222+O219</f>
        <v>#REF!</v>
      </c>
      <c r="P222" t="e">
        <f>P219</f>
        <v>#REF!</v>
      </c>
    </row>
    <row r="224" spans="1:17" x14ac:dyDescent="0.15">
      <c r="A224" t="s">
        <v>861</v>
      </c>
      <c r="B224">
        <v>1</v>
      </c>
      <c r="C224">
        <v>2</v>
      </c>
      <c r="D224">
        <v>3</v>
      </c>
      <c r="E224">
        <v>4</v>
      </c>
      <c r="F224">
        <v>5</v>
      </c>
      <c r="G224">
        <v>6</v>
      </c>
      <c r="H224">
        <v>7</v>
      </c>
      <c r="I224">
        <v>8</v>
      </c>
      <c r="J224">
        <v>9</v>
      </c>
      <c r="K224">
        <v>10</v>
      </c>
      <c r="L224">
        <v>11</v>
      </c>
      <c r="M224">
        <v>12</v>
      </c>
      <c r="N224">
        <v>13</v>
      </c>
      <c r="O224">
        <v>14</v>
      </c>
      <c r="P224">
        <v>15</v>
      </c>
    </row>
    <row r="225" spans="1:17" x14ac:dyDescent="0.15">
      <c r="A225">
        <v>2012</v>
      </c>
      <c r="B225">
        <v>17450.5</v>
      </c>
      <c r="C225">
        <v>7570.26</v>
      </c>
      <c r="D225">
        <v>4950.3</v>
      </c>
      <c r="E225">
        <v>8193.02</v>
      </c>
      <c r="F225">
        <v>1080.18</v>
      </c>
      <c r="G225">
        <v>1550.97</v>
      </c>
      <c r="H225">
        <v>358.97</v>
      </c>
      <c r="I225">
        <v>85.591399999999993</v>
      </c>
      <c r="J225">
        <v>61.1447</v>
      </c>
      <c r="K225">
        <v>68.586399999999998</v>
      </c>
      <c r="L225">
        <v>59.770400000000002</v>
      </c>
      <c r="M225">
        <v>46.6875</v>
      </c>
      <c r="N225">
        <v>24.646699999999999</v>
      </c>
      <c r="O225">
        <v>10.029199999999999</v>
      </c>
      <c r="P225">
        <v>16.462299999999999</v>
      </c>
    </row>
    <row r="226" spans="1:17" x14ac:dyDescent="0.15">
      <c r="A226">
        <v>2013</v>
      </c>
      <c r="B226">
        <v>27268.5</v>
      </c>
      <c r="C226">
        <v>10985.3</v>
      </c>
      <c r="D226">
        <f>D238</f>
        <v>4818.0087041400002</v>
      </c>
      <c r="E226">
        <f t="shared" ref="E226:P226" si="122">E238</f>
        <v>3611.0854404000002</v>
      </c>
      <c r="F226">
        <f t="shared" si="122"/>
        <v>5583.7233764399998</v>
      </c>
      <c r="G226">
        <f t="shared" si="122"/>
        <v>604.62319374000003</v>
      </c>
      <c r="H226">
        <f t="shared" si="122"/>
        <v>748.42832835000002</v>
      </c>
      <c r="I226">
        <f t="shared" si="122"/>
        <v>122.98922449000001</v>
      </c>
      <c r="J226">
        <f t="shared" si="122"/>
        <v>29.522271279399995</v>
      </c>
      <c r="K226">
        <f t="shared" si="122"/>
        <v>21.557053142599997</v>
      </c>
      <c r="L226">
        <f t="shared" si="122"/>
        <v>22.598327176799998</v>
      </c>
      <c r="M226">
        <f t="shared" si="122"/>
        <v>19.693569784799998</v>
      </c>
      <c r="N226">
        <f t="shared" si="122"/>
        <v>15.382924312499998</v>
      </c>
      <c r="O226">
        <f t="shared" si="122"/>
        <v>8.1207672428999995</v>
      </c>
      <c r="P226">
        <f t="shared" si="122"/>
        <v>8.7286048604999991</v>
      </c>
    </row>
    <row r="229" spans="1:17" x14ac:dyDescent="0.15">
      <c r="A229" t="s">
        <v>841</v>
      </c>
    </row>
    <row r="230" spans="1:17" x14ac:dyDescent="0.15">
      <c r="A230">
        <v>2011</v>
      </c>
      <c r="B230" t="e">
        <v>#REF!</v>
      </c>
      <c r="C230" t="e">
        <v>#REF!</v>
      </c>
      <c r="D230" t="e">
        <v>#REF!</v>
      </c>
      <c r="E230" t="e">
        <v>#REF!</v>
      </c>
      <c r="F230" t="e">
        <v>#REF!</v>
      </c>
      <c r="G230" t="e">
        <v>#REF!</v>
      </c>
      <c r="H230" t="e">
        <v>#REF!</v>
      </c>
      <c r="I230" t="e">
        <v>#REF!</v>
      </c>
      <c r="J230" t="e">
        <v>#REF!</v>
      </c>
      <c r="K230" t="e">
        <v>#REF!</v>
      </c>
      <c r="L230" t="e">
        <v>#REF!</v>
      </c>
      <c r="M230" t="e">
        <v>#REF!</v>
      </c>
      <c r="N230" t="e">
        <v>#REF!</v>
      </c>
      <c r="O230" t="e">
        <v>#REF!</v>
      </c>
      <c r="P230" t="e">
        <v>#REF!</v>
      </c>
    </row>
    <row r="231" spans="1:17" x14ac:dyDescent="0.15">
      <c r="A231">
        <v>2012</v>
      </c>
      <c r="B231" t="e">
        <v>#REF!</v>
      </c>
      <c r="C231" t="e">
        <v>#REF!</v>
      </c>
      <c r="D231" t="e">
        <v>#REF!</v>
      </c>
      <c r="E231" t="e">
        <v>#REF!</v>
      </c>
      <c r="F231" t="e">
        <v>#REF!</v>
      </c>
      <c r="G231" t="e">
        <v>#REF!</v>
      </c>
      <c r="H231" t="e">
        <v>#REF!</v>
      </c>
      <c r="I231" t="e">
        <v>#REF!</v>
      </c>
      <c r="J231" t="e">
        <v>#REF!</v>
      </c>
      <c r="K231" t="e">
        <v>#REF!</v>
      </c>
      <c r="L231" t="e">
        <v>#REF!</v>
      </c>
      <c r="M231" t="e">
        <v>#REF!</v>
      </c>
      <c r="N231" t="e">
        <v>#REF!</v>
      </c>
      <c r="O231" t="e">
        <v>#REF!</v>
      </c>
      <c r="P231" t="e">
        <v>#REF!</v>
      </c>
    </row>
    <row r="232" spans="1:17" x14ac:dyDescent="0.15">
      <c r="A232">
        <v>2013</v>
      </c>
      <c r="B232" t="e">
        <v>#REF!</v>
      </c>
      <c r="C232" t="e">
        <v>#REF!</v>
      </c>
      <c r="D232" t="e">
        <v>#REF!</v>
      </c>
      <c r="E232" t="e">
        <v>#REF!</v>
      </c>
      <c r="F232" t="e">
        <v>#REF!</v>
      </c>
      <c r="G232" t="e">
        <v>#REF!</v>
      </c>
      <c r="H232" t="e">
        <v>#REF!</v>
      </c>
      <c r="I232" t="e">
        <v>#REF!</v>
      </c>
      <c r="J232" t="e">
        <v>#REF!</v>
      </c>
      <c r="K232" t="e">
        <v>#REF!</v>
      </c>
      <c r="L232" t="e">
        <v>#REF!</v>
      </c>
      <c r="M232" t="e">
        <v>#REF!</v>
      </c>
      <c r="N232" t="e">
        <v>#REF!</v>
      </c>
      <c r="O232" t="e">
        <v>#REF!</v>
      </c>
      <c r="P232" t="e">
        <v>#REF!</v>
      </c>
    </row>
    <row r="236" spans="1:17" x14ac:dyDescent="0.15">
      <c r="A236">
        <v>2012</v>
      </c>
      <c r="B236">
        <v>17450.5</v>
      </c>
      <c r="C236">
        <v>7570.26</v>
      </c>
      <c r="D236">
        <v>4950.3</v>
      </c>
      <c r="E236">
        <v>8193.02</v>
      </c>
      <c r="F236">
        <v>1080.18</v>
      </c>
      <c r="G236">
        <v>1550.97</v>
      </c>
      <c r="H236">
        <v>358.97</v>
      </c>
      <c r="I236">
        <v>85.591399999999993</v>
      </c>
      <c r="J236">
        <v>61.1447</v>
      </c>
      <c r="K236">
        <v>68.586399999999998</v>
      </c>
      <c r="L236">
        <v>59.770400000000002</v>
      </c>
      <c r="M236">
        <v>46.6875</v>
      </c>
      <c r="N236">
        <v>24.646699999999999</v>
      </c>
      <c r="O236">
        <v>10.029199999999999</v>
      </c>
      <c r="P236">
        <v>16.462299999999999</v>
      </c>
    </row>
    <row r="237" spans="1:17" x14ac:dyDescent="0.15">
      <c r="A237">
        <v>2012</v>
      </c>
      <c r="B237">
        <v>0.406551</v>
      </c>
      <c r="C237">
        <v>0.63643899999999998</v>
      </c>
      <c r="D237">
        <v>0.72946800000000001</v>
      </c>
      <c r="E237">
        <v>0.68152199999999996</v>
      </c>
      <c r="F237">
        <v>0.55974299999999999</v>
      </c>
      <c r="G237">
        <v>0.48255500000000001</v>
      </c>
      <c r="H237">
        <v>0.342617</v>
      </c>
      <c r="I237">
        <v>0.34492099999999998</v>
      </c>
      <c r="J237">
        <v>0.35255799999999998</v>
      </c>
      <c r="K237">
        <v>0.32948699999999997</v>
      </c>
      <c r="L237">
        <v>0.32948699999999997</v>
      </c>
      <c r="M237">
        <v>0.32948699999999997</v>
      </c>
      <c r="N237">
        <v>0.32948699999999997</v>
      </c>
      <c r="O237">
        <v>0.32948699999999997</v>
      </c>
      <c r="P237">
        <v>0.32948699999999997</v>
      </c>
    </row>
    <row r="238" spans="1:17" x14ac:dyDescent="0.15">
      <c r="C238">
        <f>B236*B237</f>
        <v>7094.5182255</v>
      </c>
      <c r="D238">
        <f t="shared" ref="D238:Q238" si="123">C236*C237</f>
        <v>4818.0087041400002</v>
      </c>
      <c r="E238">
        <f t="shared" si="123"/>
        <v>3611.0854404000002</v>
      </c>
      <c r="F238">
        <f t="shared" si="123"/>
        <v>5583.7233764399998</v>
      </c>
      <c r="G238">
        <f t="shared" si="123"/>
        <v>604.62319374000003</v>
      </c>
      <c r="H238">
        <f t="shared" si="123"/>
        <v>748.42832835000002</v>
      </c>
      <c r="I238">
        <f t="shared" si="123"/>
        <v>122.98922449000001</v>
      </c>
      <c r="J238">
        <f t="shared" si="123"/>
        <v>29.522271279399995</v>
      </c>
      <c r="K238">
        <f t="shared" si="123"/>
        <v>21.557053142599997</v>
      </c>
      <c r="L238">
        <f t="shared" si="123"/>
        <v>22.598327176799998</v>
      </c>
      <c r="M238">
        <f t="shared" si="123"/>
        <v>19.693569784799998</v>
      </c>
      <c r="N238">
        <f t="shared" si="123"/>
        <v>15.382924312499998</v>
      </c>
      <c r="O238">
        <f t="shared" si="123"/>
        <v>8.1207672428999995</v>
      </c>
      <c r="P238">
        <f>O236*O237+P236*P237</f>
        <v>8.7286048604999991</v>
      </c>
      <c r="Q238">
        <f t="shared" si="123"/>
        <v>5.4241138400999995</v>
      </c>
    </row>
  </sheetData>
  <conditionalFormatting sqref="B154:P183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92:D197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2:E197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2:F19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2:G197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2:H197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2:I197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2:J197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2:K197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2:L19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92:M19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92:N197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92:O197 P193:Q19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9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2:B19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2:C19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0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0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0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0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0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0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0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0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6:B21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7:D2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07:E21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7:F21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7:G21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07:H21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7:I21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7:J21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07:K21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07:L21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07:M21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07:N2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07:P2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7:C2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baseColWidth="10" defaultColWidth="8.83203125" defaultRowHeight="13" x14ac:dyDescent="0.15"/>
  <sheetData>
    <row r="1" spans="1:18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18" x14ac:dyDescent="0.15">
      <c r="A2" t="s">
        <v>830</v>
      </c>
      <c r="B2">
        <v>21810.6</v>
      </c>
      <c r="C2">
        <v>8848.34</v>
      </c>
      <c r="D2">
        <v>8497.06</v>
      </c>
      <c r="E2">
        <v>1918.18</v>
      </c>
      <c r="F2">
        <v>3741.77</v>
      </c>
      <c r="G2">
        <v>714.17600000000004</v>
      </c>
      <c r="H2">
        <v>145.37100000000001</v>
      </c>
      <c r="I2">
        <v>109.218</v>
      </c>
      <c r="J2">
        <v>116.57</v>
      </c>
      <c r="K2">
        <v>98.080399999999997</v>
      </c>
      <c r="L2">
        <v>76.699700000000007</v>
      </c>
      <c r="M2">
        <v>40.214599999999997</v>
      </c>
      <c r="N2">
        <v>16.507100000000001</v>
      </c>
      <c r="O2">
        <v>8.1275600000000008</v>
      </c>
      <c r="P2">
        <v>18.247199999999999</v>
      </c>
      <c r="R2" s="27">
        <f>SUMPRODUCT(B2:P2,$B$5:$P$5)</f>
        <v>9839.6301148222392</v>
      </c>
    </row>
    <row r="3" spans="1:18" x14ac:dyDescent="0.15">
      <c r="A3" t="s">
        <v>831</v>
      </c>
      <c r="B3">
        <f>pm.rep!B110</f>
        <v>13479.2</v>
      </c>
      <c r="C3">
        <f>pm.rep!C110</f>
        <v>9147.59</v>
      </c>
      <c r="D3">
        <f>pm.rep!D110</f>
        <v>14734.1</v>
      </c>
      <c r="E3">
        <f>pm.rep!E110</f>
        <v>2768.26</v>
      </c>
      <c r="F3">
        <f>pm.rep!F110</f>
        <v>3180.79</v>
      </c>
      <c r="G3">
        <f>pm.rep!G110</f>
        <v>936.346</v>
      </c>
      <c r="H3">
        <f>pm.rep!H110</f>
        <v>216.465</v>
      </c>
      <c r="I3">
        <f>pm.rep!I110</f>
        <v>142.62799999999999</v>
      </c>
      <c r="J3">
        <f>pm.rep!J110</f>
        <v>142.64400000000001</v>
      </c>
      <c r="K3">
        <f>pm.rep!K110</f>
        <v>121.753</v>
      </c>
      <c r="L3">
        <f>pm.rep!L110</f>
        <v>93.365300000000005</v>
      </c>
      <c r="M3">
        <f>pm.rep!M110</f>
        <v>46.7654</v>
      </c>
      <c r="N3">
        <f>pm.rep!N110</f>
        <v>18.907800000000002</v>
      </c>
      <c r="O3">
        <f>pm.rep!O110</f>
        <v>9.5846300000000006</v>
      </c>
      <c r="P3">
        <f>pm.rep!P110</f>
        <v>22.1708</v>
      </c>
      <c r="R3" s="27">
        <f>SUMPRODUCT(B3:P3,$B$5:$P$5)</f>
        <v>11924.303469048784</v>
      </c>
    </row>
    <row r="4" spans="1:18" x14ac:dyDescent="0.15">
      <c r="R4" s="23"/>
    </row>
    <row r="5" spans="1:18" x14ac:dyDescent="0.15">
      <c r="A5" t="s">
        <v>832</v>
      </c>
      <c r="B5">
        <v>3.0688206999999999E-2</v>
      </c>
      <c r="C5">
        <v>0.204737208</v>
      </c>
      <c r="D5">
        <v>0.28978775099999998</v>
      </c>
      <c r="E5">
        <v>0.50813002600000001</v>
      </c>
      <c r="F5">
        <v>0.66565036600000005</v>
      </c>
      <c r="G5">
        <v>0.806937668</v>
      </c>
      <c r="H5">
        <v>0.97270989600000002</v>
      </c>
      <c r="I5">
        <v>1.2216750199999999</v>
      </c>
      <c r="J5">
        <v>1.3373892000000001</v>
      </c>
      <c r="K5">
        <v>1.5068482700000001</v>
      </c>
      <c r="L5">
        <v>1.5781940400000001</v>
      </c>
      <c r="M5">
        <v>1.6141591799999999</v>
      </c>
      <c r="N5">
        <v>2.1135475499999998</v>
      </c>
      <c r="O5">
        <v>1.7310393399999999</v>
      </c>
      <c r="P5">
        <v>2.2601132599999998</v>
      </c>
    </row>
    <row r="10" spans="1:18" x14ac:dyDescent="0.15">
      <c r="B10">
        <v>1</v>
      </c>
      <c r="C10">
        <v>2</v>
      </c>
      <c r="D10">
        <v>3</v>
      </c>
      <c r="E10">
        <v>4</v>
      </c>
      <c r="F10">
        <v>5</v>
      </c>
      <c r="G10">
        <v>6</v>
      </c>
      <c r="H10">
        <v>7</v>
      </c>
      <c r="I10">
        <v>8</v>
      </c>
      <c r="J10">
        <v>9</v>
      </c>
      <c r="K10">
        <v>10</v>
      </c>
      <c r="L10">
        <v>11</v>
      </c>
      <c r="M10">
        <v>12</v>
      </c>
      <c r="N10">
        <v>13</v>
      </c>
      <c r="O10">
        <v>14</v>
      </c>
      <c r="P10">
        <v>15</v>
      </c>
    </row>
    <row r="11" spans="1:18" x14ac:dyDescent="0.15">
      <c r="A11">
        <v>2012</v>
      </c>
      <c r="B11" s="1">
        <v>8.7236299999999997E-5</v>
      </c>
      <c r="C11">
        <v>3.6111200000000002E-3</v>
      </c>
      <c r="D11">
        <v>3.00383E-2</v>
      </c>
      <c r="E11">
        <v>0.16261400000000001</v>
      </c>
      <c r="F11">
        <v>0.54426099999999999</v>
      </c>
      <c r="G11">
        <v>0.819106</v>
      </c>
      <c r="H11">
        <v>1.4688699999999999</v>
      </c>
      <c r="I11">
        <v>1.45814</v>
      </c>
      <c r="J11">
        <v>1.4154899999999999</v>
      </c>
      <c r="K11">
        <v>1.5163</v>
      </c>
      <c r="L11">
        <v>1.5163</v>
      </c>
      <c r="M11">
        <v>1.5163</v>
      </c>
      <c r="N11">
        <v>1.5163</v>
      </c>
      <c r="O11">
        <v>1.5163</v>
      </c>
      <c r="P11">
        <v>1.5163</v>
      </c>
    </row>
    <row r="12" spans="1:18" x14ac:dyDescent="0.15">
      <c r="A12" t="s">
        <v>269</v>
      </c>
      <c r="B12">
        <v>1.00009E-4</v>
      </c>
      <c r="C12">
        <v>6.5722799999999998E-3</v>
      </c>
      <c r="D12">
        <v>7.7181799999999995E-2</v>
      </c>
      <c r="E12">
        <v>0.32502700000000001</v>
      </c>
      <c r="F12">
        <v>0.71536</v>
      </c>
      <c r="G12">
        <v>1</v>
      </c>
      <c r="H12">
        <v>1.0472699999999999</v>
      </c>
      <c r="I12">
        <v>0.99991300000000005</v>
      </c>
      <c r="J12">
        <v>0.96265900000000004</v>
      </c>
      <c r="K12">
        <v>0.95505799999999996</v>
      </c>
      <c r="L12">
        <v>0.95505799999999996</v>
      </c>
      <c r="M12">
        <v>0.95505799999999996</v>
      </c>
      <c r="N12">
        <v>0.95505799999999996</v>
      </c>
      <c r="O12">
        <v>0.95505799999999996</v>
      </c>
      <c r="P12">
        <v>0.95505799999999996</v>
      </c>
    </row>
    <row r="14" spans="1:18" x14ac:dyDescent="0.15">
      <c r="A14">
        <f>pm.rep!A165</f>
        <v>2012</v>
      </c>
      <c r="B14">
        <f>pm.rep!B165</f>
        <v>1.3829099999999999E-4</v>
      </c>
      <c r="C14">
        <f>pm.rep!C165</f>
        <v>1.17016E-2</v>
      </c>
      <c r="D14">
        <f>pm.rep!D165</f>
        <v>8.8862700000000003E-2</v>
      </c>
      <c r="E14">
        <f>pm.rep!E165</f>
        <v>0.409275</v>
      </c>
      <c r="F14">
        <f>pm.rep!F165</f>
        <v>0.46755000000000002</v>
      </c>
      <c r="G14">
        <f>pm.rep!G165</f>
        <v>1.47767</v>
      </c>
      <c r="H14">
        <f>pm.rep!H165</f>
        <v>1.4960100000000001</v>
      </c>
      <c r="I14">
        <f>pm.rep!I165</f>
        <v>1.4810300000000001</v>
      </c>
      <c r="J14">
        <f>pm.rep!J165</f>
        <v>1.39975</v>
      </c>
      <c r="K14">
        <f>pm.rep!K165</f>
        <v>1.36134</v>
      </c>
      <c r="L14">
        <f>pm.rep!L165</f>
        <v>1.36134</v>
      </c>
      <c r="M14">
        <f>pm.rep!M165</f>
        <v>1.36134</v>
      </c>
      <c r="N14">
        <f>pm.rep!N165</f>
        <v>1.36134</v>
      </c>
      <c r="O14">
        <f>pm.rep!O165</f>
        <v>1.36134</v>
      </c>
      <c r="P14">
        <f>pm.rep!P165</f>
        <v>1.36134</v>
      </c>
    </row>
    <row r="15" spans="1:18" x14ac:dyDescent="0.15">
      <c r="A15" t="str">
        <f>pm.rep!A170</f>
        <v>Future</v>
      </c>
      <c r="B15">
        <f>pm.rep!B170</f>
        <v>1.12378E-4</v>
      </c>
      <c r="C15">
        <f>pm.rep!C170</f>
        <v>7.3870100000000003E-3</v>
      </c>
      <c r="D15">
        <f>pm.rep!D170</f>
        <v>9.7611000000000003E-2</v>
      </c>
      <c r="E15">
        <f>pm.rep!E170</f>
        <v>0.32773000000000002</v>
      </c>
      <c r="F15">
        <f>pm.rep!F170</f>
        <v>0.65866100000000005</v>
      </c>
      <c r="G15">
        <f>pm.rep!G170</f>
        <v>1</v>
      </c>
      <c r="H15">
        <f>pm.rep!H170</f>
        <v>1.08914</v>
      </c>
      <c r="I15">
        <f>pm.rep!I170</f>
        <v>1.1137999999999999</v>
      </c>
      <c r="J15">
        <f>pm.rep!J170</f>
        <v>1.0904499999999999</v>
      </c>
      <c r="K15">
        <f>pm.rep!K170</f>
        <v>1.1895899999999999</v>
      </c>
      <c r="L15">
        <f>pm.rep!L170</f>
        <v>1.1895899999999999</v>
      </c>
      <c r="M15">
        <f>pm.rep!M170</f>
        <v>1.1895899999999999</v>
      </c>
      <c r="N15">
        <f>pm.rep!N170</f>
        <v>1.1895899999999999</v>
      </c>
      <c r="O15">
        <f>pm.rep!O170</f>
        <v>1.1895899999999999</v>
      </c>
      <c r="P15">
        <f>pm.rep!P170</f>
        <v>1.1895899999999999</v>
      </c>
    </row>
    <row r="36" spans="2:21" x14ac:dyDescent="0.15">
      <c r="B36">
        <v>161.75399999999999</v>
      </c>
      <c r="C36">
        <v>485.26100000000002</v>
      </c>
      <c r="D36">
        <v>808.76800000000003</v>
      </c>
      <c r="E36">
        <v>1132.28</v>
      </c>
      <c r="F36">
        <v>1455.78</v>
      </c>
      <c r="G36">
        <v>1779.29</v>
      </c>
      <c r="H36">
        <v>2102.8000000000002</v>
      </c>
      <c r="I36">
        <v>2426.3000000000002</v>
      </c>
      <c r="J36">
        <v>2749.81</v>
      </c>
      <c r="K36">
        <v>3073.32</v>
      </c>
      <c r="L36">
        <v>3396.83</v>
      </c>
      <c r="M36">
        <v>3720.33</v>
      </c>
      <c r="N36">
        <v>4043.84</v>
      </c>
      <c r="O36">
        <v>4367.3500000000004</v>
      </c>
      <c r="P36">
        <v>4690.8500000000004</v>
      </c>
      <c r="Q36">
        <v>5014.3599999999997</v>
      </c>
      <c r="R36">
        <v>5337.87</v>
      </c>
      <c r="S36">
        <v>5661.38</v>
      </c>
      <c r="T36">
        <v>5984.88</v>
      </c>
      <c r="U36">
        <v>6308.39</v>
      </c>
    </row>
    <row r="37" spans="2:21" x14ac:dyDescent="0.15">
      <c r="B37">
        <v>3421.98</v>
      </c>
      <c r="C37">
        <v>9279.0300000000007</v>
      </c>
      <c r="D37">
        <v>13978.3</v>
      </c>
      <c r="E37">
        <v>17688.400000000001</v>
      </c>
      <c r="F37">
        <v>20555.900000000001</v>
      </c>
      <c r="G37">
        <v>22708.6</v>
      </c>
      <c r="H37">
        <v>24257.5</v>
      </c>
      <c r="I37">
        <v>25298.7</v>
      </c>
      <c r="J37">
        <v>25915.5</v>
      </c>
      <c r="K37">
        <v>26180</v>
      </c>
      <c r="L37">
        <v>26154.1</v>
      </c>
      <c r="M37">
        <v>25891.200000000001</v>
      </c>
      <c r="N37">
        <v>25437.1</v>
      </c>
      <c r="O37">
        <v>24831.1</v>
      </c>
      <c r="P37">
        <v>24106.5</v>
      </c>
      <c r="Q37">
        <v>23291.8</v>
      </c>
      <c r="R37">
        <v>22410.9</v>
      </c>
      <c r="S37">
        <v>21484.1</v>
      </c>
      <c r="T37">
        <v>20528.400000000001</v>
      </c>
      <c r="U37">
        <v>19557.900000000001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47"/>
  <sheetViews>
    <sheetView workbookViewId="0">
      <selection activeCell="U55" sqref="U55"/>
    </sheetView>
  </sheetViews>
  <sheetFormatPr baseColWidth="10" defaultColWidth="8.83203125" defaultRowHeight="13" x14ac:dyDescent="0.15"/>
  <cols>
    <col min="4" max="4" width="13.83203125" bestFit="1" customWidth="1"/>
  </cols>
  <sheetData>
    <row r="3" spans="1:26" ht="14" x14ac:dyDescent="0.15">
      <c r="C3" s="159">
        <v>0.42099999999999999</v>
      </c>
      <c r="D3" s="159">
        <v>0.42099999999999999</v>
      </c>
      <c r="F3" s="161">
        <v>0.41499999999999998</v>
      </c>
      <c r="G3" s="11">
        <f>AMFMSYR/F3*D3</f>
        <v>0.64925301204819275</v>
      </c>
      <c r="H3" s="72">
        <v>0.64</v>
      </c>
    </row>
    <row r="4" spans="1:26" ht="14" x14ac:dyDescent="0.15">
      <c r="C4" s="159">
        <v>0.373</v>
      </c>
      <c r="D4" s="159">
        <v>0.373</v>
      </c>
      <c r="E4" s="160">
        <v>0.36699999999999999</v>
      </c>
      <c r="F4" s="161">
        <v>0.36699999999999999</v>
      </c>
      <c r="G4" s="11">
        <f>H4/F4*D4</f>
        <v>0.57322070844686646</v>
      </c>
      <c r="H4" s="160">
        <v>0.56399999999999995</v>
      </c>
    </row>
    <row r="5" spans="1:26" ht="15" thickBot="1" x14ac:dyDescent="0.2">
      <c r="C5" s="162">
        <v>0.373</v>
      </c>
      <c r="D5" s="162">
        <v>0.373</v>
      </c>
      <c r="E5" s="194">
        <v>0.187</v>
      </c>
      <c r="F5" s="163">
        <v>0.187</v>
      </c>
      <c r="G5" s="11">
        <f>H5/F5*D5</f>
        <v>0.373</v>
      </c>
      <c r="H5" s="163">
        <v>0.187</v>
      </c>
    </row>
    <row r="7" spans="1:26" x14ac:dyDescent="0.15">
      <c r="D7" s="195">
        <f>D3/F3*H4</f>
        <v>0.57215421686746981</v>
      </c>
    </row>
    <row r="9" spans="1:26" x14ac:dyDescent="0.15">
      <c r="A9" s="4" t="s">
        <v>796</v>
      </c>
    </row>
    <row r="10" spans="1:26" x14ac:dyDescent="0.15">
      <c r="A10" t="s">
        <v>477</v>
      </c>
      <c r="B10" t="s">
        <v>494</v>
      </c>
      <c r="C10" t="s">
        <v>478</v>
      </c>
      <c r="D10" t="s">
        <v>479</v>
      </c>
      <c r="E10" t="s">
        <v>498</v>
      </c>
      <c r="F10" t="s">
        <v>480</v>
      </c>
      <c r="G10" t="s">
        <v>481</v>
      </c>
      <c r="H10" t="s">
        <v>482</v>
      </c>
      <c r="I10" t="s">
        <v>483</v>
      </c>
      <c r="J10" t="s">
        <v>484</v>
      </c>
      <c r="K10" t="s">
        <v>485</v>
      </c>
      <c r="L10" t="s">
        <v>495</v>
      </c>
      <c r="M10" t="s">
        <v>496</v>
      </c>
      <c r="N10" t="s">
        <v>500</v>
      </c>
      <c r="O10" t="s">
        <v>501</v>
      </c>
      <c r="P10" t="s">
        <v>7</v>
      </c>
      <c r="Q10" t="s">
        <v>8</v>
      </c>
      <c r="R10" t="s">
        <v>486</v>
      </c>
      <c r="S10" t="s">
        <v>487</v>
      </c>
      <c r="T10" t="s">
        <v>488</v>
      </c>
      <c r="U10" t="s">
        <v>489</v>
      </c>
      <c r="V10" t="s">
        <v>490</v>
      </c>
      <c r="W10" t="s">
        <v>491</v>
      </c>
      <c r="X10" t="s">
        <v>492</v>
      </c>
      <c r="Y10" t="s">
        <v>493</v>
      </c>
      <c r="Z10" t="s">
        <v>514</v>
      </c>
    </row>
    <row r="11" spans="1:26" x14ac:dyDescent="0.15">
      <c r="A11">
        <v>3160.24</v>
      </c>
      <c r="B11">
        <v>3846.42</v>
      </c>
      <c r="C11">
        <v>0.37304199999999998</v>
      </c>
      <c r="D11">
        <v>0.421234</v>
      </c>
      <c r="E11">
        <v>1161.3499999999999</v>
      </c>
      <c r="F11">
        <v>428.38099999999997</v>
      </c>
      <c r="G11">
        <v>531.61900000000003</v>
      </c>
      <c r="H11">
        <v>1360.65</v>
      </c>
      <c r="I11">
        <v>1348.62</v>
      </c>
      <c r="J11">
        <v>814.23099999999999</v>
      </c>
      <c r="K11">
        <v>919.41899999999998</v>
      </c>
      <c r="L11">
        <v>1211.6500000000001</v>
      </c>
      <c r="M11">
        <v>1368.18</v>
      </c>
      <c r="N11">
        <v>0.69066899999999998</v>
      </c>
      <c r="O11">
        <v>0.84442899999999999</v>
      </c>
      <c r="P11">
        <v>0.30862000000000001</v>
      </c>
      <c r="Q11">
        <v>0.273312</v>
      </c>
      <c r="R11">
        <v>49951.1</v>
      </c>
      <c r="S11">
        <v>1830.76</v>
      </c>
      <c r="T11">
        <v>46626.5</v>
      </c>
      <c r="U11">
        <v>2016.61</v>
      </c>
      <c r="V11">
        <v>30832.3</v>
      </c>
      <c r="W11">
        <v>1316.13</v>
      </c>
      <c r="X11">
        <v>33990.5</v>
      </c>
      <c r="Y11">
        <v>1388.21</v>
      </c>
    </row>
    <row r="12" spans="1:26" x14ac:dyDescent="0.15">
      <c r="A12">
        <f>A11/$A$27</f>
        <v>2090.9632256613163</v>
      </c>
      <c r="C12">
        <f>813/A12</f>
        <v>0.38881602030225548</v>
      </c>
      <c r="N12">
        <f>C11*N11*A27</f>
        <v>0.38940485809021524</v>
      </c>
      <c r="O12">
        <f>C11*O11*A27</f>
        <v>0.47609600968374477</v>
      </c>
    </row>
    <row r="13" spans="1:26" x14ac:dyDescent="0.15">
      <c r="A13" t="s">
        <v>704</v>
      </c>
      <c r="B13" t="s">
        <v>705</v>
      </c>
    </row>
    <row r="14" spans="1:26" x14ac:dyDescent="0.15">
      <c r="B14">
        <v>800</v>
      </c>
      <c r="C14">
        <v>760</v>
      </c>
      <c r="D14">
        <v>722</v>
      </c>
      <c r="E14">
        <v>685.9</v>
      </c>
      <c r="F14">
        <v>651.60500000000002</v>
      </c>
      <c r="G14">
        <v>619.02499999999998</v>
      </c>
      <c r="H14">
        <v>588.07399999999996</v>
      </c>
      <c r="I14">
        <v>558.66999999999996</v>
      </c>
      <c r="J14">
        <v>530.73599999999999</v>
      </c>
      <c r="K14">
        <v>504.2</v>
      </c>
    </row>
    <row r="15" spans="1:26" x14ac:dyDescent="0.15">
      <c r="A15">
        <v>800</v>
      </c>
      <c r="B15">
        <v>1315.84</v>
      </c>
      <c r="C15">
        <v>0.69066899999999998</v>
      </c>
      <c r="D15">
        <v>814.23099999999999</v>
      </c>
      <c r="E15">
        <v>919.41899999999998</v>
      </c>
      <c r="F15">
        <v>1588.04</v>
      </c>
      <c r="G15">
        <v>0.84442899999999999</v>
      </c>
      <c r="H15">
        <v>1211.6500000000001</v>
      </c>
      <c r="I15">
        <v>1368.18</v>
      </c>
    </row>
    <row r="16" spans="1:26" x14ac:dyDescent="0.15">
      <c r="A16">
        <v>760</v>
      </c>
      <c r="B16">
        <v>1320.88</v>
      </c>
      <c r="C16">
        <v>0.69351399999999996</v>
      </c>
      <c r="D16">
        <v>817.58500000000004</v>
      </c>
      <c r="E16">
        <v>923.20600000000002</v>
      </c>
      <c r="F16">
        <v>1609.38</v>
      </c>
      <c r="G16">
        <v>0.85648199999999997</v>
      </c>
      <c r="H16">
        <v>1244.52</v>
      </c>
      <c r="I16">
        <v>1405.3</v>
      </c>
    </row>
    <row r="17" spans="1:16" x14ac:dyDescent="0.15">
      <c r="A17">
        <v>722</v>
      </c>
      <c r="B17">
        <v>1325.61</v>
      </c>
      <c r="C17">
        <v>0.69618899999999995</v>
      </c>
      <c r="D17">
        <v>820.73900000000003</v>
      </c>
      <c r="E17">
        <v>926.76599999999996</v>
      </c>
      <c r="F17">
        <v>1629.63</v>
      </c>
      <c r="G17">
        <v>0.86792100000000005</v>
      </c>
      <c r="H17">
        <v>1276.1600000000001</v>
      </c>
      <c r="I17">
        <v>1441.03</v>
      </c>
    </row>
    <row r="18" spans="1:16" x14ac:dyDescent="0.15">
      <c r="A18">
        <v>685.9</v>
      </c>
      <c r="B18">
        <v>1330.07</v>
      </c>
      <c r="C18">
        <v>0.69870500000000002</v>
      </c>
      <c r="D18">
        <v>823.70500000000004</v>
      </c>
      <c r="E18">
        <v>930.11599999999999</v>
      </c>
      <c r="F18">
        <v>1648.85</v>
      </c>
      <c r="G18">
        <v>0.87877799999999995</v>
      </c>
      <c r="H18">
        <v>1306.5999999999999</v>
      </c>
      <c r="I18">
        <v>1475.4</v>
      </c>
    </row>
    <row r="19" spans="1:16" x14ac:dyDescent="0.15">
      <c r="A19">
        <v>651.60500000000002</v>
      </c>
      <c r="B19">
        <v>1334.26</v>
      </c>
      <c r="C19">
        <v>0.70107299999999995</v>
      </c>
      <c r="D19">
        <v>826.49599999999998</v>
      </c>
      <c r="E19">
        <v>933.26800000000003</v>
      </c>
      <c r="F19">
        <v>1667.09</v>
      </c>
      <c r="G19">
        <v>0.88908299999999996</v>
      </c>
      <c r="H19">
        <v>1335.86</v>
      </c>
      <c r="I19">
        <v>1508.43</v>
      </c>
    </row>
    <row r="20" spans="1:16" x14ac:dyDescent="0.15">
      <c r="A20">
        <v>619.02499999999998</v>
      </c>
      <c r="B20">
        <v>1338.21</v>
      </c>
      <c r="C20">
        <v>0.70330300000000001</v>
      </c>
      <c r="D20">
        <v>829.125</v>
      </c>
      <c r="E20">
        <v>936.23699999999997</v>
      </c>
      <c r="F20">
        <v>1684.41</v>
      </c>
      <c r="G20">
        <v>0.89886500000000003</v>
      </c>
      <c r="H20">
        <v>1363.96</v>
      </c>
      <c r="I20">
        <v>1540.16</v>
      </c>
    </row>
    <row r="21" spans="1:16" x14ac:dyDescent="0.15">
      <c r="A21">
        <v>588.07399999999996</v>
      </c>
      <c r="B21">
        <v>1341.93</v>
      </c>
      <c r="C21">
        <v>0.70540400000000003</v>
      </c>
      <c r="D21">
        <v>831.60199999999998</v>
      </c>
      <c r="E21">
        <v>939.03399999999999</v>
      </c>
      <c r="F21">
        <v>1700.85</v>
      </c>
      <c r="G21">
        <v>0.90815199999999996</v>
      </c>
      <c r="H21">
        <v>1390.93</v>
      </c>
      <c r="I21">
        <v>1570.62</v>
      </c>
    </row>
    <row r="22" spans="1:16" x14ac:dyDescent="0.15">
      <c r="A22">
        <v>558.66999999999996</v>
      </c>
      <c r="B22">
        <v>1345.43</v>
      </c>
      <c r="C22">
        <v>0.70738400000000001</v>
      </c>
      <c r="D22">
        <v>833.93700000000001</v>
      </c>
      <c r="E22">
        <v>941.67</v>
      </c>
      <c r="F22">
        <v>1716.46</v>
      </c>
      <c r="G22">
        <v>0.91696900000000003</v>
      </c>
      <c r="H22">
        <v>1416.8</v>
      </c>
      <c r="I22">
        <v>1599.83</v>
      </c>
    </row>
    <row r="23" spans="1:16" x14ac:dyDescent="0.15">
      <c r="A23">
        <v>530.73599999999999</v>
      </c>
      <c r="B23">
        <v>1348.74</v>
      </c>
      <c r="C23">
        <v>0.70925199999999999</v>
      </c>
      <c r="D23">
        <v>836.13900000000001</v>
      </c>
      <c r="E23">
        <v>944.15599999999995</v>
      </c>
      <c r="F23">
        <v>1731.28</v>
      </c>
      <c r="G23">
        <v>0.92534099999999997</v>
      </c>
      <c r="H23">
        <v>1441.61</v>
      </c>
      <c r="I23">
        <v>1627.84</v>
      </c>
    </row>
    <row r="24" spans="1:16" x14ac:dyDescent="0.15">
      <c r="A24">
        <v>504.2</v>
      </c>
      <c r="B24">
        <v>1351.86</v>
      </c>
      <c r="C24">
        <v>0.71101400000000003</v>
      </c>
      <c r="D24">
        <v>838.21600000000001</v>
      </c>
      <c r="E24">
        <v>946.50099999999998</v>
      </c>
      <c r="F24">
        <v>1745.35</v>
      </c>
      <c r="G24">
        <v>0.93328999999999995</v>
      </c>
      <c r="H24">
        <v>1465.38</v>
      </c>
      <c r="I24">
        <v>1654.68</v>
      </c>
    </row>
    <row r="26" spans="1:16" x14ac:dyDescent="0.15"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  <c r="J26">
        <v>9</v>
      </c>
      <c r="K26">
        <v>10</v>
      </c>
      <c r="L26">
        <v>11</v>
      </c>
      <c r="M26">
        <v>12</v>
      </c>
      <c r="N26">
        <v>13</v>
      </c>
      <c r="O26">
        <v>14</v>
      </c>
      <c r="P26">
        <v>15</v>
      </c>
    </row>
    <row r="27" spans="1:16" x14ac:dyDescent="0.15">
      <c r="A27">
        <f>MAX(B27:P27)</f>
        <v>1.5113799999999999</v>
      </c>
      <c r="B27">
        <v>3.6203E-4</v>
      </c>
      <c r="C27">
        <v>1.12465E-2</v>
      </c>
      <c r="D27">
        <v>0.13159299999999999</v>
      </c>
      <c r="E27">
        <v>0.56260600000000005</v>
      </c>
      <c r="F27">
        <v>1.0787</v>
      </c>
      <c r="G27">
        <v>1.5113799999999999</v>
      </c>
      <c r="H27">
        <v>1.49275</v>
      </c>
      <c r="I27">
        <v>1.4065700000000001</v>
      </c>
      <c r="J27">
        <v>1.3327899999999999</v>
      </c>
      <c r="K27">
        <v>1.24533</v>
      </c>
      <c r="L27">
        <v>1.24533</v>
      </c>
      <c r="M27">
        <v>1.24533</v>
      </c>
      <c r="N27">
        <v>1.24533</v>
      </c>
      <c r="O27">
        <v>1.24533</v>
      </c>
      <c r="P27">
        <v>1.24533</v>
      </c>
    </row>
    <row r="29" spans="1:16" x14ac:dyDescent="0.15">
      <c r="A29" t="s">
        <v>208</v>
      </c>
      <c r="B29" t="s">
        <v>271</v>
      </c>
      <c r="C29" t="s">
        <v>173</v>
      </c>
      <c r="D29">
        <v>2009</v>
      </c>
      <c r="E29" t="s">
        <v>714</v>
      </c>
      <c r="F29" t="s">
        <v>715</v>
      </c>
      <c r="G29" t="s">
        <v>716</v>
      </c>
      <c r="H29" t="s">
        <v>717</v>
      </c>
      <c r="I29" t="s">
        <v>718</v>
      </c>
    </row>
    <row r="30" spans="1:16" x14ac:dyDescent="0.15">
      <c r="A30">
        <v>2009</v>
      </c>
      <c r="B30">
        <v>0.235346</v>
      </c>
      <c r="C30">
        <v>4.3726599999999997E-2</v>
      </c>
    </row>
    <row r="31" spans="1:16" x14ac:dyDescent="0.15">
      <c r="A31">
        <v>2010</v>
      </c>
      <c r="B31">
        <v>0.26668700000000001</v>
      </c>
      <c r="C31">
        <v>5.45934E-2</v>
      </c>
    </row>
    <row r="32" spans="1:16" x14ac:dyDescent="0.15">
      <c r="A32">
        <v>2010</v>
      </c>
      <c r="B32">
        <v>0.26141300000000001</v>
      </c>
      <c r="C32">
        <v>5.4079200000000001E-2</v>
      </c>
    </row>
    <row r="33" spans="1:18" x14ac:dyDescent="0.15">
      <c r="A33">
        <v>2009</v>
      </c>
      <c r="B33">
        <v>0.19567000000000001</v>
      </c>
      <c r="C33">
        <v>1.90367E-2</v>
      </c>
    </row>
    <row r="34" spans="1:18" x14ac:dyDescent="0.15">
      <c r="A34">
        <v>2010</v>
      </c>
      <c r="B34">
        <v>0.22172800000000001</v>
      </c>
      <c r="C34">
        <v>2.7831700000000001E-2</v>
      </c>
    </row>
    <row r="35" spans="1:18" x14ac:dyDescent="0.15">
      <c r="A35">
        <v>2010</v>
      </c>
      <c r="B35">
        <v>0.21734200000000001</v>
      </c>
      <c r="C35">
        <v>2.80012E-2</v>
      </c>
    </row>
    <row r="36" spans="1:18" x14ac:dyDescent="0.15">
      <c r="B36" t="s">
        <v>719</v>
      </c>
      <c r="C36" t="s">
        <v>156</v>
      </c>
      <c r="D36" t="s">
        <v>720</v>
      </c>
      <c r="E36" s="23">
        <v>0.05</v>
      </c>
      <c r="F36" t="s">
        <v>721</v>
      </c>
      <c r="G36" t="s">
        <v>722</v>
      </c>
      <c r="H36" t="s">
        <v>723</v>
      </c>
      <c r="I36" t="s">
        <v>724</v>
      </c>
      <c r="J36" t="s">
        <v>725</v>
      </c>
    </row>
    <row r="37" spans="1:18" x14ac:dyDescent="0.15">
      <c r="A37" t="s">
        <v>726</v>
      </c>
      <c r="B37">
        <v>796.06</v>
      </c>
    </row>
    <row r="38" spans="1:18" x14ac:dyDescent="0.15">
      <c r="A38" t="s">
        <v>727</v>
      </c>
      <c r="B38">
        <v>826.49599999999998</v>
      </c>
    </row>
    <row r="39" spans="1:18" x14ac:dyDescent="0.15">
      <c r="A39" t="s">
        <v>728</v>
      </c>
      <c r="B39">
        <v>857.50300000000004</v>
      </c>
    </row>
    <row r="40" spans="1:18" x14ac:dyDescent="0.15">
      <c r="A40" t="s">
        <v>650</v>
      </c>
      <c r="B40" t="s">
        <v>729</v>
      </c>
      <c r="C40" t="s">
        <v>730</v>
      </c>
      <c r="D40" t="s">
        <v>731</v>
      </c>
    </row>
    <row r="41" spans="1:18" x14ac:dyDescent="0.15">
      <c r="A41" t="s">
        <v>726</v>
      </c>
      <c r="B41">
        <v>1157.78</v>
      </c>
    </row>
    <row r="42" spans="1:18" x14ac:dyDescent="0.15">
      <c r="A42" t="s">
        <v>727</v>
      </c>
      <c r="B42">
        <v>1178.9000000000001</v>
      </c>
    </row>
    <row r="43" spans="1:18" x14ac:dyDescent="0.15">
      <c r="A43" t="s">
        <v>728</v>
      </c>
      <c r="B43">
        <v>1200.02</v>
      </c>
    </row>
    <row r="44" spans="1:18" x14ac:dyDescent="0.15">
      <c r="C44" t="e">
        <v>#REF!</v>
      </c>
      <c r="D44" t="e">
        <v>#REF!</v>
      </c>
      <c r="E44" t="e">
        <v>#REF!</v>
      </c>
      <c r="F44" t="e">
        <v>#REF!</v>
      </c>
      <c r="G44" t="e">
        <v>#REF!</v>
      </c>
      <c r="H44" t="e">
        <v>#REF!</v>
      </c>
      <c r="I44" t="e">
        <v>#REF!</v>
      </c>
      <c r="J44" t="e">
        <v>#REF!</v>
      </c>
      <c r="K44" t="e">
        <v>#REF!</v>
      </c>
      <c r="L44" t="e">
        <v>#REF!</v>
      </c>
      <c r="M44" t="e">
        <v>#REF!</v>
      </c>
      <c r="N44" t="e">
        <v>#REF!</v>
      </c>
      <c r="O44" t="e">
        <v>#REF!</v>
      </c>
      <c r="P44" t="e">
        <v>#REF!</v>
      </c>
      <c r="Q44" t="e">
        <v>#REF!</v>
      </c>
      <c r="R44" t="e">
        <v>#REF!</v>
      </c>
    </row>
    <row r="45" spans="1:18" x14ac:dyDescent="0.15">
      <c r="D45">
        <v>1</v>
      </c>
      <c r="E45">
        <v>2</v>
      </c>
      <c r="F45">
        <v>3</v>
      </c>
      <c r="G45">
        <v>4</v>
      </c>
      <c r="H45">
        <v>5</v>
      </c>
      <c r="I45">
        <v>6</v>
      </c>
      <c r="J45">
        <v>7</v>
      </c>
      <c r="K45">
        <v>8</v>
      </c>
      <c r="L45">
        <v>9</v>
      </c>
      <c r="M45">
        <v>10</v>
      </c>
      <c r="N45">
        <v>11</v>
      </c>
      <c r="O45">
        <v>12</v>
      </c>
      <c r="P45">
        <v>13</v>
      </c>
      <c r="Q45">
        <v>14</v>
      </c>
      <c r="R45">
        <v>15</v>
      </c>
    </row>
    <row r="46" spans="1:18" x14ac:dyDescent="0.15">
      <c r="C46" s="4" t="s">
        <v>807</v>
      </c>
      <c r="D46">
        <v>30552</v>
      </c>
      <c r="E46">
        <v>18645.599999999999</v>
      </c>
      <c r="F46">
        <v>4103.3100000000004</v>
      </c>
      <c r="G46">
        <v>6360.74</v>
      </c>
      <c r="H46">
        <v>1157.18</v>
      </c>
      <c r="I46">
        <v>232.267</v>
      </c>
      <c r="J46">
        <v>175.38399999999999</v>
      </c>
      <c r="K46">
        <v>190.89599999999999</v>
      </c>
      <c r="L46">
        <v>159.654</v>
      </c>
      <c r="M46">
        <v>129.864</v>
      </c>
      <c r="N46">
        <v>65.685199999999995</v>
      </c>
      <c r="O46">
        <v>26.209099999999999</v>
      </c>
      <c r="P46">
        <v>12.8904</v>
      </c>
      <c r="Q46">
        <v>13.2766</v>
      </c>
      <c r="R46">
        <v>16.040600000000001</v>
      </c>
    </row>
    <row r="47" spans="1:18" x14ac:dyDescent="0.15">
      <c r="C47" t="s">
        <v>762</v>
      </c>
      <c r="D47">
        <f>pm.rep!B109</f>
        <v>22500.1</v>
      </c>
      <c r="E47">
        <f>pm.rep!C109</f>
        <v>23145.5</v>
      </c>
      <c r="F47">
        <f>pm.rep!D109</f>
        <v>3783.56</v>
      </c>
      <c r="G47">
        <f>pm.rep!E109</f>
        <v>4932.12</v>
      </c>
      <c r="H47">
        <f>pm.rep!F109</f>
        <v>1522.99</v>
      </c>
      <c r="I47">
        <f>pm.rep!G109</f>
        <v>363.69400000000002</v>
      </c>
      <c r="J47">
        <f>pm.rep!H109</f>
        <v>250.19900000000001</v>
      </c>
      <c r="K47">
        <f>pm.rep!I109</f>
        <v>256.20600000000002</v>
      </c>
      <c r="L47">
        <f>pm.rep!J109</f>
        <v>217.315</v>
      </c>
      <c r="M47">
        <f>pm.rep!K109</f>
        <v>165.65199999999999</v>
      </c>
      <c r="N47">
        <f>pm.rep!L109</f>
        <v>82.972800000000007</v>
      </c>
      <c r="O47">
        <f>pm.rep!M109</f>
        <v>33.546799999999998</v>
      </c>
      <c r="P47">
        <f>pm.rep!N109</f>
        <v>17.005400000000002</v>
      </c>
      <c r="Q47">
        <f>pm.rep!O109</f>
        <v>16.9498</v>
      </c>
      <c r="R47">
        <f>pm.rep!P109</f>
        <v>22.386399999999998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 enableFormatConditionsCalculation="0"/>
  <dimension ref="A1:CW99"/>
  <sheetViews>
    <sheetView zoomScale="40" zoomScaleNormal="40" zoomScalePageLayoutView="40" workbookViewId="0"/>
  </sheetViews>
  <sheetFormatPr baseColWidth="10" defaultColWidth="8.83203125" defaultRowHeight="13" x14ac:dyDescent="0.15"/>
  <cols>
    <col min="5" max="5" width="17.5" bestFit="1" customWidth="1"/>
    <col min="6" max="8" width="17.5" customWidth="1"/>
  </cols>
  <sheetData>
    <row r="1" spans="1:92" x14ac:dyDescent="0.15">
      <c r="B1">
        <v>1000</v>
      </c>
      <c r="J1">
        <f>Projections!D5</f>
        <v>1</v>
      </c>
      <c r="K1">
        <f>Projections!E5</f>
        <v>2</v>
      </c>
      <c r="L1">
        <f>Projections!F5</f>
        <v>3</v>
      </c>
      <c r="M1">
        <f>Projections!G5</f>
        <v>4</v>
      </c>
      <c r="N1">
        <f>Projections!H5</f>
        <v>5</v>
      </c>
      <c r="O1">
        <f>Projections!I5</f>
        <v>6</v>
      </c>
      <c r="P1">
        <f>Projections!J5</f>
        <v>7</v>
      </c>
      <c r="Q1">
        <f>Projections!K5</f>
        <v>8</v>
      </c>
      <c r="R1">
        <f>Projections!L5</f>
        <v>9</v>
      </c>
      <c r="S1">
        <f>Projections!M5</f>
        <v>10</v>
      </c>
      <c r="T1">
        <f>Projections!N5</f>
        <v>11</v>
      </c>
      <c r="U1">
        <f>Projections!O5</f>
        <v>12</v>
      </c>
      <c r="V1">
        <f>Projections!P5</f>
        <v>13</v>
      </c>
      <c r="W1">
        <f>Projections!Q5</f>
        <v>14</v>
      </c>
      <c r="X1">
        <f>Projections!R5</f>
        <v>15</v>
      </c>
    </row>
    <row r="2" spans="1:92" x14ac:dyDescent="0.15">
      <c r="I2" t="str">
        <f>Projections!C6</f>
        <v>Wt</v>
      </c>
      <c r="J2" t="e">
        <f>Projections!D6</f>
        <v>#REF!</v>
      </c>
      <c r="K2" t="e">
        <f>Projections!E6</f>
        <v>#REF!</v>
      </c>
      <c r="L2" t="e">
        <f>Projections!F6</f>
        <v>#REF!</v>
      </c>
      <c r="M2" t="e">
        <f>Projections!G6</f>
        <v>#REF!</v>
      </c>
      <c r="N2" t="e">
        <f>Projections!H6</f>
        <v>#REF!</v>
      </c>
      <c r="O2" t="e">
        <f>Projections!I6</f>
        <v>#REF!</v>
      </c>
      <c r="P2" t="e">
        <f>Projections!J6</f>
        <v>#REF!</v>
      </c>
      <c r="Q2" t="e">
        <f>Projections!K6</f>
        <v>#REF!</v>
      </c>
      <c r="R2" t="e">
        <f>Projections!L6</f>
        <v>#REF!</v>
      </c>
      <c r="S2" t="e">
        <f>Projections!M6</f>
        <v>#REF!</v>
      </c>
      <c r="T2" t="e">
        <f>Projections!N6</f>
        <v>#REF!</v>
      </c>
      <c r="U2" t="e">
        <f>Projections!O6</f>
        <v>#REF!</v>
      </c>
      <c r="V2" t="e">
        <f>Projections!P6</f>
        <v>#REF!</v>
      </c>
      <c r="W2" t="e">
        <f>Projections!Q6</f>
        <v>#REF!</v>
      </c>
      <c r="X2" t="e">
        <f>Projections!R6</f>
        <v>#REF!</v>
      </c>
    </row>
    <row r="3" spans="1:92" x14ac:dyDescent="0.15">
      <c r="E3" t="e">
        <f>MAX(J3:X3)</f>
        <v>#VALUE!</v>
      </c>
      <c r="I3" t="s">
        <v>780</v>
      </c>
      <c r="J3" t="e">
        <f>Projections!D7/$E$4</f>
        <v>#VALUE!</v>
      </c>
      <c r="K3" t="e">
        <f>Projections!E7/$E$4</f>
        <v>#DIV/0!</v>
      </c>
      <c r="L3" t="e">
        <f>Projections!F7/$E$4</f>
        <v>#DIV/0!</v>
      </c>
      <c r="M3" t="e">
        <f>Projections!G7/$E$4</f>
        <v>#DIV/0!</v>
      </c>
      <c r="N3" t="e">
        <f>Projections!H7/$E$4</f>
        <v>#DIV/0!</v>
      </c>
      <c r="O3" t="e">
        <f>Projections!I7/$E$4</f>
        <v>#DIV/0!</v>
      </c>
      <c r="P3" t="e">
        <f>Projections!J7/$E$4</f>
        <v>#DIV/0!</v>
      </c>
      <c r="Q3" t="e">
        <f>Projections!K7/$E$4</f>
        <v>#DIV/0!</v>
      </c>
      <c r="R3" t="e">
        <f>Projections!L7/$E$4</f>
        <v>#DIV/0!</v>
      </c>
      <c r="S3" t="e">
        <f>Projections!M7/$E$4</f>
        <v>#DIV/0!</v>
      </c>
      <c r="T3" t="e">
        <f>Projections!N7/$E$4</f>
        <v>#DIV/0!</v>
      </c>
      <c r="U3" t="e">
        <f>Projections!O7/$E$4</f>
        <v>#DIV/0!</v>
      </c>
      <c r="V3" t="e">
        <f>Projections!P7/$E$4</f>
        <v>#DIV/0!</v>
      </c>
      <c r="W3" t="e">
        <f>Projections!Q7/$E$4</f>
        <v>#DIV/0!</v>
      </c>
      <c r="X3" t="e">
        <f>Projections!R7/$E$4</f>
        <v>#DIV/0!</v>
      </c>
    </row>
    <row r="4" spans="1:92" x14ac:dyDescent="0.15">
      <c r="E4">
        <f>MAX(J4:X4)</f>
        <v>0</v>
      </c>
      <c r="J4" t="str">
        <f>Projections!D7</f>
        <v>Fmsy</v>
      </c>
      <c r="K4">
        <f>Projections!E7</f>
        <v>0</v>
      </c>
      <c r="L4">
        <f>Projections!F7</f>
        <v>0</v>
      </c>
      <c r="M4">
        <f>Projections!G7</f>
        <v>0</v>
      </c>
      <c r="N4">
        <f>Projections!H7</f>
        <v>0</v>
      </c>
      <c r="O4">
        <f>Projections!I7</f>
        <v>0</v>
      </c>
      <c r="P4">
        <f>Projections!J7</f>
        <v>0</v>
      </c>
      <c r="Q4">
        <f>Projections!K7</f>
        <v>0</v>
      </c>
      <c r="R4">
        <f>Projections!L7</f>
        <v>0</v>
      </c>
      <c r="S4">
        <f>Projections!M7</f>
        <v>0</v>
      </c>
      <c r="T4">
        <f>Projections!N7</f>
        <v>0</v>
      </c>
      <c r="U4">
        <f>Projections!O7</f>
        <v>0</v>
      </c>
      <c r="V4">
        <f>Projections!P7</f>
        <v>0</v>
      </c>
      <c r="W4">
        <f>Projections!Q7</f>
        <v>0</v>
      </c>
      <c r="X4">
        <f>Projections!R7</f>
        <v>0</v>
      </c>
    </row>
    <row r="5" spans="1:92" x14ac:dyDescent="0.15">
      <c r="I5" t="str">
        <f>Projections!C8</f>
        <v>M</v>
      </c>
      <c r="J5">
        <f>Projections!D8</f>
        <v>0.9</v>
      </c>
      <c r="K5">
        <f>Projections!E8</f>
        <v>0.45</v>
      </c>
      <c r="L5">
        <f>Projections!F8</f>
        <v>0.30000000000000004</v>
      </c>
      <c r="M5">
        <f>Projections!G8</f>
        <v>0.30000000000000004</v>
      </c>
      <c r="N5">
        <f>Projections!H8</f>
        <v>0.30000000000000004</v>
      </c>
      <c r="O5">
        <f>Projections!I8</f>
        <v>0.30000000000000004</v>
      </c>
      <c r="P5">
        <f>Projections!J8</f>
        <v>0.30000000000000004</v>
      </c>
      <c r="Q5">
        <f>Projections!K8</f>
        <v>0.30000000000000004</v>
      </c>
      <c r="R5">
        <f>Projections!L8</f>
        <v>0.30000000000000004</v>
      </c>
      <c r="S5">
        <f>Projections!M8</f>
        <v>0.30000000000000004</v>
      </c>
      <c r="T5">
        <f>Projections!N8</f>
        <v>0.30000000000000004</v>
      </c>
      <c r="U5">
        <f>Projections!O8</f>
        <v>0.30000000000000004</v>
      </c>
      <c r="V5">
        <f>Projections!P8</f>
        <v>0.30000000000000004</v>
      </c>
      <c r="W5">
        <f>Projections!Q8</f>
        <v>0.30000000000000004</v>
      </c>
      <c r="X5">
        <f>Projections!R8</f>
        <v>0.30000000000000004</v>
      </c>
    </row>
    <row r="6" spans="1:92" x14ac:dyDescent="0.15">
      <c r="I6" t="str">
        <f>Projections!C9</f>
        <v xml:space="preserve">S </v>
      </c>
      <c r="J6">
        <f>Projections!D9</f>
        <v>0.40656965974059911</v>
      </c>
      <c r="K6">
        <f>Projections!E9</f>
        <v>0.63762815162177333</v>
      </c>
      <c r="L6">
        <f>Projections!F9</f>
        <v>0.74081822068171788</v>
      </c>
      <c r="M6">
        <f>Projections!G9</f>
        <v>0.74081822068171788</v>
      </c>
      <c r="N6">
        <f>Projections!H9</f>
        <v>0.74081822068171788</v>
      </c>
      <c r="O6">
        <f>Projections!I9</f>
        <v>0.74081822068171788</v>
      </c>
      <c r="P6">
        <f>Projections!J9</f>
        <v>0.74081822068171788</v>
      </c>
      <c r="Q6">
        <f>Projections!K9</f>
        <v>0.74081822068171788</v>
      </c>
      <c r="R6">
        <f>Projections!L9</f>
        <v>0.74081822068171788</v>
      </c>
      <c r="S6">
        <f>Projections!M9</f>
        <v>0.74081822068171788</v>
      </c>
      <c r="T6">
        <f>Projections!N9</f>
        <v>0.74081822068171788</v>
      </c>
      <c r="U6">
        <f>Projections!O9</f>
        <v>0.74081822068171788</v>
      </c>
      <c r="V6">
        <f>Projections!P9</f>
        <v>0.74081822068171788</v>
      </c>
      <c r="W6">
        <f>Projections!Q9</f>
        <v>0.74081822068171788</v>
      </c>
      <c r="X6">
        <f>Projections!R9</f>
        <v>0.74081822068171788</v>
      </c>
    </row>
    <row r="7" spans="1:92" x14ac:dyDescent="0.15">
      <c r="I7" t="s">
        <v>773</v>
      </c>
      <c r="J7">
        <f>((Projections!D10)/0.5)*0.5</f>
        <v>0</v>
      </c>
      <c r="K7">
        <f>((Projections!E10)/0.5)*0.5</f>
        <v>4.0000000000000001E-3</v>
      </c>
      <c r="L7">
        <f>((Projections!F10)/0.5)*0.5</f>
        <v>0.14449999999999999</v>
      </c>
      <c r="M7">
        <f>((Projections!G10)/0.5)*0.5</f>
        <v>0.32050000000000001</v>
      </c>
      <c r="N7">
        <f>((Projections!H10)/0.5)*0.5</f>
        <v>0.42099999999999999</v>
      </c>
      <c r="O7">
        <f>((Projections!I10)/0.5)*0.5</f>
        <v>0.45050000000000001</v>
      </c>
      <c r="P7">
        <f>((Projections!J10)/0.5)*0.5</f>
        <v>0.47349999999999998</v>
      </c>
      <c r="Q7">
        <f>((Projections!K10)/0.5)*0.5</f>
        <v>0.48149999999999998</v>
      </c>
      <c r="R7">
        <f>((Projections!L10)/0.5)*0.5</f>
        <v>0.48499999999999999</v>
      </c>
      <c r="S7">
        <f>((Projections!M10)/0.5)*0.5</f>
        <v>0.5</v>
      </c>
      <c r="T7">
        <f>((Projections!N10)/0.5)*0.5</f>
        <v>0.5</v>
      </c>
      <c r="U7">
        <f>((Projections!O10)/0.5)*0.5</f>
        <v>0.5</v>
      </c>
      <c r="V7">
        <f>((Projections!P10)/0.5)*0.5</f>
        <v>0.5</v>
      </c>
      <c r="W7">
        <f>((Projections!Q10)/0.5)*0.5</f>
        <v>0.5</v>
      </c>
      <c r="X7">
        <f>Projections!R10</f>
        <v>0.5</v>
      </c>
    </row>
    <row r="8" spans="1:92" x14ac:dyDescent="0.15">
      <c r="I8" t="s">
        <v>2</v>
      </c>
      <c r="J8">
        <f>AVERAGE(pm.rep!B189:B217)</f>
        <v>5.7314689655172404E-2</v>
      </c>
      <c r="K8">
        <f>AVERAGE(pm.rep!C189:C217)</f>
        <v>3.6072433448275869E-2</v>
      </c>
      <c r="L8">
        <f>AVERAGE(pm.rep!D189:D217)</f>
        <v>8.5637779310344844E-2</v>
      </c>
      <c r="M8">
        <f>AVERAGE(pm.rep!E189:E217)</f>
        <v>0.1929089827586207</v>
      </c>
      <c r="N8">
        <f>AVERAGE(pm.rep!F189:F217)</f>
        <v>0.37949189655172411</v>
      </c>
      <c r="O8">
        <f>AVERAGE(pm.rep!G189:G217)</f>
        <v>0.6011609655172413</v>
      </c>
      <c r="P8">
        <f>AVERAGE(pm.rep!H189:H217)</f>
        <v>0.78109068965517248</v>
      </c>
      <c r="Q8">
        <f>AVERAGE(pm.rep!I189:I217)</f>
        <v>0.89270482758620695</v>
      </c>
      <c r="R8">
        <f>AVERAGE(pm.rep!J189:J217)</f>
        <v>0.95081603448275842</v>
      </c>
      <c r="S8">
        <f>AVERAGE(pm.rep!K189:K217)</f>
        <v>0.97815379310344819</v>
      </c>
      <c r="T8">
        <f>AVERAGE(pm.rep!L189:L217)</f>
        <v>0.99039893103448262</v>
      </c>
      <c r="U8">
        <f>AVERAGE(pm.rep!M189:M217)</f>
        <v>0.99578068965517252</v>
      </c>
      <c r="V8">
        <f>AVERAGE(pm.rep!N189:N217)</f>
        <v>0.99813717241379307</v>
      </c>
      <c r="W8">
        <f>AVERAGE(pm.rep!O189:O217)</f>
        <v>0.99917227586206891</v>
      </c>
      <c r="X8">
        <f>AVERAGE(pm.rep!P189:P217)</f>
        <v>0.99962975862068959</v>
      </c>
      <c r="BJ8" t="s">
        <v>779</v>
      </c>
    </row>
    <row r="9" spans="1:92" x14ac:dyDescent="0.15">
      <c r="B9" t="s">
        <v>776</v>
      </c>
      <c r="C9" s="122" t="s">
        <v>132</v>
      </c>
      <c r="D9" s="122" t="s">
        <v>773</v>
      </c>
      <c r="E9" s="122" t="s">
        <v>774</v>
      </c>
      <c r="F9" s="122"/>
      <c r="G9" s="122" t="s">
        <v>784</v>
      </c>
      <c r="H9" s="122" t="s">
        <v>775</v>
      </c>
      <c r="AS9">
        <v>1</v>
      </c>
      <c r="AT9">
        <v>2</v>
      </c>
      <c r="AU9">
        <v>3</v>
      </c>
      <c r="AV9">
        <v>4</v>
      </c>
      <c r="AW9">
        <v>5</v>
      </c>
      <c r="AX9">
        <v>6</v>
      </c>
      <c r="AY9">
        <v>7</v>
      </c>
      <c r="AZ9">
        <v>8</v>
      </c>
      <c r="BA9">
        <v>9</v>
      </c>
      <c r="BB9">
        <v>10</v>
      </c>
      <c r="BC9">
        <v>11</v>
      </c>
      <c r="BD9">
        <v>12</v>
      </c>
      <c r="BE9">
        <v>13</v>
      </c>
      <c r="BF9">
        <v>14</v>
      </c>
      <c r="BG9">
        <v>15</v>
      </c>
      <c r="BZ9" t="s">
        <v>783</v>
      </c>
    </row>
    <row r="10" spans="1:92" x14ac:dyDescent="0.15">
      <c r="A10">
        <f t="shared" ref="A10:A56" si="0">I10</f>
        <v>1964</v>
      </c>
      <c r="C10" s="27">
        <f>SUMPRODUCT(J10:X10,BJ10:BX10,$J$8:$X$8)</f>
        <v>826.72318057185373</v>
      </c>
      <c r="D10" s="27">
        <f>SUMPRODUCT(J10:X10,BJ10:BX10,$J$7:$X$7)</f>
        <v>609.39574962330005</v>
      </c>
      <c r="E10" s="27" t="e">
        <f>SUMPRODUCT(J10:X10,BJ10:BX10,$J$3:$X$3)</f>
        <v>#VALUE!</v>
      </c>
      <c r="F10" s="27"/>
      <c r="G10" s="27">
        <f t="shared" ref="G10:G58" si="1">SUMPRODUCT(J10:X10,BJ10:BX10,AA10:AO10)</f>
        <v>1330.295013400998</v>
      </c>
      <c r="H10" s="27" t="e">
        <f>SUMPRODUCT(AS10:BG10,BZ10:CN10,$J$3:$X$3)</f>
        <v>#VALUE!</v>
      </c>
      <c r="I10">
        <f>pm.rep!A63</f>
        <v>1964</v>
      </c>
      <c r="J10" s="27">
        <f>pm.rep!B63</f>
        <v>6669.66</v>
      </c>
      <c r="K10" s="27">
        <f>pm.rep!C63</f>
        <v>3534.24</v>
      </c>
      <c r="L10" s="27">
        <f>pm.rep!D63</f>
        <v>2242.08</v>
      </c>
      <c r="M10" s="27">
        <f>pm.rep!E63</f>
        <v>482.50599999999997</v>
      </c>
      <c r="N10" s="27">
        <f>pm.rep!F63</f>
        <v>208.66399999999999</v>
      </c>
      <c r="O10" s="27">
        <f>pm.rep!G63</f>
        <v>406.18900000000002</v>
      </c>
      <c r="P10" s="27">
        <f>pm.rep!H63</f>
        <v>183.488</v>
      </c>
      <c r="Q10" s="27">
        <f>pm.rep!I63</f>
        <v>59.002600000000001</v>
      </c>
      <c r="R10" s="27">
        <f>pm.rep!J63</f>
        <v>37.4255</v>
      </c>
      <c r="S10" s="27">
        <f>pm.rep!K63</f>
        <v>37.698599999999999</v>
      </c>
      <c r="T10" s="27">
        <f>pm.rep!L63</f>
        <v>37.605200000000004</v>
      </c>
      <c r="U10" s="27">
        <f>pm.rep!M63</f>
        <v>37.5319</v>
      </c>
      <c r="V10" s="27">
        <f>pm.rep!N63</f>
        <v>37.474200000000003</v>
      </c>
      <c r="W10" s="27">
        <f>pm.rep!O63</f>
        <v>37.416800000000002</v>
      </c>
      <c r="X10" s="27">
        <f>pm.rep!P63</f>
        <v>37.348599999999998</v>
      </c>
      <c r="Z10">
        <f>pm.rep!A117</f>
        <v>1964</v>
      </c>
      <c r="AA10">
        <f>pm.rep!B117/$AP10</f>
        <v>1.2788116834236394E-2</v>
      </c>
      <c r="AB10">
        <f>pm.rep!C117/$AP10</f>
        <v>8.2421947783831315E-2</v>
      </c>
      <c r="AC10">
        <f>pm.rep!D117/$AP10</f>
        <v>0.27745075387745671</v>
      </c>
      <c r="AD10">
        <f>pm.rep!E117/$AP10</f>
        <v>0.98961042832760682</v>
      </c>
      <c r="AE10">
        <f>pm.rep!F117/$AP10</f>
        <v>1</v>
      </c>
      <c r="AF10">
        <f>pm.rep!G117/$AP10</f>
        <v>0.99186125375448109</v>
      </c>
      <c r="AG10">
        <f>pm.rep!H117/$AP10</f>
        <v>0.95554992435139696</v>
      </c>
      <c r="AH10">
        <f>pm.rep!I117/$AP10</f>
        <v>0.91253083705365456</v>
      </c>
      <c r="AI10">
        <f>pm.rep!J117/$AP10</f>
        <v>0.8754220297675388</v>
      </c>
      <c r="AJ10">
        <f>pm.rep!K117/$AP10</f>
        <v>0.84699604242284199</v>
      </c>
      <c r="AK10">
        <f>pm.rep!L117/$AP10</f>
        <v>0.84699604242284199</v>
      </c>
      <c r="AL10">
        <f>pm.rep!M117/$AP10</f>
        <v>0.84699604242284199</v>
      </c>
      <c r="AM10">
        <f>pm.rep!N117/$AP10</f>
        <v>0.84699604242284199</v>
      </c>
      <c r="AN10">
        <f>pm.rep!O117/$AP10</f>
        <v>0.84699604242284199</v>
      </c>
      <c r="AO10">
        <f>pm.rep!P117/$AP10</f>
        <v>0.84699604242284199</v>
      </c>
      <c r="AP10">
        <f>MAX(pm.rep!B117:P117)</f>
        <v>1.3417300000000001</v>
      </c>
      <c r="AR10">
        <v>1964</v>
      </c>
      <c r="AS10">
        <v>3213.59</v>
      </c>
      <c r="AT10">
        <v>3577.56</v>
      </c>
      <c r="AU10">
        <v>2130.02</v>
      </c>
      <c r="AV10">
        <v>494.98500000000001</v>
      </c>
      <c r="AW10">
        <v>221.41300000000001</v>
      </c>
      <c r="AX10">
        <v>310.303</v>
      </c>
      <c r="AY10">
        <v>120.68300000000001</v>
      </c>
      <c r="AZ10">
        <v>48.150599999999997</v>
      </c>
      <c r="BA10">
        <v>24.031400000000001</v>
      </c>
      <c r="BB10">
        <v>24.420999999999999</v>
      </c>
      <c r="BC10">
        <v>24.284099999999999</v>
      </c>
      <c r="BD10">
        <v>24.0122</v>
      </c>
      <c r="BE10">
        <v>23.3994</v>
      </c>
      <c r="BF10">
        <v>22.375599999999999</v>
      </c>
      <c r="BG10">
        <v>22.358699999999999</v>
      </c>
      <c r="BJ10" s="31">
        <v>6.6E-3</v>
      </c>
      <c r="BK10" s="31">
        <v>0.17</v>
      </c>
      <c r="BL10" s="31">
        <v>0.30299999999999999</v>
      </c>
      <c r="BM10" s="31">
        <v>0.44700000000000001</v>
      </c>
      <c r="BN10" s="31">
        <v>0.58899999999999997</v>
      </c>
      <c r="BO10" s="31">
        <v>0.72199999999999998</v>
      </c>
      <c r="BP10" s="31">
        <v>0.84</v>
      </c>
      <c r="BQ10" s="31">
        <v>0.94199999999999995</v>
      </c>
      <c r="BR10" s="31">
        <v>1.0289999999999999</v>
      </c>
      <c r="BS10" s="31">
        <v>1.1020000000000001</v>
      </c>
      <c r="BT10" s="31">
        <v>1.163</v>
      </c>
      <c r="BU10" s="31">
        <v>1.212</v>
      </c>
      <c r="BV10" s="31">
        <v>1.2529999999999999</v>
      </c>
      <c r="BW10" s="31">
        <v>1.286</v>
      </c>
      <c r="BX10" s="31">
        <v>1.3120000000000001</v>
      </c>
      <c r="BZ10">
        <v>6.6E-3</v>
      </c>
      <c r="CA10">
        <v>0.17</v>
      </c>
      <c r="CB10">
        <v>0.30299999999999999</v>
      </c>
      <c r="CC10">
        <v>0.44700000000000001</v>
      </c>
      <c r="CD10">
        <v>0.58899999999999997</v>
      </c>
      <c r="CE10">
        <v>0.72199999999999998</v>
      </c>
      <c r="CF10">
        <v>0.84</v>
      </c>
      <c r="CG10">
        <v>0.94199999999999995</v>
      </c>
      <c r="CH10">
        <v>1.0289999999999999</v>
      </c>
      <c r="CI10">
        <v>1.1020000000000001</v>
      </c>
      <c r="CJ10">
        <v>1.163</v>
      </c>
      <c r="CK10">
        <v>1.212</v>
      </c>
      <c r="CL10">
        <v>1.2529999999999999</v>
      </c>
      <c r="CM10">
        <v>1.286</v>
      </c>
      <c r="CN10">
        <v>1.3120000000000001</v>
      </c>
    </row>
    <row r="11" spans="1:92" x14ac:dyDescent="0.15">
      <c r="A11">
        <f t="shared" si="0"/>
        <v>1965</v>
      </c>
      <c r="C11" s="27">
        <f t="shared" ref="C11:C56" si="2">SUMPRODUCT(J11:X11,BJ11:BX11,$J$8:$X$8)</f>
        <v>854.89265577752235</v>
      </c>
      <c r="D11" s="27">
        <f t="shared" ref="D11:D56" si="3">SUMPRODUCT(J11:X11,BJ11:BX11,$J$7:$X$7)</f>
        <v>722.67452743950014</v>
      </c>
      <c r="E11" s="27" t="e">
        <f t="shared" ref="E11:E56" si="4">SUMPRODUCT(J11:X11,BJ11:BX11,$J$3:$X$3)</f>
        <v>#VALUE!</v>
      </c>
      <c r="F11" s="27"/>
      <c r="G11" s="27">
        <f t="shared" si="1"/>
        <v>1701.6309598377752</v>
      </c>
      <c r="H11" s="27" t="e">
        <f t="shared" ref="H11:H55" si="5">SUMPRODUCT(AS11:BG11,BZ11:CN11,$J$3:$X$3)</f>
        <v>#VALUE!</v>
      </c>
      <c r="I11">
        <f>pm.rep!A64</f>
        <v>1965</v>
      </c>
      <c r="J11" s="27">
        <f>pm.rep!B64</f>
        <v>21534.799999999999</v>
      </c>
      <c r="K11" s="27">
        <f>pm.rep!C64</f>
        <v>2706.04</v>
      </c>
      <c r="L11" s="27">
        <f>pm.rep!D64</f>
        <v>2223.48</v>
      </c>
      <c r="M11" s="27">
        <f>pm.rep!E64</f>
        <v>1587.58</v>
      </c>
      <c r="N11" s="27">
        <f>pm.rep!F64</f>
        <v>304.23599999999999</v>
      </c>
      <c r="O11" s="27">
        <f>pm.rep!G64</f>
        <v>131.34700000000001</v>
      </c>
      <c r="P11" s="27">
        <f>pm.rep!H64</f>
        <v>256.02199999999999</v>
      </c>
      <c r="Q11" s="27">
        <f>pm.rep!I64</f>
        <v>116.339</v>
      </c>
      <c r="R11" s="27">
        <f>pm.rep!J64</f>
        <v>37.673099999999998</v>
      </c>
      <c r="S11" s="27">
        <f>pm.rep!K64</f>
        <v>24.041</v>
      </c>
      <c r="T11" s="27">
        <f>pm.rep!L64</f>
        <v>24.328800000000001</v>
      </c>
      <c r="U11" s="27">
        <f>pm.rep!M64</f>
        <v>24.268599999999999</v>
      </c>
      <c r="V11" s="27">
        <f>pm.rep!N64</f>
        <v>24.2212</v>
      </c>
      <c r="W11" s="27">
        <f>pm.rep!O64</f>
        <v>24.184100000000001</v>
      </c>
      <c r="X11" s="27">
        <f>pm.rep!P64</f>
        <v>48.25</v>
      </c>
      <c r="Z11">
        <f>pm.rep!A118</f>
        <v>1965</v>
      </c>
      <c r="AA11">
        <f>pm.rep!B118/$AP11</f>
        <v>1.2193744724017337E-2</v>
      </c>
      <c r="AB11">
        <f>pm.rep!C118/$AP11</f>
        <v>8.2097482425214044E-2</v>
      </c>
      <c r="AC11">
        <f>pm.rep!D118/$AP11</f>
        <v>0.31230270485000244</v>
      </c>
      <c r="AD11">
        <f>pm.rep!E118/$AP11</f>
        <v>1</v>
      </c>
      <c r="AE11">
        <f>pm.rep!F118/$AP11</f>
        <v>0.96602799196986555</v>
      </c>
      <c r="AF11">
        <f>pm.rep!G118/$AP11</f>
        <v>0.92128056523065349</v>
      </c>
      <c r="AG11">
        <f>pm.rep!H118/$AP11</f>
        <v>0.88215848874575264</v>
      </c>
      <c r="AH11">
        <f>pm.rep!I118/$AP11</f>
        <v>0.84955557604863474</v>
      </c>
      <c r="AI11">
        <f>pm.rep!J118/$AP11</f>
        <v>0.82156360618291957</v>
      </c>
      <c r="AJ11">
        <f>pm.rep!K118/$AP11</f>
        <v>0.79891323624342936</v>
      </c>
      <c r="AK11">
        <f>pm.rep!L118/$AP11</f>
        <v>0.79891323624342936</v>
      </c>
      <c r="AL11">
        <f>pm.rep!M118/$AP11</f>
        <v>0.79891323624342936</v>
      </c>
      <c r="AM11">
        <f>pm.rep!N118/$AP11</f>
        <v>0.79891323624342936</v>
      </c>
      <c r="AN11">
        <f>pm.rep!O118/$AP11</f>
        <v>0.79891323624342936</v>
      </c>
      <c r="AO11">
        <f>pm.rep!P118/$AP11</f>
        <v>0.79891323624342936</v>
      </c>
      <c r="AP11">
        <f>MAX(pm.rep!B118:P118)</f>
        <v>1.4096900000000001</v>
      </c>
      <c r="AR11">
        <v>1965</v>
      </c>
      <c r="AS11">
        <v>20632.599999999999</v>
      </c>
      <c r="AT11">
        <v>1304.8900000000001</v>
      </c>
      <c r="AU11">
        <v>2245.0500000000002</v>
      </c>
      <c r="AV11">
        <v>1490.19</v>
      </c>
      <c r="AW11">
        <v>300.245</v>
      </c>
      <c r="AX11">
        <v>134.19499999999999</v>
      </c>
      <c r="AY11">
        <v>188.834</v>
      </c>
      <c r="AZ11">
        <v>74.242900000000006</v>
      </c>
      <c r="BA11">
        <v>29.9557</v>
      </c>
      <c r="BB11">
        <v>15.0936</v>
      </c>
      <c r="BC11">
        <v>15.4345</v>
      </c>
      <c r="BD11">
        <v>15.348000000000001</v>
      </c>
      <c r="BE11">
        <v>15.1761</v>
      </c>
      <c r="BF11">
        <v>14.7888</v>
      </c>
      <c r="BG11">
        <v>28.2728</v>
      </c>
      <c r="BJ11" s="31">
        <v>6.6E-3</v>
      </c>
      <c r="BK11" s="31">
        <v>0.17</v>
      </c>
      <c r="BL11" s="31">
        <v>0.30299999999999999</v>
      </c>
      <c r="BM11" s="31">
        <v>0.44700000000000001</v>
      </c>
      <c r="BN11" s="31">
        <v>0.58899999999999997</v>
      </c>
      <c r="BO11" s="31">
        <v>0.72199999999999998</v>
      </c>
      <c r="BP11" s="31">
        <v>0.84</v>
      </c>
      <c r="BQ11" s="31">
        <v>0.94199999999999995</v>
      </c>
      <c r="BR11" s="31">
        <v>1.0289999999999999</v>
      </c>
      <c r="BS11" s="31">
        <v>1.1020000000000001</v>
      </c>
      <c r="BT11" s="31">
        <v>1.163</v>
      </c>
      <c r="BU11" s="31">
        <v>1.212</v>
      </c>
      <c r="BV11" s="31">
        <v>1.2529999999999999</v>
      </c>
      <c r="BW11" s="31">
        <v>1.286</v>
      </c>
      <c r="BX11" s="31">
        <v>1.3120000000000001</v>
      </c>
      <c r="BZ11">
        <v>6.6E-3</v>
      </c>
      <c r="CA11">
        <v>0.17</v>
      </c>
      <c r="CB11">
        <v>0.30299999999999999</v>
      </c>
      <c r="CC11">
        <v>0.44700000000000001</v>
      </c>
      <c r="CD11">
        <v>0.58899999999999997</v>
      </c>
      <c r="CE11">
        <v>0.72199999999999998</v>
      </c>
      <c r="CF11">
        <v>0.84</v>
      </c>
      <c r="CG11">
        <v>0.94199999999999995</v>
      </c>
      <c r="CH11">
        <v>1.0289999999999999</v>
      </c>
      <c r="CI11">
        <v>1.1020000000000001</v>
      </c>
      <c r="CJ11">
        <v>1.163</v>
      </c>
      <c r="CK11">
        <v>1.212</v>
      </c>
      <c r="CL11">
        <v>1.2529999999999999</v>
      </c>
      <c r="CM11">
        <v>1.286</v>
      </c>
      <c r="CN11">
        <v>1.3120000000000001</v>
      </c>
    </row>
    <row r="12" spans="1:92" x14ac:dyDescent="0.15">
      <c r="A12">
        <f t="shared" si="0"/>
        <v>1966</v>
      </c>
      <c r="C12" s="27">
        <f t="shared" si="2"/>
        <v>973.24550803941236</v>
      </c>
      <c r="D12" s="27">
        <f t="shared" si="3"/>
        <v>840.29073213799995</v>
      </c>
      <c r="E12" s="27" t="e">
        <f t="shared" si="4"/>
        <v>#VALUE!</v>
      </c>
      <c r="F12" s="27"/>
      <c r="G12" s="27">
        <f t="shared" si="1"/>
        <v>2127.7879595743211</v>
      </c>
      <c r="H12" s="27" t="e">
        <f t="shared" si="5"/>
        <v>#VALUE!</v>
      </c>
      <c r="I12">
        <f>pm.rep!A65</f>
        <v>1966</v>
      </c>
      <c r="J12" s="27">
        <f>pm.rep!B65</f>
        <v>15436.5</v>
      </c>
      <c r="K12" s="27">
        <f>pm.rep!C65</f>
        <v>8737.42</v>
      </c>
      <c r="L12" s="27">
        <f>pm.rep!D65</f>
        <v>1701.74</v>
      </c>
      <c r="M12" s="27">
        <f>pm.rep!E65</f>
        <v>1562.76</v>
      </c>
      <c r="N12" s="27">
        <f>pm.rep!F65</f>
        <v>993.73400000000004</v>
      </c>
      <c r="O12" s="27">
        <f>pm.rep!G65</f>
        <v>191.52699999999999</v>
      </c>
      <c r="P12" s="27">
        <f>pm.rep!H65</f>
        <v>83.313400000000001</v>
      </c>
      <c r="Q12" s="27">
        <f>pm.rep!I65</f>
        <v>163.46799999999999</v>
      </c>
      <c r="R12" s="27">
        <f>pm.rep!J65</f>
        <v>74.691000000000003</v>
      </c>
      <c r="S12" s="27">
        <f>pm.rep!K65</f>
        <v>24.300899999999999</v>
      </c>
      <c r="T12" s="27">
        <f>pm.rep!L65</f>
        <v>15.5669</v>
      </c>
      <c r="U12" s="27">
        <f>pm.rep!M65</f>
        <v>15.753299999999999</v>
      </c>
      <c r="V12" s="27">
        <f>pm.rep!N65</f>
        <v>15.7143</v>
      </c>
      <c r="W12" s="27">
        <f>pm.rep!O65</f>
        <v>15.6836</v>
      </c>
      <c r="X12" s="27">
        <f>pm.rep!P65</f>
        <v>46.902099999999997</v>
      </c>
      <c r="Z12">
        <f>pm.rep!A119</f>
        <v>1966</v>
      </c>
      <c r="AA12">
        <f>pm.rep!B119/$AP12</f>
        <v>1.35058602291612E-2</v>
      </c>
      <c r="AB12">
        <f>pm.rep!C119/$AP12</f>
        <v>9.5331496545088767E-2</v>
      </c>
      <c r="AC12">
        <f>pm.rep!D119/$AP12</f>
        <v>0.37043864252602116</v>
      </c>
      <c r="AD12">
        <f>pm.rep!E119/$AP12</f>
        <v>1</v>
      </c>
      <c r="AE12">
        <f>pm.rep!F119/$AP12</f>
        <v>0.97406629930901767</v>
      </c>
      <c r="AF12">
        <f>pm.rep!G119/$AP12</f>
        <v>0.9269730895944488</v>
      </c>
      <c r="AG12">
        <f>pm.rep!H119/$AP12</f>
        <v>0.89399836729933801</v>
      </c>
      <c r="AH12">
        <f>pm.rep!I119/$AP12</f>
        <v>0.86463891075541555</v>
      </c>
      <c r="AI12">
        <f>pm.rep!J119/$AP12</f>
        <v>0.84234234234234229</v>
      </c>
      <c r="AJ12">
        <f>pm.rep!K119/$AP12</f>
        <v>0.8253301845534855</v>
      </c>
      <c r="AK12">
        <f>pm.rep!L119/$AP12</f>
        <v>0.8253301845534855</v>
      </c>
      <c r="AL12">
        <f>pm.rep!M119/$AP12</f>
        <v>0.8253301845534855</v>
      </c>
      <c r="AM12">
        <f>pm.rep!N119/$AP12</f>
        <v>0.8253301845534855</v>
      </c>
      <c r="AN12">
        <f>pm.rep!O119/$AP12</f>
        <v>0.8253301845534855</v>
      </c>
      <c r="AO12">
        <f>pm.rep!P119/$AP12</f>
        <v>0.8253301845534855</v>
      </c>
      <c r="AP12">
        <f>MAX(pm.rep!B119:P119)</f>
        <v>1.3719600000000001</v>
      </c>
      <c r="AR12">
        <v>1966</v>
      </c>
      <c r="AS12">
        <v>12951.2</v>
      </c>
      <c r="AT12">
        <v>8379.2199999999993</v>
      </c>
      <c r="AU12">
        <v>818.63300000000004</v>
      </c>
      <c r="AV12">
        <v>1559.6</v>
      </c>
      <c r="AW12">
        <v>904.21299999999997</v>
      </c>
      <c r="AX12">
        <v>184.55</v>
      </c>
      <c r="AY12">
        <v>83.524799999999999</v>
      </c>
      <c r="AZ12">
        <v>118.779</v>
      </c>
      <c r="BA12">
        <v>47.119799999999998</v>
      </c>
      <c r="BB12">
        <v>19.166499999999999</v>
      </c>
      <c r="BC12">
        <v>9.72255</v>
      </c>
      <c r="BD12">
        <v>9.9421099999999996</v>
      </c>
      <c r="BE12">
        <v>9.8864000000000001</v>
      </c>
      <c r="BF12">
        <v>9.7757000000000005</v>
      </c>
      <c r="BG12">
        <v>27.738099999999999</v>
      </c>
      <c r="BJ12" s="31">
        <v>6.6E-3</v>
      </c>
      <c r="BK12" s="31">
        <v>0.17</v>
      </c>
      <c r="BL12" s="31">
        <v>0.30299999999999999</v>
      </c>
      <c r="BM12" s="31">
        <v>0.44700000000000001</v>
      </c>
      <c r="BN12" s="31">
        <v>0.58899999999999997</v>
      </c>
      <c r="BO12" s="31">
        <v>0.72199999999999998</v>
      </c>
      <c r="BP12" s="31">
        <v>0.84</v>
      </c>
      <c r="BQ12" s="31">
        <v>0.94199999999999995</v>
      </c>
      <c r="BR12" s="31">
        <v>1.0289999999999999</v>
      </c>
      <c r="BS12" s="31">
        <v>1.1020000000000001</v>
      </c>
      <c r="BT12" s="31">
        <v>1.163</v>
      </c>
      <c r="BU12" s="31">
        <v>1.212</v>
      </c>
      <c r="BV12" s="31">
        <v>1.2529999999999999</v>
      </c>
      <c r="BW12" s="31">
        <v>1.286</v>
      </c>
      <c r="BX12" s="31">
        <v>1.3120000000000001</v>
      </c>
      <c r="BZ12">
        <v>6.6E-3</v>
      </c>
      <c r="CA12">
        <v>0.17</v>
      </c>
      <c r="CB12">
        <v>0.30299999999999999</v>
      </c>
      <c r="CC12">
        <v>0.44700000000000001</v>
      </c>
      <c r="CD12">
        <v>0.58899999999999997</v>
      </c>
      <c r="CE12">
        <v>0.72199999999999998</v>
      </c>
      <c r="CF12">
        <v>0.84</v>
      </c>
      <c r="CG12">
        <v>0.94199999999999995</v>
      </c>
      <c r="CH12">
        <v>1.0289999999999999</v>
      </c>
      <c r="CI12">
        <v>1.1020000000000001</v>
      </c>
      <c r="CJ12">
        <v>1.163</v>
      </c>
      <c r="CK12">
        <v>1.212</v>
      </c>
      <c r="CL12">
        <v>1.2529999999999999</v>
      </c>
      <c r="CM12">
        <v>1.286</v>
      </c>
      <c r="CN12">
        <v>1.3120000000000001</v>
      </c>
    </row>
    <row r="13" spans="1:92" x14ac:dyDescent="0.15">
      <c r="A13">
        <f t="shared" si="0"/>
        <v>1967</v>
      </c>
      <c r="C13" s="27">
        <f t="shared" si="2"/>
        <v>1183.4834305516467</v>
      </c>
      <c r="D13" s="27">
        <f t="shared" si="3"/>
        <v>1076.5807177147999</v>
      </c>
      <c r="E13" s="27" t="e">
        <f t="shared" si="4"/>
        <v>#VALUE!</v>
      </c>
      <c r="F13" s="27"/>
      <c r="G13" s="27">
        <f t="shared" si="1"/>
        <v>2969.7553395253558</v>
      </c>
      <c r="H13" s="27" t="e">
        <f t="shared" si="5"/>
        <v>#VALUE!</v>
      </c>
      <c r="I13">
        <f>pm.rep!A66</f>
        <v>1967</v>
      </c>
      <c r="J13" s="27">
        <f>pm.rep!B66</f>
        <v>25796</v>
      </c>
      <c r="K13" s="27">
        <f>pm.rep!C66</f>
        <v>6263.08</v>
      </c>
      <c r="L13" s="27">
        <f>pm.rep!D66</f>
        <v>5490.74</v>
      </c>
      <c r="M13" s="27">
        <f>pm.rep!E66</f>
        <v>1191.3699999999999</v>
      </c>
      <c r="N13" s="27">
        <f>pm.rep!F66</f>
        <v>993.82</v>
      </c>
      <c r="O13" s="27">
        <f>pm.rep!G66</f>
        <v>634.46299999999997</v>
      </c>
      <c r="P13" s="27">
        <f>pm.rep!H66</f>
        <v>123.16500000000001</v>
      </c>
      <c r="Q13" s="27">
        <f>pm.rep!I66</f>
        <v>53.846600000000002</v>
      </c>
      <c r="R13" s="27">
        <f>pm.rep!J66</f>
        <v>106.127</v>
      </c>
      <c r="S13" s="27">
        <f>pm.rep!K66</f>
        <v>48.655999999999999</v>
      </c>
      <c r="T13" s="27">
        <f>pm.rep!L66</f>
        <v>15.871600000000001</v>
      </c>
      <c r="U13" s="27">
        <f>pm.rep!M66</f>
        <v>10.1671</v>
      </c>
      <c r="V13" s="27">
        <f>pm.rep!N66</f>
        <v>10.2889</v>
      </c>
      <c r="W13" s="27">
        <f>pm.rep!O66</f>
        <v>10.263400000000001</v>
      </c>
      <c r="X13" s="27">
        <f>pm.rep!P66</f>
        <v>40.876300000000001</v>
      </c>
      <c r="Z13">
        <f>pm.rep!A120</f>
        <v>1967</v>
      </c>
      <c r="AA13">
        <f>pm.rep!B120/$AP13</f>
        <v>1.6206175787248072E-2</v>
      </c>
      <c r="AB13">
        <f>pm.rep!C120/$AP13</f>
        <v>0.11954192090940517</v>
      </c>
      <c r="AC13">
        <f>pm.rep!D120/$AP13</f>
        <v>0.52636326363263641</v>
      </c>
      <c r="AD13">
        <f>pm.rep!E120/$AP13</f>
        <v>0.99321483410912537</v>
      </c>
      <c r="AE13">
        <f>pm.rep!F120/$AP13</f>
        <v>1</v>
      </c>
      <c r="AF13">
        <f>pm.rep!G120/$AP13</f>
        <v>0.97580975809758097</v>
      </c>
      <c r="AG13">
        <f>pm.rep!H120/$AP13</f>
        <v>0.96287453070609141</v>
      </c>
      <c r="AH13">
        <f>pm.rep!I120/$AP13</f>
        <v>0.94973028161654172</v>
      </c>
      <c r="AI13">
        <f>pm.rep!J120/$AP13</f>
        <v>0.93725329410156855</v>
      </c>
      <c r="AJ13">
        <f>pm.rep!K120/$AP13</f>
        <v>0.92965615930669121</v>
      </c>
      <c r="AK13">
        <f>pm.rep!L120/$AP13</f>
        <v>0.92965615930669121</v>
      </c>
      <c r="AL13">
        <f>pm.rep!M120/$AP13</f>
        <v>0.92965615930669121</v>
      </c>
      <c r="AM13">
        <f>pm.rep!N120/$AP13</f>
        <v>0.92965615930669121</v>
      </c>
      <c r="AN13">
        <f>pm.rep!O120/$AP13</f>
        <v>0.92965615930669121</v>
      </c>
      <c r="AO13">
        <f>pm.rep!P120/$AP13</f>
        <v>0.92965615930669121</v>
      </c>
      <c r="AP13">
        <f>MAX(pm.rep!B120:P120)</f>
        <v>1.2438899999999999</v>
      </c>
      <c r="AR13">
        <v>1967</v>
      </c>
      <c r="AS13">
        <v>30546.5</v>
      </c>
      <c r="AT13">
        <v>5260.14</v>
      </c>
      <c r="AU13">
        <v>5249.51</v>
      </c>
      <c r="AV13">
        <v>563.44799999999998</v>
      </c>
      <c r="AW13">
        <v>965.24199999999996</v>
      </c>
      <c r="AX13">
        <v>564.26499999999999</v>
      </c>
      <c r="AY13">
        <v>116.57299999999999</v>
      </c>
      <c r="AZ13">
        <v>53.209800000000001</v>
      </c>
      <c r="BA13">
        <v>76.2376</v>
      </c>
      <c r="BB13">
        <v>30.430299999999999</v>
      </c>
      <c r="BC13">
        <v>12.439500000000001</v>
      </c>
      <c r="BD13">
        <v>6.3101599999999998</v>
      </c>
      <c r="BE13">
        <v>6.4526599999999998</v>
      </c>
      <c r="BF13">
        <v>6.4165000000000001</v>
      </c>
      <c r="BG13">
        <v>24.347300000000001</v>
      </c>
      <c r="BJ13" s="31">
        <v>6.6E-3</v>
      </c>
      <c r="BK13" s="31">
        <v>0.17</v>
      </c>
      <c r="BL13" s="31">
        <v>0.30299999999999999</v>
      </c>
      <c r="BM13" s="31">
        <v>0.44700000000000001</v>
      </c>
      <c r="BN13" s="31">
        <v>0.58899999999999997</v>
      </c>
      <c r="BO13" s="31">
        <v>0.72199999999999998</v>
      </c>
      <c r="BP13" s="31">
        <v>0.84</v>
      </c>
      <c r="BQ13" s="31">
        <v>0.94199999999999995</v>
      </c>
      <c r="BR13" s="31">
        <v>1.0289999999999999</v>
      </c>
      <c r="BS13" s="31">
        <v>1.1020000000000001</v>
      </c>
      <c r="BT13" s="31">
        <v>1.163</v>
      </c>
      <c r="BU13" s="31">
        <v>1.212</v>
      </c>
      <c r="BV13" s="31">
        <v>1.2529999999999999</v>
      </c>
      <c r="BW13" s="31">
        <v>1.286</v>
      </c>
      <c r="BX13" s="31">
        <v>1.3120000000000001</v>
      </c>
      <c r="BZ13">
        <v>6.6E-3</v>
      </c>
      <c r="CA13">
        <v>0.17</v>
      </c>
      <c r="CB13">
        <v>0.30299999999999999</v>
      </c>
      <c r="CC13">
        <v>0.44700000000000001</v>
      </c>
      <c r="CD13">
        <v>0.58899999999999997</v>
      </c>
      <c r="CE13">
        <v>0.72199999999999998</v>
      </c>
      <c r="CF13">
        <v>0.84</v>
      </c>
      <c r="CG13">
        <v>0.94199999999999995</v>
      </c>
      <c r="CH13">
        <v>1.0289999999999999</v>
      </c>
      <c r="CI13">
        <v>1.1020000000000001</v>
      </c>
      <c r="CJ13">
        <v>1.163</v>
      </c>
      <c r="CK13">
        <v>1.212</v>
      </c>
      <c r="CL13">
        <v>1.2529999999999999</v>
      </c>
      <c r="CM13">
        <v>1.286</v>
      </c>
      <c r="CN13">
        <v>1.3120000000000001</v>
      </c>
    </row>
    <row r="14" spans="1:92" x14ac:dyDescent="0.15">
      <c r="A14">
        <f t="shared" si="0"/>
        <v>1968</v>
      </c>
      <c r="C14" s="27">
        <f t="shared" si="2"/>
        <v>1397.0224005816854</v>
      </c>
      <c r="D14" s="27">
        <f t="shared" si="3"/>
        <v>1336.6087650248999</v>
      </c>
      <c r="E14" s="27" t="e">
        <f t="shared" si="4"/>
        <v>#VALUE!</v>
      </c>
      <c r="F14" s="27"/>
      <c r="G14" s="27">
        <f t="shared" si="1"/>
        <v>3816.7056617703652</v>
      </c>
      <c r="H14" s="27" t="e">
        <f t="shared" si="5"/>
        <v>#VALUE!</v>
      </c>
      <c r="I14">
        <f>pm.rep!A67</f>
        <v>1968</v>
      </c>
      <c r="J14" s="27">
        <f>pm.rep!B67</f>
        <v>22271.4</v>
      </c>
      <c r="K14" s="27">
        <f>pm.rep!C67</f>
        <v>10447.9</v>
      </c>
      <c r="L14" s="27">
        <f>pm.rep!D67</f>
        <v>3882.56</v>
      </c>
      <c r="M14" s="27">
        <f>pm.rep!E67</f>
        <v>3593.01</v>
      </c>
      <c r="N14" s="27">
        <f>pm.rep!F67</f>
        <v>698.36500000000001</v>
      </c>
      <c r="O14" s="27">
        <f>pm.rep!G67</f>
        <v>581.63199999999995</v>
      </c>
      <c r="P14" s="27">
        <f>pm.rep!H67</f>
        <v>373.44200000000001</v>
      </c>
      <c r="Q14" s="27">
        <f>pm.rep!I67</f>
        <v>72.715800000000002</v>
      </c>
      <c r="R14" s="27">
        <f>pm.rep!J67</f>
        <v>31.889299999999999</v>
      </c>
      <c r="S14" s="27">
        <f>pm.rep!K67</f>
        <v>63.036000000000001</v>
      </c>
      <c r="T14" s="27">
        <f>pm.rep!L67</f>
        <v>28.952000000000002</v>
      </c>
      <c r="U14" s="27">
        <f>pm.rep!M67</f>
        <v>9.4441100000000002</v>
      </c>
      <c r="V14" s="27">
        <f>pm.rep!N67</f>
        <v>6.0497899999999998</v>
      </c>
      <c r="W14" s="27">
        <f>pm.rep!O67</f>
        <v>6.1222200000000004</v>
      </c>
      <c r="X14" s="27">
        <f>pm.rep!P67</f>
        <v>30.4298</v>
      </c>
      <c r="Z14">
        <f>pm.rep!A121</f>
        <v>1968</v>
      </c>
      <c r="AA14">
        <f>pm.rep!B121/$AP14</f>
        <v>1.8596212749664987E-2</v>
      </c>
      <c r="AB14">
        <f>pm.rep!C121/$AP14</f>
        <v>0.13421925850296729</v>
      </c>
      <c r="AC14">
        <f>pm.rep!D121/$AP14</f>
        <v>0.53391375789675199</v>
      </c>
      <c r="AD14">
        <f>pm.rep!E121/$AP14</f>
        <v>1</v>
      </c>
      <c r="AE14">
        <f>pm.rep!F121/$AP14</f>
        <v>0.97282400612596531</v>
      </c>
      <c r="AF14">
        <f>pm.rep!G121/$AP14</f>
        <v>0.94433188692489323</v>
      </c>
      <c r="AG14">
        <f>pm.rep!H121/$AP14</f>
        <v>0.93330036372918146</v>
      </c>
      <c r="AH14">
        <f>pm.rep!I121/$AP14</f>
        <v>0.92966307191627851</v>
      </c>
      <c r="AI14">
        <f>pm.rep!J121/$AP14</f>
        <v>0.92829908748644008</v>
      </c>
      <c r="AJ14">
        <f>pm.rep!K121/$AP14</f>
        <v>0.92827515793503923</v>
      </c>
      <c r="AK14">
        <f>pm.rep!L121/$AP14</f>
        <v>0.92827515793503923</v>
      </c>
      <c r="AL14">
        <f>pm.rep!M121/$AP14</f>
        <v>0.92827515793503923</v>
      </c>
      <c r="AM14">
        <f>pm.rep!N121/$AP14</f>
        <v>0.92827515793503923</v>
      </c>
      <c r="AN14">
        <f>pm.rep!O121/$AP14</f>
        <v>0.92827515793503923</v>
      </c>
      <c r="AO14">
        <f>pm.rep!P121/$AP14</f>
        <v>0.92827515793503923</v>
      </c>
      <c r="AP14">
        <f>MAX(pm.rep!B121:P121)</f>
        <v>1.2536799999999999</v>
      </c>
      <c r="AR14">
        <v>1968</v>
      </c>
      <c r="AS14">
        <v>27739.599999999999</v>
      </c>
      <c r="AT14">
        <v>12398</v>
      </c>
      <c r="AU14">
        <v>3242.15</v>
      </c>
      <c r="AV14">
        <v>3307.19</v>
      </c>
      <c r="AW14">
        <v>313.53399999999999</v>
      </c>
      <c r="AX14">
        <v>540.95799999999997</v>
      </c>
      <c r="AY14">
        <v>320.58600000000001</v>
      </c>
      <c r="AZ14">
        <v>66.673000000000002</v>
      </c>
      <c r="BA14">
        <v>30.632100000000001</v>
      </c>
      <c r="BB14">
        <v>44.1477</v>
      </c>
      <c r="BC14">
        <v>17.662099999999999</v>
      </c>
      <c r="BD14">
        <v>7.2200600000000001</v>
      </c>
      <c r="BE14">
        <v>3.6625000000000001</v>
      </c>
      <c r="BF14">
        <v>3.7452100000000002</v>
      </c>
      <c r="BG14">
        <v>17.855699999999999</v>
      </c>
      <c r="BJ14" s="31">
        <v>6.6E-3</v>
      </c>
      <c r="BK14" s="31">
        <v>0.17</v>
      </c>
      <c r="BL14" s="31">
        <v>0.30299999999999999</v>
      </c>
      <c r="BM14" s="31">
        <v>0.44700000000000001</v>
      </c>
      <c r="BN14" s="31">
        <v>0.58899999999999997</v>
      </c>
      <c r="BO14" s="31">
        <v>0.72199999999999998</v>
      </c>
      <c r="BP14" s="31">
        <v>0.84</v>
      </c>
      <c r="BQ14" s="31">
        <v>0.94199999999999995</v>
      </c>
      <c r="BR14" s="31">
        <v>1.0289999999999999</v>
      </c>
      <c r="BS14" s="31">
        <v>1.1020000000000001</v>
      </c>
      <c r="BT14" s="31">
        <v>1.163</v>
      </c>
      <c r="BU14" s="31">
        <v>1.212</v>
      </c>
      <c r="BV14" s="31">
        <v>1.2529999999999999</v>
      </c>
      <c r="BW14" s="31">
        <v>1.286</v>
      </c>
      <c r="BX14" s="31">
        <v>1.3120000000000001</v>
      </c>
      <c r="BZ14">
        <v>6.6E-3</v>
      </c>
      <c r="CA14">
        <v>0.17</v>
      </c>
      <c r="CB14">
        <v>0.30299999999999999</v>
      </c>
      <c r="CC14">
        <v>0.44700000000000001</v>
      </c>
      <c r="CD14">
        <v>0.58899999999999997</v>
      </c>
      <c r="CE14">
        <v>0.72199999999999998</v>
      </c>
      <c r="CF14">
        <v>0.84</v>
      </c>
      <c r="CG14">
        <v>0.94199999999999995</v>
      </c>
      <c r="CH14">
        <v>1.0289999999999999</v>
      </c>
      <c r="CI14">
        <v>1.1020000000000001</v>
      </c>
      <c r="CJ14">
        <v>1.163</v>
      </c>
      <c r="CK14">
        <v>1.212</v>
      </c>
      <c r="CL14">
        <v>1.2529999999999999</v>
      </c>
      <c r="CM14">
        <v>1.286</v>
      </c>
      <c r="CN14">
        <v>1.3120000000000001</v>
      </c>
    </row>
    <row r="15" spans="1:92" x14ac:dyDescent="0.15">
      <c r="A15">
        <f t="shared" si="0"/>
        <v>1969</v>
      </c>
      <c r="C15" s="27">
        <f t="shared" si="2"/>
        <v>1680.229316746962</v>
      </c>
      <c r="D15" s="27">
        <f t="shared" si="3"/>
        <v>1629.8851785189997</v>
      </c>
      <c r="E15" s="27" t="e">
        <f t="shared" si="4"/>
        <v>#VALUE!</v>
      </c>
      <c r="F15" s="27"/>
      <c r="G15" s="27">
        <f t="shared" si="1"/>
        <v>4696.7598875456688</v>
      </c>
      <c r="H15" s="27" t="e">
        <f t="shared" si="5"/>
        <v>#VALUE!</v>
      </c>
      <c r="I15">
        <f>pm.rep!A68</f>
        <v>1969</v>
      </c>
      <c r="J15" s="27">
        <f>pm.rep!B68</f>
        <v>26141.1</v>
      </c>
      <c r="K15" s="27">
        <f>pm.rep!C68</f>
        <v>9015.31</v>
      </c>
      <c r="L15" s="27">
        <f>pm.rep!D68</f>
        <v>6454.6</v>
      </c>
      <c r="M15" s="27">
        <f>pm.rep!E68</f>
        <v>2536.4699999999998</v>
      </c>
      <c r="N15" s="27">
        <f>pm.rep!F68</f>
        <v>2103.33</v>
      </c>
      <c r="O15" s="27">
        <f>pm.rep!G68</f>
        <v>411.44299999999998</v>
      </c>
      <c r="P15" s="27">
        <f>pm.rep!H68</f>
        <v>344.976</v>
      </c>
      <c r="Q15" s="27">
        <f>pm.rep!I68</f>
        <v>222.071</v>
      </c>
      <c r="R15" s="27">
        <f>pm.rep!J68</f>
        <v>43.278199999999998</v>
      </c>
      <c r="S15" s="27">
        <f>pm.rep!K68</f>
        <v>18.985700000000001</v>
      </c>
      <c r="T15" s="27">
        <f>pm.rep!L68</f>
        <v>37.529400000000003</v>
      </c>
      <c r="U15" s="27">
        <f>pm.rep!M68</f>
        <v>17.236999999999998</v>
      </c>
      <c r="V15" s="27">
        <f>pm.rep!N68</f>
        <v>5.6226900000000004</v>
      </c>
      <c r="W15" s="27">
        <f>pm.rep!O68</f>
        <v>3.6018300000000001</v>
      </c>
      <c r="X15" s="27">
        <f>pm.rep!P68</f>
        <v>21.761800000000001</v>
      </c>
      <c r="Z15">
        <f>pm.rep!A122</f>
        <v>1969</v>
      </c>
      <c r="AA15">
        <f>pm.rep!B122/$AP15</f>
        <v>2.2544645837505841E-2</v>
      </c>
      <c r="AB15">
        <f>pm.rep!C122/$AP15</f>
        <v>0.15266289471927363</v>
      </c>
      <c r="AC15">
        <f>pm.rep!D122/$AP15</f>
        <v>0.66275368849722938</v>
      </c>
      <c r="AD15">
        <f>pm.rep!E122/$AP15</f>
        <v>0.96067828292943447</v>
      </c>
      <c r="AE15">
        <f>pm.rep!F122/$AP15</f>
        <v>0.93871419987983185</v>
      </c>
      <c r="AF15">
        <f>pm.rep!G122/$AP15</f>
        <v>0.92123139061352566</v>
      </c>
      <c r="AG15">
        <f>pm.rep!H122/$AP15</f>
        <v>0.92008812337272172</v>
      </c>
      <c r="AH15">
        <f>pm.rep!I122/$AP15</f>
        <v>0.9610704986981774</v>
      </c>
      <c r="AI15">
        <f>pm.rep!J122/$AP15</f>
        <v>0.97780225649242281</v>
      </c>
      <c r="AJ15">
        <f>pm.rep!K122/$AP15</f>
        <v>1</v>
      </c>
      <c r="AK15">
        <f>pm.rep!L122/$AP15</f>
        <v>1</v>
      </c>
      <c r="AL15">
        <f>pm.rep!M122/$AP15</f>
        <v>1</v>
      </c>
      <c r="AM15">
        <f>pm.rep!N122/$AP15</f>
        <v>1</v>
      </c>
      <c r="AN15">
        <f>pm.rep!O122/$AP15</f>
        <v>1</v>
      </c>
      <c r="AO15">
        <f>pm.rep!P122/$AP15</f>
        <v>1</v>
      </c>
      <c r="AP15">
        <f>MAX(pm.rep!B122:P122)</f>
        <v>1.1983200000000001</v>
      </c>
      <c r="AR15">
        <v>1969</v>
      </c>
      <c r="AS15">
        <v>29836</v>
      </c>
      <c r="AT15">
        <v>11259.4</v>
      </c>
      <c r="AU15">
        <v>7627.41</v>
      </c>
      <c r="AV15">
        <v>2058.83</v>
      </c>
      <c r="AW15">
        <v>1844.49</v>
      </c>
      <c r="AX15">
        <v>177.63900000000001</v>
      </c>
      <c r="AY15">
        <v>310.49400000000003</v>
      </c>
      <c r="AZ15">
        <v>185.03299999999999</v>
      </c>
      <c r="BA15">
        <v>38.636899999999997</v>
      </c>
      <c r="BB15">
        <v>17.786100000000001</v>
      </c>
      <c r="BC15">
        <v>25.503799999999998</v>
      </c>
      <c r="BD15">
        <v>10.2033</v>
      </c>
      <c r="BE15">
        <v>4.1709699999999996</v>
      </c>
      <c r="BF15">
        <v>2.1157900000000001</v>
      </c>
      <c r="BG15">
        <v>12.4787</v>
      </c>
      <c r="BJ15" s="31">
        <v>6.6E-3</v>
      </c>
      <c r="BK15" s="31">
        <v>0.17</v>
      </c>
      <c r="BL15" s="31">
        <v>0.30299999999999999</v>
      </c>
      <c r="BM15" s="31">
        <v>0.44700000000000001</v>
      </c>
      <c r="BN15" s="31">
        <v>0.58899999999999997</v>
      </c>
      <c r="BO15" s="31">
        <v>0.72199999999999998</v>
      </c>
      <c r="BP15" s="31">
        <v>0.84</v>
      </c>
      <c r="BQ15" s="31">
        <v>0.94199999999999995</v>
      </c>
      <c r="BR15" s="31">
        <v>1.0289999999999999</v>
      </c>
      <c r="BS15" s="31">
        <v>1.1020000000000001</v>
      </c>
      <c r="BT15" s="31">
        <v>1.163</v>
      </c>
      <c r="BU15" s="31">
        <v>1.212</v>
      </c>
      <c r="BV15" s="31">
        <v>1.2529999999999999</v>
      </c>
      <c r="BW15" s="31">
        <v>1.286</v>
      </c>
      <c r="BX15" s="31">
        <v>1.3120000000000001</v>
      </c>
      <c r="BZ15">
        <v>6.6E-3</v>
      </c>
      <c r="CA15">
        <v>0.17</v>
      </c>
      <c r="CB15">
        <v>0.30299999999999999</v>
      </c>
      <c r="CC15">
        <v>0.44700000000000001</v>
      </c>
      <c r="CD15">
        <v>0.58899999999999997</v>
      </c>
      <c r="CE15">
        <v>0.72199999999999998</v>
      </c>
      <c r="CF15">
        <v>0.84</v>
      </c>
      <c r="CG15">
        <v>0.94199999999999995</v>
      </c>
      <c r="CH15">
        <v>1.0289999999999999</v>
      </c>
      <c r="CI15">
        <v>1.1020000000000001</v>
      </c>
      <c r="CJ15">
        <v>1.163</v>
      </c>
      <c r="CK15">
        <v>1.212</v>
      </c>
      <c r="CL15">
        <v>1.2529999999999999</v>
      </c>
      <c r="CM15">
        <v>1.286</v>
      </c>
      <c r="CN15">
        <v>1.3120000000000001</v>
      </c>
    </row>
    <row r="16" spans="1:92" x14ac:dyDescent="0.15">
      <c r="A16">
        <f t="shared" si="0"/>
        <v>1970</v>
      </c>
      <c r="C16" s="27">
        <f t="shared" si="2"/>
        <v>2014.7477925716505</v>
      </c>
      <c r="D16" s="27">
        <f t="shared" si="3"/>
        <v>1923.9143114399999</v>
      </c>
      <c r="E16" s="27" t="e">
        <f t="shared" si="4"/>
        <v>#VALUE!</v>
      </c>
      <c r="F16" s="27"/>
      <c r="G16" s="27">
        <f t="shared" si="1"/>
        <v>4534.0708815073749</v>
      </c>
      <c r="H16" s="27" t="e">
        <f t="shared" si="5"/>
        <v>#VALUE!</v>
      </c>
      <c r="I16">
        <f>pm.rep!A69</f>
        <v>1970</v>
      </c>
      <c r="J16" s="27">
        <f>pm.rep!B69</f>
        <v>23500.1</v>
      </c>
      <c r="K16" s="27">
        <f>pm.rep!C69</f>
        <v>10572.2</v>
      </c>
      <c r="L16" s="27">
        <f>pm.rep!D69</f>
        <v>5546.35</v>
      </c>
      <c r="M16" s="27">
        <f>pm.rep!E69</f>
        <v>4093.67</v>
      </c>
      <c r="N16" s="27">
        <f>pm.rep!F69</f>
        <v>1500.18</v>
      </c>
      <c r="O16" s="27">
        <f>pm.rep!G69</f>
        <v>1250.42</v>
      </c>
      <c r="P16" s="27">
        <f>pm.rep!H69</f>
        <v>245.607</v>
      </c>
      <c r="Q16" s="27">
        <f>pm.rep!I69</f>
        <v>205.98500000000001</v>
      </c>
      <c r="R16" s="27">
        <f>pm.rep!J69</f>
        <v>131.33099999999999</v>
      </c>
      <c r="S16" s="27">
        <f>pm.rep!K69</f>
        <v>25.494199999999999</v>
      </c>
      <c r="T16" s="27">
        <f>pm.rep!L69</f>
        <v>11.125999999999999</v>
      </c>
      <c r="U16" s="27">
        <f>pm.rep!M69</f>
        <v>21.992999999999999</v>
      </c>
      <c r="V16" s="27">
        <f>pm.rep!N69</f>
        <v>10.1012</v>
      </c>
      <c r="W16" s="27">
        <f>pm.rep!O69</f>
        <v>3.29501</v>
      </c>
      <c r="X16" s="27">
        <f>pm.rep!P69</f>
        <v>14.8636</v>
      </c>
      <c r="Z16">
        <f>pm.rep!A123</f>
        <v>1970</v>
      </c>
      <c r="AA16">
        <f>pm.rep!B123/$AP16</f>
        <v>2.5231156052715573E-2</v>
      </c>
      <c r="AB16">
        <f>pm.rep!C123/$AP16</f>
        <v>0.16235958992083324</v>
      </c>
      <c r="AC16">
        <f>pm.rep!D123/$AP16</f>
        <v>0.59542202813261413</v>
      </c>
      <c r="AD16">
        <f>pm.rep!E123/$AP16</f>
        <v>0.70327487292060753</v>
      </c>
      <c r="AE16">
        <f>pm.rep!F123/$AP16</f>
        <v>0.77229552478145469</v>
      </c>
      <c r="AF16">
        <f>pm.rep!G123/$AP16</f>
        <v>0.7708476370628119</v>
      </c>
      <c r="AG16">
        <f>pm.rep!H123/$AP16</f>
        <v>0.81248297175062079</v>
      </c>
      <c r="AH16">
        <f>pm.rep!I123/$AP16</f>
        <v>0.89736344317040706</v>
      </c>
      <c r="AI16">
        <f>pm.rep!J123/$AP16</f>
        <v>0.93724263017366871</v>
      </c>
      <c r="AJ16">
        <f>pm.rep!K123/$AP16</f>
        <v>1</v>
      </c>
      <c r="AK16">
        <f>pm.rep!L123/$AP16</f>
        <v>1</v>
      </c>
      <c r="AL16">
        <f>pm.rep!M123/$AP16</f>
        <v>1</v>
      </c>
      <c r="AM16">
        <f>pm.rep!N123/$AP16</f>
        <v>1</v>
      </c>
      <c r="AN16">
        <f>pm.rep!O123/$AP16</f>
        <v>1</v>
      </c>
      <c r="AO16">
        <f>pm.rep!P123/$AP16</f>
        <v>1</v>
      </c>
      <c r="AP16">
        <f>MAX(pm.rep!B123:P123)</f>
        <v>1.2846299999999999</v>
      </c>
      <c r="AR16">
        <v>1970</v>
      </c>
      <c r="AS16">
        <v>20826.400000000001</v>
      </c>
      <c r="AT16">
        <v>12112</v>
      </c>
      <c r="AU16">
        <v>6928.1</v>
      </c>
      <c r="AV16">
        <v>4748.51</v>
      </c>
      <c r="AW16">
        <v>1199.8699999999999</v>
      </c>
      <c r="AX16">
        <v>1082.42</v>
      </c>
      <c r="AY16">
        <v>104.92400000000001</v>
      </c>
      <c r="AZ16">
        <v>183.33099999999999</v>
      </c>
      <c r="BA16">
        <v>109.252</v>
      </c>
      <c r="BB16">
        <v>22.7532</v>
      </c>
      <c r="BC16">
        <v>10.0259</v>
      </c>
      <c r="BD16">
        <v>14.376200000000001</v>
      </c>
      <c r="BE16">
        <v>5.7514700000000003</v>
      </c>
      <c r="BF16">
        <v>2.3511299999999999</v>
      </c>
      <c r="BG16">
        <v>8.2267600000000005</v>
      </c>
      <c r="BJ16" s="31">
        <v>6.6E-3</v>
      </c>
      <c r="BK16" s="31">
        <v>0.17</v>
      </c>
      <c r="BL16" s="31">
        <v>0.30299999999999999</v>
      </c>
      <c r="BM16" s="31">
        <v>0.44700000000000001</v>
      </c>
      <c r="BN16" s="31">
        <v>0.58899999999999997</v>
      </c>
      <c r="BO16" s="31">
        <v>0.72199999999999998</v>
      </c>
      <c r="BP16" s="31">
        <v>0.84</v>
      </c>
      <c r="BQ16" s="31">
        <v>0.94199999999999995</v>
      </c>
      <c r="BR16" s="31">
        <v>1.0289999999999999</v>
      </c>
      <c r="BS16" s="31">
        <v>1.1020000000000001</v>
      </c>
      <c r="BT16" s="31">
        <v>1.163</v>
      </c>
      <c r="BU16" s="31">
        <v>1.212</v>
      </c>
      <c r="BV16" s="31">
        <v>1.2529999999999999</v>
      </c>
      <c r="BW16" s="31">
        <v>1.286</v>
      </c>
      <c r="BX16" s="31">
        <v>1.3120000000000001</v>
      </c>
      <c r="BZ16">
        <v>6.6E-3</v>
      </c>
      <c r="CA16">
        <v>0.17</v>
      </c>
      <c r="CB16">
        <v>0.30299999999999999</v>
      </c>
      <c r="CC16">
        <v>0.44700000000000001</v>
      </c>
      <c r="CD16">
        <v>0.58899999999999997</v>
      </c>
      <c r="CE16">
        <v>0.72199999999999998</v>
      </c>
      <c r="CF16">
        <v>0.84</v>
      </c>
      <c r="CG16">
        <v>0.94199999999999995</v>
      </c>
      <c r="CH16">
        <v>1.0289999999999999</v>
      </c>
      <c r="CI16">
        <v>1.1020000000000001</v>
      </c>
      <c r="CJ16">
        <v>1.163</v>
      </c>
      <c r="CK16">
        <v>1.212</v>
      </c>
      <c r="CL16">
        <v>1.2529999999999999</v>
      </c>
      <c r="CM16">
        <v>1.286</v>
      </c>
      <c r="CN16">
        <v>1.3120000000000001</v>
      </c>
    </row>
    <row r="17" spans="1:92" x14ac:dyDescent="0.15">
      <c r="A17">
        <f t="shared" si="0"/>
        <v>1971</v>
      </c>
      <c r="C17" s="27">
        <f t="shared" si="2"/>
        <v>2216.1852995958598</v>
      </c>
      <c r="D17" s="27">
        <f t="shared" si="3"/>
        <v>2076.8957174169991</v>
      </c>
      <c r="E17" s="27" t="e">
        <f t="shared" si="4"/>
        <v>#VALUE!</v>
      </c>
      <c r="F17" s="27"/>
      <c r="G17" s="27">
        <f t="shared" si="1"/>
        <v>4473.598821590821</v>
      </c>
      <c r="H17" s="27" t="e">
        <f t="shared" si="5"/>
        <v>#VALUE!</v>
      </c>
      <c r="I17">
        <f>pm.rep!A70</f>
        <v>1971</v>
      </c>
      <c r="J17" s="27">
        <f>pm.rep!B70</f>
        <v>14578.3</v>
      </c>
      <c r="K17" s="27">
        <f>pm.rep!C70</f>
        <v>9467.61</v>
      </c>
      <c r="L17" s="27">
        <f>pm.rep!D70</f>
        <v>6356.46</v>
      </c>
      <c r="M17" s="27">
        <f>pm.rep!E70</f>
        <v>3312.4</v>
      </c>
      <c r="N17" s="27">
        <f>pm.rep!F70</f>
        <v>2351.25</v>
      </c>
      <c r="O17" s="27">
        <f>pm.rep!G70</f>
        <v>840.39400000000001</v>
      </c>
      <c r="P17" s="27">
        <f>pm.rep!H70</f>
        <v>700.84799999999996</v>
      </c>
      <c r="Q17" s="27">
        <f>pm.rep!I70</f>
        <v>135.601</v>
      </c>
      <c r="R17" s="27">
        <f>pm.rep!J70</f>
        <v>110.286</v>
      </c>
      <c r="S17" s="27">
        <f>pm.rep!K70</f>
        <v>69.308000000000007</v>
      </c>
      <c r="T17" s="27">
        <f>pm.rep!L70</f>
        <v>13.152100000000001</v>
      </c>
      <c r="U17" s="27">
        <f>pm.rep!M70</f>
        <v>5.7397299999999998</v>
      </c>
      <c r="V17" s="27">
        <f>pm.rep!N70</f>
        <v>11.345800000000001</v>
      </c>
      <c r="W17" s="27">
        <f>pm.rep!O70</f>
        <v>5.2110700000000003</v>
      </c>
      <c r="X17" s="27">
        <f>pm.rep!P70</f>
        <v>9.3677499999999991</v>
      </c>
      <c r="Z17">
        <f>pm.rep!A124</f>
        <v>1971</v>
      </c>
      <c r="AA17">
        <f>pm.rep!B124/$AP17</f>
        <v>2.4380875312908858E-2</v>
      </c>
      <c r="AB17">
        <f>pm.rep!C124/$AP17</f>
        <v>0.1592813873112148</v>
      </c>
      <c r="AC17">
        <f>pm.rep!D124/$AP17</f>
        <v>0.52475591218132445</v>
      </c>
      <c r="AD17">
        <f>pm.rep!E124/$AP17</f>
        <v>0.64411428830722928</v>
      </c>
      <c r="AE17">
        <f>pm.rep!F124/$AP17</f>
        <v>0.74059533983225811</v>
      </c>
      <c r="AF17">
        <f>pm.rep!G124/$AP17</f>
        <v>0.72929129451624852</v>
      </c>
      <c r="AG17">
        <f>pm.rep!H124/$AP17</f>
        <v>0.74081239081276895</v>
      </c>
      <c r="AH17">
        <f>pm.rep!I124/$AP17</f>
        <v>0.86218397150355064</v>
      </c>
      <c r="AI17">
        <f>pm.rep!J124/$AP17</f>
        <v>0.91871554221149987</v>
      </c>
      <c r="AJ17">
        <f>pm.rep!K124/$AP17</f>
        <v>1</v>
      </c>
      <c r="AK17">
        <f>pm.rep!L124/$AP17</f>
        <v>1</v>
      </c>
      <c r="AL17">
        <f>pm.rep!M124/$AP17</f>
        <v>1</v>
      </c>
      <c r="AM17">
        <f>pm.rep!N124/$AP17</f>
        <v>1</v>
      </c>
      <c r="AN17">
        <f>pm.rep!O124/$AP17</f>
        <v>1</v>
      </c>
      <c r="AO17">
        <f>pm.rep!P124/$AP17</f>
        <v>1</v>
      </c>
      <c r="AP17">
        <f>MAX(pm.rep!B124:P124)</f>
        <v>1.3222700000000001</v>
      </c>
      <c r="AR17">
        <v>1971</v>
      </c>
      <c r="AS17">
        <v>7612.36</v>
      </c>
      <c r="AT17">
        <v>8451.9500000000007</v>
      </c>
      <c r="AU17">
        <v>7323.21</v>
      </c>
      <c r="AV17">
        <v>4090.58</v>
      </c>
      <c r="AW17">
        <v>2749.79</v>
      </c>
      <c r="AX17">
        <v>686.14200000000005</v>
      </c>
      <c r="AY17">
        <v>623.06399999999996</v>
      </c>
      <c r="AZ17">
        <v>58.614199999999997</v>
      </c>
      <c r="BA17">
        <v>102.252</v>
      </c>
      <c r="BB17">
        <v>60.376800000000003</v>
      </c>
      <c r="BC17">
        <v>10.7006</v>
      </c>
      <c r="BD17">
        <v>4.7150800000000004</v>
      </c>
      <c r="BE17">
        <v>6.7610099999999997</v>
      </c>
      <c r="BF17">
        <v>2.7048700000000001</v>
      </c>
      <c r="BG17">
        <v>4.9746899999999998</v>
      </c>
      <c r="BJ17" s="31">
        <v>6.6E-3</v>
      </c>
      <c r="BK17" s="31">
        <v>0.17</v>
      </c>
      <c r="BL17" s="31">
        <v>0.30299999999999999</v>
      </c>
      <c r="BM17" s="31">
        <v>0.44700000000000001</v>
      </c>
      <c r="BN17" s="31">
        <v>0.58899999999999997</v>
      </c>
      <c r="BO17" s="31">
        <v>0.72199999999999998</v>
      </c>
      <c r="BP17" s="31">
        <v>0.84</v>
      </c>
      <c r="BQ17" s="31">
        <v>0.94199999999999995</v>
      </c>
      <c r="BR17" s="31">
        <v>1.0289999999999999</v>
      </c>
      <c r="BS17" s="31">
        <v>1.1020000000000001</v>
      </c>
      <c r="BT17" s="31">
        <v>1.163</v>
      </c>
      <c r="BU17" s="31">
        <v>1.212</v>
      </c>
      <c r="BV17" s="31">
        <v>1.2529999999999999</v>
      </c>
      <c r="BW17" s="31">
        <v>1.286</v>
      </c>
      <c r="BX17" s="31">
        <v>1.3120000000000001</v>
      </c>
      <c r="BZ17">
        <v>6.6E-3</v>
      </c>
      <c r="CA17">
        <v>0.17</v>
      </c>
      <c r="CB17">
        <v>0.30299999999999999</v>
      </c>
      <c r="CC17">
        <v>0.44700000000000001</v>
      </c>
      <c r="CD17">
        <v>0.58899999999999997</v>
      </c>
      <c r="CE17">
        <v>0.72199999999999998</v>
      </c>
      <c r="CF17">
        <v>0.84</v>
      </c>
      <c r="CG17">
        <v>0.94199999999999995</v>
      </c>
      <c r="CH17">
        <v>1.0289999999999999</v>
      </c>
      <c r="CI17">
        <v>1.1020000000000001</v>
      </c>
      <c r="CJ17">
        <v>1.163</v>
      </c>
      <c r="CK17">
        <v>1.212</v>
      </c>
      <c r="CL17">
        <v>1.2529999999999999</v>
      </c>
      <c r="CM17">
        <v>1.286</v>
      </c>
      <c r="CN17">
        <v>1.3120000000000001</v>
      </c>
    </row>
    <row r="18" spans="1:92" x14ac:dyDescent="0.15">
      <c r="A18">
        <f t="shared" si="0"/>
        <v>1972</v>
      </c>
      <c r="C18" s="27">
        <f t="shared" si="2"/>
        <v>2143.7506472995638</v>
      </c>
      <c r="D18" s="27">
        <f t="shared" si="3"/>
        <v>1992.2162628869999</v>
      </c>
      <c r="E18" s="27" t="e">
        <f t="shared" si="4"/>
        <v>#VALUE!</v>
      </c>
      <c r="F18" s="27"/>
      <c r="G18" s="27">
        <f t="shared" si="1"/>
        <v>4525.721927485527</v>
      </c>
      <c r="H18" s="27" t="e">
        <f t="shared" si="5"/>
        <v>#VALUE!</v>
      </c>
      <c r="I18">
        <f>pm.rep!A71</f>
        <v>1972</v>
      </c>
      <c r="J18" s="27">
        <f>pm.rep!B71</f>
        <v>11964.4</v>
      </c>
      <c r="K18" s="27">
        <f>pm.rep!C71</f>
        <v>5851.31</v>
      </c>
      <c r="L18" s="27">
        <f>pm.rep!D71</f>
        <v>5550.12</v>
      </c>
      <c r="M18" s="27">
        <f>pm.rep!E71</f>
        <v>3569.93</v>
      </c>
      <c r="N18" s="27">
        <f>pm.rep!F71</f>
        <v>1746.76</v>
      </c>
      <c r="O18" s="27">
        <f>pm.rep!G71</f>
        <v>1178.3499999999999</v>
      </c>
      <c r="P18" s="27">
        <f>pm.rep!H71</f>
        <v>423.69200000000001</v>
      </c>
      <c r="Q18" s="27">
        <f>pm.rep!I71</f>
        <v>351.197</v>
      </c>
      <c r="R18" s="27">
        <f>pm.rep!J71</f>
        <v>63.734400000000001</v>
      </c>
      <c r="S18" s="27">
        <f>pm.rep!K71</f>
        <v>50.312199999999997</v>
      </c>
      <c r="T18" s="27">
        <f>pm.rep!L71</f>
        <v>30.290600000000001</v>
      </c>
      <c r="U18" s="27">
        <f>pm.rep!M71</f>
        <v>5.7480399999999996</v>
      </c>
      <c r="V18" s="27">
        <f>pm.rep!N71</f>
        <v>2.5085099999999998</v>
      </c>
      <c r="W18" s="27">
        <f>pm.rep!O71</f>
        <v>4.9586300000000003</v>
      </c>
      <c r="X18" s="27">
        <f>pm.rep!P71</f>
        <v>6.3715799999999998</v>
      </c>
      <c r="Z18">
        <f>pm.rep!A125</f>
        <v>1972</v>
      </c>
      <c r="AA18">
        <f>pm.rep!B125/$AP18</f>
        <v>2.0077173407717343E-2</v>
      </c>
      <c r="AB18">
        <f>pm.rep!C125/$AP18</f>
        <v>0.20045947621261431</v>
      </c>
      <c r="AC18">
        <f>pm.rep!D125/$AP18</f>
        <v>0.60811328064466141</v>
      </c>
      <c r="AD18">
        <f>pm.rep!E125/$AP18</f>
        <v>0.72368123353479008</v>
      </c>
      <c r="AE18">
        <f>pm.rep!F125/$AP18</f>
        <v>0.75224314272431425</v>
      </c>
      <c r="AF18">
        <f>pm.rep!G125/$AP18</f>
        <v>0.75084689291802265</v>
      </c>
      <c r="AG18">
        <f>pm.rep!H125/$AP18</f>
        <v>0.75841004184100425</v>
      </c>
      <c r="AH18">
        <f>pm.rep!I125/$AP18</f>
        <v>0.86888269022160236</v>
      </c>
      <c r="AI18">
        <f>pm.rep!J125/$AP18</f>
        <v>0.9398031923136525</v>
      </c>
      <c r="AJ18">
        <f>pm.rep!K125/$AP18</f>
        <v>1</v>
      </c>
      <c r="AK18">
        <f>pm.rep!L125/$AP18</f>
        <v>1</v>
      </c>
      <c r="AL18">
        <f>pm.rep!M125/$AP18</f>
        <v>1</v>
      </c>
      <c r="AM18">
        <f>pm.rep!N125/$AP18</f>
        <v>1</v>
      </c>
      <c r="AN18">
        <f>pm.rep!O125/$AP18</f>
        <v>1</v>
      </c>
      <c r="AO18">
        <f>pm.rep!P125/$AP18</f>
        <v>1</v>
      </c>
      <c r="AP18">
        <f>MAX(pm.rep!B125:P125)</f>
        <v>1.2906</v>
      </c>
      <c r="AR18">
        <v>1972</v>
      </c>
      <c r="AS18">
        <v>9472.01</v>
      </c>
      <c r="AT18">
        <v>3088.07</v>
      </c>
      <c r="AU18">
        <v>5031.7299999999996</v>
      </c>
      <c r="AV18">
        <v>4140.46</v>
      </c>
      <c r="AW18">
        <v>2206.6999999999998</v>
      </c>
      <c r="AX18">
        <v>1428.92</v>
      </c>
      <c r="AY18">
        <v>359.61799999999999</v>
      </c>
      <c r="AZ18">
        <v>323.85899999999998</v>
      </c>
      <c r="BA18">
        <v>30.221399999999999</v>
      </c>
      <c r="BB18">
        <v>51.631</v>
      </c>
      <c r="BC18">
        <v>23.734100000000002</v>
      </c>
      <c r="BD18">
        <v>4.2064000000000004</v>
      </c>
      <c r="BE18">
        <v>1.8534900000000001</v>
      </c>
      <c r="BF18">
        <v>2.6577500000000001</v>
      </c>
      <c r="BG18">
        <v>3.0188299999999999</v>
      </c>
      <c r="BJ18" s="31">
        <v>6.6E-3</v>
      </c>
      <c r="BK18" s="31">
        <v>0.17</v>
      </c>
      <c r="BL18" s="31">
        <v>0.30299999999999999</v>
      </c>
      <c r="BM18" s="31">
        <v>0.44700000000000001</v>
      </c>
      <c r="BN18" s="31">
        <v>0.58899999999999997</v>
      </c>
      <c r="BO18" s="31">
        <v>0.72199999999999998</v>
      </c>
      <c r="BP18" s="31">
        <v>0.84</v>
      </c>
      <c r="BQ18" s="31">
        <v>0.94199999999999995</v>
      </c>
      <c r="BR18" s="31">
        <v>1.0289999999999999</v>
      </c>
      <c r="BS18" s="31">
        <v>1.1020000000000001</v>
      </c>
      <c r="BT18" s="31">
        <v>1.163</v>
      </c>
      <c r="BU18" s="31">
        <v>1.212</v>
      </c>
      <c r="BV18" s="31">
        <v>1.2529999999999999</v>
      </c>
      <c r="BW18" s="31">
        <v>1.286</v>
      </c>
      <c r="BX18" s="31">
        <v>1.3120000000000001</v>
      </c>
      <c r="BZ18">
        <v>6.6E-3</v>
      </c>
      <c r="CA18">
        <v>0.17</v>
      </c>
      <c r="CB18">
        <v>0.30299999999999999</v>
      </c>
      <c r="CC18">
        <v>0.44700000000000001</v>
      </c>
      <c r="CD18">
        <v>0.58899999999999997</v>
      </c>
      <c r="CE18">
        <v>0.72199999999999998</v>
      </c>
      <c r="CF18">
        <v>0.84</v>
      </c>
      <c r="CG18">
        <v>0.94199999999999995</v>
      </c>
      <c r="CH18">
        <v>1.0289999999999999</v>
      </c>
      <c r="CI18">
        <v>1.1020000000000001</v>
      </c>
      <c r="CJ18">
        <v>1.163</v>
      </c>
      <c r="CK18">
        <v>1.212</v>
      </c>
      <c r="CL18">
        <v>1.2529999999999999</v>
      </c>
      <c r="CM18">
        <v>1.286</v>
      </c>
      <c r="CN18">
        <v>1.3120000000000001</v>
      </c>
    </row>
    <row r="19" spans="1:92" x14ac:dyDescent="0.15">
      <c r="A19">
        <f t="shared" si="0"/>
        <v>1973</v>
      </c>
      <c r="C19" s="27">
        <f t="shared" si="2"/>
        <v>1906.1692333986846</v>
      </c>
      <c r="D19" s="27">
        <f t="shared" si="3"/>
        <v>1705.7402082279998</v>
      </c>
      <c r="E19" s="27" t="e">
        <f t="shared" si="4"/>
        <v>#VALUE!</v>
      </c>
      <c r="F19" s="27"/>
      <c r="G19" s="27">
        <f t="shared" si="1"/>
        <v>4012.0858130087145</v>
      </c>
      <c r="H19" s="27" t="e">
        <f t="shared" si="5"/>
        <v>#VALUE!</v>
      </c>
      <c r="I19">
        <f>pm.rep!A72</f>
        <v>1973</v>
      </c>
      <c r="J19" s="27">
        <f>pm.rep!B72</f>
        <v>26909</v>
      </c>
      <c r="K19" s="27">
        <f>pm.rep!C72</f>
        <v>4808.49</v>
      </c>
      <c r="L19" s="27">
        <f>pm.rep!D72</f>
        <v>3324.44</v>
      </c>
      <c r="M19" s="27">
        <f>pm.rep!E72</f>
        <v>2897.5</v>
      </c>
      <c r="N19" s="27">
        <f>pm.rep!F72</f>
        <v>1743.8</v>
      </c>
      <c r="O19" s="27">
        <f>pm.rep!G72</f>
        <v>839.32299999999998</v>
      </c>
      <c r="P19" s="27">
        <f>pm.rep!H72</f>
        <v>566.65800000000002</v>
      </c>
      <c r="Q19" s="27">
        <f>pm.rep!I72</f>
        <v>202.86500000000001</v>
      </c>
      <c r="R19" s="27">
        <f>pm.rep!J72</f>
        <v>157.79499999999999</v>
      </c>
      <c r="S19" s="27">
        <f>pm.rep!K72</f>
        <v>27.491099999999999</v>
      </c>
      <c r="T19" s="27">
        <f>pm.rep!L72</f>
        <v>20.962700000000002</v>
      </c>
      <c r="U19" s="27">
        <f>pm.rep!M72</f>
        <v>12.620699999999999</v>
      </c>
      <c r="V19" s="27">
        <f>pm.rep!N72</f>
        <v>2.39493</v>
      </c>
      <c r="W19" s="27">
        <f>pm.rep!O72</f>
        <v>1.04518</v>
      </c>
      <c r="X19" s="27">
        <f>pm.rep!P72</f>
        <v>4.7207600000000003</v>
      </c>
      <c r="Z19">
        <f>pm.rep!A126</f>
        <v>1973</v>
      </c>
      <c r="AA19">
        <f>pm.rep!B126/$AP19</f>
        <v>1.6230360619486753E-2</v>
      </c>
      <c r="AB19">
        <f>pm.rep!C126/$AP19</f>
        <v>0.23116582407281291</v>
      </c>
      <c r="AC19">
        <f>pm.rep!D126/$AP19</f>
        <v>0.67111598952032248</v>
      </c>
      <c r="AD19">
        <f>pm.rep!E126/$AP19</f>
        <v>0.786350780768029</v>
      </c>
      <c r="AE19">
        <f>pm.rep!F126/$AP19</f>
        <v>0.8120468220457806</v>
      </c>
      <c r="AF19">
        <f>pm.rep!G126/$AP19</f>
        <v>0.81509938868547349</v>
      </c>
      <c r="AG19">
        <f>pm.rep!H126/$AP19</f>
        <v>0.81348096752742105</v>
      </c>
      <c r="AH19">
        <f>pm.rep!I126/$AP19</f>
        <v>0.90498585884483185</v>
      </c>
      <c r="AI19">
        <f>pm.rep!J126/$AP19</f>
        <v>0.96750338506405587</v>
      </c>
      <c r="AJ19">
        <f>pm.rep!K126/$AP19</f>
        <v>1</v>
      </c>
      <c r="AK19">
        <f>pm.rep!L126/$AP19</f>
        <v>1</v>
      </c>
      <c r="AL19">
        <f>pm.rep!M126/$AP19</f>
        <v>1</v>
      </c>
      <c r="AM19">
        <f>pm.rep!N126/$AP19</f>
        <v>1</v>
      </c>
      <c r="AN19">
        <f>pm.rep!O126/$AP19</f>
        <v>1</v>
      </c>
      <c r="AO19">
        <f>pm.rep!P126/$AP19</f>
        <v>1</v>
      </c>
      <c r="AP19">
        <f>MAX(pm.rep!B126:P126)</f>
        <v>1.24813</v>
      </c>
      <c r="AR19">
        <v>1973</v>
      </c>
      <c r="AS19">
        <v>28172.799999999999</v>
      </c>
      <c r="AT19">
        <v>3841.65</v>
      </c>
      <c r="AU19">
        <v>1784.03</v>
      </c>
      <c r="AV19">
        <v>2598.88</v>
      </c>
      <c r="AW19">
        <v>2054.9699999999998</v>
      </c>
      <c r="AX19">
        <v>1097.8599999999999</v>
      </c>
      <c r="AY19">
        <v>714.65300000000002</v>
      </c>
      <c r="AZ19">
        <v>177.535</v>
      </c>
      <c r="BA19">
        <v>159.941</v>
      </c>
      <c r="BB19">
        <v>14.343299999999999</v>
      </c>
      <c r="BC19">
        <v>21.012899999999998</v>
      </c>
      <c r="BD19">
        <v>9.6593599999999995</v>
      </c>
      <c r="BE19">
        <v>1.71193</v>
      </c>
      <c r="BF19">
        <v>0.75434100000000004</v>
      </c>
      <c r="BG19">
        <v>2.31027</v>
      </c>
      <c r="BJ19" s="31">
        <v>6.6E-3</v>
      </c>
      <c r="BK19" s="31">
        <v>0.17</v>
      </c>
      <c r="BL19" s="31">
        <v>0.30299999999999999</v>
      </c>
      <c r="BM19" s="31">
        <v>0.44700000000000001</v>
      </c>
      <c r="BN19" s="31">
        <v>0.58899999999999997</v>
      </c>
      <c r="BO19" s="31">
        <v>0.72199999999999998</v>
      </c>
      <c r="BP19" s="31">
        <v>0.84</v>
      </c>
      <c r="BQ19" s="31">
        <v>0.94199999999999995</v>
      </c>
      <c r="BR19" s="31">
        <v>1.0289999999999999</v>
      </c>
      <c r="BS19" s="31">
        <v>1.1020000000000001</v>
      </c>
      <c r="BT19" s="31">
        <v>1.163</v>
      </c>
      <c r="BU19" s="31">
        <v>1.212</v>
      </c>
      <c r="BV19" s="31">
        <v>1.2529999999999999</v>
      </c>
      <c r="BW19" s="31">
        <v>1.286</v>
      </c>
      <c r="BX19" s="31">
        <v>1.3120000000000001</v>
      </c>
      <c r="BZ19">
        <v>6.6E-3</v>
      </c>
      <c r="CA19">
        <v>0.17</v>
      </c>
      <c r="CB19">
        <v>0.30299999999999999</v>
      </c>
      <c r="CC19">
        <v>0.44700000000000001</v>
      </c>
      <c r="CD19">
        <v>0.58899999999999997</v>
      </c>
      <c r="CE19">
        <v>0.72199999999999998</v>
      </c>
      <c r="CF19">
        <v>0.84</v>
      </c>
      <c r="CG19">
        <v>0.94199999999999995</v>
      </c>
      <c r="CH19">
        <v>1.0289999999999999</v>
      </c>
      <c r="CI19">
        <v>1.1020000000000001</v>
      </c>
      <c r="CJ19">
        <v>1.163</v>
      </c>
      <c r="CK19">
        <v>1.212</v>
      </c>
      <c r="CL19">
        <v>1.2529999999999999</v>
      </c>
      <c r="CM19">
        <v>1.286</v>
      </c>
      <c r="CN19">
        <v>1.3120000000000001</v>
      </c>
    </row>
    <row r="20" spans="1:92" x14ac:dyDescent="0.15">
      <c r="A20">
        <f t="shared" si="0"/>
        <v>1974</v>
      </c>
      <c r="C20" s="27">
        <f t="shared" si="2"/>
        <v>1548.507446082881</v>
      </c>
      <c r="D20" s="27">
        <f t="shared" si="3"/>
        <v>1285.2178819340002</v>
      </c>
      <c r="E20" s="27" t="e">
        <f t="shared" si="4"/>
        <v>#VALUE!</v>
      </c>
      <c r="F20" s="27"/>
      <c r="G20" s="27">
        <f t="shared" si="1"/>
        <v>3603.2489745587918</v>
      </c>
      <c r="H20" s="27" t="e">
        <f t="shared" si="5"/>
        <v>#VALUE!</v>
      </c>
      <c r="I20">
        <f>pm.rep!A73</f>
        <v>1974</v>
      </c>
      <c r="J20" s="27">
        <f>pm.rep!B73</f>
        <v>19909.099999999999</v>
      </c>
      <c r="K20" s="27">
        <f>pm.rep!C73</f>
        <v>10828.8</v>
      </c>
      <c r="L20" s="27">
        <f>pm.rep!D73</f>
        <v>2649.45</v>
      </c>
      <c r="M20" s="27">
        <f>pm.rep!E73</f>
        <v>1611.79</v>
      </c>
      <c r="N20" s="27">
        <f>pm.rep!F73</f>
        <v>1306.17</v>
      </c>
      <c r="O20" s="27">
        <f>pm.rep!G73</f>
        <v>773.43200000000002</v>
      </c>
      <c r="P20" s="27">
        <f>pm.rep!H73</f>
        <v>371.54899999999998</v>
      </c>
      <c r="Q20" s="27">
        <f>pm.rep!I73</f>
        <v>251.10400000000001</v>
      </c>
      <c r="R20" s="27">
        <f>pm.rep!J73</f>
        <v>84.846400000000003</v>
      </c>
      <c r="S20" s="27">
        <f>pm.rep!K73</f>
        <v>63.440899999999999</v>
      </c>
      <c r="T20" s="27">
        <f>pm.rep!L73</f>
        <v>10.828099999999999</v>
      </c>
      <c r="U20" s="27">
        <f>pm.rep!M73</f>
        <v>8.25671</v>
      </c>
      <c r="V20" s="27">
        <f>pm.rep!N73</f>
        <v>4.97098</v>
      </c>
      <c r="W20" s="27">
        <f>pm.rep!O73</f>
        <v>0.94330800000000004</v>
      </c>
      <c r="X20" s="27">
        <f>pm.rep!P73</f>
        <v>2.2710699999999999</v>
      </c>
      <c r="Z20">
        <f>pm.rep!A127</f>
        <v>1974</v>
      </c>
      <c r="AA20">
        <f>pm.rep!B127/$AP20</f>
        <v>1.3827059057862764E-2</v>
      </c>
      <c r="AB20">
        <f>pm.rep!C127/$AP20</f>
        <v>0.27994057696776548</v>
      </c>
      <c r="AC20">
        <f>pm.rep!D127/$AP20</f>
        <v>0.83596421339176052</v>
      </c>
      <c r="AD20">
        <f>pm.rep!E127/$AP20</f>
        <v>0.84749194967300745</v>
      </c>
      <c r="AE20">
        <f>pm.rep!F127/$AP20</f>
        <v>0.85286990007635366</v>
      </c>
      <c r="AF20">
        <f>pm.rep!G127/$AP20</f>
        <v>0.85013112903761245</v>
      </c>
      <c r="AG20">
        <f>pm.rep!H127/$AP20</f>
        <v>0.8495667762175082</v>
      </c>
      <c r="AH20">
        <f>pm.rep!I127/$AP20</f>
        <v>0.92397835540948781</v>
      </c>
      <c r="AI20">
        <f>pm.rep!J127/$AP20</f>
        <v>0.995194701722936</v>
      </c>
      <c r="AJ20">
        <f>pm.rep!K127/$AP20</f>
        <v>1</v>
      </c>
      <c r="AK20">
        <f>pm.rep!L127/$AP20</f>
        <v>1</v>
      </c>
      <c r="AL20">
        <f>pm.rep!M127/$AP20</f>
        <v>1</v>
      </c>
      <c r="AM20">
        <f>pm.rep!N127/$AP20</f>
        <v>1</v>
      </c>
      <c r="AN20">
        <f>pm.rep!O127/$AP20</f>
        <v>1</v>
      </c>
      <c r="AO20">
        <f>pm.rep!P127/$AP20</f>
        <v>1</v>
      </c>
      <c r="AP20">
        <f>MAX(pm.rep!B127:P127)</f>
        <v>1.20492</v>
      </c>
      <c r="AR20">
        <v>1974</v>
      </c>
      <c r="AS20">
        <v>20993.1</v>
      </c>
      <c r="AT20">
        <v>11420.7</v>
      </c>
      <c r="AU20">
        <v>2121.83</v>
      </c>
      <c r="AV20">
        <v>816.89400000000001</v>
      </c>
      <c r="AW20">
        <v>1129.1400000000001</v>
      </c>
      <c r="AX20">
        <v>894.76199999999994</v>
      </c>
      <c r="AY20">
        <v>480.29</v>
      </c>
      <c r="AZ20">
        <v>313.39999999999998</v>
      </c>
      <c r="BA20">
        <v>77.879800000000003</v>
      </c>
      <c r="BB20">
        <v>66.909499999999994</v>
      </c>
      <c r="BC20">
        <v>5.64947</v>
      </c>
      <c r="BD20">
        <v>8.2764799999999994</v>
      </c>
      <c r="BE20">
        <v>3.8045900000000001</v>
      </c>
      <c r="BF20">
        <v>0.67428900000000003</v>
      </c>
      <c r="BG20">
        <v>1.2070799999999999</v>
      </c>
      <c r="BJ20" s="31">
        <v>6.6E-3</v>
      </c>
      <c r="BK20" s="31">
        <v>0.17</v>
      </c>
      <c r="BL20" s="31">
        <v>0.30299999999999999</v>
      </c>
      <c r="BM20" s="31">
        <v>0.44700000000000001</v>
      </c>
      <c r="BN20" s="31">
        <v>0.58899999999999997</v>
      </c>
      <c r="BO20" s="31">
        <v>0.72199999999999998</v>
      </c>
      <c r="BP20" s="31">
        <v>0.84</v>
      </c>
      <c r="BQ20" s="31">
        <v>0.94199999999999995</v>
      </c>
      <c r="BR20" s="31">
        <v>1.0289999999999999</v>
      </c>
      <c r="BS20" s="31">
        <v>1.1020000000000001</v>
      </c>
      <c r="BT20" s="31">
        <v>1.163</v>
      </c>
      <c r="BU20" s="31">
        <v>1.212</v>
      </c>
      <c r="BV20" s="31">
        <v>1.2529999999999999</v>
      </c>
      <c r="BW20" s="31">
        <v>1.286</v>
      </c>
      <c r="BX20" s="31">
        <v>1.3120000000000001</v>
      </c>
      <c r="BZ20">
        <v>6.6E-3</v>
      </c>
      <c r="CA20">
        <v>0.17</v>
      </c>
      <c r="CB20">
        <v>0.30299999999999999</v>
      </c>
      <c r="CC20">
        <v>0.44700000000000001</v>
      </c>
      <c r="CD20">
        <v>0.58899999999999997</v>
      </c>
      <c r="CE20">
        <v>0.72199999999999998</v>
      </c>
      <c r="CF20">
        <v>0.84</v>
      </c>
      <c r="CG20">
        <v>0.94199999999999995</v>
      </c>
      <c r="CH20">
        <v>1.0289999999999999</v>
      </c>
      <c r="CI20">
        <v>1.1020000000000001</v>
      </c>
      <c r="CJ20">
        <v>1.163</v>
      </c>
      <c r="CK20">
        <v>1.212</v>
      </c>
      <c r="CL20">
        <v>1.2529999999999999</v>
      </c>
      <c r="CM20">
        <v>1.286</v>
      </c>
      <c r="CN20">
        <v>1.3120000000000001</v>
      </c>
    </row>
    <row r="21" spans="1:92" x14ac:dyDescent="0.15">
      <c r="A21">
        <f t="shared" si="0"/>
        <v>1975</v>
      </c>
      <c r="C21" s="27">
        <f t="shared" si="2"/>
        <v>1228.939403427715</v>
      </c>
      <c r="D21" s="27">
        <f t="shared" si="3"/>
        <v>1068.6624297550002</v>
      </c>
      <c r="E21" s="27" t="e">
        <f t="shared" si="4"/>
        <v>#VALUE!</v>
      </c>
      <c r="F21" s="27"/>
      <c r="G21" s="27">
        <f t="shared" si="1"/>
        <v>3668.227225539365</v>
      </c>
      <c r="H21" s="27" t="e">
        <f t="shared" si="5"/>
        <v>#VALUE!</v>
      </c>
      <c r="I21">
        <f>pm.rep!A74</f>
        <v>1975</v>
      </c>
      <c r="J21" s="27">
        <f>pm.rep!B74</f>
        <v>17094.099999999999</v>
      </c>
      <c r="K21" s="27">
        <f>pm.rep!C74</f>
        <v>8022.51</v>
      </c>
      <c r="L21" s="27">
        <f>pm.rep!D74</f>
        <v>5763.34</v>
      </c>
      <c r="M21" s="27">
        <f>pm.rep!E74</f>
        <v>1144.27</v>
      </c>
      <c r="N21" s="27">
        <f>pm.rep!F74</f>
        <v>690.95799999999997</v>
      </c>
      <c r="O21" s="27">
        <f>pm.rep!G74</f>
        <v>558</v>
      </c>
      <c r="P21" s="27">
        <f>pm.rep!H74</f>
        <v>330.99700000000001</v>
      </c>
      <c r="Q21" s="27">
        <f>pm.rep!I74</f>
        <v>159.066</v>
      </c>
      <c r="R21" s="27">
        <f>pm.rep!J74</f>
        <v>102.46</v>
      </c>
      <c r="S21" s="27">
        <f>pm.rep!K74</f>
        <v>33.065300000000001</v>
      </c>
      <c r="T21" s="27">
        <f>pm.rep!L74</f>
        <v>24.646799999999999</v>
      </c>
      <c r="U21" s="27">
        <f>pm.rep!M74</f>
        <v>4.2067300000000003</v>
      </c>
      <c r="V21" s="27">
        <f>pm.rep!N74</f>
        <v>3.2077399999999998</v>
      </c>
      <c r="W21" s="27">
        <f>pm.rep!O74</f>
        <v>1.93123</v>
      </c>
      <c r="X21" s="27">
        <f>pm.rep!P74</f>
        <v>1.2487900000000001</v>
      </c>
      <c r="Z21">
        <f>pm.rep!A128</f>
        <v>1975</v>
      </c>
      <c r="AA21">
        <f>pm.rep!B128/$AP21</f>
        <v>1.1255407263337916E-2</v>
      </c>
      <c r="AB21">
        <f>pm.rep!C128/$AP21</f>
        <v>0.23090858790785018</v>
      </c>
      <c r="AC21">
        <f>pm.rep!D128/$AP21</f>
        <v>0.93193554877435369</v>
      </c>
      <c r="AD21">
        <f>pm.rep!E128/$AP21</f>
        <v>0.89920693471043911</v>
      </c>
      <c r="AE21">
        <f>pm.rep!F128/$AP21</f>
        <v>0.87710003018007454</v>
      </c>
      <c r="AF21">
        <f>pm.rep!G128/$AP21</f>
        <v>0.86672143791288025</v>
      </c>
      <c r="AG21">
        <f>pm.rep!H128/$AP21</f>
        <v>0.86394654773481794</v>
      </c>
      <c r="AH21">
        <f>pm.rep!I128/$AP21</f>
        <v>0.907431004996479</v>
      </c>
      <c r="AI21">
        <f>pm.rep!J128/$AP21</f>
        <v>0.98654471681030154</v>
      </c>
      <c r="AJ21">
        <f>pm.rep!K128/$AP21</f>
        <v>1</v>
      </c>
      <c r="AK21">
        <f>pm.rep!L128/$AP21</f>
        <v>1</v>
      </c>
      <c r="AL21">
        <f>pm.rep!M128/$AP21</f>
        <v>1</v>
      </c>
      <c r="AM21">
        <f>pm.rep!N128/$AP21</f>
        <v>1</v>
      </c>
      <c r="AN21">
        <f>pm.rep!O128/$AP21</f>
        <v>1</v>
      </c>
      <c r="AO21">
        <f>pm.rep!P128/$AP21</f>
        <v>1</v>
      </c>
      <c r="AP21">
        <f>MAX(pm.rep!B128:P128)</f>
        <v>1.1928399999999999</v>
      </c>
      <c r="AR21">
        <v>1975</v>
      </c>
      <c r="AS21">
        <v>17836.099999999999</v>
      </c>
      <c r="AT21">
        <v>8507.0300000000007</v>
      </c>
      <c r="AU21">
        <v>5982.69</v>
      </c>
      <c r="AV21">
        <v>840.78499999999997</v>
      </c>
      <c r="AW21">
        <v>324.209</v>
      </c>
      <c r="AX21">
        <v>450.74099999999999</v>
      </c>
      <c r="AY21">
        <v>359.81799999999998</v>
      </c>
      <c r="AZ21">
        <v>192.684</v>
      </c>
      <c r="BA21">
        <v>123.026</v>
      </c>
      <c r="BB21">
        <v>28.821000000000002</v>
      </c>
      <c r="BC21">
        <v>23.908100000000001</v>
      </c>
      <c r="BD21">
        <v>2.0186700000000002</v>
      </c>
      <c r="BE21">
        <v>2.95736</v>
      </c>
      <c r="BF21">
        <v>1.3594599999999999</v>
      </c>
      <c r="BG21">
        <v>0.67225000000000001</v>
      </c>
      <c r="BJ21" s="31">
        <v>6.6E-3</v>
      </c>
      <c r="BK21" s="31">
        <v>0.17</v>
      </c>
      <c r="BL21" s="31">
        <v>0.30299999999999999</v>
      </c>
      <c r="BM21" s="31">
        <v>0.44700000000000001</v>
      </c>
      <c r="BN21" s="31">
        <v>0.58899999999999997</v>
      </c>
      <c r="BO21" s="31">
        <v>0.72199999999999998</v>
      </c>
      <c r="BP21" s="31">
        <v>0.84</v>
      </c>
      <c r="BQ21" s="31">
        <v>0.94199999999999995</v>
      </c>
      <c r="BR21" s="31">
        <v>1.0289999999999999</v>
      </c>
      <c r="BS21" s="31">
        <v>1.1020000000000001</v>
      </c>
      <c r="BT21" s="31">
        <v>1.163</v>
      </c>
      <c r="BU21" s="31">
        <v>1.212</v>
      </c>
      <c r="BV21" s="31">
        <v>1.2529999999999999</v>
      </c>
      <c r="BW21" s="31">
        <v>1.286</v>
      </c>
      <c r="BX21" s="31">
        <v>1.3120000000000001</v>
      </c>
      <c r="BZ21">
        <v>6.6E-3</v>
      </c>
      <c r="CA21">
        <v>0.17</v>
      </c>
      <c r="CB21">
        <v>0.30299999999999999</v>
      </c>
      <c r="CC21">
        <v>0.44700000000000001</v>
      </c>
      <c r="CD21">
        <v>0.58899999999999997</v>
      </c>
      <c r="CE21">
        <v>0.72199999999999998</v>
      </c>
      <c r="CF21">
        <v>0.84</v>
      </c>
      <c r="CG21">
        <v>0.94199999999999995</v>
      </c>
      <c r="CH21">
        <v>1.0289999999999999</v>
      </c>
      <c r="CI21">
        <v>1.1020000000000001</v>
      </c>
      <c r="CJ21">
        <v>1.163</v>
      </c>
      <c r="CK21">
        <v>1.212</v>
      </c>
      <c r="CL21">
        <v>1.2529999999999999</v>
      </c>
      <c r="CM21">
        <v>1.286</v>
      </c>
      <c r="CN21">
        <v>1.3120000000000001</v>
      </c>
    </row>
    <row r="22" spans="1:92" x14ac:dyDescent="0.15">
      <c r="A22">
        <f t="shared" si="0"/>
        <v>1976</v>
      </c>
      <c r="C22" s="27">
        <f t="shared" si="2"/>
        <v>1105.4885643242571</v>
      </c>
      <c r="D22" s="27">
        <f t="shared" si="3"/>
        <v>1066.149854106</v>
      </c>
      <c r="E22" s="27" t="e">
        <f t="shared" si="4"/>
        <v>#VALUE!</v>
      </c>
      <c r="F22" s="27"/>
      <c r="G22" s="27">
        <f t="shared" si="1"/>
        <v>3526.5937936908058</v>
      </c>
      <c r="H22" s="27" t="e">
        <f t="shared" si="5"/>
        <v>#VALUE!</v>
      </c>
      <c r="I22">
        <f>pm.rep!A75</f>
        <v>1976</v>
      </c>
      <c r="J22" s="27">
        <f>pm.rep!B75</f>
        <v>13137.6</v>
      </c>
      <c r="K22" s="27">
        <f>pm.rep!C75</f>
        <v>6908.76</v>
      </c>
      <c r="L22" s="27">
        <f>pm.rep!D75</f>
        <v>4528.26</v>
      </c>
      <c r="M22" s="27">
        <f>pm.rep!E75</f>
        <v>2610.36</v>
      </c>
      <c r="N22" s="27">
        <f>pm.rep!F75</f>
        <v>527.30100000000004</v>
      </c>
      <c r="O22" s="27">
        <f>pm.rep!G75</f>
        <v>322.14400000000001</v>
      </c>
      <c r="P22" s="27">
        <f>pm.rep!H75</f>
        <v>261.58499999999998</v>
      </c>
      <c r="Q22" s="27">
        <f>pm.rep!I75</f>
        <v>155.39599999999999</v>
      </c>
      <c r="R22" s="27">
        <f>pm.rep!J75</f>
        <v>72.983000000000004</v>
      </c>
      <c r="S22" s="27">
        <f>pm.rep!K75</f>
        <v>45.087699999999998</v>
      </c>
      <c r="T22" s="27">
        <f>pm.rep!L75</f>
        <v>14.4474</v>
      </c>
      <c r="U22" s="27">
        <f>pm.rep!M75</f>
        <v>10.7691</v>
      </c>
      <c r="V22" s="27">
        <f>pm.rep!N75</f>
        <v>1.8380799999999999</v>
      </c>
      <c r="W22" s="27">
        <f>pm.rep!O75</f>
        <v>1.40158</v>
      </c>
      <c r="X22" s="27">
        <f>pm.rep!P75</f>
        <v>1.38947</v>
      </c>
      <c r="Z22">
        <f>pm.rep!A129</f>
        <v>1976</v>
      </c>
      <c r="AA22">
        <f>pm.rep!B129/$AP22</f>
        <v>9.1942152246916094E-3</v>
      </c>
      <c r="AB22">
        <f>pm.rep!C129/$AP22</f>
        <v>0.21213824060480266</v>
      </c>
      <c r="AC22">
        <f>pm.rep!D129/$AP22</f>
        <v>0.85007340657115382</v>
      </c>
      <c r="AD22">
        <f>pm.rep!E129/$AP22</f>
        <v>0.96211545925513431</v>
      </c>
      <c r="AE22">
        <f>pm.rep!F129/$AP22</f>
        <v>0.9263234276649962</v>
      </c>
      <c r="AF22">
        <f>pm.rep!G129/$AP22</f>
        <v>0.90472333316458264</v>
      </c>
      <c r="AG22">
        <f>pm.rep!H129/$AP22</f>
        <v>0.8960073575321893</v>
      </c>
      <c r="AH22">
        <f>pm.rep!I129/$AP22</f>
        <v>0.90928804063517776</v>
      </c>
      <c r="AI22">
        <f>pm.rep!J129/$AP22</f>
        <v>0.98644931571575634</v>
      </c>
      <c r="AJ22">
        <f>pm.rep!K129/$AP22</f>
        <v>1</v>
      </c>
      <c r="AK22">
        <f>pm.rep!L129/$AP22</f>
        <v>1</v>
      </c>
      <c r="AL22">
        <f>pm.rep!M129/$AP22</f>
        <v>1</v>
      </c>
      <c r="AM22">
        <f>pm.rep!N129/$AP22</f>
        <v>1</v>
      </c>
      <c r="AN22">
        <f>pm.rep!O129/$AP22</f>
        <v>1</v>
      </c>
      <c r="AO22">
        <f>pm.rep!P129/$AP22</f>
        <v>1</v>
      </c>
      <c r="AP22">
        <f>MAX(pm.rep!B129:P129)</f>
        <v>1.1851799999999999</v>
      </c>
      <c r="AR22">
        <v>1976</v>
      </c>
      <c r="AS22">
        <v>13299.6</v>
      </c>
      <c r="AT22">
        <v>7233.7</v>
      </c>
      <c r="AU22">
        <v>4828.1899999999996</v>
      </c>
      <c r="AV22">
        <v>2592.63</v>
      </c>
      <c r="AW22">
        <v>369.14</v>
      </c>
      <c r="AX22">
        <v>143.30699999999999</v>
      </c>
      <c r="AY22">
        <v>200.142</v>
      </c>
      <c r="AZ22">
        <v>159.898</v>
      </c>
      <c r="BA22">
        <v>83.806399999999996</v>
      </c>
      <c r="BB22">
        <v>51.003500000000003</v>
      </c>
      <c r="BC22">
        <v>10.870699999999999</v>
      </c>
      <c r="BD22">
        <v>9.0176200000000009</v>
      </c>
      <c r="BE22">
        <v>0.76139900000000005</v>
      </c>
      <c r="BF22">
        <v>1.1154500000000001</v>
      </c>
      <c r="BG22">
        <v>0.76631499999999997</v>
      </c>
      <c r="BJ22" s="31">
        <v>6.6E-3</v>
      </c>
      <c r="BK22" s="31">
        <v>0.17</v>
      </c>
      <c r="BL22" s="31">
        <v>0.30299999999999999</v>
      </c>
      <c r="BM22" s="31">
        <v>0.44700000000000001</v>
      </c>
      <c r="BN22" s="31">
        <v>0.58899999999999997</v>
      </c>
      <c r="BO22" s="31">
        <v>0.72199999999999998</v>
      </c>
      <c r="BP22" s="31">
        <v>0.84</v>
      </c>
      <c r="BQ22" s="31">
        <v>0.94199999999999995</v>
      </c>
      <c r="BR22" s="31">
        <v>1.0289999999999999</v>
      </c>
      <c r="BS22" s="31">
        <v>1.1020000000000001</v>
      </c>
      <c r="BT22" s="31">
        <v>1.163</v>
      </c>
      <c r="BU22" s="31">
        <v>1.212</v>
      </c>
      <c r="BV22" s="31">
        <v>1.2529999999999999</v>
      </c>
      <c r="BW22" s="31">
        <v>1.286</v>
      </c>
      <c r="BX22" s="31">
        <v>1.3120000000000001</v>
      </c>
      <c r="BZ22">
        <v>6.6E-3</v>
      </c>
      <c r="CA22">
        <v>0.17</v>
      </c>
      <c r="CB22">
        <v>0.30299999999999999</v>
      </c>
      <c r="CC22">
        <v>0.44700000000000001</v>
      </c>
      <c r="CD22">
        <v>0.58899999999999997</v>
      </c>
      <c r="CE22">
        <v>0.72199999999999998</v>
      </c>
      <c r="CF22">
        <v>0.84</v>
      </c>
      <c r="CG22">
        <v>0.94199999999999995</v>
      </c>
      <c r="CH22">
        <v>1.0289999999999999</v>
      </c>
      <c r="CI22">
        <v>1.1020000000000001</v>
      </c>
      <c r="CJ22">
        <v>1.163</v>
      </c>
      <c r="CK22">
        <v>1.212</v>
      </c>
      <c r="CL22">
        <v>1.2529999999999999</v>
      </c>
      <c r="CM22">
        <v>1.286</v>
      </c>
      <c r="CN22">
        <v>1.3120000000000001</v>
      </c>
    </row>
    <row r="23" spans="1:92" x14ac:dyDescent="0.15">
      <c r="A23">
        <f t="shared" si="0"/>
        <v>1977</v>
      </c>
      <c r="B23" s="27">
        <v>950</v>
      </c>
      <c r="C23" s="27">
        <f t="shared" si="2"/>
        <v>1083.4656531468706</v>
      </c>
      <c r="D23" s="27">
        <f t="shared" si="3"/>
        <v>1087.2829400485</v>
      </c>
      <c r="E23" s="27" t="e">
        <f t="shared" si="4"/>
        <v>#VALUE!</v>
      </c>
      <c r="F23" s="27"/>
      <c r="G23" s="27">
        <f t="shared" si="1"/>
        <v>3190.3339890774087</v>
      </c>
      <c r="H23" s="27" t="e">
        <f t="shared" si="5"/>
        <v>#VALUE!</v>
      </c>
      <c r="I23">
        <f>pm.rep!A76</f>
        <v>1977</v>
      </c>
      <c r="J23" s="27">
        <f>pm.rep!B76</f>
        <v>13755.3</v>
      </c>
      <c r="K23" s="27">
        <f>pm.rep!C76</f>
        <v>5318.47</v>
      </c>
      <c r="L23" s="27">
        <f>pm.rep!D76</f>
        <v>3989.97</v>
      </c>
      <c r="M23" s="27">
        <f>pm.rep!E76</f>
        <v>2256.02</v>
      </c>
      <c r="N23" s="27">
        <f>pm.rep!F76</f>
        <v>1234.25</v>
      </c>
      <c r="O23" s="27">
        <f>pm.rep!G76</f>
        <v>253.52199999999999</v>
      </c>
      <c r="P23" s="27">
        <f>pm.rep!H76</f>
        <v>156.45400000000001</v>
      </c>
      <c r="Q23" s="27">
        <f>pm.rep!I76</f>
        <v>127.56</v>
      </c>
      <c r="R23" s="27">
        <f>pm.rep!J76</f>
        <v>75.309100000000001</v>
      </c>
      <c r="S23" s="27">
        <f>pm.rep!K76</f>
        <v>34.118600000000001</v>
      </c>
      <c r="T23" s="27">
        <f>pm.rep!L76</f>
        <v>20.945</v>
      </c>
      <c r="U23" s="27">
        <f>pm.rep!M76</f>
        <v>6.7114099999999999</v>
      </c>
      <c r="V23" s="27">
        <f>pm.rep!N76</f>
        <v>5.0026799999999998</v>
      </c>
      <c r="W23" s="27">
        <f>pm.rep!O76</f>
        <v>0.85385999999999995</v>
      </c>
      <c r="X23" s="27">
        <f>pm.rep!P76</f>
        <v>1.2965500000000001</v>
      </c>
      <c r="Z23">
        <f>pm.rep!A130</f>
        <v>1977</v>
      </c>
      <c r="AA23">
        <f>pm.rep!B130/$AP23</f>
        <v>7.3940514883747994E-3</v>
      </c>
      <c r="AB23">
        <f>pm.rep!C130/$AP23</f>
        <v>0.20923947829990275</v>
      </c>
      <c r="AC23">
        <f>pm.rep!D130/$AP23</f>
        <v>0.72342164107764817</v>
      </c>
      <c r="AD23">
        <f>pm.rep!E130/$AP23</f>
        <v>0.8885194390643314</v>
      </c>
      <c r="AE23">
        <f>pm.rep!F130/$AP23</f>
        <v>0.93419729174806121</v>
      </c>
      <c r="AF23">
        <f>pm.rep!G130/$AP23</f>
        <v>0.91735592149560674</v>
      </c>
      <c r="AG23">
        <f>pm.rep!H130/$AP23</f>
        <v>0.90714802284308271</v>
      </c>
      <c r="AH23">
        <f>pm.rep!I130/$AP23</f>
        <v>0.90526105786415523</v>
      </c>
      <c r="AI23">
        <f>pm.rep!J130/$AP23</f>
        <v>0.9764170940739324</v>
      </c>
      <c r="AJ23">
        <f>pm.rep!K130/$AP23</f>
        <v>1</v>
      </c>
      <c r="AK23">
        <f>pm.rep!L130/$AP23</f>
        <v>1</v>
      </c>
      <c r="AL23">
        <f>pm.rep!M130/$AP23</f>
        <v>1</v>
      </c>
      <c r="AM23">
        <f>pm.rep!N130/$AP23</f>
        <v>1</v>
      </c>
      <c r="AN23">
        <f>pm.rep!O130/$AP23</f>
        <v>1</v>
      </c>
      <c r="AO23">
        <f>pm.rep!P130/$AP23</f>
        <v>1</v>
      </c>
      <c r="AP23">
        <f>MAX(pm.rep!B130:P130)</f>
        <v>1.20299</v>
      </c>
      <c r="AR23">
        <v>1977</v>
      </c>
      <c r="AS23">
        <v>13657.6</v>
      </c>
      <c r="AT23">
        <v>5396.46</v>
      </c>
      <c r="AU23">
        <v>4190.59</v>
      </c>
      <c r="AV23">
        <v>2407.12</v>
      </c>
      <c r="AW23">
        <v>1173.06</v>
      </c>
      <c r="AX23">
        <v>170.011</v>
      </c>
      <c r="AY23">
        <v>66.567499999999995</v>
      </c>
      <c r="AZ23">
        <v>93.3078</v>
      </c>
      <c r="BA23">
        <v>73.391000000000005</v>
      </c>
      <c r="BB23">
        <v>37.145400000000002</v>
      </c>
      <c r="BC23">
        <v>21.552099999999999</v>
      </c>
      <c r="BD23">
        <v>4.5935300000000003</v>
      </c>
      <c r="BE23">
        <v>3.8105099999999998</v>
      </c>
      <c r="BF23">
        <v>0.32173800000000002</v>
      </c>
      <c r="BG23">
        <v>0.79516200000000004</v>
      </c>
      <c r="BJ23" s="31">
        <v>6.6E-3</v>
      </c>
      <c r="BK23" s="31">
        <v>0.17</v>
      </c>
      <c r="BL23" s="31">
        <v>0.30299999999999999</v>
      </c>
      <c r="BM23" s="31">
        <v>0.44700000000000001</v>
      </c>
      <c r="BN23" s="31">
        <v>0.58899999999999997</v>
      </c>
      <c r="BO23" s="31">
        <v>0.72199999999999998</v>
      </c>
      <c r="BP23" s="31">
        <v>0.84</v>
      </c>
      <c r="BQ23" s="31">
        <v>0.94199999999999995</v>
      </c>
      <c r="BR23" s="31">
        <v>1.0289999999999999</v>
      </c>
      <c r="BS23" s="31">
        <v>1.1020000000000001</v>
      </c>
      <c r="BT23" s="31">
        <v>1.163</v>
      </c>
      <c r="BU23" s="31">
        <v>1.212</v>
      </c>
      <c r="BV23" s="31">
        <v>1.2529999999999999</v>
      </c>
      <c r="BW23" s="31">
        <v>1.286</v>
      </c>
      <c r="BX23" s="31">
        <v>1.3120000000000001</v>
      </c>
      <c r="BZ23">
        <v>6.6E-3</v>
      </c>
      <c r="CA23">
        <v>0.17</v>
      </c>
      <c r="CB23">
        <v>0.30299999999999999</v>
      </c>
      <c r="CC23">
        <v>0.44700000000000001</v>
      </c>
      <c r="CD23">
        <v>0.58899999999999997</v>
      </c>
      <c r="CE23">
        <v>0.72199999999999998</v>
      </c>
      <c r="CF23">
        <v>0.84</v>
      </c>
      <c r="CG23">
        <v>0.94199999999999995</v>
      </c>
      <c r="CH23">
        <v>1.0289999999999999</v>
      </c>
      <c r="CI23">
        <v>1.1020000000000001</v>
      </c>
      <c r="CJ23">
        <v>1.163</v>
      </c>
      <c r="CK23">
        <v>1.212</v>
      </c>
      <c r="CL23">
        <v>1.2529999999999999</v>
      </c>
      <c r="CM23">
        <v>1.286</v>
      </c>
      <c r="CN23">
        <v>1.3120000000000001</v>
      </c>
    </row>
    <row r="24" spans="1:92" x14ac:dyDescent="0.15">
      <c r="A24">
        <f t="shared" si="0"/>
        <v>1978</v>
      </c>
      <c r="B24" s="27">
        <v>950</v>
      </c>
      <c r="C24" s="27">
        <f t="shared" si="2"/>
        <v>1133.84802015834</v>
      </c>
      <c r="D24" s="27">
        <f t="shared" si="3"/>
        <v>1100.3994973224997</v>
      </c>
      <c r="E24" s="27" t="e">
        <f t="shared" si="4"/>
        <v>#VALUE!</v>
      </c>
      <c r="F24" s="27"/>
      <c r="G24" s="27">
        <f t="shared" si="1"/>
        <v>2938.7025783978147</v>
      </c>
      <c r="H24" s="27" t="e">
        <f t="shared" si="5"/>
        <v>#VALUE!</v>
      </c>
      <c r="I24">
        <f>pm.rep!A77</f>
        <v>1978</v>
      </c>
      <c r="J24" s="27">
        <f>pm.rep!B77</f>
        <v>25352.3</v>
      </c>
      <c r="K24" s="27">
        <f>pm.rep!C77</f>
        <v>5575.28</v>
      </c>
      <c r="L24" s="27">
        <f>pm.rep!D77</f>
        <v>3107.72</v>
      </c>
      <c r="M24" s="27">
        <f>pm.rep!E77</f>
        <v>2185.7800000000002</v>
      </c>
      <c r="N24" s="27">
        <f>pm.rep!F77</f>
        <v>1153.6300000000001</v>
      </c>
      <c r="O24" s="27">
        <f>pm.rep!G77</f>
        <v>619.22400000000005</v>
      </c>
      <c r="P24" s="27">
        <f>pm.rep!H77</f>
        <v>128.09</v>
      </c>
      <c r="Q24" s="27">
        <f>pm.rep!I77</f>
        <v>79.384</v>
      </c>
      <c r="R24" s="27">
        <f>pm.rep!J77</f>
        <v>64.774100000000004</v>
      </c>
      <c r="S24" s="27">
        <f>pm.rep!K77</f>
        <v>37.122999999999998</v>
      </c>
      <c r="T24" s="27">
        <f>pm.rep!L77</f>
        <v>16.6539</v>
      </c>
      <c r="U24" s="27">
        <f>pm.rep!M77</f>
        <v>10.223599999999999</v>
      </c>
      <c r="V24" s="27">
        <f>pm.rep!N77</f>
        <v>3.27596</v>
      </c>
      <c r="W24" s="27">
        <f>pm.rep!O77</f>
        <v>2.4419</v>
      </c>
      <c r="X24" s="27">
        <f>pm.rep!P77</f>
        <v>1.04965</v>
      </c>
      <c r="Z24">
        <f>pm.rep!A131</f>
        <v>1978</v>
      </c>
      <c r="AA24">
        <f>pm.rep!B131/$AP24</f>
        <v>5.6083404352956596E-3</v>
      </c>
      <c r="AB24">
        <f>pm.rep!C131/$AP24</f>
        <v>0.1736732988068703</v>
      </c>
      <c r="AC24">
        <f>pm.rep!D131/$AP24</f>
        <v>0.66145027533761636</v>
      </c>
      <c r="AD24">
        <f>pm.rep!E131/$AP24</f>
        <v>0.82261210174380484</v>
      </c>
      <c r="AE24">
        <f>pm.rep!F131/$AP24</f>
        <v>0.9229546348498755</v>
      </c>
      <c r="AF24">
        <f>pm.rep!G131/$AP24</f>
        <v>0.91086764127441977</v>
      </c>
      <c r="AG24">
        <f>pm.rep!H131/$AP24</f>
        <v>0.91012193523010354</v>
      </c>
      <c r="AH24">
        <f>pm.rep!I131/$AP24</f>
        <v>0.90895011144617799</v>
      </c>
      <c r="AI24">
        <f>pm.rep!J131/$AP24</f>
        <v>0.97561295397928416</v>
      </c>
      <c r="AJ24">
        <f>pm.rep!K131/$AP24</f>
        <v>1</v>
      </c>
      <c r="AK24">
        <f>pm.rep!L131/$AP24</f>
        <v>1</v>
      </c>
      <c r="AL24">
        <f>pm.rep!M131/$AP24</f>
        <v>1</v>
      </c>
      <c r="AM24">
        <f>pm.rep!N131/$AP24</f>
        <v>1</v>
      </c>
      <c r="AN24">
        <f>pm.rep!O131/$AP24</f>
        <v>1</v>
      </c>
      <c r="AO24">
        <f>pm.rep!P131/$AP24</f>
        <v>1</v>
      </c>
      <c r="AP24">
        <f>MAX(pm.rep!B131:P131)</f>
        <v>1.2203200000000001</v>
      </c>
      <c r="AR24">
        <v>1978</v>
      </c>
      <c r="AS24">
        <v>26336.1</v>
      </c>
      <c r="AT24">
        <v>5544.02</v>
      </c>
      <c r="AU24">
        <v>3150.41</v>
      </c>
      <c r="AV24">
        <v>2291.86</v>
      </c>
      <c r="AW24">
        <v>1220.49</v>
      </c>
      <c r="AX24">
        <v>576.66899999999998</v>
      </c>
      <c r="AY24">
        <v>84.257400000000004</v>
      </c>
      <c r="AZ24">
        <v>33.020899999999997</v>
      </c>
      <c r="BA24">
        <v>45.445500000000003</v>
      </c>
      <c r="BB24">
        <v>34.994999999999997</v>
      </c>
      <c r="BC24">
        <v>17.566199999999998</v>
      </c>
      <c r="BD24">
        <v>10.1921</v>
      </c>
      <c r="BE24">
        <v>2.1722999999999999</v>
      </c>
      <c r="BF24">
        <v>1.8020099999999999</v>
      </c>
      <c r="BG24">
        <v>0.52818699999999996</v>
      </c>
      <c r="BJ24" s="31">
        <v>6.6E-3</v>
      </c>
      <c r="BK24" s="31">
        <v>0.17</v>
      </c>
      <c r="BL24" s="31">
        <v>0.30299999999999999</v>
      </c>
      <c r="BM24" s="31">
        <v>0.44700000000000001</v>
      </c>
      <c r="BN24" s="31">
        <v>0.58899999999999997</v>
      </c>
      <c r="BO24" s="31">
        <v>0.72199999999999998</v>
      </c>
      <c r="BP24" s="31">
        <v>0.84</v>
      </c>
      <c r="BQ24" s="31">
        <v>0.94199999999999995</v>
      </c>
      <c r="BR24" s="31">
        <v>1.0289999999999999</v>
      </c>
      <c r="BS24" s="31">
        <v>1.1020000000000001</v>
      </c>
      <c r="BT24" s="31">
        <v>1.163</v>
      </c>
      <c r="BU24" s="31">
        <v>1.212</v>
      </c>
      <c r="BV24" s="31">
        <v>1.2529999999999999</v>
      </c>
      <c r="BW24" s="31">
        <v>1.286</v>
      </c>
      <c r="BX24" s="31">
        <v>1.3120000000000001</v>
      </c>
      <c r="BZ24">
        <v>6.6E-3</v>
      </c>
      <c r="CA24">
        <v>0.17</v>
      </c>
      <c r="CB24">
        <v>0.30299999999999999</v>
      </c>
      <c r="CC24">
        <v>0.44700000000000001</v>
      </c>
      <c r="CD24">
        <v>0.58899999999999997</v>
      </c>
      <c r="CE24">
        <v>0.72199999999999998</v>
      </c>
      <c r="CF24">
        <v>0.84</v>
      </c>
      <c r="CG24">
        <v>0.94199999999999995</v>
      </c>
      <c r="CH24">
        <v>1.0289999999999999</v>
      </c>
      <c r="CI24">
        <v>1.1020000000000001</v>
      </c>
      <c r="CJ24">
        <v>1.163</v>
      </c>
      <c r="CK24">
        <v>1.212</v>
      </c>
      <c r="CL24">
        <v>1.2529999999999999</v>
      </c>
      <c r="CM24">
        <v>1.286</v>
      </c>
      <c r="CN24">
        <v>1.3120000000000001</v>
      </c>
    </row>
    <row r="25" spans="1:92" x14ac:dyDescent="0.15">
      <c r="A25">
        <f t="shared" si="0"/>
        <v>1979</v>
      </c>
      <c r="B25" s="27">
        <v>1100</v>
      </c>
      <c r="C25" s="27">
        <f t="shared" si="2"/>
        <v>1170.8632893223939</v>
      </c>
      <c r="D25" s="27">
        <f t="shared" si="3"/>
        <v>1056.4578532540997</v>
      </c>
      <c r="E25" s="27" t="e">
        <f t="shared" si="4"/>
        <v>#VALUE!</v>
      </c>
      <c r="F25" s="27"/>
      <c r="G25" s="27">
        <f t="shared" si="1"/>
        <v>2681.5976714309577</v>
      </c>
      <c r="H25" s="27" t="e">
        <f t="shared" si="5"/>
        <v>#VALUE!</v>
      </c>
      <c r="I25">
        <f>pm.rep!A78</f>
        <v>1979</v>
      </c>
      <c r="J25" s="27">
        <f>pm.rep!B78</f>
        <v>61942.6</v>
      </c>
      <c r="K25" s="27">
        <f>pm.rep!C78</f>
        <v>10281</v>
      </c>
      <c r="L25" s="27">
        <f>pm.rep!D78</f>
        <v>3282.92</v>
      </c>
      <c r="M25" s="27">
        <f>pm.rep!E78</f>
        <v>1700.1</v>
      </c>
      <c r="N25" s="27">
        <f>pm.rep!F78</f>
        <v>1110.5899999999999</v>
      </c>
      <c r="O25" s="27">
        <f>pm.rep!G78</f>
        <v>559.80700000000002</v>
      </c>
      <c r="P25" s="27">
        <f>pm.rep!H78</f>
        <v>302.154</v>
      </c>
      <c r="Q25" s="27">
        <f>pm.rep!I78</f>
        <v>62.523200000000003</v>
      </c>
      <c r="R25" s="27">
        <f>pm.rep!J78</f>
        <v>38.7699</v>
      </c>
      <c r="S25" s="27">
        <f>pm.rep!K78</f>
        <v>30.682600000000001</v>
      </c>
      <c r="T25" s="27">
        <f>pm.rep!L78</f>
        <v>17.389199999999999</v>
      </c>
      <c r="U25" s="27">
        <f>pm.rep!M78</f>
        <v>7.8010099999999998</v>
      </c>
      <c r="V25" s="27">
        <f>pm.rep!N78</f>
        <v>4.7889600000000003</v>
      </c>
      <c r="W25" s="27">
        <f>pm.rep!O78</f>
        <v>1.5345299999999999</v>
      </c>
      <c r="X25" s="27">
        <f>pm.rep!P78</f>
        <v>1.63551</v>
      </c>
      <c r="Z25">
        <f>pm.rep!A132</f>
        <v>1979</v>
      </c>
      <c r="AA25">
        <f>pm.rep!B132/$AP25</f>
        <v>4.362102483516127E-3</v>
      </c>
      <c r="AB25">
        <f>pm.rep!C132/$AP25</f>
        <v>0.11094739741118149</v>
      </c>
      <c r="AC25">
        <f>pm.rep!D132/$AP25</f>
        <v>0.52379833784243524</v>
      </c>
      <c r="AD25">
        <f>pm.rep!E132/$AP25</f>
        <v>0.73538807977060283</v>
      </c>
      <c r="AE25">
        <f>pm.rep!F132/$AP25</f>
        <v>0.9329871855103925</v>
      </c>
      <c r="AF25">
        <f>pm.rep!G132/$AP25</f>
        <v>0.95783044696810149</v>
      </c>
      <c r="AG25">
        <f>pm.rep!H132/$AP25</f>
        <v>0.94405203557600403</v>
      </c>
      <c r="AH25">
        <f>pm.rep!I132/$AP25</f>
        <v>0.94329871855103919</v>
      </c>
      <c r="AI25">
        <f>pm.rep!J132/$AP25</f>
        <v>0.99761044599607951</v>
      </c>
      <c r="AJ25">
        <f>pm.rep!K132/$AP25</f>
        <v>1</v>
      </c>
      <c r="AK25">
        <f>pm.rep!L132/$AP25</f>
        <v>1</v>
      </c>
      <c r="AL25">
        <f>pm.rep!M132/$AP25</f>
        <v>1</v>
      </c>
      <c r="AM25">
        <f>pm.rep!N132/$AP25</f>
        <v>1</v>
      </c>
      <c r="AN25">
        <f>pm.rep!O132/$AP25</f>
        <v>1</v>
      </c>
      <c r="AO25">
        <f>pm.rep!P132/$AP25</f>
        <v>1</v>
      </c>
      <c r="AP25">
        <f>MAX(pm.rep!B132:P132)</f>
        <v>1.23454</v>
      </c>
      <c r="AR25">
        <v>1979</v>
      </c>
      <c r="AS25">
        <v>63857</v>
      </c>
      <c r="AT25">
        <v>10691.1</v>
      </c>
      <c r="AU25">
        <v>3246.75</v>
      </c>
      <c r="AV25">
        <v>1706.31</v>
      </c>
      <c r="AW25">
        <v>1162.29</v>
      </c>
      <c r="AX25">
        <v>593.86599999999999</v>
      </c>
      <c r="AY25">
        <v>283.44600000000003</v>
      </c>
      <c r="AZ25">
        <v>40.372399999999999</v>
      </c>
      <c r="BA25">
        <v>15.3498</v>
      </c>
      <c r="BB25">
        <v>20.880299999999998</v>
      </c>
      <c r="BC25">
        <v>16.108799999999999</v>
      </c>
      <c r="BD25">
        <v>8.0860000000000003</v>
      </c>
      <c r="BE25">
        <v>4.6915800000000001</v>
      </c>
      <c r="BF25">
        <v>0.99994300000000003</v>
      </c>
      <c r="BG25">
        <v>1.0726199999999999</v>
      </c>
      <c r="BJ25" s="31">
        <v>6.6E-3</v>
      </c>
      <c r="BK25" s="31">
        <v>0.17</v>
      </c>
      <c r="BL25" s="31">
        <v>0.30299999999999999</v>
      </c>
      <c r="BM25" s="31">
        <v>0.44700000000000001</v>
      </c>
      <c r="BN25" s="31">
        <v>0.58899999999999997</v>
      </c>
      <c r="BO25" s="31">
        <v>0.72199999999999998</v>
      </c>
      <c r="BP25" s="31">
        <v>0.84</v>
      </c>
      <c r="BQ25" s="31">
        <v>0.94199999999999995</v>
      </c>
      <c r="BR25" s="31">
        <v>1.0289999999999999</v>
      </c>
      <c r="BS25" s="31">
        <v>1.1020000000000001</v>
      </c>
      <c r="BT25" s="31">
        <v>1.163</v>
      </c>
      <c r="BU25" s="31">
        <v>1.212</v>
      </c>
      <c r="BV25" s="31">
        <v>1.2529999999999999</v>
      </c>
      <c r="BW25" s="31">
        <v>1.286</v>
      </c>
      <c r="BX25" s="31">
        <v>1.3120000000000001</v>
      </c>
      <c r="BZ25">
        <v>6.6E-3</v>
      </c>
      <c r="CA25">
        <v>0.17</v>
      </c>
      <c r="CB25">
        <v>0.30299999999999999</v>
      </c>
      <c r="CC25">
        <v>0.44700000000000001</v>
      </c>
      <c r="CD25">
        <v>0.58899999999999997</v>
      </c>
      <c r="CE25">
        <v>0.72199999999999998</v>
      </c>
      <c r="CF25">
        <v>0.84</v>
      </c>
      <c r="CG25">
        <v>0.94199999999999995</v>
      </c>
      <c r="CH25">
        <v>1.0289999999999999</v>
      </c>
      <c r="CI25">
        <v>1.1020000000000001</v>
      </c>
      <c r="CJ25">
        <v>1.163</v>
      </c>
      <c r="CK25">
        <v>1.212</v>
      </c>
      <c r="CL25">
        <v>1.2529999999999999</v>
      </c>
      <c r="CM25">
        <v>1.286</v>
      </c>
      <c r="CN25">
        <v>1.3120000000000001</v>
      </c>
    </row>
    <row r="26" spans="1:92" x14ac:dyDescent="0.15">
      <c r="A26">
        <f t="shared" si="0"/>
        <v>1980</v>
      </c>
      <c r="B26" s="27">
        <v>1300</v>
      </c>
      <c r="C26" s="27">
        <f t="shared" si="2"/>
        <v>1289.1861102109792</v>
      </c>
      <c r="D26" s="27">
        <f t="shared" si="3"/>
        <v>1161.3866901985002</v>
      </c>
      <c r="E26" s="27" t="e">
        <f t="shared" si="4"/>
        <v>#VALUE!</v>
      </c>
      <c r="F26" s="27"/>
      <c r="G26" s="27">
        <f t="shared" si="1"/>
        <v>2866.1268273341652</v>
      </c>
      <c r="H26" s="27" t="e">
        <f t="shared" si="5"/>
        <v>#VALUE!</v>
      </c>
      <c r="I26">
        <f>pm.rep!A79</f>
        <v>1980</v>
      </c>
      <c r="J26" s="27">
        <f>pm.rep!B79</f>
        <v>27184.1</v>
      </c>
      <c r="K26" s="27">
        <f>pm.rep!C79</f>
        <v>25131.3</v>
      </c>
      <c r="L26" s="27">
        <f>pm.rep!D79</f>
        <v>6215.44</v>
      </c>
      <c r="M26" s="27">
        <f>pm.rep!E79</f>
        <v>1891.33</v>
      </c>
      <c r="N26" s="27">
        <f>pm.rep!F79</f>
        <v>884.84900000000005</v>
      </c>
      <c r="O26" s="27">
        <f>pm.rep!G79</f>
        <v>525.71699999999998</v>
      </c>
      <c r="P26" s="27">
        <f>pm.rep!H79</f>
        <v>261.85300000000001</v>
      </c>
      <c r="Q26" s="27">
        <f>pm.rep!I79</f>
        <v>142.27199999999999</v>
      </c>
      <c r="R26" s="27">
        <f>pm.rep!J79</f>
        <v>29.450299999999999</v>
      </c>
      <c r="S26" s="27">
        <f>pm.rep!K79</f>
        <v>17.791799999999999</v>
      </c>
      <c r="T26" s="27">
        <f>pm.rep!L79</f>
        <v>14.064299999999999</v>
      </c>
      <c r="U26" s="27">
        <f>pm.rep!M79</f>
        <v>7.9708800000000002</v>
      </c>
      <c r="V26" s="27">
        <f>pm.rep!N79</f>
        <v>3.5758399999999999</v>
      </c>
      <c r="W26" s="27">
        <f>pm.rep!O79</f>
        <v>2.1951700000000001</v>
      </c>
      <c r="X26" s="27">
        <f>pm.rep!P79</f>
        <v>1.45309</v>
      </c>
      <c r="Z26">
        <f>pm.rep!A133</f>
        <v>1980</v>
      </c>
      <c r="AA26">
        <f>pm.rep!B133/$AP26</f>
        <v>3.3005522650872417E-3</v>
      </c>
      <c r="AB26">
        <f>pm.rep!C133/$AP26</f>
        <v>6.1775652313110288E-2</v>
      </c>
      <c r="AC26">
        <f>pm.rep!D133/$AP26</f>
        <v>0.36474147590843603</v>
      </c>
      <c r="AD26">
        <f>pm.rep!E133/$AP26</f>
        <v>0.7220593885064831</v>
      </c>
      <c r="AE26">
        <f>pm.rep!F133/$AP26</f>
        <v>0.9458139907155434</v>
      </c>
      <c r="AF26">
        <f>pm.rep!G133/$AP26</f>
        <v>1</v>
      </c>
      <c r="AG26">
        <f>pm.rep!H133/$AP26</f>
        <v>0.98433648151112529</v>
      </c>
      <c r="AH26">
        <f>pm.rep!I133/$AP26</f>
        <v>0.97537217864574999</v>
      </c>
      <c r="AI26">
        <f>pm.rep!J133/$AP26</f>
        <v>0.99302064991195771</v>
      </c>
      <c r="AJ26">
        <f>pm.rep!K133/$AP26</f>
        <v>0.99255642708500069</v>
      </c>
      <c r="AK26">
        <f>pm.rep!L133/$AP26</f>
        <v>0.99255642708500069</v>
      </c>
      <c r="AL26">
        <f>pm.rep!M133/$AP26</f>
        <v>0.99255642708500069</v>
      </c>
      <c r="AM26">
        <f>pm.rep!N133/$AP26</f>
        <v>0.99255642708500069</v>
      </c>
      <c r="AN26">
        <f>pm.rep!O133/$AP26</f>
        <v>0.99255642708500069</v>
      </c>
      <c r="AO26">
        <f>pm.rep!P133/$AP26</f>
        <v>0.99255642708500069</v>
      </c>
      <c r="AP26">
        <f>MAX(pm.rep!B133:P133)</f>
        <v>1.2494000000000001</v>
      </c>
      <c r="AR26">
        <v>1980</v>
      </c>
      <c r="AS26">
        <v>25589.1</v>
      </c>
      <c r="AT26">
        <v>25927.599999999999</v>
      </c>
      <c r="AU26">
        <v>6452.73</v>
      </c>
      <c r="AV26">
        <v>1848.68</v>
      </c>
      <c r="AW26">
        <v>892.44399999999996</v>
      </c>
      <c r="AX26">
        <v>550.86800000000005</v>
      </c>
      <c r="AY26">
        <v>281.18</v>
      </c>
      <c r="AZ26">
        <v>135.142</v>
      </c>
      <c r="BA26">
        <v>18.5425</v>
      </c>
      <c r="BB26">
        <v>6.9872899999999998</v>
      </c>
      <c r="BC26">
        <v>9.5162999999999993</v>
      </c>
      <c r="BD26">
        <v>7.3416600000000001</v>
      </c>
      <c r="BE26">
        <v>3.6852399999999998</v>
      </c>
      <c r="BF26">
        <v>2.13822</v>
      </c>
      <c r="BG26">
        <v>0.94458399999999998</v>
      </c>
      <c r="BJ26" s="31">
        <v>6.6E-3</v>
      </c>
      <c r="BK26" s="31">
        <v>0.17</v>
      </c>
      <c r="BL26" s="31">
        <v>0.30299999999999999</v>
      </c>
      <c r="BM26" s="31">
        <v>0.44700000000000001</v>
      </c>
      <c r="BN26" s="31">
        <v>0.58899999999999997</v>
      </c>
      <c r="BO26" s="31">
        <v>0.72199999999999998</v>
      </c>
      <c r="BP26" s="31">
        <v>0.84</v>
      </c>
      <c r="BQ26" s="31">
        <v>0.94199999999999995</v>
      </c>
      <c r="BR26" s="31">
        <v>1.0289999999999999</v>
      </c>
      <c r="BS26" s="31">
        <v>1.1020000000000001</v>
      </c>
      <c r="BT26" s="31">
        <v>1.163</v>
      </c>
      <c r="BU26" s="31">
        <v>1.212</v>
      </c>
      <c r="BV26" s="31">
        <v>1.2529999999999999</v>
      </c>
      <c r="BW26" s="31">
        <v>1.286</v>
      </c>
      <c r="BX26" s="31">
        <v>1.3120000000000001</v>
      </c>
      <c r="BZ26">
        <v>6.6E-3</v>
      </c>
      <c r="CA26">
        <v>0.17</v>
      </c>
      <c r="CB26">
        <v>0.30299999999999999</v>
      </c>
      <c r="CC26">
        <v>0.44700000000000001</v>
      </c>
      <c r="CD26">
        <v>0.58899999999999997</v>
      </c>
      <c r="CE26">
        <v>0.72199999999999998</v>
      </c>
      <c r="CF26">
        <v>0.84</v>
      </c>
      <c r="CG26">
        <v>0.94199999999999995</v>
      </c>
      <c r="CH26">
        <v>1.0289999999999999</v>
      </c>
      <c r="CI26">
        <v>1.1020000000000001</v>
      </c>
      <c r="CJ26">
        <v>1.163</v>
      </c>
      <c r="CK26">
        <v>1.212</v>
      </c>
      <c r="CL26">
        <v>1.2529999999999999</v>
      </c>
      <c r="CM26">
        <v>1.286</v>
      </c>
      <c r="CN26">
        <v>1.3120000000000001</v>
      </c>
    </row>
    <row r="27" spans="1:92" x14ac:dyDescent="0.15">
      <c r="A27">
        <f t="shared" si="0"/>
        <v>1981</v>
      </c>
      <c r="B27" s="27">
        <v>1300</v>
      </c>
      <c r="C27" s="27">
        <f t="shared" si="2"/>
        <v>1609.2720574940486</v>
      </c>
      <c r="D27" s="27">
        <f t="shared" si="3"/>
        <v>1850.6965446624999</v>
      </c>
      <c r="E27" s="27" t="e">
        <f t="shared" si="4"/>
        <v>#VALUE!</v>
      </c>
      <c r="F27" s="27"/>
      <c r="G27" s="27">
        <f t="shared" si="1"/>
        <v>3716.6412422976364</v>
      </c>
      <c r="H27" s="27" t="e">
        <f t="shared" si="5"/>
        <v>#VALUE!</v>
      </c>
      <c r="I27">
        <f>pm.rep!A80</f>
        <v>1981</v>
      </c>
      <c r="J27" s="27">
        <f>pm.rep!B80</f>
        <v>30738.1</v>
      </c>
      <c r="K27" s="27">
        <f>pm.rep!C80</f>
        <v>11035.8</v>
      </c>
      <c r="L27" s="27">
        <f>pm.rep!D80</f>
        <v>15585.4</v>
      </c>
      <c r="M27" s="27">
        <f>pm.rep!E80</f>
        <v>3907.99</v>
      </c>
      <c r="N27" s="27">
        <f>pm.rep!F80</f>
        <v>1012.67</v>
      </c>
      <c r="O27" s="27">
        <f>pm.rep!G80</f>
        <v>428.42500000000001</v>
      </c>
      <c r="P27" s="27">
        <f>pm.rep!H80</f>
        <v>248.41300000000001</v>
      </c>
      <c r="Q27" s="27">
        <f>pm.rep!I80</f>
        <v>124.60599999999999</v>
      </c>
      <c r="R27" s="27">
        <f>pm.rep!J80</f>
        <v>67.975300000000004</v>
      </c>
      <c r="S27" s="27">
        <f>pm.rep!K80</f>
        <v>13.9597</v>
      </c>
      <c r="T27" s="27">
        <f>pm.rep!L80</f>
        <v>8.4352099999999997</v>
      </c>
      <c r="U27" s="27">
        <f>pm.rep!M80</f>
        <v>6.6680000000000001</v>
      </c>
      <c r="V27" s="27">
        <f>pm.rep!N80</f>
        <v>3.7790499999999998</v>
      </c>
      <c r="W27" s="27">
        <f>pm.rep!O80</f>
        <v>1.69533</v>
      </c>
      <c r="X27" s="27">
        <f>pm.rep!P80</f>
        <v>1.72966</v>
      </c>
      <c r="Z27">
        <f>pm.rep!A134</f>
        <v>1981</v>
      </c>
      <c r="AA27">
        <f>pm.rep!B134/$AP27</f>
        <v>2.6069881788454382E-3</v>
      </c>
      <c r="AB27">
        <f>pm.rep!C134/$AP27</f>
        <v>4.3874298292147992E-2</v>
      </c>
      <c r="AC27">
        <f>pm.rep!D134/$AP27</f>
        <v>0.2493622277294357</v>
      </c>
      <c r="AD27">
        <f>pm.rep!E134/$AP27</f>
        <v>0.64875018804582774</v>
      </c>
      <c r="AE27">
        <f>pm.rep!F134/$AP27</f>
        <v>0.97469496987307902</v>
      </c>
      <c r="AF27">
        <f>pm.rep!G134/$AP27</f>
        <v>0.99322243248165054</v>
      </c>
      <c r="AG27">
        <f>pm.rep!H134/$AP27</f>
        <v>0.98779087720409509</v>
      </c>
      <c r="AH27">
        <f>pm.rep!I134/$AP27</f>
        <v>0.98733164949841246</v>
      </c>
      <c r="AI27">
        <f>pm.rep!J134/$AP27</f>
        <v>1</v>
      </c>
      <c r="AJ27">
        <f>pm.rep!K134/$AP27</f>
        <v>0.9981551714582062</v>
      </c>
      <c r="AK27">
        <f>pm.rep!L134/$AP27</f>
        <v>0.9981551714582062</v>
      </c>
      <c r="AL27">
        <f>pm.rep!M134/$AP27</f>
        <v>0.9981551714582062</v>
      </c>
      <c r="AM27">
        <f>pm.rep!N134/$AP27</f>
        <v>0.9981551714582062</v>
      </c>
      <c r="AN27">
        <f>pm.rep!O134/$AP27</f>
        <v>0.9981551714582062</v>
      </c>
      <c r="AO27">
        <f>pm.rep!P134/$AP27</f>
        <v>0.9981551714582062</v>
      </c>
      <c r="AP27">
        <f>MAX(pm.rep!B134:P134)</f>
        <v>1.2629900000000001</v>
      </c>
      <c r="AR27">
        <v>1981</v>
      </c>
      <c r="AS27">
        <v>28700.6</v>
      </c>
      <c r="AT27">
        <v>10394</v>
      </c>
      <c r="AU27">
        <v>16111.2</v>
      </c>
      <c r="AV27">
        <v>4055.27</v>
      </c>
      <c r="AW27">
        <v>984.37699999999995</v>
      </c>
      <c r="AX27">
        <v>434.15499999999997</v>
      </c>
      <c r="AY27">
        <v>263.32</v>
      </c>
      <c r="AZ27">
        <v>135.48400000000001</v>
      </c>
      <c r="BA27">
        <v>65.155500000000004</v>
      </c>
      <c r="BB27">
        <v>8.8662700000000001</v>
      </c>
      <c r="BC27">
        <v>3.2907999999999999</v>
      </c>
      <c r="BD27">
        <v>4.4818899999999999</v>
      </c>
      <c r="BE27">
        <v>3.4577</v>
      </c>
      <c r="BF27">
        <v>1.7356400000000001</v>
      </c>
      <c r="BG27">
        <v>1.45191</v>
      </c>
      <c r="BJ27" s="31">
        <v>6.6E-3</v>
      </c>
      <c r="BK27" s="31">
        <v>0.17</v>
      </c>
      <c r="BL27" s="31">
        <v>0.30299999999999999</v>
      </c>
      <c r="BM27" s="31">
        <v>0.44700000000000001</v>
      </c>
      <c r="BN27" s="31">
        <v>0.58899999999999997</v>
      </c>
      <c r="BO27" s="31">
        <v>0.72199999999999998</v>
      </c>
      <c r="BP27" s="31">
        <v>0.84</v>
      </c>
      <c r="BQ27" s="31">
        <v>0.94199999999999995</v>
      </c>
      <c r="BR27" s="31">
        <v>1.0289999999999999</v>
      </c>
      <c r="BS27" s="31">
        <v>1.1020000000000001</v>
      </c>
      <c r="BT27" s="31">
        <v>1.163</v>
      </c>
      <c r="BU27" s="31">
        <v>1.212</v>
      </c>
      <c r="BV27" s="31">
        <v>1.2529999999999999</v>
      </c>
      <c r="BW27" s="31">
        <v>1.286</v>
      </c>
      <c r="BX27" s="31">
        <v>1.3120000000000001</v>
      </c>
      <c r="BZ27">
        <v>6.6E-3</v>
      </c>
      <c r="CA27">
        <v>0.17</v>
      </c>
      <c r="CB27">
        <v>0.30299999999999999</v>
      </c>
      <c r="CC27">
        <v>0.44700000000000001</v>
      </c>
      <c r="CD27">
        <v>0.58899999999999997</v>
      </c>
      <c r="CE27">
        <v>0.72199999999999998</v>
      </c>
      <c r="CF27">
        <v>0.84</v>
      </c>
      <c r="CG27">
        <v>0.94199999999999995</v>
      </c>
      <c r="CH27">
        <v>1.0289999999999999</v>
      </c>
      <c r="CI27">
        <v>1.1020000000000001</v>
      </c>
      <c r="CJ27">
        <v>1.163</v>
      </c>
      <c r="CK27">
        <v>1.212</v>
      </c>
      <c r="CL27">
        <v>1.2529999999999999</v>
      </c>
      <c r="CM27">
        <v>1.286</v>
      </c>
      <c r="CN27">
        <v>1.3120000000000001</v>
      </c>
    </row>
    <row r="28" spans="1:92" x14ac:dyDescent="0.15">
      <c r="A28">
        <f t="shared" si="0"/>
        <v>1982</v>
      </c>
      <c r="B28" s="27">
        <v>1300</v>
      </c>
      <c r="C28" s="27">
        <f t="shared" si="2"/>
        <v>2320.8836288896205</v>
      </c>
      <c r="D28" s="27">
        <f t="shared" si="3"/>
        <v>2801.7840034595006</v>
      </c>
      <c r="E28" s="27" t="e">
        <f t="shared" si="4"/>
        <v>#VALUE!</v>
      </c>
      <c r="F28" s="27"/>
      <c r="G28" s="27">
        <f t="shared" si="1"/>
        <v>5123.7020405734293</v>
      </c>
      <c r="H28" s="27" t="e">
        <f t="shared" si="5"/>
        <v>#VALUE!</v>
      </c>
      <c r="I28">
        <f>pm.rep!A81</f>
        <v>1982</v>
      </c>
      <c r="J28" s="27">
        <f>pm.rep!B81</f>
        <v>16305.4</v>
      </c>
      <c r="K28" s="27">
        <f>pm.rep!C81</f>
        <v>12486.2</v>
      </c>
      <c r="L28" s="27">
        <f>pm.rep!D81</f>
        <v>6933.92</v>
      </c>
      <c r="M28" s="27">
        <f>pm.rep!E81</f>
        <v>10619.1</v>
      </c>
      <c r="N28" s="27">
        <f>pm.rep!F81</f>
        <v>2328.6999999999998</v>
      </c>
      <c r="O28" s="27">
        <f>pm.rep!G81</f>
        <v>540.91099999999994</v>
      </c>
      <c r="P28" s="27">
        <f>pm.rep!H81</f>
        <v>227.42099999999999</v>
      </c>
      <c r="Q28" s="27">
        <f>pm.rep!I81</f>
        <v>132.10599999999999</v>
      </c>
      <c r="R28" s="27">
        <f>pm.rep!J81</f>
        <v>66.275700000000001</v>
      </c>
      <c r="S28" s="27">
        <f>pm.rep!K81</f>
        <v>36.001399999999997</v>
      </c>
      <c r="T28" s="27">
        <f>pm.rep!L81</f>
        <v>7.3979600000000003</v>
      </c>
      <c r="U28" s="27">
        <f>pm.rep!M81</f>
        <v>4.4702599999999997</v>
      </c>
      <c r="V28" s="27">
        <f>pm.rep!N81</f>
        <v>3.5337200000000002</v>
      </c>
      <c r="W28" s="27">
        <f>pm.rep!O81</f>
        <v>2.0027200000000001</v>
      </c>
      <c r="X28" s="27">
        <f>pm.rep!P81</f>
        <v>1.81508</v>
      </c>
      <c r="Z28">
        <f>pm.rep!A135</f>
        <v>1982</v>
      </c>
      <c r="AA28">
        <f>pm.rep!B135/$AP28</f>
        <v>2.1149907141260874E-3</v>
      </c>
      <c r="AB28">
        <f>pm.rep!C135/$AP28</f>
        <v>3.6082440065656134E-2</v>
      </c>
      <c r="AC28">
        <f>pm.rep!D135/$AP28</f>
        <v>0.16998543543427835</v>
      </c>
      <c r="AD28">
        <f>pm.rep!E135/$AP28</f>
        <v>0.55670702104541214</v>
      </c>
      <c r="AE28">
        <f>pm.rep!F135/$AP28</f>
        <v>0.89906524771320895</v>
      </c>
      <c r="AF28">
        <f>pm.rep!G135/$AP28</f>
        <v>0.9685821510861774</v>
      </c>
      <c r="AG28">
        <f>pm.rep!H135/$AP28</f>
        <v>0.95998212180292364</v>
      </c>
      <c r="AH28">
        <f>pm.rep!I135/$AP28</f>
        <v>0.97381460617876647</v>
      </c>
      <c r="AI28">
        <f>pm.rep!J135/$AP28</f>
        <v>1</v>
      </c>
      <c r="AJ28">
        <f>pm.rep!K135/$AP28</f>
        <v>0.99880555148843686</v>
      </c>
      <c r="AK28">
        <f>pm.rep!L135/$AP28</f>
        <v>0.99880555148843686</v>
      </c>
      <c r="AL28">
        <f>pm.rep!M135/$AP28</f>
        <v>0.99880555148843686</v>
      </c>
      <c r="AM28">
        <f>pm.rep!N135/$AP28</f>
        <v>0.99880555148843686</v>
      </c>
      <c r="AN28">
        <f>pm.rep!O135/$AP28</f>
        <v>0.99880555148843686</v>
      </c>
      <c r="AO28">
        <f>pm.rep!P135/$AP28</f>
        <v>0.99880555148843686</v>
      </c>
      <c r="AP28">
        <f>MAX(pm.rep!B135:P135)</f>
        <v>1.2976700000000001</v>
      </c>
      <c r="AR28">
        <v>1982</v>
      </c>
      <c r="AS28">
        <v>15394.2</v>
      </c>
      <c r="AT28">
        <v>11662.5</v>
      </c>
      <c r="AU28">
        <v>6546.29</v>
      </c>
      <c r="AV28">
        <v>11002.9</v>
      </c>
      <c r="AW28">
        <v>2420.9699999999998</v>
      </c>
      <c r="AX28">
        <v>526.03800000000001</v>
      </c>
      <c r="AY28">
        <v>232.56100000000001</v>
      </c>
      <c r="AZ28">
        <v>141.51599999999999</v>
      </c>
      <c r="BA28">
        <v>72.921700000000001</v>
      </c>
      <c r="BB28">
        <v>34.974699999999999</v>
      </c>
      <c r="BC28">
        <v>4.57707</v>
      </c>
      <c r="BD28">
        <v>1.6988300000000001</v>
      </c>
      <c r="BE28">
        <v>2.3137099999999999</v>
      </c>
      <c r="BF28">
        <v>1.78498</v>
      </c>
      <c r="BG28">
        <v>1.6455200000000001</v>
      </c>
      <c r="BJ28" s="31">
        <v>6.6E-3</v>
      </c>
      <c r="BK28" s="31">
        <v>0.17</v>
      </c>
      <c r="BL28" s="31">
        <v>0.30299999999999999</v>
      </c>
      <c r="BM28" s="31">
        <v>0.44700000000000001</v>
      </c>
      <c r="BN28" s="31">
        <v>0.58899999999999997</v>
      </c>
      <c r="BO28" s="31">
        <v>0.72199999999999998</v>
      </c>
      <c r="BP28" s="31">
        <v>0.84</v>
      </c>
      <c r="BQ28" s="31">
        <v>0.94199999999999995</v>
      </c>
      <c r="BR28" s="31">
        <v>1.0289999999999999</v>
      </c>
      <c r="BS28" s="31">
        <v>1.1020000000000001</v>
      </c>
      <c r="BT28" s="31">
        <v>1.163</v>
      </c>
      <c r="BU28" s="31">
        <v>1.212</v>
      </c>
      <c r="BV28" s="31">
        <v>1.2529999999999999</v>
      </c>
      <c r="BW28" s="31">
        <v>1.286</v>
      </c>
      <c r="BX28" s="31">
        <v>1.3120000000000001</v>
      </c>
      <c r="BZ28">
        <v>6.6E-3</v>
      </c>
      <c r="CA28">
        <v>0.17</v>
      </c>
      <c r="CB28">
        <v>0.30299999999999999</v>
      </c>
      <c r="CC28">
        <v>0.44700000000000001</v>
      </c>
      <c r="CD28">
        <v>0.58899999999999997</v>
      </c>
      <c r="CE28">
        <v>0.72199999999999998</v>
      </c>
      <c r="CF28">
        <v>0.84</v>
      </c>
      <c r="CG28">
        <v>0.94199999999999995</v>
      </c>
      <c r="CH28">
        <v>1.0289999999999999</v>
      </c>
      <c r="CI28">
        <v>1.1020000000000001</v>
      </c>
      <c r="CJ28">
        <v>1.163</v>
      </c>
      <c r="CK28">
        <v>1.212</v>
      </c>
      <c r="CL28">
        <v>1.2529999999999999</v>
      </c>
      <c r="CM28">
        <v>1.286</v>
      </c>
      <c r="CN28">
        <v>1.3120000000000001</v>
      </c>
    </row>
    <row r="29" spans="1:92" x14ac:dyDescent="0.15">
      <c r="A29">
        <f t="shared" si="0"/>
        <v>1983</v>
      </c>
      <c r="B29" s="27">
        <v>1300</v>
      </c>
      <c r="C29" s="27">
        <f t="shared" si="2"/>
        <v>3324.0232287536332</v>
      </c>
      <c r="D29" s="27">
        <f t="shared" si="3"/>
        <v>3495.3708795685002</v>
      </c>
      <c r="E29" s="27" t="e">
        <f t="shared" si="4"/>
        <v>#VALUE!</v>
      </c>
      <c r="F29" s="27"/>
      <c r="G29" s="27">
        <f t="shared" si="1"/>
        <v>5842.6362235895222</v>
      </c>
      <c r="H29" s="27" t="e">
        <f t="shared" si="5"/>
        <v>#VALUE!</v>
      </c>
      <c r="I29">
        <f>pm.rep!A82</f>
        <v>1983</v>
      </c>
      <c r="J29" s="27">
        <f>pm.rep!B82</f>
        <v>52162.3</v>
      </c>
      <c r="K29" s="27">
        <f>pm.rep!C82</f>
        <v>6626.01</v>
      </c>
      <c r="L29" s="27">
        <f>pm.rep!D82</f>
        <v>7895.15</v>
      </c>
      <c r="M29" s="27">
        <f>pm.rep!E82</f>
        <v>4937.95</v>
      </c>
      <c r="N29" s="27">
        <f>pm.rep!F82</f>
        <v>6912.79</v>
      </c>
      <c r="O29" s="27">
        <f>pm.rep!G82</f>
        <v>1400.08</v>
      </c>
      <c r="P29" s="27">
        <f>pm.rep!H82</f>
        <v>320.00200000000001</v>
      </c>
      <c r="Q29" s="27">
        <f>pm.rep!I82</f>
        <v>134.81100000000001</v>
      </c>
      <c r="R29" s="27">
        <f>pm.rep!J82</f>
        <v>78.058700000000002</v>
      </c>
      <c r="S29" s="27">
        <f>pm.rep!K82</f>
        <v>38.923499999999997</v>
      </c>
      <c r="T29" s="27">
        <f>pm.rep!L82</f>
        <v>21.1494</v>
      </c>
      <c r="U29" s="27">
        <f>pm.rep!M82</f>
        <v>4.3460099999999997</v>
      </c>
      <c r="V29" s="27">
        <f>pm.rep!N82</f>
        <v>2.6261000000000001</v>
      </c>
      <c r="W29" s="27">
        <f>pm.rep!O82</f>
        <v>2.07592</v>
      </c>
      <c r="X29" s="27">
        <f>pm.rep!P82</f>
        <v>2.24281</v>
      </c>
      <c r="Z29">
        <f>pm.rep!A136</f>
        <v>1983</v>
      </c>
      <c r="AA29">
        <f>pm.rep!B136/$AP29</f>
        <v>1.7067345137338386E-3</v>
      </c>
      <c r="AB29">
        <f>pm.rep!C136/$AP29</f>
        <v>3.6230111339410891E-2</v>
      </c>
      <c r="AC29">
        <f>pm.rep!D136/$AP29</f>
        <v>0.14283637334678406</v>
      </c>
      <c r="AD29">
        <f>pm.rep!E136/$AP29</f>
        <v>0.43740737169264093</v>
      </c>
      <c r="AE29">
        <f>pm.rep!F136/$AP29</f>
        <v>0.74361522998523888</v>
      </c>
      <c r="AF29">
        <f>pm.rep!G136/$AP29</f>
        <v>0.92930207027512179</v>
      </c>
      <c r="AG29">
        <f>pm.rep!H136/$AP29</f>
        <v>0.92358303724418256</v>
      </c>
      <c r="AH29">
        <f>pm.rep!I136/$AP29</f>
        <v>0.93125292071239418</v>
      </c>
      <c r="AI29">
        <f>pm.rep!J136/$AP29</f>
        <v>0.98059534317907027</v>
      </c>
      <c r="AJ29">
        <f>pm.rep!K136/$AP29</f>
        <v>1</v>
      </c>
      <c r="AK29">
        <f>pm.rep!L136/$AP29</f>
        <v>1</v>
      </c>
      <c r="AL29">
        <f>pm.rep!M136/$AP29</f>
        <v>1</v>
      </c>
      <c r="AM29">
        <f>pm.rep!N136/$AP29</f>
        <v>1</v>
      </c>
      <c r="AN29">
        <f>pm.rep!O136/$AP29</f>
        <v>1</v>
      </c>
      <c r="AO29">
        <f>pm.rep!P136/$AP29</f>
        <v>1</v>
      </c>
      <c r="AP29">
        <f>MAX(pm.rep!B136:P136)</f>
        <v>1.3481300000000001</v>
      </c>
      <c r="AR29">
        <v>1983</v>
      </c>
      <c r="AS29">
        <v>51913.7</v>
      </c>
      <c r="AT29">
        <v>6256.93</v>
      </c>
      <c r="AU29">
        <v>7391.67</v>
      </c>
      <c r="AV29">
        <v>4672.83</v>
      </c>
      <c r="AW29">
        <v>7175.55</v>
      </c>
      <c r="AX29">
        <v>1458.49</v>
      </c>
      <c r="AY29">
        <v>313.05900000000003</v>
      </c>
      <c r="AZ29">
        <v>138.80000000000001</v>
      </c>
      <c r="BA29">
        <v>84.466300000000004</v>
      </c>
      <c r="BB29">
        <v>43.375799999999998</v>
      </c>
      <c r="BC29">
        <v>19.7822</v>
      </c>
      <c r="BD29">
        <v>2.5888599999999999</v>
      </c>
      <c r="BE29">
        <v>0.96088099999999999</v>
      </c>
      <c r="BF29">
        <v>1.30867</v>
      </c>
      <c r="BG29">
        <v>1.94034</v>
      </c>
      <c r="BJ29" s="31">
        <v>6.6E-3</v>
      </c>
      <c r="BK29" s="31">
        <v>0.17</v>
      </c>
      <c r="BL29" s="31">
        <v>0.30299999999999999</v>
      </c>
      <c r="BM29" s="31">
        <v>0.44700000000000001</v>
      </c>
      <c r="BN29" s="31">
        <v>0.58899999999999997</v>
      </c>
      <c r="BO29" s="31">
        <v>0.72199999999999998</v>
      </c>
      <c r="BP29" s="31">
        <v>0.84</v>
      </c>
      <c r="BQ29" s="31">
        <v>0.94199999999999995</v>
      </c>
      <c r="BR29" s="31">
        <v>1.0289999999999999</v>
      </c>
      <c r="BS29" s="31">
        <v>1.1020000000000001</v>
      </c>
      <c r="BT29" s="31">
        <v>1.163</v>
      </c>
      <c r="BU29" s="31">
        <v>1.212</v>
      </c>
      <c r="BV29" s="31">
        <v>1.2529999999999999</v>
      </c>
      <c r="BW29" s="31">
        <v>1.286</v>
      </c>
      <c r="BX29" s="31">
        <v>1.3120000000000001</v>
      </c>
      <c r="BZ29">
        <v>6.6E-3</v>
      </c>
      <c r="CA29">
        <v>0.17</v>
      </c>
      <c r="CB29">
        <v>0.30299999999999999</v>
      </c>
      <c r="CC29">
        <v>0.44700000000000001</v>
      </c>
      <c r="CD29">
        <v>0.58899999999999997</v>
      </c>
      <c r="CE29">
        <v>0.72199999999999998</v>
      </c>
      <c r="CF29">
        <v>0.84</v>
      </c>
      <c r="CG29">
        <v>0.94199999999999995</v>
      </c>
      <c r="CH29">
        <v>1.0289999999999999</v>
      </c>
      <c r="CI29">
        <v>1.1020000000000001</v>
      </c>
      <c r="CJ29">
        <v>1.163</v>
      </c>
      <c r="CK29">
        <v>1.212</v>
      </c>
      <c r="CL29">
        <v>1.2529999999999999</v>
      </c>
      <c r="CM29">
        <v>1.286</v>
      </c>
      <c r="CN29">
        <v>1.3120000000000001</v>
      </c>
    </row>
    <row r="30" spans="1:92" x14ac:dyDescent="0.15">
      <c r="A30">
        <f t="shared" si="0"/>
        <v>1984</v>
      </c>
      <c r="B30" s="27">
        <v>1300</v>
      </c>
      <c r="C30" s="27">
        <f t="shared" si="2"/>
        <v>4291.930143004186</v>
      </c>
      <c r="D30" s="27">
        <f t="shared" si="3"/>
        <v>3787.9734996635002</v>
      </c>
      <c r="E30" s="27" t="e">
        <f t="shared" si="4"/>
        <v>#VALUE!</v>
      </c>
      <c r="F30" s="27"/>
      <c r="G30" s="27">
        <f t="shared" si="1"/>
        <v>6535.2676007060809</v>
      </c>
      <c r="H30" s="27" t="e">
        <f t="shared" si="5"/>
        <v>#VALUE!</v>
      </c>
      <c r="I30">
        <f>pm.rep!A83</f>
        <v>1984</v>
      </c>
      <c r="J30" s="27">
        <f>pm.rep!B83</f>
        <v>13572.8</v>
      </c>
      <c r="K30" s="27">
        <f>pm.rep!C83</f>
        <v>21200.1</v>
      </c>
      <c r="L30" s="27">
        <f>pm.rep!D83</f>
        <v>4193.2</v>
      </c>
      <c r="M30" s="27">
        <f>pm.rep!E83</f>
        <v>5677.6</v>
      </c>
      <c r="N30" s="27">
        <f>pm.rep!F83</f>
        <v>3339.89</v>
      </c>
      <c r="O30" s="27">
        <f>pm.rep!G83</f>
        <v>4387</v>
      </c>
      <c r="P30" s="27">
        <f>pm.rep!H83</f>
        <v>854.84199999999998</v>
      </c>
      <c r="Q30" s="27">
        <f>pm.rep!I83</f>
        <v>195.61600000000001</v>
      </c>
      <c r="R30" s="27">
        <f>pm.rep!J83</f>
        <v>82.277699999999996</v>
      </c>
      <c r="S30" s="27">
        <f>pm.rep!K83</f>
        <v>47.154200000000003</v>
      </c>
      <c r="T30" s="27">
        <f>pm.rep!L83</f>
        <v>23.418399999999998</v>
      </c>
      <c r="U30" s="27">
        <f>pm.rep!M83</f>
        <v>12.724600000000001</v>
      </c>
      <c r="V30" s="27">
        <f>pm.rep!N83</f>
        <v>2.6147900000000002</v>
      </c>
      <c r="W30" s="27">
        <f>pm.rep!O83</f>
        <v>1.58</v>
      </c>
      <c r="X30" s="27">
        <f>pm.rep!P83</f>
        <v>2.5983700000000001</v>
      </c>
      <c r="Z30">
        <f>pm.rep!A137</f>
        <v>1984</v>
      </c>
      <c r="AA30">
        <f>pm.rep!B137/$AP30</f>
        <v>1.4396926772818493E-3</v>
      </c>
      <c r="AB30">
        <f>pm.rep!C137/$AP30</f>
        <v>2.8825786983461998E-2</v>
      </c>
      <c r="AC30">
        <f>pm.rep!D137/$AP30</f>
        <v>0.13886943911406682</v>
      </c>
      <c r="AD30">
        <f>pm.rep!E137/$AP30</f>
        <v>0.38446760513864675</v>
      </c>
      <c r="AE30">
        <f>pm.rep!F137/$AP30</f>
        <v>0.75372434704908675</v>
      </c>
      <c r="AF30">
        <f>pm.rep!G137/$AP30</f>
        <v>0.87834532057948944</v>
      </c>
      <c r="AG30">
        <f>pm.rep!H137/$AP30</f>
        <v>0.91984414138602844</v>
      </c>
      <c r="AH30">
        <f>pm.rep!I137/$AP30</f>
        <v>0.91549357669151998</v>
      </c>
      <c r="AI30">
        <f>pm.rep!J137/$AP30</f>
        <v>0.96525407590783252</v>
      </c>
      <c r="AJ30">
        <f>pm.rep!K137/$AP30</f>
        <v>1</v>
      </c>
      <c r="AK30">
        <f>pm.rep!L137/$AP30</f>
        <v>1</v>
      </c>
      <c r="AL30">
        <f>pm.rep!M137/$AP30</f>
        <v>1</v>
      </c>
      <c r="AM30">
        <f>pm.rep!N137/$AP30</f>
        <v>1</v>
      </c>
      <c r="AN30">
        <f>pm.rep!O137/$AP30</f>
        <v>1</v>
      </c>
      <c r="AO30">
        <f>pm.rep!P137/$AP30</f>
        <v>1</v>
      </c>
      <c r="AP30">
        <f>MAX(pm.rep!B137:P137)</f>
        <v>1.36534</v>
      </c>
      <c r="AR30">
        <v>1984</v>
      </c>
      <c r="AS30">
        <v>12869.9</v>
      </c>
      <c r="AT30">
        <v>21101.7</v>
      </c>
      <c r="AU30">
        <v>3969.64</v>
      </c>
      <c r="AV30">
        <v>5318.4</v>
      </c>
      <c r="AW30">
        <v>3152.36</v>
      </c>
      <c r="AX30">
        <v>4570.1899999999996</v>
      </c>
      <c r="AY30">
        <v>891.02700000000004</v>
      </c>
      <c r="AZ30">
        <v>191.46899999999999</v>
      </c>
      <c r="BA30">
        <v>84.904799999999994</v>
      </c>
      <c r="BB30">
        <v>51.2042</v>
      </c>
      <c r="BC30">
        <v>24.672899999999998</v>
      </c>
      <c r="BD30">
        <v>11.2525</v>
      </c>
      <c r="BE30">
        <v>1.4725900000000001</v>
      </c>
      <c r="BF30">
        <v>0.546566</v>
      </c>
      <c r="BG30">
        <v>1.84809</v>
      </c>
      <c r="BJ30" s="31">
        <v>6.6E-3</v>
      </c>
      <c r="BK30" s="31">
        <v>0.17</v>
      </c>
      <c r="BL30" s="31">
        <v>0.30299999999999999</v>
      </c>
      <c r="BM30" s="31">
        <v>0.44700000000000001</v>
      </c>
      <c r="BN30" s="31">
        <v>0.58899999999999997</v>
      </c>
      <c r="BO30" s="31">
        <v>0.72199999999999998</v>
      </c>
      <c r="BP30" s="31">
        <v>0.84</v>
      </c>
      <c r="BQ30" s="31">
        <v>0.94199999999999995</v>
      </c>
      <c r="BR30" s="31">
        <v>1.0289999999999999</v>
      </c>
      <c r="BS30" s="31">
        <v>1.1020000000000001</v>
      </c>
      <c r="BT30" s="31">
        <v>1.163</v>
      </c>
      <c r="BU30" s="31">
        <v>1.212</v>
      </c>
      <c r="BV30" s="31">
        <v>1.2529999999999999</v>
      </c>
      <c r="BW30" s="31">
        <v>1.286</v>
      </c>
      <c r="BX30" s="31">
        <v>1.3120000000000001</v>
      </c>
      <c r="BZ30">
        <v>6.6E-3</v>
      </c>
      <c r="CA30">
        <v>0.17</v>
      </c>
      <c r="CB30">
        <v>0.30299999999999999</v>
      </c>
      <c r="CC30">
        <v>0.44700000000000001</v>
      </c>
      <c r="CD30">
        <v>0.58899999999999997</v>
      </c>
      <c r="CE30">
        <v>0.72199999999999998</v>
      </c>
      <c r="CF30">
        <v>0.84</v>
      </c>
      <c r="CG30">
        <v>0.94199999999999995</v>
      </c>
      <c r="CH30">
        <v>1.0289999999999999</v>
      </c>
      <c r="CI30">
        <v>1.1020000000000001</v>
      </c>
      <c r="CJ30">
        <v>1.163</v>
      </c>
      <c r="CK30">
        <v>1.212</v>
      </c>
      <c r="CL30">
        <v>1.2529999999999999</v>
      </c>
      <c r="CM30">
        <v>1.286</v>
      </c>
      <c r="CN30">
        <v>1.3120000000000001</v>
      </c>
    </row>
    <row r="31" spans="1:92" x14ac:dyDescent="0.15">
      <c r="A31">
        <f t="shared" si="0"/>
        <v>1985</v>
      </c>
      <c r="B31" s="27">
        <v>1300</v>
      </c>
      <c r="C31" s="27">
        <f t="shared" si="2"/>
        <v>4888.4892060436732</v>
      </c>
      <c r="D31" s="27">
        <f t="shared" si="3"/>
        <v>4105.6074996810003</v>
      </c>
      <c r="E31" s="27" t="e">
        <f t="shared" si="4"/>
        <v>#VALUE!</v>
      </c>
      <c r="F31" s="27"/>
      <c r="G31" s="27">
        <f t="shared" si="1"/>
        <v>6595.4928885760237</v>
      </c>
      <c r="H31" s="27" t="e">
        <f t="shared" si="5"/>
        <v>#VALUE!</v>
      </c>
      <c r="I31">
        <f>pm.rep!A84</f>
        <v>1985</v>
      </c>
      <c r="J31" s="27">
        <f>pm.rep!B84</f>
        <v>34631.9</v>
      </c>
      <c r="K31" s="27">
        <f>pm.rep!C84</f>
        <v>5516.6</v>
      </c>
      <c r="L31" s="27">
        <f>pm.rep!D84</f>
        <v>13436.4</v>
      </c>
      <c r="M31" s="27">
        <f>pm.rep!E84</f>
        <v>3017.32</v>
      </c>
      <c r="N31" s="27">
        <f>pm.rep!F84</f>
        <v>3880.54</v>
      </c>
      <c r="O31" s="27">
        <f>pm.rep!G84</f>
        <v>2112.8000000000002</v>
      </c>
      <c r="P31" s="27">
        <f>pm.rep!H84</f>
        <v>2703.67</v>
      </c>
      <c r="Q31" s="27">
        <f>pm.rep!I84</f>
        <v>522.27200000000005</v>
      </c>
      <c r="R31" s="27">
        <f>pm.rep!J84</f>
        <v>119.622</v>
      </c>
      <c r="S31" s="27">
        <f>pm.rep!K84</f>
        <v>49.792200000000001</v>
      </c>
      <c r="T31" s="27">
        <f>pm.rep!L84</f>
        <v>28.3294</v>
      </c>
      <c r="U31" s="27">
        <f>pm.rep!M84</f>
        <v>14.0694</v>
      </c>
      <c r="V31" s="27">
        <f>pm.rep!N84</f>
        <v>7.6447099999999999</v>
      </c>
      <c r="W31" s="27">
        <f>pm.rep!O84</f>
        <v>1.5709200000000001</v>
      </c>
      <c r="X31" s="27">
        <f>pm.rep!P84</f>
        <v>2.5102899999999999</v>
      </c>
      <c r="Z31">
        <f>pm.rep!A138</f>
        <v>1985</v>
      </c>
      <c r="AA31">
        <f>pm.rep!B138/$AP31</f>
        <v>1.2139131437134377E-3</v>
      </c>
      <c r="AB31">
        <f>pm.rep!C138/$AP31</f>
        <v>2.9055934987464338E-2</v>
      </c>
      <c r="AC31">
        <f>pm.rep!D138/$AP31</f>
        <v>0.14673568485058067</v>
      </c>
      <c r="AD31">
        <f>pm.rep!E138/$AP31</f>
        <v>0.33579147574997842</v>
      </c>
      <c r="AE31">
        <f>pm.rep!F138/$AP31</f>
        <v>0.58774458949309827</v>
      </c>
      <c r="AF31">
        <f>pm.rep!G138/$AP31</f>
        <v>0.92618368346733526</v>
      </c>
      <c r="AG31">
        <f>pm.rep!H138/$AP31</f>
        <v>0.913640817267514</v>
      </c>
      <c r="AH31">
        <f>pm.rep!I138/$AP31</f>
        <v>0.91363361286418254</v>
      </c>
      <c r="AI31">
        <f>pm.rep!J138/$AP31</f>
        <v>0.95261663928993412</v>
      </c>
      <c r="AJ31">
        <f>pm.rep!K138/$AP31</f>
        <v>1</v>
      </c>
      <c r="AK31">
        <f>pm.rep!L138/$AP31</f>
        <v>1</v>
      </c>
      <c r="AL31">
        <f>pm.rep!M138/$AP31</f>
        <v>1</v>
      </c>
      <c r="AM31">
        <f>pm.rep!N138/$AP31</f>
        <v>1</v>
      </c>
      <c r="AN31">
        <f>pm.rep!O138/$AP31</f>
        <v>1</v>
      </c>
      <c r="AO31">
        <f>pm.rep!P138/$AP31</f>
        <v>1</v>
      </c>
      <c r="AP31">
        <f>MAX(pm.rep!B138:P138)</f>
        <v>1.3880399999999999</v>
      </c>
      <c r="AR31">
        <v>1985</v>
      </c>
      <c r="AS31">
        <v>34921.699999999997</v>
      </c>
      <c r="AT31">
        <v>5231.42</v>
      </c>
      <c r="AU31">
        <v>13394.8</v>
      </c>
      <c r="AV31">
        <v>2856.85</v>
      </c>
      <c r="AW31">
        <v>3617.96</v>
      </c>
      <c r="AX31">
        <v>1969.32</v>
      </c>
      <c r="AY31">
        <v>2847.35</v>
      </c>
      <c r="AZ31">
        <v>541.43399999999997</v>
      </c>
      <c r="BA31">
        <v>116.351</v>
      </c>
      <c r="BB31">
        <v>50.915799999999997</v>
      </c>
      <c r="BC31">
        <v>28.502700000000001</v>
      </c>
      <c r="BD31">
        <v>13.7341</v>
      </c>
      <c r="BE31">
        <v>6.2636700000000003</v>
      </c>
      <c r="BF31">
        <v>0.81971400000000005</v>
      </c>
      <c r="BG31">
        <v>1.3329800000000001</v>
      </c>
      <c r="BJ31" s="31">
        <v>6.6E-3</v>
      </c>
      <c r="BK31" s="31">
        <v>0.17</v>
      </c>
      <c r="BL31" s="31">
        <v>0.30299999999999999</v>
      </c>
      <c r="BM31" s="31">
        <v>0.44700000000000001</v>
      </c>
      <c r="BN31" s="31">
        <v>0.58899999999999997</v>
      </c>
      <c r="BO31" s="31">
        <v>0.72199999999999998</v>
      </c>
      <c r="BP31" s="31">
        <v>0.84</v>
      </c>
      <c r="BQ31" s="31">
        <v>0.94199999999999995</v>
      </c>
      <c r="BR31" s="31">
        <v>1.0289999999999999</v>
      </c>
      <c r="BS31" s="31">
        <v>1.1020000000000001</v>
      </c>
      <c r="BT31" s="31">
        <v>1.163</v>
      </c>
      <c r="BU31" s="31">
        <v>1.212</v>
      </c>
      <c r="BV31" s="31">
        <v>1.2529999999999999</v>
      </c>
      <c r="BW31" s="31">
        <v>1.286</v>
      </c>
      <c r="BX31" s="31">
        <v>1.3120000000000001</v>
      </c>
      <c r="BZ31">
        <v>6.6E-3</v>
      </c>
      <c r="CA31">
        <v>0.17</v>
      </c>
      <c r="CB31">
        <v>0.30299999999999999</v>
      </c>
      <c r="CC31">
        <v>0.44700000000000001</v>
      </c>
      <c r="CD31">
        <v>0.58899999999999997</v>
      </c>
      <c r="CE31">
        <v>0.72199999999999998</v>
      </c>
      <c r="CF31">
        <v>0.84</v>
      </c>
      <c r="CG31">
        <v>0.94199999999999995</v>
      </c>
      <c r="CH31">
        <v>1.0289999999999999</v>
      </c>
      <c r="CI31">
        <v>1.1020000000000001</v>
      </c>
      <c r="CJ31">
        <v>1.163</v>
      </c>
      <c r="CK31">
        <v>1.212</v>
      </c>
      <c r="CL31">
        <v>1.2529999999999999</v>
      </c>
      <c r="CM31">
        <v>1.286</v>
      </c>
      <c r="CN31">
        <v>1.3120000000000001</v>
      </c>
    </row>
    <row r="32" spans="1:92" x14ac:dyDescent="0.15">
      <c r="A32">
        <f t="shared" si="0"/>
        <v>1986</v>
      </c>
      <c r="B32" s="27">
        <v>1300</v>
      </c>
      <c r="C32" s="27">
        <f t="shared" si="2"/>
        <v>5265.275529928801</v>
      </c>
      <c r="D32" s="27">
        <f t="shared" si="3"/>
        <v>4375.1700701549989</v>
      </c>
      <c r="E32" s="27" t="e">
        <f t="shared" si="4"/>
        <v>#VALUE!</v>
      </c>
      <c r="F32" s="27"/>
      <c r="G32" s="27">
        <f t="shared" si="1"/>
        <v>6999.5877008015523</v>
      </c>
      <c r="H32" s="27" t="e">
        <f t="shared" si="5"/>
        <v>#VALUE!</v>
      </c>
      <c r="I32">
        <f>pm.rep!A85</f>
        <v>1986</v>
      </c>
      <c r="J32" s="27">
        <f>pm.rep!B85</f>
        <v>14545.4</v>
      </c>
      <c r="K32" s="27">
        <f>pm.rep!C85</f>
        <v>14076.6</v>
      </c>
      <c r="L32" s="27">
        <f>pm.rep!D85</f>
        <v>3495.58</v>
      </c>
      <c r="M32" s="27">
        <f>pm.rep!E85</f>
        <v>9643.9500000000007</v>
      </c>
      <c r="N32" s="27">
        <f>pm.rep!F85</f>
        <v>2079.1799999999998</v>
      </c>
      <c r="O32" s="27">
        <f>pm.rep!G85</f>
        <v>2532.64</v>
      </c>
      <c r="P32" s="27">
        <f>pm.rep!H85</f>
        <v>1281.8900000000001</v>
      </c>
      <c r="Q32" s="27">
        <f>pm.rep!I85</f>
        <v>1644.83</v>
      </c>
      <c r="R32" s="27">
        <f>pm.rep!J85</f>
        <v>317.73500000000001</v>
      </c>
      <c r="S32" s="27">
        <f>pm.rep!K85</f>
        <v>72.165400000000005</v>
      </c>
      <c r="T32" s="27">
        <f>pm.rep!L85</f>
        <v>29.7333</v>
      </c>
      <c r="U32" s="27">
        <f>pm.rep!M85</f>
        <v>16.916799999999999</v>
      </c>
      <c r="V32" s="27">
        <f>pm.rep!N85</f>
        <v>8.4014900000000008</v>
      </c>
      <c r="W32" s="27">
        <f>pm.rep!O85</f>
        <v>4.5650199999999996</v>
      </c>
      <c r="X32" s="27">
        <f>pm.rep!P85</f>
        <v>2.4370799999999999</v>
      </c>
      <c r="Z32">
        <f>pm.rep!A139</f>
        <v>1986</v>
      </c>
      <c r="AA32">
        <f>pm.rep!B139/$AP32</f>
        <v>1.0496111115100939E-3</v>
      </c>
      <c r="AB32">
        <f>pm.rep!C139/$AP32</f>
        <v>2.8061877437285897E-2</v>
      </c>
      <c r="AC32">
        <f>pm.rep!D139/$AP32</f>
        <v>0.15737092708430583</v>
      </c>
      <c r="AD32">
        <f>pm.rep!E139/$AP32</f>
        <v>0.38700688724029214</v>
      </c>
      <c r="AE32">
        <f>pm.rep!F139/$AP32</f>
        <v>0.56601193596805588</v>
      </c>
      <c r="AF32">
        <f>pm.rep!G139/$AP32</f>
        <v>0.88174629963445195</v>
      </c>
      <c r="AG32">
        <f>pm.rep!H139/$AP32</f>
        <v>0.9181143755880008</v>
      </c>
      <c r="AH32">
        <f>pm.rep!I139/$AP32</f>
        <v>0.85862844092701252</v>
      </c>
      <c r="AI32">
        <f>pm.rep!J139/$AP32</f>
        <v>0.97456245556329579</v>
      </c>
      <c r="AJ32">
        <f>pm.rep!K139/$AP32</f>
        <v>1</v>
      </c>
      <c r="AK32">
        <f>pm.rep!L139/$AP32</f>
        <v>1</v>
      </c>
      <c r="AL32">
        <f>pm.rep!M139/$AP32</f>
        <v>1</v>
      </c>
      <c r="AM32">
        <f>pm.rep!N139/$AP32</f>
        <v>1</v>
      </c>
      <c r="AN32">
        <f>pm.rep!O139/$AP32</f>
        <v>1</v>
      </c>
      <c r="AO32">
        <f>pm.rep!P139/$AP32</f>
        <v>1</v>
      </c>
      <c r="AP32">
        <f>MAX(pm.rep!B139:P139)</f>
        <v>1.3924300000000001</v>
      </c>
      <c r="AR32">
        <v>1986</v>
      </c>
      <c r="AS32">
        <v>13559.5</v>
      </c>
      <c r="AT32">
        <v>14195.5</v>
      </c>
      <c r="AU32">
        <v>3318.8</v>
      </c>
      <c r="AV32">
        <v>9619.39</v>
      </c>
      <c r="AW32">
        <v>1972.17</v>
      </c>
      <c r="AX32">
        <v>2346.13</v>
      </c>
      <c r="AY32">
        <v>1188.5999999999999</v>
      </c>
      <c r="AZ32">
        <v>1730.23</v>
      </c>
      <c r="BA32">
        <v>327.16000000000003</v>
      </c>
      <c r="BB32">
        <v>69.143199999999993</v>
      </c>
      <c r="BC32">
        <v>28.116</v>
      </c>
      <c r="BD32">
        <v>15.7393</v>
      </c>
      <c r="BE32">
        <v>7.5840500000000004</v>
      </c>
      <c r="BF32">
        <v>3.4588299999999998</v>
      </c>
      <c r="BG32">
        <v>1.1887300000000001</v>
      </c>
      <c r="BJ32" s="31">
        <v>6.6E-3</v>
      </c>
      <c r="BK32" s="31">
        <v>0.17</v>
      </c>
      <c r="BL32" s="31">
        <v>0.30299999999999999</v>
      </c>
      <c r="BM32" s="31">
        <v>0.44700000000000001</v>
      </c>
      <c r="BN32" s="31">
        <v>0.58899999999999997</v>
      </c>
      <c r="BO32" s="31">
        <v>0.72199999999999998</v>
      </c>
      <c r="BP32" s="31">
        <v>0.84</v>
      </c>
      <c r="BQ32" s="31">
        <v>0.94199999999999995</v>
      </c>
      <c r="BR32" s="31">
        <v>1.0289999999999999</v>
      </c>
      <c r="BS32" s="31">
        <v>1.1020000000000001</v>
      </c>
      <c r="BT32" s="31">
        <v>1.163</v>
      </c>
      <c r="BU32" s="31">
        <v>1.212</v>
      </c>
      <c r="BV32" s="31">
        <v>1.2529999999999999</v>
      </c>
      <c r="BW32" s="31">
        <v>1.286</v>
      </c>
      <c r="BX32" s="31">
        <v>1.3120000000000001</v>
      </c>
      <c r="BZ32">
        <v>6.6E-3</v>
      </c>
      <c r="CA32">
        <v>0.17</v>
      </c>
      <c r="CB32">
        <v>0.30299999999999999</v>
      </c>
      <c r="CC32">
        <v>0.44700000000000001</v>
      </c>
      <c r="CD32">
        <v>0.58899999999999997</v>
      </c>
      <c r="CE32">
        <v>0.72199999999999998</v>
      </c>
      <c r="CF32">
        <v>0.84</v>
      </c>
      <c r="CG32">
        <v>0.94199999999999995</v>
      </c>
      <c r="CH32">
        <v>1.0289999999999999</v>
      </c>
      <c r="CI32">
        <v>1.1020000000000001</v>
      </c>
      <c r="CJ32">
        <v>1.163</v>
      </c>
      <c r="CK32">
        <v>1.212</v>
      </c>
      <c r="CL32">
        <v>1.2529999999999999</v>
      </c>
      <c r="CM32">
        <v>1.286</v>
      </c>
      <c r="CN32">
        <v>1.3120000000000001</v>
      </c>
    </row>
    <row r="33" spans="1:92" x14ac:dyDescent="0.15">
      <c r="A33">
        <f t="shared" si="0"/>
        <v>1987</v>
      </c>
      <c r="B33" s="27">
        <v>1300</v>
      </c>
      <c r="C33" s="27">
        <f t="shared" si="2"/>
        <v>5566.1848524939733</v>
      </c>
      <c r="D33" s="27">
        <f t="shared" si="3"/>
        <v>4491.4221714139994</v>
      </c>
      <c r="E33" s="27" t="e">
        <f t="shared" si="4"/>
        <v>#VALUE!</v>
      </c>
      <c r="F33" s="27"/>
      <c r="G33" s="27">
        <f t="shared" si="1"/>
        <v>6916.7671060368175</v>
      </c>
      <c r="H33" s="27" t="e">
        <f t="shared" si="5"/>
        <v>#VALUE!</v>
      </c>
      <c r="I33">
        <f>pm.rep!A86</f>
        <v>1987</v>
      </c>
      <c r="J33" s="27">
        <f>pm.rep!B86</f>
        <v>7835.33</v>
      </c>
      <c r="K33" s="27">
        <f>pm.rep!C86</f>
        <v>5912.49</v>
      </c>
      <c r="L33" s="27">
        <f>pm.rep!D86</f>
        <v>8925.2199999999993</v>
      </c>
      <c r="M33" s="27">
        <f>pm.rep!E86</f>
        <v>2509.0700000000002</v>
      </c>
      <c r="N33" s="27">
        <f>pm.rep!F86</f>
        <v>6610.44</v>
      </c>
      <c r="O33" s="27">
        <f>pm.rep!G86</f>
        <v>1374.88</v>
      </c>
      <c r="P33" s="27">
        <f>pm.rep!H86</f>
        <v>1571.89</v>
      </c>
      <c r="Q33" s="27">
        <f>pm.rep!I86</f>
        <v>789.82299999999998</v>
      </c>
      <c r="R33" s="27">
        <f>pm.rep!J86</f>
        <v>1025.6199999999999</v>
      </c>
      <c r="S33" s="27">
        <f>pm.rep!K86</f>
        <v>193.56299999999999</v>
      </c>
      <c r="T33" s="27">
        <f>pm.rep!L86</f>
        <v>43.738999999999997</v>
      </c>
      <c r="U33" s="27">
        <f>pm.rep!M86</f>
        <v>18.0212</v>
      </c>
      <c r="V33" s="27">
        <f>pm.rep!N86</f>
        <v>10.2532</v>
      </c>
      <c r="W33" s="27">
        <f>pm.rep!O86</f>
        <v>5.0921000000000003</v>
      </c>
      <c r="X33" s="27">
        <f>pm.rep!P86</f>
        <v>4.2439299999999998</v>
      </c>
      <c r="Z33">
        <f>pm.rep!A140</f>
        <v>1987</v>
      </c>
      <c r="AA33">
        <f>pm.rep!B140/$AP33</f>
        <v>8.7498249936997729E-4</v>
      </c>
      <c r="AB33">
        <f>pm.rep!C140/$AP33</f>
        <v>2.5506678240416653E-2</v>
      </c>
      <c r="AC33">
        <f>pm.rep!D140/$AP33</f>
        <v>0.16915338952202277</v>
      </c>
      <c r="AD33">
        <f>pm.rep!E140/$AP33</f>
        <v>0.34281284126228545</v>
      </c>
      <c r="AE33">
        <f>pm.rep!F140/$AP33</f>
        <v>0.54752541091479301</v>
      </c>
      <c r="AF33">
        <f>pm.rep!G140/$AP33</f>
        <v>0.78469324895696235</v>
      </c>
      <c r="AG33">
        <f>pm.rep!H140/$AP33</f>
        <v>0.81823845658443706</v>
      </c>
      <c r="AH33">
        <f>pm.rep!I140/$AP33</f>
        <v>0.9384817853442724</v>
      </c>
      <c r="AI33">
        <f>pm.rep!J140/$AP33</f>
        <v>1</v>
      </c>
      <c r="AJ33">
        <f>pm.rep!K140/$AP33</f>
        <v>0.97884523842858351</v>
      </c>
      <c r="AK33">
        <f>pm.rep!L140/$AP33</f>
        <v>0.97884523842858351</v>
      </c>
      <c r="AL33">
        <f>pm.rep!M140/$AP33</f>
        <v>0.97884523842858351</v>
      </c>
      <c r="AM33">
        <f>pm.rep!N140/$AP33</f>
        <v>0.97884523842858351</v>
      </c>
      <c r="AN33">
        <f>pm.rep!O140/$AP33</f>
        <v>0.97884523842858351</v>
      </c>
      <c r="AO33">
        <f>pm.rep!P140/$AP33</f>
        <v>0.97884523842858351</v>
      </c>
      <c r="AP33">
        <f>MAX(pm.rep!B140:P140)</f>
        <v>1.42852</v>
      </c>
      <c r="AR33">
        <v>1987</v>
      </c>
      <c r="AS33">
        <v>7985.15</v>
      </c>
      <c r="AT33">
        <v>5512</v>
      </c>
      <c r="AU33">
        <v>9004.68</v>
      </c>
      <c r="AV33">
        <v>2388.33</v>
      </c>
      <c r="AW33">
        <v>6598.62</v>
      </c>
      <c r="AX33">
        <v>1300.78</v>
      </c>
      <c r="AY33">
        <v>1442.28</v>
      </c>
      <c r="AZ33">
        <v>722.26400000000001</v>
      </c>
      <c r="BA33">
        <v>1069.9000000000001</v>
      </c>
      <c r="BB33">
        <v>195.65299999999999</v>
      </c>
      <c r="BC33">
        <v>39.232799999999997</v>
      </c>
      <c r="BD33">
        <v>15.9534</v>
      </c>
      <c r="BE33">
        <v>8.9306999999999999</v>
      </c>
      <c r="BF33">
        <v>4.3032899999999996</v>
      </c>
      <c r="BG33">
        <v>2.6370800000000001</v>
      </c>
      <c r="BJ33" s="31">
        <v>6.6E-3</v>
      </c>
      <c r="BK33" s="31">
        <v>0.17</v>
      </c>
      <c r="BL33" s="31">
        <v>0.30299999999999999</v>
      </c>
      <c r="BM33" s="31">
        <v>0.44700000000000001</v>
      </c>
      <c r="BN33" s="31">
        <v>0.58899999999999997</v>
      </c>
      <c r="BO33" s="31">
        <v>0.72199999999999998</v>
      </c>
      <c r="BP33" s="31">
        <v>0.84</v>
      </c>
      <c r="BQ33" s="31">
        <v>0.94199999999999995</v>
      </c>
      <c r="BR33" s="31">
        <v>1.0289999999999999</v>
      </c>
      <c r="BS33" s="31">
        <v>1.1020000000000001</v>
      </c>
      <c r="BT33" s="31">
        <v>1.163</v>
      </c>
      <c r="BU33" s="31">
        <v>1.212</v>
      </c>
      <c r="BV33" s="31">
        <v>1.2529999999999999</v>
      </c>
      <c r="BW33" s="31">
        <v>1.286</v>
      </c>
      <c r="BX33" s="31">
        <v>1.3120000000000001</v>
      </c>
      <c r="BZ33">
        <v>6.6E-3</v>
      </c>
      <c r="CA33">
        <v>0.17</v>
      </c>
      <c r="CB33">
        <v>0.30299999999999999</v>
      </c>
      <c r="CC33">
        <v>0.44700000000000001</v>
      </c>
      <c r="CD33">
        <v>0.58899999999999997</v>
      </c>
      <c r="CE33">
        <v>0.72199999999999998</v>
      </c>
      <c r="CF33">
        <v>0.84</v>
      </c>
      <c r="CG33">
        <v>0.94199999999999995</v>
      </c>
      <c r="CH33">
        <v>1.0289999999999999</v>
      </c>
      <c r="CI33">
        <v>1.1020000000000001</v>
      </c>
      <c r="CJ33">
        <v>1.163</v>
      </c>
      <c r="CK33">
        <v>1.212</v>
      </c>
      <c r="CL33">
        <v>1.2529999999999999</v>
      </c>
      <c r="CM33">
        <v>1.286</v>
      </c>
      <c r="CN33">
        <v>1.3120000000000001</v>
      </c>
    </row>
    <row r="34" spans="1:92" x14ac:dyDescent="0.15">
      <c r="A34">
        <f t="shared" si="0"/>
        <v>1988</v>
      </c>
      <c r="B34" s="27">
        <v>1500</v>
      </c>
      <c r="C34" s="27">
        <f t="shared" si="2"/>
        <v>5895.4295425982555</v>
      </c>
      <c r="D34" s="27">
        <f t="shared" si="3"/>
        <v>4539.7597684500006</v>
      </c>
      <c r="E34" s="27" t="e">
        <f t="shared" si="4"/>
        <v>#VALUE!</v>
      </c>
      <c r="F34" s="27"/>
      <c r="G34" s="27">
        <f t="shared" si="1"/>
        <v>7869.1121009474291</v>
      </c>
      <c r="H34" s="27" t="e">
        <f t="shared" si="5"/>
        <v>#VALUE!</v>
      </c>
      <c r="I34">
        <f>pm.rep!A87</f>
        <v>1988</v>
      </c>
      <c r="J34" s="27">
        <f>pm.rep!B87</f>
        <v>5561.46</v>
      </c>
      <c r="K34" s="27">
        <f>pm.rep!C87</f>
        <v>3185.19</v>
      </c>
      <c r="L34" s="27">
        <f>pm.rep!D87</f>
        <v>3755.53</v>
      </c>
      <c r="M34" s="27">
        <f>pm.rep!E87</f>
        <v>6445.86</v>
      </c>
      <c r="N34" s="27">
        <f>pm.rep!F87</f>
        <v>1765.34</v>
      </c>
      <c r="O34" s="27">
        <f>pm.rep!G87</f>
        <v>4509.9799999999996</v>
      </c>
      <c r="P34" s="27">
        <f>pm.rep!H87</f>
        <v>905.13900000000001</v>
      </c>
      <c r="Q34" s="27">
        <f>pm.rep!I87</f>
        <v>1029.6300000000001</v>
      </c>
      <c r="R34" s="27">
        <f>pm.rep!J87</f>
        <v>508.08300000000003</v>
      </c>
      <c r="S34" s="27">
        <f>pm.rep!K87</f>
        <v>653.68799999999999</v>
      </c>
      <c r="T34" s="27">
        <f>pm.rep!L87</f>
        <v>123.76300000000001</v>
      </c>
      <c r="U34" s="27">
        <f>pm.rep!M87</f>
        <v>27.9664</v>
      </c>
      <c r="V34" s="27">
        <f>pm.rep!N87</f>
        <v>11.522600000000001</v>
      </c>
      <c r="W34" s="27">
        <f>pm.rep!O87</f>
        <v>6.5558199999999998</v>
      </c>
      <c r="X34" s="27">
        <f>pm.rep!P87</f>
        <v>5.9693899999999998</v>
      </c>
      <c r="Z34">
        <f>pm.rep!A141</f>
        <v>1988</v>
      </c>
      <c r="AA34">
        <f>pm.rep!B141/$AP34</f>
        <v>7.9914254777442865E-4</v>
      </c>
      <c r="AB34">
        <f>pm.rep!C141/$AP34</f>
        <v>2.5729858652073397E-2</v>
      </c>
      <c r="AC34">
        <f>pm.rep!D141/$AP34</f>
        <v>0.29738959936788506</v>
      </c>
      <c r="AD34">
        <f>pm.rep!E141/$AP34</f>
        <v>0.38925404582833395</v>
      </c>
      <c r="AE34">
        <f>pm.rep!F141/$AP34</f>
        <v>0.67707924848555789</v>
      </c>
      <c r="AF34">
        <f>pm.rep!G141/$AP34</f>
        <v>0.79653800005852915</v>
      </c>
      <c r="AG34">
        <f>pm.rep!H141/$AP34</f>
        <v>0.9886965555588072</v>
      </c>
      <c r="AH34">
        <f>pm.rep!I141/$AP34</f>
        <v>0.9451435427701852</v>
      </c>
      <c r="AI34">
        <f>pm.rep!J141/$AP34</f>
        <v>1</v>
      </c>
      <c r="AJ34">
        <f>pm.rep!K141/$AP34</f>
        <v>0.97560065552661612</v>
      </c>
      <c r="AK34">
        <f>pm.rep!L141/$AP34</f>
        <v>0.97560065552661612</v>
      </c>
      <c r="AL34">
        <f>pm.rep!M141/$AP34</f>
        <v>0.97560065552661612</v>
      </c>
      <c r="AM34">
        <f>pm.rep!N141/$AP34</f>
        <v>0.97560065552661612</v>
      </c>
      <c r="AN34">
        <f>pm.rep!O141/$AP34</f>
        <v>0.97560065552661612</v>
      </c>
      <c r="AO34">
        <f>pm.rep!P141/$AP34</f>
        <v>0.97560065552661612</v>
      </c>
      <c r="AP34">
        <f>MAX(pm.rep!B141:P141)</f>
        <v>1.3668400000000001</v>
      </c>
      <c r="AR34">
        <v>1988</v>
      </c>
      <c r="AS34">
        <v>4931.79</v>
      </c>
      <c r="AT34">
        <v>3246.19</v>
      </c>
      <c r="AU34">
        <v>3501.45</v>
      </c>
      <c r="AV34">
        <v>6534.59</v>
      </c>
      <c r="AW34">
        <v>1683.58</v>
      </c>
      <c r="AX34">
        <v>4506.8900000000003</v>
      </c>
      <c r="AY34">
        <v>850.97</v>
      </c>
      <c r="AZ34">
        <v>935.69299999999998</v>
      </c>
      <c r="BA34">
        <v>455.279</v>
      </c>
      <c r="BB34">
        <v>671.62800000000004</v>
      </c>
      <c r="BC34">
        <v>120.68</v>
      </c>
      <c r="BD34">
        <v>24.199100000000001</v>
      </c>
      <c r="BE34">
        <v>9.8401800000000001</v>
      </c>
      <c r="BF34">
        <v>5.50854</v>
      </c>
      <c r="BG34">
        <v>4.2808900000000003</v>
      </c>
      <c r="BJ34" s="31">
        <v>6.6E-3</v>
      </c>
      <c r="BK34" s="31">
        <v>0.17</v>
      </c>
      <c r="BL34" s="31">
        <v>0.30299999999999999</v>
      </c>
      <c r="BM34" s="31">
        <v>0.44700000000000001</v>
      </c>
      <c r="BN34" s="31">
        <v>0.58899999999999997</v>
      </c>
      <c r="BO34" s="31">
        <v>0.72199999999999998</v>
      </c>
      <c r="BP34" s="31">
        <v>0.84</v>
      </c>
      <c r="BQ34" s="31">
        <v>0.94199999999999995</v>
      </c>
      <c r="BR34" s="31">
        <v>1.0289999999999999</v>
      </c>
      <c r="BS34" s="31">
        <v>1.1020000000000001</v>
      </c>
      <c r="BT34" s="31">
        <v>1.163</v>
      </c>
      <c r="BU34" s="31">
        <v>1.212</v>
      </c>
      <c r="BV34" s="31">
        <v>1.2529999999999999</v>
      </c>
      <c r="BW34" s="31">
        <v>1.286</v>
      </c>
      <c r="BX34" s="31">
        <v>1.3120000000000001</v>
      </c>
      <c r="BZ34">
        <v>6.6E-3</v>
      </c>
      <c r="CA34">
        <v>0.17</v>
      </c>
      <c r="CB34">
        <v>0.30299999999999999</v>
      </c>
      <c r="CC34">
        <v>0.44700000000000001</v>
      </c>
      <c r="CD34">
        <v>0.58899999999999997</v>
      </c>
      <c r="CE34">
        <v>0.72199999999999998</v>
      </c>
      <c r="CF34">
        <v>0.84</v>
      </c>
      <c r="CG34">
        <v>0.94199999999999995</v>
      </c>
      <c r="CH34">
        <v>1.0289999999999999</v>
      </c>
      <c r="CI34">
        <v>1.1020000000000001</v>
      </c>
      <c r="CJ34">
        <v>1.163</v>
      </c>
      <c r="CK34">
        <v>1.212</v>
      </c>
      <c r="CL34">
        <v>1.2529999999999999</v>
      </c>
      <c r="CM34">
        <v>1.286</v>
      </c>
      <c r="CN34">
        <v>1.3120000000000001</v>
      </c>
    </row>
    <row r="35" spans="1:92" x14ac:dyDescent="0.15">
      <c r="A35">
        <f t="shared" si="0"/>
        <v>1989</v>
      </c>
      <c r="B35" s="27">
        <v>1340</v>
      </c>
      <c r="C35" s="27">
        <f t="shared" si="2"/>
        <v>5687.0600529478907</v>
      </c>
      <c r="D35" s="27">
        <f t="shared" si="3"/>
        <v>4120.1547386009997</v>
      </c>
      <c r="E35" s="27" t="e">
        <f t="shared" si="4"/>
        <v>#VALUE!</v>
      </c>
      <c r="F35" s="27"/>
      <c r="G35" s="27">
        <f t="shared" si="1"/>
        <v>7264.4271412452717</v>
      </c>
      <c r="H35" s="27" t="e">
        <f t="shared" si="5"/>
        <v>#VALUE!</v>
      </c>
      <c r="I35">
        <f>pm.rep!A88</f>
        <v>1989</v>
      </c>
      <c r="J35" s="27">
        <f>pm.rep!B88</f>
        <v>11102.8</v>
      </c>
      <c r="K35" s="27">
        <f>pm.rep!C88</f>
        <v>2260.7800000000002</v>
      </c>
      <c r="L35" s="27">
        <f>pm.rep!D88</f>
        <v>2020.97</v>
      </c>
      <c r="M35" s="27">
        <f>pm.rep!E88</f>
        <v>2627.97</v>
      </c>
      <c r="N35" s="27">
        <f>pm.rep!F88</f>
        <v>4431.8100000000004</v>
      </c>
      <c r="O35" s="27">
        <f>pm.rep!G88</f>
        <v>1148.5899999999999</v>
      </c>
      <c r="P35" s="27">
        <f>pm.rep!H88</f>
        <v>2867.89</v>
      </c>
      <c r="Q35" s="27">
        <f>pm.rep!I88</f>
        <v>554.75699999999995</v>
      </c>
      <c r="R35" s="27">
        <f>pm.rep!J88</f>
        <v>636.34799999999996</v>
      </c>
      <c r="S35" s="27">
        <f>pm.rep!K88</f>
        <v>310.72800000000001</v>
      </c>
      <c r="T35" s="27">
        <f>pm.rep!L88</f>
        <v>401.65100000000001</v>
      </c>
      <c r="U35" s="27">
        <f>pm.rep!M88</f>
        <v>76.044600000000003</v>
      </c>
      <c r="V35" s="27">
        <f>pm.rep!N88</f>
        <v>17.183599999999998</v>
      </c>
      <c r="W35" s="27">
        <f>pm.rep!O88</f>
        <v>7.0799300000000001</v>
      </c>
      <c r="X35" s="27">
        <f>pm.rep!P88</f>
        <v>7.6959600000000004</v>
      </c>
      <c r="Z35">
        <f>pm.rep!A142</f>
        <v>1989</v>
      </c>
      <c r="AA35">
        <f>pm.rep!B142/$AP35</f>
        <v>6.2921189272322679E-4</v>
      </c>
      <c r="AB35">
        <f>pm.rep!C142/$AP35</f>
        <v>2.2765895186699966E-2</v>
      </c>
      <c r="AC35">
        <f>pm.rep!D142/$AP35</f>
        <v>0.19866754680258866</v>
      </c>
      <c r="AD35">
        <f>pm.rep!E142/$AP35</f>
        <v>0.42596786596528002</v>
      </c>
      <c r="AE35">
        <f>pm.rep!F142/$AP35</f>
        <v>0.63708820186870085</v>
      </c>
      <c r="AF35">
        <f>pm.rep!G142/$AP35</f>
        <v>0.787522031752945</v>
      </c>
      <c r="AG35">
        <f>pm.rep!H142/$AP35</f>
        <v>1</v>
      </c>
      <c r="AH35">
        <f>pm.rep!I142/$AP35</f>
        <v>0.93962449046254759</v>
      </c>
      <c r="AI35">
        <f>pm.rep!J142/$AP35</f>
        <v>0.8926415646457565</v>
      </c>
      <c r="AJ35">
        <f>pm.rep!K142/$AP35</f>
        <v>0.88380844794381641</v>
      </c>
      <c r="AK35">
        <f>pm.rep!L142/$AP35</f>
        <v>0.88380844794381641</v>
      </c>
      <c r="AL35">
        <f>pm.rep!M142/$AP35</f>
        <v>0.88380844794381641</v>
      </c>
      <c r="AM35">
        <f>pm.rep!N142/$AP35</f>
        <v>0.88380844794381641</v>
      </c>
      <c r="AN35">
        <f>pm.rep!O142/$AP35</f>
        <v>0.88380844794381641</v>
      </c>
      <c r="AO35">
        <f>pm.rep!P142/$AP35</f>
        <v>0.88380844794381641</v>
      </c>
      <c r="AP35">
        <f>MAX(pm.rep!B142:P142)</f>
        <v>1.4694700000000001</v>
      </c>
      <c r="AR35">
        <v>1989</v>
      </c>
      <c r="AS35">
        <v>9213.69</v>
      </c>
      <c r="AT35">
        <v>2004.85</v>
      </c>
      <c r="AU35">
        <v>2058.84</v>
      </c>
      <c r="AV35">
        <v>2482.8200000000002</v>
      </c>
      <c r="AW35">
        <v>4487.25</v>
      </c>
      <c r="AX35">
        <v>1086.9100000000001</v>
      </c>
      <c r="AY35">
        <v>2861.06</v>
      </c>
      <c r="AZ35">
        <v>508.077</v>
      </c>
      <c r="BA35">
        <v>565.89400000000001</v>
      </c>
      <c r="BB35">
        <v>273.51</v>
      </c>
      <c r="BC35">
        <v>405.47899999999998</v>
      </c>
      <c r="BD35">
        <v>72.857900000000001</v>
      </c>
      <c r="BE35">
        <v>14.6096</v>
      </c>
      <c r="BF35">
        <v>5.9407800000000002</v>
      </c>
      <c r="BG35">
        <v>5.9101299999999997</v>
      </c>
      <c r="BJ35" s="31">
        <v>6.6E-3</v>
      </c>
      <c r="BK35" s="31">
        <v>0.17</v>
      </c>
      <c r="BL35" s="31">
        <v>0.30299999999999999</v>
      </c>
      <c r="BM35" s="31">
        <v>0.44700000000000001</v>
      </c>
      <c r="BN35" s="31">
        <v>0.58899999999999997</v>
      </c>
      <c r="BO35" s="31">
        <v>0.72199999999999998</v>
      </c>
      <c r="BP35" s="31">
        <v>0.84</v>
      </c>
      <c r="BQ35" s="31">
        <v>0.94199999999999995</v>
      </c>
      <c r="BR35" s="31">
        <v>1.0289999999999999</v>
      </c>
      <c r="BS35" s="31">
        <v>1.1020000000000001</v>
      </c>
      <c r="BT35" s="31">
        <v>1.163</v>
      </c>
      <c r="BU35" s="31">
        <v>1.212</v>
      </c>
      <c r="BV35" s="31">
        <v>1.2529999999999999</v>
      </c>
      <c r="BW35" s="31">
        <v>1.286</v>
      </c>
      <c r="BX35" s="31">
        <v>1.3120000000000001</v>
      </c>
      <c r="BZ35">
        <v>6.6E-3</v>
      </c>
      <c r="CA35">
        <v>0.17</v>
      </c>
      <c r="CB35">
        <v>0.30299999999999999</v>
      </c>
      <c r="CC35">
        <v>0.44700000000000001</v>
      </c>
      <c r="CD35">
        <v>0.58899999999999997</v>
      </c>
      <c r="CE35">
        <v>0.72199999999999998</v>
      </c>
      <c r="CF35">
        <v>0.84</v>
      </c>
      <c r="CG35">
        <v>0.94199999999999995</v>
      </c>
      <c r="CH35">
        <v>1.0289999999999999</v>
      </c>
      <c r="CI35">
        <v>1.1020000000000001</v>
      </c>
      <c r="CJ35">
        <v>1.163</v>
      </c>
      <c r="CK35">
        <v>1.212</v>
      </c>
      <c r="CL35">
        <v>1.2529999999999999</v>
      </c>
      <c r="CM35">
        <v>1.286</v>
      </c>
      <c r="CN35">
        <v>1.3120000000000001</v>
      </c>
    </row>
    <row r="36" spans="1:92" x14ac:dyDescent="0.15">
      <c r="A36">
        <f t="shared" si="0"/>
        <v>1990</v>
      </c>
      <c r="B36" s="27">
        <v>1450</v>
      </c>
      <c r="C36" s="27">
        <f t="shared" si="2"/>
        <v>5128.0635666192684</v>
      </c>
      <c r="D36" s="27">
        <f t="shared" si="3"/>
        <v>3402.5798740499999</v>
      </c>
      <c r="E36" s="27" t="e">
        <f t="shared" si="4"/>
        <v>#VALUE!</v>
      </c>
      <c r="F36" s="27"/>
      <c r="G36" s="27">
        <f t="shared" si="1"/>
        <v>6563.2409708788009</v>
      </c>
      <c r="H36" s="27" t="e">
        <f t="shared" si="5"/>
        <v>#VALUE!</v>
      </c>
      <c r="I36">
        <f>pm.rep!A89</f>
        <v>1990</v>
      </c>
      <c r="J36" s="27">
        <f>pm.rep!B89</f>
        <v>48848.1</v>
      </c>
      <c r="K36" s="27">
        <f>pm.rep!C89</f>
        <v>4513.45</v>
      </c>
      <c r="L36" s="27">
        <f>pm.rep!D89</f>
        <v>1434.67</v>
      </c>
      <c r="M36" s="27">
        <f>pm.rep!E89</f>
        <v>1436.07</v>
      </c>
      <c r="N36" s="27">
        <f>pm.rep!F89</f>
        <v>1780.46</v>
      </c>
      <c r="O36" s="27">
        <f>pm.rep!G89</f>
        <v>2872.5</v>
      </c>
      <c r="P36" s="27">
        <f>pm.rep!H89</f>
        <v>721.34100000000001</v>
      </c>
      <c r="Q36" s="27">
        <f>pm.rep!I89</f>
        <v>1722.6</v>
      </c>
      <c r="R36" s="27">
        <f>pm.rep!J89</f>
        <v>337.46199999999999</v>
      </c>
      <c r="S36" s="27">
        <f>pm.rep!K89</f>
        <v>390.92700000000002</v>
      </c>
      <c r="T36" s="27">
        <f>pm.rep!L89</f>
        <v>191.24299999999999</v>
      </c>
      <c r="U36" s="27">
        <f>pm.rep!M89</f>
        <v>247.203</v>
      </c>
      <c r="V36" s="27">
        <f>pm.rep!N89</f>
        <v>46.803100000000001</v>
      </c>
      <c r="W36" s="27">
        <f>pm.rep!O89</f>
        <v>10.576000000000001</v>
      </c>
      <c r="X36" s="27">
        <f>pm.rep!P89</f>
        <v>9.0940999999999992</v>
      </c>
      <c r="Z36">
        <f>pm.rep!A143</f>
        <v>1990</v>
      </c>
      <c r="AA36">
        <f>pm.rep!B143/$AP36</f>
        <v>5.6167028967190735E-4</v>
      </c>
      <c r="AB36">
        <f>pm.rep!C143/$AP36</f>
        <v>2.3504950638058165E-2</v>
      </c>
      <c r="AC36">
        <f>pm.rep!D143/$AP36</f>
        <v>0.16054005647555011</v>
      </c>
      <c r="AD36">
        <f>pm.rep!E143/$AP36</f>
        <v>0.48696656965197482</v>
      </c>
      <c r="AE36">
        <f>pm.rep!F143/$AP36</f>
        <v>0.79917958791625443</v>
      </c>
      <c r="AF36">
        <f>pm.rep!G143/$AP36</f>
        <v>0.87508214953743491</v>
      </c>
      <c r="AG36">
        <f>pm.rep!H143/$AP36</f>
        <v>0.98180793979793013</v>
      </c>
      <c r="AH36">
        <f>pm.rep!I143/$AP36</f>
        <v>1</v>
      </c>
      <c r="AI36">
        <f>pm.rep!J143/$AP36</f>
        <v>0.96183206106870223</v>
      </c>
      <c r="AJ36">
        <f>pm.rep!K143/$AP36</f>
        <v>0.92390244607018279</v>
      </c>
      <c r="AK36">
        <f>pm.rep!L143/$AP36</f>
        <v>0.92390244607018279</v>
      </c>
      <c r="AL36">
        <f>pm.rep!M143/$AP36</f>
        <v>0.92390244607018279</v>
      </c>
      <c r="AM36">
        <f>pm.rep!N143/$AP36</f>
        <v>0.92390244607018279</v>
      </c>
      <c r="AN36">
        <f>pm.rep!O143/$AP36</f>
        <v>0.92390244607018279</v>
      </c>
      <c r="AO36">
        <f>pm.rep!P143/$AP36</f>
        <v>0.92390244607018279</v>
      </c>
      <c r="AP36">
        <f>MAX(pm.rep!B143:P143)</f>
        <v>1.3846700000000001</v>
      </c>
      <c r="AR36">
        <v>1990</v>
      </c>
      <c r="AS36">
        <v>49951.1</v>
      </c>
      <c r="AT36">
        <v>3745.55</v>
      </c>
      <c r="AU36">
        <v>1271.53</v>
      </c>
      <c r="AV36">
        <v>1471.84</v>
      </c>
      <c r="AW36">
        <v>1683.38</v>
      </c>
      <c r="AX36">
        <v>2921.54</v>
      </c>
      <c r="AY36">
        <v>679.78200000000004</v>
      </c>
      <c r="AZ36">
        <v>1689.51</v>
      </c>
      <c r="BA36">
        <v>302.98500000000001</v>
      </c>
      <c r="BB36">
        <v>340.95</v>
      </c>
      <c r="BC36">
        <v>165.02699999999999</v>
      </c>
      <c r="BD36">
        <v>244.65299999999999</v>
      </c>
      <c r="BE36">
        <v>43.9602</v>
      </c>
      <c r="BF36">
        <v>8.8149999999999995</v>
      </c>
      <c r="BG36">
        <v>7.1504700000000003</v>
      </c>
      <c r="BJ36" s="31">
        <v>6.6E-3</v>
      </c>
      <c r="BK36" s="31">
        <v>0.17</v>
      </c>
      <c r="BL36" s="31">
        <v>0.30299999999999999</v>
      </c>
      <c r="BM36" s="31">
        <v>0.44700000000000001</v>
      </c>
      <c r="BN36" s="31">
        <v>0.58899999999999997</v>
      </c>
      <c r="BO36" s="31">
        <v>0.72199999999999998</v>
      </c>
      <c r="BP36" s="31">
        <v>0.84</v>
      </c>
      <c r="BQ36" s="31">
        <v>0.94199999999999995</v>
      </c>
      <c r="BR36" s="31">
        <v>1.0289999999999999</v>
      </c>
      <c r="BS36" s="31">
        <v>1.1020000000000001</v>
      </c>
      <c r="BT36" s="31">
        <v>1.163</v>
      </c>
      <c r="BU36" s="31">
        <v>1.212</v>
      </c>
      <c r="BV36" s="31">
        <v>1.2529999999999999</v>
      </c>
      <c r="BW36" s="31">
        <v>1.286</v>
      </c>
      <c r="BX36" s="31">
        <v>1.3120000000000001</v>
      </c>
      <c r="BZ36">
        <v>6.6E-3</v>
      </c>
      <c r="CA36">
        <v>0.17</v>
      </c>
      <c r="CB36">
        <v>0.30299999999999999</v>
      </c>
      <c r="CC36">
        <v>0.44700000000000001</v>
      </c>
      <c r="CD36">
        <v>0.58899999999999997</v>
      </c>
      <c r="CE36">
        <v>0.72199999999999998</v>
      </c>
      <c r="CF36">
        <v>0.84</v>
      </c>
      <c r="CG36">
        <v>0.94199999999999995</v>
      </c>
      <c r="CH36">
        <v>1.0289999999999999</v>
      </c>
      <c r="CI36">
        <v>1.1020000000000001</v>
      </c>
      <c r="CJ36">
        <v>1.163</v>
      </c>
      <c r="CK36">
        <v>1.212</v>
      </c>
      <c r="CL36">
        <v>1.2529999999999999</v>
      </c>
      <c r="CM36">
        <v>1.286</v>
      </c>
      <c r="CN36">
        <v>1.3120000000000001</v>
      </c>
    </row>
    <row r="37" spans="1:92" x14ac:dyDescent="0.15">
      <c r="A37">
        <f t="shared" si="0"/>
        <v>1991</v>
      </c>
      <c r="B37" s="27">
        <v>1676</v>
      </c>
      <c r="C37" s="27">
        <f t="shared" si="2"/>
        <v>4102.5285296732554</v>
      </c>
      <c r="D37" s="27">
        <f t="shared" si="3"/>
        <v>2584.0786077154453</v>
      </c>
      <c r="E37" s="27" t="e">
        <f t="shared" si="4"/>
        <v>#VALUE!</v>
      </c>
      <c r="F37" s="27"/>
      <c r="G37" s="27">
        <f t="shared" si="1"/>
        <v>4742.6633112071731</v>
      </c>
      <c r="H37" s="27" t="e">
        <f t="shared" si="5"/>
        <v>#VALUE!</v>
      </c>
      <c r="I37">
        <f>pm.rep!A90</f>
        <v>1991</v>
      </c>
      <c r="J37" s="27">
        <f>pm.rep!B90</f>
        <v>25581.3</v>
      </c>
      <c r="K37" s="27">
        <f>pm.rep!C90</f>
        <v>19857</v>
      </c>
      <c r="L37" s="27">
        <f>pm.rep!D90</f>
        <v>2858.66</v>
      </c>
      <c r="M37" s="27">
        <f>pm.rep!E90</f>
        <v>1015.24</v>
      </c>
      <c r="N37" s="27">
        <f>pm.rep!F90</f>
        <v>925.85299999999995</v>
      </c>
      <c r="O37" s="27">
        <f>pm.rep!G90</f>
        <v>1050.05</v>
      </c>
      <c r="P37" s="27">
        <f>pm.rep!H90</f>
        <v>1657.8</v>
      </c>
      <c r="Q37" s="27">
        <f>pm.rep!I90</f>
        <v>403.81900000000002</v>
      </c>
      <c r="R37" s="27">
        <f>pm.rep!J90</f>
        <v>959.34799999999996</v>
      </c>
      <c r="S37" s="27">
        <f>pm.rep!K90</f>
        <v>189.99700000000001</v>
      </c>
      <c r="T37" s="27">
        <f>pm.rep!L90</f>
        <v>222.494</v>
      </c>
      <c r="U37" s="27">
        <f>pm.rep!M90</f>
        <v>108.845</v>
      </c>
      <c r="V37" s="27">
        <f>pm.rep!N90</f>
        <v>140.69399999999999</v>
      </c>
      <c r="W37" s="27">
        <f>pm.rep!O90</f>
        <v>26.637599999999999</v>
      </c>
      <c r="X37" s="27">
        <f>pm.rep!P90</f>
        <v>11.1951</v>
      </c>
      <c r="Z37">
        <f>pm.rep!A144</f>
        <v>1991</v>
      </c>
      <c r="AA37">
        <f>pm.rep!B144/$AP37</f>
        <v>4.5215383407447594E-4</v>
      </c>
      <c r="AB37">
        <f>pm.rep!C144/$AP37</f>
        <v>2.1420638262942635E-2</v>
      </c>
      <c r="AC37">
        <f>pm.rep!D144/$AP37</f>
        <v>0.10989300423272116</v>
      </c>
      <c r="AD37">
        <f>pm.rep!E144/$AP37</f>
        <v>0.34997751589947113</v>
      </c>
      <c r="AE37">
        <f>pm.rep!F144/$AP37</f>
        <v>0.61805366205326229</v>
      </c>
      <c r="AF37">
        <f>pm.rep!G144/$AP37</f>
        <v>0.7610903718085068</v>
      </c>
      <c r="AG37">
        <f>pm.rep!H144/$AP37</f>
        <v>0.9890077730747544</v>
      </c>
      <c r="AH37">
        <f>pm.rep!I144/$AP37</f>
        <v>0.88281144048137383</v>
      </c>
      <c r="AI37">
        <f>pm.rep!J144/$AP37</f>
        <v>1</v>
      </c>
      <c r="AJ37">
        <f>pm.rep!K144/$AP37</f>
        <v>0.99566734951712721</v>
      </c>
      <c r="AK37">
        <f>pm.rep!L144/$AP37</f>
        <v>0.99566734951712721</v>
      </c>
      <c r="AL37">
        <f>pm.rep!M144/$AP37</f>
        <v>0.99566734951712721</v>
      </c>
      <c r="AM37">
        <f>pm.rep!N144/$AP37</f>
        <v>0.99566734951712721</v>
      </c>
      <c r="AN37">
        <f>pm.rep!O144/$AP37</f>
        <v>0.99566734951712721</v>
      </c>
      <c r="AO37">
        <f>pm.rep!P144/$AP37</f>
        <v>0.99566734951712721</v>
      </c>
      <c r="AP37">
        <f>MAX(pm.rep!B144:P144)</f>
        <v>1.40099</v>
      </c>
      <c r="AR37">
        <v>1991</v>
      </c>
      <c r="AS37">
        <v>25554.5</v>
      </c>
      <c r="AT37">
        <v>20305.400000000001</v>
      </c>
      <c r="AU37">
        <v>2369.59</v>
      </c>
      <c r="AV37">
        <v>901.63499999999999</v>
      </c>
      <c r="AW37">
        <v>940.21500000000003</v>
      </c>
      <c r="AX37">
        <v>996.072</v>
      </c>
      <c r="AY37">
        <v>1672.32</v>
      </c>
      <c r="AZ37">
        <v>369.93599999999998</v>
      </c>
      <c r="BA37">
        <v>920.65499999999997</v>
      </c>
      <c r="BB37">
        <v>166.571</v>
      </c>
      <c r="BC37">
        <v>191.566</v>
      </c>
      <c r="BD37">
        <v>92.722099999999998</v>
      </c>
      <c r="BE37">
        <v>137.46100000000001</v>
      </c>
      <c r="BF37">
        <v>24.6995</v>
      </c>
      <c r="BG37">
        <v>8.9703499999999998</v>
      </c>
      <c r="BJ37" s="31">
        <v>6.6E-3</v>
      </c>
      <c r="BK37" s="31">
        <v>0.149613</v>
      </c>
      <c r="BL37" s="31">
        <v>0.287074</v>
      </c>
      <c r="BM37" s="31">
        <v>0.478518</v>
      </c>
      <c r="BN37" s="31">
        <v>0.60778399999999999</v>
      </c>
      <c r="BO37" s="31">
        <v>0.72699899999999995</v>
      </c>
      <c r="BP37" s="31">
        <v>0.84816499999999995</v>
      </c>
      <c r="BQ37" s="31">
        <v>0.88670800000000005</v>
      </c>
      <c r="BR37" s="31">
        <v>1.00604</v>
      </c>
      <c r="BS37" s="31">
        <v>1.1265099999999999</v>
      </c>
      <c r="BT37" s="31">
        <v>1.1247199999999999</v>
      </c>
      <c r="BU37" s="31">
        <v>1.2372799999999999</v>
      </c>
      <c r="BV37" s="31">
        <v>1.24166</v>
      </c>
      <c r="BW37" s="31">
        <v>1.2786599999999999</v>
      </c>
      <c r="BX37" s="31">
        <v>1.24356</v>
      </c>
      <c r="BZ37">
        <v>6.6E-3</v>
      </c>
      <c r="CA37">
        <v>0.149613</v>
      </c>
      <c r="CB37">
        <v>0.287074</v>
      </c>
      <c r="CC37">
        <v>0.478518</v>
      </c>
      <c r="CD37">
        <v>0.60778399999999999</v>
      </c>
      <c r="CE37">
        <v>0.72699899999999995</v>
      </c>
      <c r="CF37">
        <v>0.84816499999999995</v>
      </c>
      <c r="CG37">
        <v>0.88670800000000005</v>
      </c>
      <c r="CH37">
        <v>1.00604</v>
      </c>
      <c r="CI37">
        <v>1.1265099999999999</v>
      </c>
      <c r="CJ37">
        <v>1.1247199999999999</v>
      </c>
      <c r="CK37">
        <v>1.2372799999999999</v>
      </c>
      <c r="CL37">
        <v>1.24166</v>
      </c>
      <c r="CM37">
        <v>1.2786599999999999</v>
      </c>
      <c r="CN37">
        <v>1.24356</v>
      </c>
    </row>
    <row r="38" spans="1:92" x14ac:dyDescent="0.15">
      <c r="A38">
        <f t="shared" si="0"/>
        <v>1992</v>
      </c>
      <c r="B38" s="27">
        <v>1490</v>
      </c>
      <c r="C38" s="27">
        <f t="shared" si="2"/>
        <v>3551.7644633958448</v>
      </c>
      <c r="D38" s="27">
        <f t="shared" si="3"/>
        <v>2709.323313717633</v>
      </c>
      <c r="E38" s="27" t="e">
        <f t="shared" si="4"/>
        <v>#VALUE!</v>
      </c>
      <c r="F38" s="27"/>
      <c r="G38" s="27">
        <f t="shared" si="1"/>
        <v>4099.1683615579695</v>
      </c>
      <c r="H38" s="27" t="e">
        <f t="shared" si="5"/>
        <v>#VALUE!</v>
      </c>
      <c r="I38">
        <f>pm.rep!A91</f>
        <v>1992</v>
      </c>
      <c r="J38" s="27">
        <f>pm.rep!B91</f>
        <v>22780.799999999999</v>
      </c>
      <c r="K38" s="27">
        <f>pm.rep!C91</f>
        <v>10399</v>
      </c>
      <c r="L38" s="27">
        <f>pm.rep!D91</f>
        <v>12571.5</v>
      </c>
      <c r="M38" s="27">
        <f>pm.rep!E91</f>
        <v>2041.8</v>
      </c>
      <c r="N38" s="27">
        <f>pm.rep!F91</f>
        <v>669.51900000000001</v>
      </c>
      <c r="O38" s="27">
        <f>pm.rep!G91</f>
        <v>558.52300000000002</v>
      </c>
      <c r="P38" s="27">
        <f>pm.rep!H91</f>
        <v>604.03499999999997</v>
      </c>
      <c r="Q38" s="27">
        <f>pm.rep!I91</f>
        <v>884.06799999999998</v>
      </c>
      <c r="R38" s="27">
        <f>pm.rep!J91</f>
        <v>223.084</v>
      </c>
      <c r="S38" s="27">
        <f>pm.rep!K91</f>
        <v>509.733</v>
      </c>
      <c r="T38" s="27">
        <f>pm.rep!L91</f>
        <v>101.09699999999999</v>
      </c>
      <c r="U38" s="27">
        <f>pm.rep!M91</f>
        <v>118.389</v>
      </c>
      <c r="V38" s="27">
        <f>pm.rep!N91</f>
        <v>57.916200000000003</v>
      </c>
      <c r="W38" s="27">
        <f>pm.rep!O91</f>
        <v>74.863200000000006</v>
      </c>
      <c r="X38" s="27">
        <f>pm.rep!P91</f>
        <v>20.130700000000001</v>
      </c>
      <c r="Z38">
        <f>pm.rep!A145</f>
        <v>1992</v>
      </c>
      <c r="AA38">
        <f>pm.rep!B145/$AP38</f>
        <v>3.7340607572136202E-4</v>
      </c>
      <c r="AB38">
        <f>pm.rep!C145/$AP38</f>
        <v>1.8510235893172609E-2</v>
      </c>
      <c r="AC38">
        <f>pm.rep!D145/$AP38</f>
        <v>0.1432782569538259</v>
      </c>
      <c r="AD38">
        <f>pm.rep!E145/$AP38</f>
        <v>0.26230073781565005</v>
      </c>
      <c r="AE38">
        <f>pm.rep!F145/$AP38</f>
        <v>0.43652014271363748</v>
      </c>
      <c r="AF38">
        <f>pm.rep!G145/$AP38</f>
        <v>0.70438186289791826</v>
      </c>
      <c r="AG38">
        <f>pm.rep!H145/$AP38</f>
        <v>0.92886487235442872</v>
      </c>
      <c r="AH38">
        <f>pm.rep!I145/$AP38</f>
        <v>0.99138868682670001</v>
      </c>
      <c r="AI38">
        <f>pm.rep!J145/$AP38</f>
        <v>1</v>
      </c>
      <c r="AJ38">
        <f>pm.rep!K145/$AP38</f>
        <v>0.98435692265059416</v>
      </c>
      <c r="AK38">
        <f>pm.rep!L145/$AP38</f>
        <v>0.98435692265059416</v>
      </c>
      <c r="AL38">
        <f>pm.rep!M145/$AP38</f>
        <v>0.98435692265059416</v>
      </c>
      <c r="AM38">
        <f>pm.rep!N145/$AP38</f>
        <v>0.98435692265059416</v>
      </c>
      <c r="AN38">
        <f>pm.rep!O145/$AP38</f>
        <v>0.98435692265059416</v>
      </c>
      <c r="AO38">
        <f>pm.rep!P145/$AP38</f>
        <v>0.98435692265059416</v>
      </c>
      <c r="AP38">
        <f>MAX(pm.rep!B145:P145)</f>
        <v>1.4434499999999999</v>
      </c>
      <c r="AR38">
        <v>1992</v>
      </c>
      <c r="AS38">
        <v>21387.3</v>
      </c>
      <c r="AT38">
        <v>10388.1</v>
      </c>
      <c r="AU38">
        <v>12847.7</v>
      </c>
      <c r="AV38">
        <v>1694.47</v>
      </c>
      <c r="AW38">
        <v>586.70000000000005</v>
      </c>
      <c r="AX38">
        <v>561.87400000000002</v>
      </c>
      <c r="AY38">
        <v>567.01400000000001</v>
      </c>
      <c r="AZ38">
        <v>867.97400000000005</v>
      </c>
      <c r="BA38">
        <v>201.65199999999999</v>
      </c>
      <c r="BB38">
        <v>477.92899999999997</v>
      </c>
      <c r="BC38">
        <v>88.012699999999995</v>
      </c>
      <c r="BD38">
        <v>101.21899999999999</v>
      </c>
      <c r="BE38">
        <v>48.9925</v>
      </c>
      <c r="BF38">
        <v>72.631500000000003</v>
      </c>
      <c r="BG38">
        <v>17.790400000000002</v>
      </c>
      <c r="BJ38" s="31">
        <v>6.6E-3</v>
      </c>
      <c r="BK38" s="31">
        <v>0.179094</v>
      </c>
      <c r="BL38" s="31">
        <v>0.39792499999999997</v>
      </c>
      <c r="BM38" s="31">
        <v>0.468366</v>
      </c>
      <c r="BN38" s="31">
        <v>0.64540299999999995</v>
      </c>
      <c r="BO38" s="31">
        <v>0.71234399999999998</v>
      </c>
      <c r="BP38" s="31">
        <v>0.81445299999999998</v>
      </c>
      <c r="BQ38" s="31">
        <v>0.98301400000000005</v>
      </c>
      <c r="BR38" s="31">
        <v>1.02772</v>
      </c>
      <c r="BS38" s="31">
        <v>1.22445</v>
      </c>
      <c r="BT38" s="31">
        <v>1.2338499999999999</v>
      </c>
      <c r="BU38" s="31">
        <v>1.2698100000000001</v>
      </c>
      <c r="BV38" s="31">
        <v>1.1751799999999999</v>
      </c>
      <c r="BW38" s="31">
        <v>1.3525799999999999</v>
      </c>
      <c r="BX38" s="31">
        <v>1.44129</v>
      </c>
      <c r="BZ38">
        <v>6.6E-3</v>
      </c>
      <c r="CA38">
        <v>0.179094</v>
      </c>
      <c r="CB38">
        <v>0.39792499999999997</v>
      </c>
      <c r="CC38">
        <v>0.468366</v>
      </c>
      <c r="CD38">
        <v>0.64540299999999995</v>
      </c>
      <c r="CE38">
        <v>0.71234399999999998</v>
      </c>
      <c r="CF38">
        <v>0.81445299999999998</v>
      </c>
      <c r="CG38">
        <v>0.98301400000000005</v>
      </c>
      <c r="CH38">
        <v>1.02772</v>
      </c>
      <c r="CI38">
        <v>1.22445</v>
      </c>
      <c r="CJ38">
        <v>1.2338499999999999</v>
      </c>
      <c r="CK38">
        <v>1.2698100000000001</v>
      </c>
      <c r="CL38">
        <v>1.1751799999999999</v>
      </c>
      <c r="CM38">
        <v>1.3525799999999999</v>
      </c>
      <c r="CN38">
        <v>1.44129</v>
      </c>
    </row>
    <row r="39" spans="1:92" x14ac:dyDescent="0.15">
      <c r="A39">
        <f t="shared" si="0"/>
        <v>1993</v>
      </c>
      <c r="B39" s="27">
        <v>1340</v>
      </c>
      <c r="C39" s="27">
        <f t="shared" si="2"/>
        <v>3670.9500059710808</v>
      </c>
      <c r="D39" s="27">
        <f t="shared" si="3"/>
        <v>3604.5309938891401</v>
      </c>
      <c r="E39" s="27" t="e">
        <f t="shared" si="4"/>
        <v>#VALUE!</v>
      </c>
      <c r="F39" s="27"/>
      <c r="G39" s="27">
        <f t="shared" si="1"/>
        <v>5583.6348210885835</v>
      </c>
      <c r="H39" s="27" t="e">
        <f t="shared" si="5"/>
        <v>#VALUE!</v>
      </c>
      <c r="I39">
        <f>pm.rep!A92</f>
        <v>1993</v>
      </c>
      <c r="J39" s="27">
        <f>pm.rep!B92</f>
        <v>46863.199999999997</v>
      </c>
      <c r="K39" s="27">
        <f>pm.rep!C92</f>
        <v>9260.4</v>
      </c>
      <c r="L39" s="27">
        <f>pm.rep!D92</f>
        <v>6574.82</v>
      </c>
      <c r="M39" s="27">
        <f>pm.rep!E92</f>
        <v>8722.6200000000008</v>
      </c>
      <c r="N39" s="27">
        <f>pm.rep!F92</f>
        <v>1341.63</v>
      </c>
      <c r="O39" s="27">
        <f>pm.rep!G92</f>
        <v>406.24400000000003</v>
      </c>
      <c r="P39" s="27">
        <f>pm.rep!H92</f>
        <v>299.82799999999997</v>
      </c>
      <c r="Q39" s="27">
        <f>pm.rep!I92</f>
        <v>292.62599999999998</v>
      </c>
      <c r="R39" s="27">
        <f>pm.rep!J92</f>
        <v>416.21800000000002</v>
      </c>
      <c r="S39" s="27">
        <f>pm.rep!K92</f>
        <v>104.61499999999999</v>
      </c>
      <c r="T39" s="27">
        <f>pm.rep!L92</f>
        <v>240.75299999999999</v>
      </c>
      <c r="U39" s="27">
        <f>pm.rep!M92</f>
        <v>47.749400000000001</v>
      </c>
      <c r="V39" s="27">
        <f>pm.rep!N92</f>
        <v>55.916499999999999</v>
      </c>
      <c r="W39" s="27">
        <f>pm.rep!O92</f>
        <v>27.354600000000001</v>
      </c>
      <c r="X39" s="27">
        <f>pm.rep!P92</f>
        <v>44.866799999999998</v>
      </c>
      <c r="Z39">
        <f>pm.rep!A146</f>
        <v>1993</v>
      </c>
      <c r="AA39">
        <f>pm.rep!B146/$AP39</f>
        <v>3.3439866024937375E-4</v>
      </c>
      <c r="AB39">
        <f>pm.rep!C146/$AP39</f>
        <v>1.2291297250133695E-2</v>
      </c>
      <c r="AC39">
        <f>pm.rep!D146/$AP39</f>
        <v>0.13590236145120888</v>
      </c>
      <c r="AD39">
        <f>pm.rep!E146/$AP39</f>
        <v>0.5026612063384841</v>
      </c>
      <c r="AE39">
        <f>pm.rep!F146/$AP39</f>
        <v>0.44426947001041406</v>
      </c>
      <c r="AF39">
        <f>pm.rep!G146/$AP39</f>
        <v>0.71462748740465543</v>
      </c>
      <c r="AG39">
        <f>pm.rep!H146/$AP39</f>
        <v>1</v>
      </c>
      <c r="AH39">
        <f>pm.rep!I146/$AP39</f>
        <v>0.99849418784654786</v>
      </c>
      <c r="AI39">
        <f>pm.rep!J146/$AP39</f>
        <v>0.99653803934813812</v>
      </c>
      <c r="AJ39">
        <f>pm.rep!K146/$AP39</f>
        <v>0.95827352303751867</v>
      </c>
      <c r="AK39">
        <f>pm.rep!L146/$AP39</f>
        <v>0.95827352303751867</v>
      </c>
      <c r="AL39">
        <f>pm.rep!M146/$AP39</f>
        <v>0.95827352303751867</v>
      </c>
      <c r="AM39">
        <f>pm.rep!N146/$AP39</f>
        <v>0.95827352303751867</v>
      </c>
      <c r="AN39">
        <f>pm.rep!O146/$AP39</f>
        <v>0.95827352303751867</v>
      </c>
      <c r="AO39">
        <f>pm.rep!P146/$AP39</f>
        <v>0.95827352303751867</v>
      </c>
      <c r="AP39">
        <f>MAX(pm.rep!B146:P146)</f>
        <v>1.42116</v>
      </c>
      <c r="AR39">
        <v>1993</v>
      </c>
      <c r="AS39">
        <v>46626.5</v>
      </c>
      <c r="AT39">
        <v>8693.8700000000008</v>
      </c>
      <c r="AU39">
        <v>6567.3</v>
      </c>
      <c r="AV39">
        <v>8901.77</v>
      </c>
      <c r="AW39">
        <v>1099.5899999999999</v>
      </c>
      <c r="AX39">
        <v>351.02199999999999</v>
      </c>
      <c r="AY39">
        <v>297.233</v>
      </c>
      <c r="AZ39">
        <v>272.27199999999999</v>
      </c>
      <c r="BA39">
        <v>397.995</v>
      </c>
      <c r="BB39">
        <v>90.968000000000004</v>
      </c>
      <c r="BC39">
        <v>215.18199999999999</v>
      </c>
      <c r="BD39">
        <v>39.626600000000003</v>
      </c>
      <c r="BE39">
        <v>45.572800000000001</v>
      </c>
      <c r="BF39">
        <v>22.058199999999999</v>
      </c>
      <c r="BG39">
        <v>40.711300000000001</v>
      </c>
      <c r="BJ39" s="31">
        <v>6.6E-3</v>
      </c>
      <c r="BK39" s="31">
        <v>0.33130999999999999</v>
      </c>
      <c r="BL39" s="31">
        <v>0.49458600000000003</v>
      </c>
      <c r="BM39" s="31">
        <v>0.61287400000000003</v>
      </c>
      <c r="BN39" s="31">
        <v>0.65636799999999995</v>
      </c>
      <c r="BO39" s="31">
        <v>0.77230600000000005</v>
      </c>
      <c r="BP39" s="31">
        <v>0.92993099999999995</v>
      </c>
      <c r="BQ39" s="31">
        <v>1.04311</v>
      </c>
      <c r="BR39" s="31">
        <v>1.19617</v>
      </c>
      <c r="BS39" s="31">
        <v>1.2296199999999999</v>
      </c>
      <c r="BT39" s="31">
        <v>1.40652</v>
      </c>
      <c r="BU39" s="31">
        <v>1.5479400000000001</v>
      </c>
      <c r="BV39" s="31">
        <v>1.6496200000000001</v>
      </c>
      <c r="BW39" s="31">
        <v>1.6883900000000001</v>
      </c>
      <c r="BX39" s="31">
        <v>1.6352899999999999</v>
      </c>
      <c r="BZ39">
        <v>6.6E-3</v>
      </c>
      <c r="CA39">
        <v>0.33130999999999999</v>
      </c>
      <c r="CB39">
        <v>0.49458600000000003</v>
      </c>
      <c r="CC39">
        <v>0.61287400000000003</v>
      </c>
      <c r="CD39">
        <v>0.65636799999999995</v>
      </c>
      <c r="CE39">
        <v>0.77230600000000005</v>
      </c>
      <c r="CF39">
        <v>0.92993099999999995</v>
      </c>
      <c r="CG39">
        <v>1.04311</v>
      </c>
      <c r="CH39">
        <v>1.19617</v>
      </c>
      <c r="CI39">
        <v>1.2296199999999999</v>
      </c>
      <c r="CJ39">
        <v>1.40652</v>
      </c>
      <c r="CK39">
        <v>1.5479400000000001</v>
      </c>
      <c r="CL39">
        <v>1.6496200000000001</v>
      </c>
      <c r="CM39">
        <v>1.6883900000000001</v>
      </c>
      <c r="CN39">
        <v>1.6352899999999999</v>
      </c>
    </row>
    <row r="40" spans="1:92" x14ac:dyDescent="0.15">
      <c r="A40">
        <f t="shared" si="0"/>
        <v>1994</v>
      </c>
      <c r="B40" s="27">
        <v>1330</v>
      </c>
      <c r="C40" s="27">
        <f t="shared" si="2"/>
        <v>4062.8611608985516</v>
      </c>
      <c r="D40" s="27">
        <f t="shared" si="3"/>
        <v>3941.8454571067996</v>
      </c>
      <c r="E40" s="27" t="e">
        <f t="shared" si="4"/>
        <v>#VALUE!</v>
      </c>
      <c r="F40" s="27"/>
      <c r="G40" s="27">
        <f t="shared" si="1"/>
        <v>6152.0259667588716</v>
      </c>
      <c r="H40" s="27" t="e">
        <f t="shared" si="5"/>
        <v>#VALUE!</v>
      </c>
      <c r="I40">
        <f>pm.rep!A93</f>
        <v>1994</v>
      </c>
      <c r="J40" s="27">
        <f>pm.rep!B93</f>
        <v>15942.8</v>
      </c>
      <c r="K40" s="27">
        <f>pm.rep!C93</f>
        <v>19051.2</v>
      </c>
      <c r="L40" s="27">
        <f>pm.rep!D93</f>
        <v>5882.78</v>
      </c>
      <c r="M40" s="27">
        <f>pm.rep!E93</f>
        <v>4674.55</v>
      </c>
      <c r="N40" s="27">
        <f>pm.rep!F93</f>
        <v>5550.3</v>
      </c>
      <c r="O40" s="27">
        <f>pm.rep!G93</f>
        <v>868.91099999999994</v>
      </c>
      <c r="P40" s="27">
        <f>pm.rep!H93</f>
        <v>242.44200000000001</v>
      </c>
      <c r="Q40" s="27">
        <f>pm.rep!I93</f>
        <v>164.13300000000001</v>
      </c>
      <c r="R40" s="27">
        <f>pm.rep!J93</f>
        <v>160.26400000000001</v>
      </c>
      <c r="S40" s="27">
        <f>pm.rep!K93</f>
        <v>228.08699999999999</v>
      </c>
      <c r="T40" s="27">
        <f>pm.rep!L93</f>
        <v>57.996499999999997</v>
      </c>
      <c r="U40" s="27">
        <f>pm.rep!M93</f>
        <v>133.46899999999999</v>
      </c>
      <c r="V40" s="27">
        <f>pm.rep!N93</f>
        <v>26.471299999999999</v>
      </c>
      <c r="W40" s="27">
        <f>pm.rep!O93</f>
        <v>30.998999999999999</v>
      </c>
      <c r="X40" s="27">
        <f>pm.rep!P93</f>
        <v>40.038200000000003</v>
      </c>
      <c r="Z40">
        <f>pm.rep!A147</f>
        <v>1994</v>
      </c>
      <c r="AA40">
        <f>pm.rep!B147/$AP40</f>
        <v>3.0569607590957159E-4</v>
      </c>
      <c r="AB40">
        <f>pm.rep!C147/$AP40</f>
        <v>1.1627440052587958E-2</v>
      </c>
      <c r="AC40">
        <f>pm.rep!D147/$AP40</f>
        <v>6.7725285089599588E-2</v>
      </c>
      <c r="AD40">
        <f>pm.rep!E147/$AP40</f>
        <v>0.30567035353968391</v>
      </c>
      <c r="AE40">
        <f>pm.rep!F147/$AP40</f>
        <v>0.80984023550258666</v>
      </c>
      <c r="AF40">
        <f>pm.rep!G147/$AP40</f>
        <v>0.78279602160679074</v>
      </c>
      <c r="AG40">
        <f>pm.rep!H147/$AP40</f>
        <v>1</v>
      </c>
      <c r="AH40">
        <f>pm.rep!I147/$AP40</f>
        <v>0.99509845951584797</v>
      </c>
      <c r="AI40">
        <f>pm.rep!J147/$AP40</f>
        <v>0.98318042813455664</v>
      </c>
      <c r="AJ40">
        <f>pm.rep!K147/$AP40</f>
        <v>0.96023750321529622</v>
      </c>
      <c r="AK40">
        <f>pm.rep!L147/$AP40</f>
        <v>0.96023750321529622</v>
      </c>
      <c r="AL40">
        <f>pm.rep!M147/$AP40</f>
        <v>0.96023750321529622</v>
      </c>
      <c r="AM40">
        <f>pm.rep!N147/$AP40</f>
        <v>0.96023750321529622</v>
      </c>
      <c r="AN40">
        <f>pm.rep!O147/$AP40</f>
        <v>0.96023750321529622</v>
      </c>
      <c r="AO40">
        <f>pm.rep!P147/$AP40</f>
        <v>0.96023750321529622</v>
      </c>
      <c r="AP40">
        <f>MAX(pm.rep!B147:P147)</f>
        <v>1.3995599999999999</v>
      </c>
      <c r="AR40">
        <v>1994</v>
      </c>
      <c r="AS40">
        <v>14327.8</v>
      </c>
      <c r="AT40">
        <v>18954.900000000001</v>
      </c>
      <c r="AU40">
        <v>5524.98</v>
      </c>
      <c r="AV40">
        <v>4663.5600000000004</v>
      </c>
      <c r="AW40">
        <v>5628.97</v>
      </c>
      <c r="AX40">
        <v>704.74400000000003</v>
      </c>
      <c r="AY40">
        <v>204.477</v>
      </c>
      <c r="AZ40">
        <v>162.26400000000001</v>
      </c>
      <c r="BA40">
        <v>148.65799999999999</v>
      </c>
      <c r="BB40">
        <v>217.334</v>
      </c>
      <c r="BC40">
        <v>50.521599999999999</v>
      </c>
      <c r="BD40">
        <v>119.50700000000001</v>
      </c>
      <c r="BE40">
        <v>22.0078</v>
      </c>
      <c r="BF40">
        <v>25.310099999999998</v>
      </c>
      <c r="BG40">
        <v>34.860900000000001</v>
      </c>
      <c r="BJ40" s="31">
        <v>6.6E-3</v>
      </c>
      <c r="BK40" s="31">
        <v>0.23309099999999999</v>
      </c>
      <c r="BL40" s="31">
        <v>0.39446700000000001</v>
      </c>
      <c r="BM40" s="31">
        <v>0.64872200000000002</v>
      </c>
      <c r="BN40" s="31">
        <v>0.72995699999999997</v>
      </c>
      <c r="BO40" s="31">
        <v>0.74609199999999998</v>
      </c>
      <c r="BP40" s="31">
        <v>0.70564199999999999</v>
      </c>
      <c r="BQ40" s="31">
        <v>1.00956</v>
      </c>
      <c r="BR40" s="31">
        <v>1.3921399999999999</v>
      </c>
      <c r="BS40" s="31">
        <v>1.31978</v>
      </c>
      <c r="BT40" s="31">
        <v>1.3386100000000001</v>
      </c>
      <c r="BU40" s="31">
        <v>1.4170799999999999</v>
      </c>
      <c r="BV40" s="31">
        <v>1.37351</v>
      </c>
      <c r="BW40" s="31">
        <v>1.30966</v>
      </c>
      <c r="BX40" s="31">
        <v>1.38611</v>
      </c>
      <c r="BZ40">
        <v>6.6E-3</v>
      </c>
      <c r="CA40">
        <v>0.23309099999999999</v>
      </c>
      <c r="CB40">
        <v>0.39446700000000001</v>
      </c>
      <c r="CC40">
        <v>0.64872200000000002</v>
      </c>
      <c r="CD40">
        <v>0.72995699999999997</v>
      </c>
      <c r="CE40">
        <v>0.74609199999999998</v>
      </c>
      <c r="CF40">
        <v>0.70564199999999999</v>
      </c>
      <c r="CG40">
        <v>1.00956</v>
      </c>
      <c r="CH40">
        <v>1.3921399999999999</v>
      </c>
      <c r="CI40">
        <v>1.31978</v>
      </c>
      <c r="CJ40">
        <v>1.3386100000000001</v>
      </c>
      <c r="CK40">
        <v>1.4170799999999999</v>
      </c>
      <c r="CL40">
        <v>1.37351</v>
      </c>
      <c r="CM40">
        <v>1.30966</v>
      </c>
      <c r="CN40">
        <v>1.38611</v>
      </c>
    </row>
    <row r="41" spans="1:92" x14ac:dyDescent="0.15">
      <c r="A41">
        <f t="shared" si="0"/>
        <v>1995</v>
      </c>
      <c r="B41" s="27">
        <v>1250</v>
      </c>
      <c r="C41" s="27">
        <f t="shared" si="2"/>
        <v>4486.8785037233256</v>
      </c>
      <c r="D41" s="27">
        <f t="shared" si="3"/>
        <v>4166.8967138324024</v>
      </c>
      <c r="E41" s="27" t="e">
        <f t="shared" si="4"/>
        <v>#VALUE!</v>
      </c>
      <c r="F41" s="27"/>
      <c r="G41" s="27">
        <f t="shared" si="1"/>
        <v>5452.614021481525</v>
      </c>
      <c r="H41" s="27" t="e">
        <f t="shared" si="5"/>
        <v>#VALUE!</v>
      </c>
      <c r="I41">
        <f>pm.rep!A94</f>
        <v>1995</v>
      </c>
      <c r="J41" s="27">
        <f>pm.rep!B94</f>
        <v>10904.9</v>
      </c>
      <c r="K41" s="27">
        <f>pm.rep!C94</f>
        <v>6481.33</v>
      </c>
      <c r="L41" s="27">
        <f>pm.rep!D94</f>
        <v>12108.4</v>
      </c>
      <c r="M41" s="27">
        <f>pm.rep!E94</f>
        <v>4276.8100000000004</v>
      </c>
      <c r="N41" s="27">
        <f>pm.rep!F94</f>
        <v>3180.95</v>
      </c>
      <c r="O41" s="27">
        <f>pm.rep!G94</f>
        <v>3283.07</v>
      </c>
      <c r="P41" s="27">
        <f>pm.rep!H94</f>
        <v>517.85</v>
      </c>
      <c r="Q41" s="27">
        <f>pm.rep!I94</f>
        <v>136.02500000000001</v>
      </c>
      <c r="R41" s="27">
        <f>pm.rep!J94</f>
        <v>92.2149</v>
      </c>
      <c r="S41" s="27">
        <f>pm.rep!K94</f>
        <v>90.339699999999993</v>
      </c>
      <c r="T41" s="27">
        <f>pm.rep!L94</f>
        <v>129.39400000000001</v>
      </c>
      <c r="U41" s="27">
        <f>pm.rep!M94</f>
        <v>32.901299999999999</v>
      </c>
      <c r="V41" s="27">
        <f>pm.rep!N94</f>
        <v>75.716899999999995</v>
      </c>
      <c r="W41" s="27">
        <f>pm.rep!O94</f>
        <v>15.017200000000001</v>
      </c>
      <c r="X41" s="27">
        <f>pm.rep!P94</f>
        <v>40.299300000000002</v>
      </c>
      <c r="Z41">
        <f>pm.rep!A148</f>
        <v>1995</v>
      </c>
      <c r="AA41">
        <f>pm.rep!B148/$AP41</f>
        <v>2.398574115494103E-4</v>
      </c>
      <c r="AB41">
        <f>pm.rep!C148/$AP41</f>
        <v>1.0978421106140706E-2</v>
      </c>
      <c r="AC41">
        <f>pm.rep!D148/$AP41</f>
        <v>4.0275582045546966E-2</v>
      </c>
      <c r="AD41">
        <f>pm.rep!E148/$AP41</f>
        <v>0.13199661956079706</v>
      </c>
      <c r="AE41">
        <f>pm.rep!F148/$AP41</f>
        <v>0.48379295445302967</v>
      </c>
      <c r="AF41">
        <f>pm.rep!G148/$AP41</f>
        <v>1</v>
      </c>
      <c r="AG41">
        <f>pm.rep!H148/$AP41</f>
        <v>0.91771934729564852</v>
      </c>
      <c r="AH41">
        <f>pm.rep!I148/$AP41</f>
        <v>0.9124135827572184</v>
      </c>
      <c r="AI41">
        <f>pm.rep!J148/$AP41</f>
        <v>0.88537006913379412</v>
      </c>
      <c r="AJ41">
        <f>pm.rep!K148/$AP41</f>
        <v>0.85808509556730372</v>
      </c>
      <c r="AK41">
        <f>pm.rep!L148/$AP41</f>
        <v>0.85808509556730372</v>
      </c>
      <c r="AL41">
        <f>pm.rep!M148/$AP41</f>
        <v>0.85808509556730372</v>
      </c>
      <c r="AM41">
        <f>pm.rep!N148/$AP41</f>
        <v>0.85808509556730372</v>
      </c>
      <c r="AN41">
        <f>pm.rep!O148/$AP41</f>
        <v>0.85808509556730372</v>
      </c>
      <c r="AO41">
        <f>pm.rep!P148/$AP41</f>
        <v>0.85808509556730372</v>
      </c>
      <c r="AP41">
        <f>MAX(pm.rep!B148:P148)</f>
        <v>1.57376</v>
      </c>
      <c r="AR41">
        <v>1995</v>
      </c>
      <c r="AS41">
        <v>10289.200000000001</v>
      </c>
      <c r="AT41">
        <v>5824.75</v>
      </c>
      <c r="AU41">
        <v>12052.5</v>
      </c>
      <c r="AV41">
        <v>4021.87</v>
      </c>
      <c r="AW41">
        <v>3164</v>
      </c>
      <c r="AX41">
        <v>3284.51</v>
      </c>
      <c r="AY41">
        <v>411.27300000000002</v>
      </c>
      <c r="AZ41">
        <v>116.066</v>
      </c>
      <c r="BA41">
        <v>92.859099999999998</v>
      </c>
      <c r="BB41">
        <v>85.951899999999995</v>
      </c>
      <c r="BC41">
        <v>127.149</v>
      </c>
      <c r="BD41">
        <v>29.557099999999998</v>
      </c>
      <c r="BE41">
        <v>69.916300000000007</v>
      </c>
      <c r="BF41">
        <v>12.875400000000001</v>
      </c>
      <c r="BG41">
        <v>35.202300000000001</v>
      </c>
      <c r="BJ41" s="31">
        <v>6.6E-3</v>
      </c>
      <c r="BK41" s="31">
        <v>0.15348000000000001</v>
      </c>
      <c r="BL41" s="31">
        <v>0.37541200000000002</v>
      </c>
      <c r="BM41" s="31">
        <v>0.50150799999999995</v>
      </c>
      <c r="BN41" s="31">
        <v>0.72955400000000004</v>
      </c>
      <c r="BO41" s="31">
        <v>0.84345899999999996</v>
      </c>
      <c r="BP41" s="31">
        <v>0.855931</v>
      </c>
      <c r="BQ41" s="31">
        <v>0.97250499999999995</v>
      </c>
      <c r="BR41" s="31">
        <v>1.2243900000000001</v>
      </c>
      <c r="BS41" s="31">
        <v>1.3377300000000001</v>
      </c>
      <c r="BT41" s="31">
        <v>1.41273</v>
      </c>
      <c r="BU41" s="31">
        <v>1.49661</v>
      </c>
      <c r="BV41" s="31">
        <v>1.3947400000000001</v>
      </c>
      <c r="BW41" s="31">
        <v>1.2119200000000001</v>
      </c>
      <c r="BX41" s="31">
        <v>1.36327</v>
      </c>
      <c r="BZ41">
        <v>6.6E-3</v>
      </c>
      <c r="CA41">
        <v>0.15348000000000001</v>
      </c>
      <c r="CB41">
        <v>0.37541200000000002</v>
      </c>
      <c r="CC41">
        <v>0.50150799999999995</v>
      </c>
      <c r="CD41">
        <v>0.72955400000000004</v>
      </c>
      <c r="CE41">
        <v>0.84345899999999996</v>
      </c>
      <c r="CF41">
        <v>0.855931</v>
      </c>
      <c r="CG41">
        <v>0.97250499999999995</v>
      </c>
      <c r="CH41">
        <v>1.2243900000000001</v>
      </c>
      <c r="CI41">
        <v>1.3377300000000001</v>
      </c>
      <c r="CJ41">
        <v>1.41273</v>
      </c>
      <c r="CK41">
        <v>1.49661</v>
      </c>
      <c r="CL41">
        <v>1.3947400000000001</v>
      </c>
      <c r="CM41">
        <v>1.2119200000000001</v>
      </c>
      <c r="CN41">
        <v>1.36327</v>
      </c>
    </row>
    <row r="42" spans="1:92" x14ac:dyDescent="0.15">
      <c r="A42">
        <f t="shared" si="0"/>
        <v>1996</v>
      </c>
      <c r="B42" s="27">
        <v>1190</v>
      </c>
      <c r="C42" s="27">
        <f t="shared" si="2"/>
        <v>4687.5377664123289</v>
      </c>
      <c r="D42" s="27">
        <f t="shared" si="3"/>
        <v>4177.8072589011535</v>
      </c>
      <c r="E42" s="27" t="e">
        <f t="shared" si="4"/>
        <v>#VALUE!</v>
      </c>
      <c r="F42" s="27"/>
      <c r="G42" s="27">
        <f t="shared" si="1"/>
        <v>4086.4234586770599</v>
      </c>
      <c r="H42" s="27" t="e">
        <f t="shared" si="5"/>
        <v>#VALUE!</v>
      </c>
      <c r="I42">
        <f>pm.rep!A95</f>
        <v>1996</v>
      </c>
      <c r="J42" s="27">
        <f>pm.rep!B95</f>
        <v>22878.1</v>
      </c>
      <c r="K42" s="27">
        <f>pm.rep!C95</f>
        <v>4433.28</v>
      </c>
      <c r="L42" s="27">
        <f>pm.rep!D95</f>
        <v>4118.8900000000003</v>
      </c>
      <c r="M42" s="27">
        <f>pm.rep!E95</f>
        <v>8860.85</v>
      </c>
      <c r="N42" s="27">
        <f>pm.rep!F95</f>
        <v>3043.58</v>
      </c>
      <c r="O42" s="27">
        <f>pm.rep!G95</f>
        <v>2033.87</v>
      </c>
      <c r="P42" s="27">
        <f>pm.rep!H95</f>
        <v>1793.97</v>
      </c>
      <c r="Q42" s="27">
        <f>pm.rep!I95</f>
        <v>290.14400000000001</v>
      </c>
      <c r="R42" s="27">
        <f>pm.rep!J95</f>
        <v>76.336200000000005</v>
      </c>
      <c r="S42" s="27">
        <f>pm.rep!K95</f>
        <v>52.177900000000001</v>
      </c>
      <c r="T42" s="27">
        <f>pm.rep!L95</f>
        <v>51.543100000000003</v>
      </c>
      <c r="U42" s="27">
        <f>pm.rep!M95</f>
        <v>73.825100000000006</v>
      </c>
      <c r="V42" s="27">
        <f>pm.rep!N95</f>
        <v>18.771799999999999</v>
      </c>
      <c r="W42" s="27">
        <f>pm.rep!O95</f>
        <v>43.2</v>
      </c>
      <c r="X42" s="27">
        <f>pm.rep!P95</f>
        <v>31.560700000000001</v>
      </c>
      <c r="Z42">
        <f>pm.rep!A149</f>
        <v>1996</v>
      </c>
      <c r="AA42">
        <f>pm.rep!B149/$AP42</f>
        <v>1.8805325064035939E-4</v>
      </c>
      <c r="AB42">
        <f>pm.rep!C149/$AP42</f>
        <v>1.2961669307616728E-2</v>
      </c>
      <c r="AC42">
        <f>pm.rep!D149/$AP42</f>
        <v>4.0590834483424494E-2</v>
      </c>
      <c r="AD42">
        <f>pm.rep!E149/$AP42</f>
        <v>5.7534090973630263E-2</v>
      </c>
      <c r="AE42">
        <f>pm.rep!F149/$AP42</f>
        <v>0.21132655205511353</v>
      </c>
      <c r="AF42">
        <f>pm.rep!G149/$AP42</f>
        <v>0.63299881299233851</v>
      </c>
      <c r="AG42">
        <f>pm.rep!H149/$AP42</f>
        <v>1</v>
      </c>
      <c r="AH42">
        <f>pm.rep!I149/$AP42</f>
        <v>0.97986630545285192</v>
      </c>
      <c r="AI42">
        <f>pm.rep!J149/$AP42</f>
        <v>0.86883281366251497</v>
      </c>
      <c r="AJ42">
        <f>pm.rep!K149/$AP42</f>
        <v>0.78581611036331522</v>
      </c>
      <c r="AK42">
        <f>pm.rep!L149/$AP42</f>
        <v>0.78581611036331522</v>
      </c>
      <c r="AL42">
        <f>pm.rep!M149/$AP42</f>
        <v>0.78581611036331522</v>
      </c>
      <c r="AM42">
        <f>pm.rep!N149/$AP42</f>
        <v>0.78581611036331522</v>
      </c>
      <c r="AN42">
        <f>pm.rep!O149/$AP42</f>
        <v>0.78581611036331522</v>
      </c>
      <c r="AO42">
        <f>pm.rep!P149/$AP42</f>
        <v>0.78581611036331522</v>
      </c>
      <c r="AP42">
        <f>MAX(pm.rep!B149:P149)</f>
        <v>1.7607299999999999</v>
      </c>
      <c r="AR42">
        <v>1996</v>
      </c>
      <c r="AS42">
        <v>22729.7</v>
      </c>
      <c r="AT42">
        <v>4182.97</v>
      </c>
      <c r="AU42">
        <v>3704.08</v>
      </c>
      <c r="AV42">
        <v>8829.33</v>
      </c>
      <c r="AW42">
        <v>2859.45</v>
      </c>
      <c r="AX42">
        <v>2005.21</v>
      </c>
      <c r="AY42">
        <v>1775.34</v>
      </c>
      <c r="AZ42">
        <v>227.65600000000001</v>
      </c>
      <c r="BA42">
        <v>65.535300000000007</v>
      </c>
      <c r="BB42">
        <v>53.3506</v>
      </c>
      <c r="BC42">
        <v>49.930799999999998</v>
      </c>
      <c r="BD42">
        <v>73.862499999999997</v>
      </c>
      <c r="BE42">
        <v>17.170100000000001</v>
      </c>
      <c r="BF42">
        <v>40.615400000000001</v>
      </c>
      <c r="BG42">
        <v>27.928999999999998</v>
      </c>
      <c r="BJ42" s="31">
        <v>6.6E-3</v>
      </c>
      <c r="BK42" s="31">
        <v>0.29288900000000001</v>
      </c>
      <c r="BL42" s="31">
        <v>0.32219199999999998</v>
      </c>
      <c r="BM42" s="31">
        <v>0.42813099999999998</v>
      </c>
      <c r="BN42" s="31">
        <v>0.67965100000000001</v>
      </c>
      <c r="BO42" s="31">
        <v>0.78992200000000001</v>
      </c>
      <c r="BP42" s="31">
        <v>0.94608199999999998</v>
      </c>
      <c r="BQ42" s="31">
        <v>0.948793</v>
      </c>
      <c r="BR42" s="31">
        <v>1.02125</v>
      </c>
      <c r="BS42" s="31">
        <v>1.08996</v>
      </c>
      <c r="BT42" s="31">
        <v>1.40326</v>
      </c>
      <c r="BU42" s="31">
        <v>1.49709</v>
      </c>
      <c r="BV42" s="31">
        <v>1.53918</v>
      </c>
      <c r="BW42" s="31">
        <v>1.7504299999999999</v>
      </c>
      <c r="BX42" s="31">
        <v>1.53592</v>
      </c>
      <c r="BZ42">
        <v>6.6E-3</v>
      </c>
      <c r="CA42">
        <v>0.29288900000000001</v>
      </c>
      <c r="CB42">
        <v>0.32219199999999998</v>
      </c>
      <c r="CC42">
        <v>0.42813099999999998</v>
      </c>
      <c r="CD42">
        <v>0.67965100000000001</v>
      </c>
      <c r="CE42">
        <v>0.78992200000000001</v>
      </c>
      <c r="CF42">
        <v>0.94608199999999998</v>
      </c>
      <c r="CG42">
        <v>0.948793</v>
      </c>
      <c r="CH42">
        <v>1.02125</v>
      </c>
      <c r="CI42">
        <v>1.08996</v>
      </c>
      <c r="CJ42">
        <v>1.40326</v>
      </c>
      <c r="CK42">
        <v>1.49709</v>
      </c>
      <c r="CL42">
        <v>1.53918</v>
      </c>
      <c r="CM42">
        <v>1.7504299999999999</v>
      </c>
      <c r="CN42">
        <v>1.53592</v>
      </c>
    </row>
    <row r="43" spans="1:92" x14ac:dyDescent="0.15">
      <c r="A43">
        <f t="shared" si="0"/>
        <v>1997</v>
      </c>
      <c r="B43" s="27">
        <v>1130</v>
      </c>
      <c r="C43" s="27">
        <f t="shared" si="2"/>
        <v>4790.0741759239118</v>
      </c>
      <c r="D43" s="27">
        <f t="shared" si="3"/>
        <v>3946.0623615024601</v>
      </c>
      <c r="E43" s="27" t="e">
        <f t="shared" si="4"/>
        <v>#VALUE!</v>
      </c>
      <c r="F43" s="27"/>
      <c r="G43" s="27">
        <f t="shared" si="1"/>
        <v>4014.36371535423</v>
      </c>
      <c r="H43" s="27" t="e">
        <f t="shared" si="5"/>
        <v>#VALUE!</v>
      </c>
      <c r="I43">
        <f>pm.rep!A96</f>
        <v>1997</v>
      </c>
      <c r="J43" s="27">
        <f>pm.rep!B96</f>
        <v>31178.400000000001</v>
      </c>
      <c r="K43" s="27">
        <f>pm.rep!C96</f>
        <v>9300.86</v>
      </c>
      <c r="L43" s="27">
        <f>pm.rep!D96</f>
        <v>2812.38</v>
      </c>
      <c r="M43" s="27">
        <f>pm.rep!E96</f>
        <v>3002.93</v>
      </c>
      <c r="N43" s="27">
        <f>pm.rep!F96</f>
        <v>6417.13</v>
      </c>
      <c r="O43" s="27">
        <f>pm.rep!G96</f>
        <v>2074.58</v>
      </c>
      <c r="P43" s="27">
        <f>pm.rep!H96</f>
        <v>1174.0899999999999</v>
      </c>
      <c r="Q43" s="27">
        <f>pm.rep!I96</f>
        <v>896.16200000000003</v>
      </c>
      <c r="R43" s="27">
        <f>pm.rep!J96</f>
        <v>146.09399999999999</v>
      </c>
      <c r="S43" s="27">
        <f>pm.rep!K96</f>
        <v>40.155999999999999</v>
      </c>
      <c r="T43" s="27">
        <f>pm.rep!L96</f>
        <v>28.360499999999998</v>
      </c>
      <c r="U43" s="27">
        <f>pm.rep!M96</f>
        <v>28.015499999999999</v>
      </c>
      <c r="V43" s="27">
        <f>pm.rep!N96</f>
        <v>40.126600000000003</v>
      </c>
      <c r="W43" s="27">
        <f>pm.rep!O96</f>
        <v>10.203099999999999</v>
      </c>
      <c r="X43" s="27">
        <f>pm.rep!P96</f>
        <v>40.635100000000001</v>
      </c>
      <c r="Z43">
        <f>pm.rep!A150</f>
        <v>1997</v>
      </c>
      <c r="AA43">
        <f>pm.rep!B150/$AP43</f>
        <v>1.8743078489310457E-4</v>
      </c>
      <c r="AB43">
        <f>pm.rep!C150/$AP43</f>
        <v>1.9140304918928316E-2</v>
      </c>
      <c r="AC43">
        <f>pm.rep!D150/$AP43</f>
        <v>5.2066831375859761E-2</v>
      </c>
      <c r="AD43">
        <f>pm.rep!E150/$AP43</f>
        <v>0.10662106125692151</v>
      </c>
      <c r="AE43">
        <f>pm.rep!F150/$AP43</f>
        <v>0.23710240111240782</v>
      </c>
      <c r="AF43">
        <f>pm.rep!G150/$AP43</f>
        <v>0.49054142974201081</v>
      </c>
      <c r="AG43">
        <f>pm.rep!H150/$AP43</f>
        <v>0.82565242221835977</v>
      </c>
      <c r="AH43">
        <f>pm.rep!I150/$AP43</f>
        <v>0.94868149877088881</v>
      </c>
      <c r="AI43">
        <f>pm.rep!J150/$AP43</f>
        <v>1</v>
      </c>
      <c r="AJ43">
        <f>pm.rep!K150/$AP43</f>
        <v>0.93857547240086414</v>
      </c>
      <c r="AK43">
        <f>pm.rep!L150/$AP43</f>
        <v>0.93857547240086414</v>
      </c>
      <c r="AL43">
        <f>pm.rep!M150/$AP43</f>
        <v>0.93857547240086414</v>
      </c>
      <c r="AM43">
        <f>pm.rep!N150/$AP43</f>
        <v>0.93857547240086414</v>
      </c>
      <c r="AN43">
        <f>pm.rep!O150/$AP43</f>
        <v>0.93857547240086414</v>
      </c>
      <c r="AO43">
        <f>pm.rep!P150/$AP43</f>
        <v>0.93857547240086414</v>
      </c>
      <c r="AP43">
        <f>MAX(pm.rep!B150:P150)</f>
        <v>1.6109199999999999</v>
      </c>
      <c r="AR43">
        <v>1997</v>
      </c>
      <c r="AS43">
        <v>30832.3</v>
      </c>
      <c r="AT43">
        <v>9240.5400000000009</v>
      </c>
      <c r="AU43">
        <v>2655.82</v>
      </c>
      <c r="AV43">
        <v>2701.62</v>
      </c>
      <c r="AW43">
        <v>6412.06</v>
      </c>
      <c r="AX43">
        <v>1937.76</v>
      </c>
      <c r="AY43">
        <v>1127.46</v>
      </c>
      <c r="AZ43">
        <v>876.85400000000004</v>
      </c>
      <c r="BA43">
        <v>119.485</v>
      </c>
      <c r="BB43">
        <v>35.327500000000001</v>
      </c>
      <c r="BC43">
        <v>29.254300000000001</v>
      </c>
      <c r="BD43">
        <v>27.379000000000001</v>
      </c>
      <c r="BE43">
        <v>40.501800000000003</v>
      </c>
      <c r="BF43">
        <v>9.4150700000000001</v>
      </c>
      <c r="BG43">
        <v>37.585700000000003</v>
      </c>
      <c r="BJ43" s="31">
        <v>6.6E-3</v>
      </c>
      <c r="BK43" s="31">
        <v>0.18718399999999999</v>
      </c>
      <c r="BL43" s="31">
        <v>0.32349600000000001</v>
      </c>
      <c r="BM43" s="31">
        <v>0.46641100000000002</v>
      </c>
      <c r="BN43" s="31">
        <v>0.55365799999999998</v>
      </c>
      <c r="BO43" s="31">
        <v>0.74188600000000005</v>
      </c>
      <c r="BP43" s="31">
        <v>0.88836700000000002</v>
      </c>
      <c r="BQ43" s="31">
        <v>1.07108</v>
      </c>
      <c r="BR43" s="31">
        <v>1.0880799999999999</v>
      </c>
      <c r="BS43" s="31">
        <v>1.2395</v>
      </c>
      <c r="BT43" s="31">
        <v>1.41048</v>
      </c>
      <c r="BU43" s="31">
        <v>1.4733799999999999</v>
      </c>
      <c r="BV43" s="31">
        <v>1.7236899999999999</v>
      </c>
      <c r="BW43" s="31">
        <v>1.45773</v>
      </c>
      <c r="BX43" s="31">
        <v>1.4233899999999999</v>
      </c>
      <c r="BZ43">
        <v>6.6E-3</v>
      </c>
      <c r="CA43">
        <v>0.18718399999999999</v>
      </c>
      <c r="CB43">
        <v>0.32349600000000001</v>
      </c>
      <c r="CC43">
        <v>0.46641100000000002</v>
      </c>
      <c r="CD43">
        <v>0.55365799999999998</v>
      </c>
      <c r="CE43">
        <v>0.74188600000000005</v>
      </c>
      <c r="CF43">
        <v>0.88836700000000002</v>
      </c>
      <c r="CG43">
        <v>1.07108</v>
      </c>
      <c r="CH43">
        <v>1.0880799999999999</v>
      </c>
      <c r="CI43">
        <v>1.2395</v>
      </c>
      <c r="CJ43">
        <v>1.41048</v>
      </c>
      <c r="CK43">
        <v>1.4733799999999999</v>
      </c>
      <c r="CL43">
        <v>1.7236899999999999</v>
      </c>
      <c r="CM43">
        <v>1.45773</v>
      </c>
      <c r="CN43">
        <v>1.4233899999999999</v>
      </c>
    </row>
    <row r="44" spans="1:92" x14ac:dyDescent="0.15">
      <c r="A44">
        <f t="shared" si="0"/>
        <v>1998</v>
      </c>
      <c r="B44" s="27">
        <v>1110</v>
      </c>
      <c r="C44" s="27">
        <f t="shared" si="2"/>
        <v>4795.8426069538591</v>
      </c>
      <c r="D44" s="27">
        <f t="shared" si="3"/>
        <v>3683.0104559600754</v>
      </c>
      <c r="E44" s="27" t="e">
        <f t="shared" si="4"/>
        <v>#VALUE!</v>
      </c>
      <c r="F44" s="27"/>
      <c r="G44" s="27">
        <f t="shared" si="1"/>
        <v>4498.0356945168569</v>
      </c>
      <c r="H44" s="27" t="e">
        <f t="shared" si="5"/>
        <v>#VALUE!</v>
      </c>
      <c r="I44">
        <f>pm.rep!A97</f>
        <v>1998</v>
      </c>
      <c r="J44" s="27">
        <f>pm.rep!B97</f>
        <v>15483</v>
      </c>
      <c r="K44" s="27">
        <f>pm.rep!C97</f>
        <v>12675.3</v>
      </c>
      <c r="L44" s="27">
        <f>pm.rep!D97</f>
        <v>5889.16</v>
      </c>
      <c r="M44" s="27">
        <f>pm.rep!E97</f>
        <v>2044.2</v>
      </c>
      <c r="N44" s="27">
        <f>pm.rep!F97</f>
        <v>2139.62</v>
      </c>
      <c r="O44" s="27">
        <f>pm.rep!G97</f>
        <v>4359.3999999999996</v>
      </c>
      <c r="P44" s="27">
        <f>pm.rep!H97</f>
        <v>1284.69</v>
      </c>
      <c r="Q44" s="27">
        <f>pm.rep!I97</f>
        <v>643.26900000000001</v>
      </c>
      <c r="R44" s="27">
        <f>pm.rep!J97</f>
        <v>469.41</v>
      </c>
      <c r="S44" s="27">
        <f>pm.rep!K97</f>
        <v>75.102400000000003</v>
      </c>
      <c r="T44" s="27">
        <f>pm.rep!L97</f>
        <v>21.111599999999999</v>
      </c>
      <c r="U44" s="27">
        <f>pm.rep!M97</f>
        <v>14.9102</v>
      </c>
      <c r="V44" s="27">
        <f>pm.rep!N97</f>
        <v>14.7288</v>
      </c>
      <c r="W44" s="27">
        <f>pm.rep!O97</f>
        <v>21.0961</v>
      </c>
      <c r="X44" s="27">
        <f>pm.rep!P97</f>
        <v>26.727599999999999</v>
      </c>
      <c r="Z44">
        <f>pm.rep!A151</f>
        <v>1998</v>
      </c>
      <c r="AA44">
        <f>pm.rep!B151/$AP44</f>
        <v>1.6923215651643957E-4</v>
      </c>
      <c r="AB44">
        <f>pm.rep!C151/$AP44</f>
        <v>1.4727458162573615E-2</v>
      </c>
      <c r="AC44">
        <f>pm.rep!D151/$AP44</f>
        <v>7.3416210098195919E-2</v>
      </c>
      <c r="AD44">
        <f>pm.rep!E151/$AP44</f>
        <v>0.15183798608217611</v>
      </c>
      <c r="AE44">
        <f>pm.rep!F151/$AP44</f>
        <v>0.28736015323287789</v>
      </c>
      <c r="AF44">
        <f>pm.rep!G151/$AP44</f>
        <v>0.62075484605195241</v>
      </c>
      <c r="AG44">
        <f>pm.rep!H151/$AP44</f>
        <v>0.66406925330066358</v>
      </c>
      <c r="AH44">
        <f>pm.rep!I151/$AP44</f>
        <v>0.90663615276024412</v>
      </c>
      <c r="AI44">
        <f>pm.rep!J151/$AP44</f>
        <v>1</v>
      </c>
      <c r="AJ44">
        <f>pm.rep!K151/$AP44</f>
        <v>0.93488846462397623</v>
      </c>
      <c r="AK44">
        <f>pm.rep!L151/$AP44</f>
        <v>0.93488846462397623</v>
      </c>
      <c r="AL44">
        <f>pm.rep!M151/$AP44</f>
        <v>0.93488846462397623</v>
      </c>
      <c r="AM44">
        <f>pm.rep!N151/$AP44</f>
        <v>0.93488846462397623</v>
      </c>
      <c r="AN44">
        <f>pm.rep!O151/$AP44</f>
        <v>0.93488846462397623</v>
      </c>
      <c r="AO44">
        <f>pm.rep!P151/$AP44</f>
        <v>0.93488846462397623</v>
      </c>
      <c r="AP44">
        <f>MAX(pm.rep!B151:P151)</f>
        <v>1.6080099999999999</v>
      </c>
      <c r="AR44">
        <v>1998</v>
      </c>
      <c r="AS44">
        <v>14898.2</v>
      </c>
      <c r="AT44">
        <v>12534.5</v>
      </c>
      <c r="AU44">
        <v>5853.77</v>
      </c>
      <c r="AV44">
        <v>1930.84</v>
      </c>
      <c r="AW44">
        <v>1920.82</v>
      </c>
      <c r="AX44">
        <v>4340.93</v>
      </c>
      <c r="AY44">
        <v>1181.47</v>
      </c>
      <c r="AZ44">
        <v>609.99800000000005</v>
      </c>
      <c r="BA44">
        <v>465.05599999999998</v>
      </c>
      <c r="BB44">
        <v>61.881799999999998</v>
      </c>
      <c r="BC44">
        <v>18.592199999999998</v>
      </c>
      <c r="BD44">
        <v>15.396000000000001</v>
      </c>
      <c r="BE44">
        <v>14.4091</v>
      </c>
      <c r="BF44">
        <v>21.3154</v>
      </c>
      <c r="BG44">
        <v>24.735700000000001</v>
      </c>
      <c r="BJ44" s="31">
        <v>6.6E-3</v>
      </c>
      <c r="BK44" s="31">
        <v>0.19053600000000001</v>
      </c>
      <c r="BL44" s="31">
        <v>0.37151099999999998</v>
      </c>
      <c r="BM44" s="31">
        <v>0.58762999999999999</v>
      </c>
      <c r="BN44" s="31">
        <v>0.62681600000000004</v>
      </c>
      <c r="BO44" s="31">
        <v>0.62314400000000003</v>
      </c>
      <c r="BP44" s="31">
        <v>0.778748</v>
      </c>
      <c r="BQ44" s="31">
        <v>1.03409</v>
      </c>
      <c r="BR44" s="31">
        <v>1.17723</v>
      </c>
      <c r="BS44" s="31">
        <v>1.24278</v>
      </c>
      <c r="BT44" s="31">
        <v>1.2938000000000001</v>
      </c>
      <c r="BU44" s="31">
        <v>1.4166300000000001</v>
      </c>
      <c r="BV44" s="31">
        <v>1.55921</v>
      </c>
      <c r="BW44" s="31">
        <v>1.55589</v>
      </c>
      <c r="BX44" s="31">
        <v>1.7198899999999999</v>
      </c>
      <c r="BZ44">
        <v>6.6E-3</v>
      </c>
      <c r="CA44">
        <v>0.19053600000000001</v>
      </c>
      <c r="CB44">
        <v>0.37151099999999998</v>
      </c>
      <c r="CC44">
        <v>0.58762999999999999</v>
      </c>
      <c r="CD44">
        <v>0.62681600000000004</v>
      </c>
      <c r="CE44">
        <v>0.62314400000000003</v>
      </c>
      <c r="CF44">
        <v>0.778748</v>
      </c>
      <c r="CG44">
        <v>1.03409</v>
      </c>
      <c r="CH44">
        <v>1.17723</v>
      </c>
      <c r="CI44">
        <v>1.24278</v>
      </c>
      <c r="CJ44">
        <v>1.2938000000000001</v>
      </c>
      <c r="CK44">
        <v>1.4166300000000001</v>
      </c>
      <c r="CL44">
        <v>1.55921</v>
      </c>
      <c r="CM44">
        <v>1.55589</v>
      </c>
      <c r="CN44">
        <v>1.7198899999999999</v>
      </c>
    </row>
    <row r="45" spans="1:92" x14ac:dyDescent="0.15">
      <c r="A45">
        <f t="shared" si="0"/>
        <v>1999</v>
      </c>
      <c r="B45" s="27">
        <v>992</v>
      </c>
      <c r="C45" s="27">
        <f t="shared" si="2"/>
        <v>4625.4799211877516</v>
      </c>
      <c r="D45" s="27">
        <f t="shared" si="3"/>
        <v>3658.1221840732333</v>
      </c>
      <c r="E45" s="27" t="e">
        <f t="shared" si="4"/>
        <v>#VALUE!</v>
      </c>
      <c r="F45" s="27"/>
      <c r="G45" s="27">
        <f t="shared" si="1"/>
        <v>5491.0257743526399</v>
      </c>
      <c r="H45" s="27" t="e">
        <f t="shared" si="5"/>
        <v>#VALUE!</v>
      </c>
      <c r="I45">
        <f>pm.rep!A98</f>
        <v>1999</v>
      </c>
      <c r="J45" s="27">
        <f>pm.rep!B98</f>
        <v>16827.099999999999</v>
      </c>
      <c r="K45" s="27">
        <f>pm.rep!C98</f>
        <v>6294.6</v>
      </c>
      <c r="L45" s="27">
        <f>pm.rep!D98</f>
        <v>8045.23</v>
      </c>
      <c r="M45" s="27">
        <f>pm.rep!E98</f>
        <v>4264.38</v>
      </c>
      <c r="N45" s="27">
        <f>pm.rep!F98</f>
        <v>1444.58</v>
      </c>
      <c r="O45" s="27">
        <f>pm.rep!G98</f>
        <v>1449.66</v>
      </c>
      <c r="P45" s="27">
        <f>pm.rep!H98</f>
        <v>2662.93</v>
      </c>
      <c r="Q45" s="27">
        <f>pm.rep!I98</f>
        <v>774.25800000000004</v>
      </c>
      <c r="R45" s="27">
        <f>pm.rep!J98</f>
        <v>359.53699999999998</v>
      </c>
      <c r="S45" s="27">
        <f>pm.rep!K98</f>
        <v>254.86099999999999</v>
      </c>
      <c r="T45" s="27">
        <f>pm.rep!L98</f>
        <v>41.609400000000001</v>
      </c>
      <c r="U45" s="27">
        <f>pm.rep!M98</f>
        <v>11.6966</v>
      </c>
      <c r="V45" s="27">
        <f>pm.rep!N98</f>
        <v>8.2607900000000001</v>
      </c>
      <c r="W45" s="27">
        <f>pm.rep!O98</f>
        <v>8.1602899999999998</v>
      </c>
      <c r="X45" s="27">
        <f>pm.rep!P98</f>
        <v>26.495999999999999</v>
      </c>
      <c r="Z45">
        <f>pm.rep!A152</f>
        <v>1999</v>
      </c>
      <c r="AA45">
        <f>pm.rep!B152/$AP45</f>
        <v>1.6038199094445507E-4</v>
      </c>
      <c r="AB45">
        <f>pm.rep!C152/$AP45</f>
        <v>1.1316880301001211E-2</v>
      </c>
      <c r="AC45">
        <f>pm.rep!D152/$AP45</f>
        <v>0.180981442510044</v>
      </c>
      <c r="AD45">
        <f>pm.rep!E152/$AP45</f>
        <v>0.27958102161851922</v>
      </c>
      <c r="AE45">
        <f>pm.rep!F152/$AP45</f>
        <v>0.39524966519992344</v>
      </c>
      <c r="AF45">
        <f>pm.rep!G152/$AP45</f>
        <v>0.58693960844333903</v>
      </c>
      <c r="AG45">
        <f>pm.rep!H152/$AP45</f>
        <v>1</v>
      </c>
      <c r="AH45">
        <f>pm.rep!I152/$AP45</f>
        <v>0.9560678528155091</v>
      </c>
      <c r="AI45">
        <f>pm.rep!J152/$AP45</f>
        <v>0.92402907977807536</v>
      </c>
      <c r="AJ45">
        <f>pm.rep!K152/$AP45</f>
        <v>0.87189592500478286</v>
      </c>
      <c r="AK45">
        <f>pm.rep!L152/$AP45</f>
        <v>0.87189592500478286</v>
      </c>
      <c r="AL45">
        <f>pm.rep!M152/$AP45</f>
        <v>0.87189592500478286</v>
      </c>
      <c r="AM45">
        <f>pm.rep!N152/$AP45</f>
        <v>0.87189592500478286</v>
      </c>
      <c r="AN45">
        <f>pm.rep!O152/$AP45</f>
        <v>0.87189592500478286</v>
      </c>
      <c r="AO45">
        <f>pm.rep!P152/$AP45</f>
        <v>0.87189592500478286</v>
      </c>
      <c r="AP45">
        <f>MAX(pm.rep!B152:P152)</f>
        <v>1.5681</v>
      </c>
      <c r="AR45">
        <v>1999</v>
      </c>
      <c r="AS45">
        <v>16084.7</v>
      </c>
      <c r="AT45">
        <v>6056.72</v>
      </c>
      <c r="AU45">
        <v>7954.97</v>
      </c>
      <c r="AV45">
        <v>4244.8999999999996</v>
      </c>
      <c r="AW45">
        <v>1364.45</v>
      </c>
      <c r="AX45">
        <v>1293.1099999999999</v>
      </c>
      <c r="AY45">
        <v>2636.85</v>
      </c>
      <c r="AZ45">
        <v>703.50800000000004</v>
      </c>
      <c r="BA45">
        <v>339.72399999999999</v>
      </c>
      <c r="BB45">
        <v>250.488</v>
      </c>
      <c r="BC45">
        <v>33.613300000000002</v>
      </c>
      <c r="BD45">
        <v>10.099</v>
      </c>
      <c r="BE45">
        <v>8.3628900000000002</v>
      </c>
      <c r="BF45">
        <v>7.8268199999999997</v>
      </c>
      <c r="BG45">
        <v>25.014299999999999</v>
      </c>
      <c r="BJ45" s="31">
        <v>6.6E-3</v>
      </c>
      <c r="BK45" s="31">
        <v>0.187805</v>
      </c>
      <c r="BL45" s="31">
        <v>0.40021499999999999</v>
      </c>
      <c r="BM45" s="31">
        <v>0.50220799999999999</v>
      </c>
      <c r="BN45" s="31">
        <v>0.637934</v>
      </c>
      <c r="BO45" s="31">
        <v>0.70107200000000003</v>
      </c>
      <c r="BP45" s="31">
        <v>0.72666799999999998</v>
      </c>
      <c r="BQ45" s="31">
        <v>0.90118399999999999</v>
      </c>
      <c r="BR45" s="31">
        <v>1.0393699999999999</v>
      </c>
      <c r="BS45" s="31">
        <v>1.2723100000000001</v>
      </c>
      <c r="BT45" s="31">
        <v>1.2072799999999999</v>
      </c>
      <c r="BU45" s="31">
        <v>1.41536</v>
      </c>
      <c r="BV45" s="31">
        <v>1.16415</v>
      </c>
      <c r="BW45" s="31">
        <v>1.14116</v>
      </c>
      <c r="BX45" s="31">
        <v>1.3188800000000001</v>
      </c>
      <c r="BZ45">
        <v>6.6E-3</v>
      </c>
      <c r="CA45">
        <v>0.187805</v>
      </c>
      <c r="CB45">
        <v>0.40021499999999999</v>
      </c>
      <c r="CC45">
        <v>0.50220799999999999</v>
      </c>
      <c r="CD45">
        <v>0.637934</v>
      </c>
      <c r="CE45">
        <v>0.70107200000000003</v>
      </c>
      <c r="CF45">
        <v>0.72666799999999998</v>
      </c>
      <c r="CG45">
        <v>0.90118399999999999</v>
      </c>
      <c r="CH45">
        <v>1.0393699999999999</v>
      </c>
      <c r="CI45">
        <v>1.2723100000000001</v>
      </c>
      <c r="CJ45">
        <v>1.2072799999999999</v>
      </c>
      <c r="CK45">
        <v>1.41536</v>
      </c>
      <c r="CL45">
        <v>1.16415</v>
      </c>
      <c r="CM45">
        <v>1.14116</v>
      </c>
      <c r="CN45">
        <v>1.3188800000000001</v>
      </c>
    </row>
    <row r="46" spans="1:92" x14ac:dyDescent="0.15">
      <c r="A46">
        <f t="shared" si="0"/>
        <v>2000</v>
      </c>
      <c r="B46" s="27">
        <v>1139</v>
      </c>
      <c r="C46" s="27">
        <f t="shared" si="2"/>
        <v>4539.8040480561722</v>
      </c>
      <c r="D46" s="27">
        <f t="shared" si="3"/>
        <v>3712.316840039764</v>
      </c>
      <c r="E46" s="27" t="e">
        <f t="shared" si="4"/>
        <v>#VALUE!</v>
      </c>
      <c r="F46" s="27"/>
      <c r="G46" s="27">
        <f t="shared" si="1"/>
        <v>4878.7230521732863</v>
      </c>
      <c r="H46" s="27" t="e">
        <f t="shared" si="5"/>
        <v>#VALUE!</v>
      </c>
      <c r="I46">
        <f>pm.rep!A99</f>
        <v>2000</v>
      </c>
      <c r="J46" s="27">
        <f>pm.rep!B99</f>
        <v>25850.3</v>
      </c>
      <c r="K46" s="27">
        <f>pm.rep!C99</f>
        <v>6841.15</v>
      </c>
      <c r="L46" s="27">
        <f>pm.rep!D99</f>
        <v>4003.5</v>
      </c>
      <c r="M46" s="27">
        <f>pm.rep!E99</f>
        <v>5724.36</v>
      </c>
      <c r="N46" s="27">
        <f>pm.rep!F99</f>
        <v>2968.23</v>
      </c>
      <c r="O46" s="27">
        <f>pm.rep!G99</f>
        <v>979.90800000000002</v>
      </c>
      <c r="P46" s="27">
        <f>pm.rep!H99</f>
        <v>942.21100000000001</v>
      </c>
      <c r="Q46" s="27">
        <f>pm.rep!I99</f>
        <v>1578.51</v>
      </c>
      <c r="R46" s="27">
        <f>pm.rep!J99</f>
        <v>463.476</v>
      </c>
      <c r="S46" s="27">
        <f>pm.rep!K99</f>
        <v>216.76400000000001</v>
      </c>
      <c r="T46" s="27">
        <f>pm.rep!L99</f>
        <v>155.45099999999999</v>
      </c>
      <c r="U46" s="27">
        <f>pm.rep!M99</f>
        <v>25.3795</v>
      </c>
      <c r="V46" s="27">
        <f>pm.rep!N99</f>
        <v>7.1342699999999999</v>
      </c>
      <c r="W46" s="27">
        <f>pm.rep!O99</f>
        <v>5.03864</v>
      </c>
      <c r="X46" s="27">
        <f>pm.rep!P99</f>
        <v>21.138500000000001</v>
      </c>
      <c r="Z46">
        <f>pm.rep!A153</f>
        <v>2000</v>
      </c>
      <c r="AA46">
        <f>pm.rep!B153/$AP46</f>
        <v>1.2172900135078231E-4</v>
      </c>
      <c r="AB46">
        <f>pm.rep!C153/$AP46</f>
        <v>8.382397173747792E-3</v>
      </c>
      <c r="AC46">
        <f>pm.rep!D153/$AP46</f>
        <v>8.255029886742099E-2</v>
      </c>
      <c r="AD46">
        <f>pm.rep!E153/$AP46</f>
        <v>0.30495906637427062</v>
      </c>
      <c r="AE46">
        <f>pm.rep!F153/$AP46</f>
        <v>0.4918876499122265</v>
      </c>
      <c r="AF46">
        <f>pm.rep!G153/$AP46</f>
        <v>0.48803327190099366</v>
      </c>
      <c r="AG46">
        <f>pm.rep!H153/$AP46</f>
        <v>0.78441623782518588</v>
      </c>
      <c r="AH46">
        <f>pm.rep!I153/$AP46</f>
        <v>1</v>
      </c>
      <c r="AI46">
        <f>pm.rep!J153/$AP46</f>
        <v>0.79902874924121026</v>
      </c>
      <c r="AJ46">
        <f>pm.rep!K153/$AP46</f>
        <v>0.70729039632062218</v>
      </c>
      <c r="AK46">
        <f>pm.rep!L153/$AP46</f>
        <v>0.70729039632062218</v>
      </c>
      <c r="AL46">
        <f>pm.rep!M153/$AP46</f>
        <v>0.70729039632062218</v>
      </c>
      <c r="AM46">
        <f>pm.rep!N153/$AP46</f>
        <v>0.70729039632062218</v>
      </c>
      <c r="AN46">
        <f>pm.rep!O153/$AP46</f>
        <v>0.70729039632062218</v>
      </c>
      <c r="AO46">
        <f>pm.rep!P153/$AP46</f>
        <v>0.70729039632062218</v>
      </c>
      <c r="AP46">
        <f>MAX(pm.rep!B153:P153)</f>
        <v>1.82857</v>
      </c>
      <c r="AR46">
        <v>2000</v>
      </c>
      <c r="AS46">
        <v>24739.5</v>
      </c>
      <c r="AT46">
        <v>6539.14</v>
      </c>
      <c r="AU46">
        <v>3850.41</v>
      </c>
      <c r="AV46">
        <v>5663.66</v>
      </c>
      <c r="AW46">
        <v>2954.41</v>
      </c>
      <c r="AX46">
        <v>919.88099999999997</v>
      </c>
      <c r="AY46">
        <v>828.12</v>
      </c>
      <c r="AZ46">
        <v>1559.51</v>
      </c>
      <c r="BA46">
        <v>414.73200000000003</v>
      </c>
      <c r="BB46">
        <v>201.32900000000001</v>
      </c>
      <c r="BC46">
        <v>150.33799999999999</v>
      </c>
      <c r="BD46">
        <v>20.173999999999999</v>
      </c>
      <c r="BE46">
        <v>6.0612399999999997</v>
      </c>
      <c r="BF46">
        <v>5.0192399999999999</v>
      </c>
      <c r="BG46">
        <v>19.710599999999999</v>
      </c>
      <c r="BJ46" s="31">
        <v>6.6E-3</v>
      </c>
      <c r="BK46" s="31">
        <v>0.21770800000000001</v>
      </c>
      <c r="BL46" s="31">
        <v>0.351379</v>
      </c>
      <c r="BM46" s="31">
        <v>0.52383599999999997</v>
      </c>
      <c r="BN46" s="31">
        <v>0.62977499999999997</v>
      </c>
      <c r="BO46" s="31">
        <v>0.73165100000000005</v>
      </c>
      <c r="BP46" s="31">
        <v>0.78234000000000004</v>
      </c>
      <c r="BQ46" s="31">
        <v>0.80487399999999998</v>
      </c>
      <c r="BR46" s="31">
        <v>0.97153299999999998</v>
      </c>
      <c r="BS46" s="31">
        <v>1.0181899999999999</v>
      </c>
      <c r="BT46" s="31">
        <v>1.2680100000000001</v>
      </c>
      <c r="BU46" s="31">
        <v>1.31717</v>
      </c>
      <c r="BV46" s="31">
        <v>1.3195300000000001</v>
      </c>
      <c r="BW46" s="31">
        <v>1.6654</v>
      </c>
      <c r="BX46" s="31">
        <v>1.73756</v>
      </c>
      <c r="BZ46">
        <v>6.6E-3</v>
      </c>
      <c r="CA46">
        <v>0.21770800000000001</v>
      </c>
      <c r="CB46">
        <v>0.351379</v>
      </c>
      <c r="CC46">
        <v>0.52383599999999997</v>
      </c>
      <c r="CD46">
        <v>0.62977499999999997</v>
      </c>
      <c r="CE46">
        <v>0.73165100000000005</v>
      </c>
      <c r="CF46">
        <v>0.78234000000000004</v>
      </c>
      <c r="CG46">
        <v>0.80487399999999998</v>
      </c>
      <c r="CH46">
        <v>0.97153299999999998</v>
      </c>
      <c r="CI46">
        <v>1.0181899999999999</v>
      </c>
      <c r="CJ46">
        <v>1.2680100000000001</v>
      </c>
      <c r="CK46">
        <v>1.31717</v>
      </c>
      <c r="CL46">
        <v>1.3195300000000001</v>
      </c>
      <c r="CM46">
        <v>1.6654</v>
      </c>
      <c r="CN46">
        <v>1.73756</v>
      </c>
    </row>
    <row r="47" spans="1:92" x14ac:dyDescent="0.15">
      <c r="A47">
        <f t="shared" si="0"/>
        <v>2001</v>
      </c>
      <c r="B47" s="27">
        <v>1842</v>
      </c>
      <c r="C47" s="27">
        <f t="shared" si="2"/>
        <v>4898.2131543554397</v>
      </c>
      <c r="D47" s="27">
        <f t="shared" si="3"/>
        <v>3782.4976918983102</v>
      </c>
      <c r="E47" s="27" t="e">
        <f t="shared" si="4"/>
        <v>#VALUE!</v>
      </c>
      <c r="F47" s="27"/>
      <c r="G47" s="27">
        <f t="shared" si="1"/>
        <v>6278.0557147702521</v>
      </c>
      <c r="H47" s="27" t="e">
        <f t="shared" si="5"/>
        <v>#VALUE!</v>
      </c>
      <c r="I47">
        <f>pm.rep!A100</f>
        <v>2001</v>
      </c>
      <c r="J47" s="27">
        <f>pm.rep!B100</f>
        <v>35963.4</v>
      </c>
      <c r="K47" s="27">
        <f>pm.rep!C100</f>
        <v>10509.6</v>
      </c>
      <c r="L47" s="27">
        <f>pm.rep!D100</f>
        <v>4351.45</v>
      </c>
      <c r="M47" s="27">
        <f>pm.rep!E100</f>
        <v>2895.25</v>
      </c>
      <c r="N47" s="27">
        <f>pm.rep!F100</f>
        <v>3879.5</v>
      </c>
      <c r="O47" s="27">
        <f>pm.rep!G100</f>
        <v>1904.79</v>
      </c>
      <c r="P47" s="27">
        <f>pm.rep!H100</f>
        <v>629.54</v>
      </c>
      <c r="Q47" s="27">
        <f>pm.rep!I100</f>
        <v>555.15</v>
      </c>
      <c r="R47" s="27">
        <f>pm.rep!J100</f>
        <v>873.32899999999995</v>
      </c>
      <c r="S47" s="27">
        <f>pm.rep!K100</f>
        <v>271.91699999999997</v>
      </c>
      <c r="T47" s="27">
        <f>pm.rep!L100</f>
        <v>130.625</v>
      </c>
      <c r="U47" s="27">
        <f>pm.rep!M100</f>
        <v>93.677199999999999</v>
      </c>
      <c r="V47" s="27">
        <f>pm.rep!N100</f>
        <v>15.294</v>
      </c>
      <c r="W47" s="27">
        <f>pm.rep!O100</f>
        <v>4.29922</v>
      </c>
      <c r="X47" s="27">
        <f>pm.rep!P100</f>
        <v>15.774699999999999</v>
      </c>
      <c r="Z47">
        <f>pm.rep!A154</f>
        <v>2001</v>
      </c>
      <c r="AA47">
        <f>pm.rep!B154/$AP47</f>
        <v>1.3162181606964879E-4</v>
      </c>
      <c r="AB47">
        <f>pm.rep!C154/$AP47</f>
        <v>7.4483013537685718E-3</v>
      </c>
      <c r="AC47">
        <f>pm.rep!D154/$AP47</f>
        <v>6.335267288436533E-2</v>
      </c>
      <c r="AD47">
        <f>pm.rep!E154/$AP47</f>
        <v>0.25059041735147158</v>
      </c>
      <c r="AE47">
        <f>pm.rep!F154/$AP47</f>
        <v>0.68429008006442116</v>
      </c>
      <c r="AF47">
        <f>pm.rep!G154/$AP47</f>
        <v>1</v>
      </c>
      <c r="AG47">
        <f>pm.rep!H154/$AP47</f>
        <v>0.98141950984468951</v>
      </c>
      <c r="AH47">
        <f>pm.rep!I154/$AP47</f>
        <v>0.97755159963829097</v>
      </c>
      <c r="AI47">
        <f>pm.rep!J154/$AP47</f>
        <v>0.89874127905057988</v>
      </c>
      <c r="AJ47">
        <f>pm.rep!K154/$AP47</f>
        <v>0.83954773172808461</v>
      </c>
      <c r="AK47">
        <f>pm.rep!L154/$AP47</f>
        <v>0.83954773172808461</v>
      </c>
      <c r="AL47">
        <f>pm.rep!M154/$AP47</f>
        <v>0.83954773172808461</v>
      </c>
      <c r="AM47">
        <f>pm.rep!N154/$AP47</f>
        <v>0.83954773172808461</v>
      </c>
      <c r="AN47">
        <f>pm.rep!O154/$AP47</f>
        <v>0.83954773172808461</v>
      </c>
      <c r="AO47">
        <f>pm.rep!P154/$AP47</f>
        <v>0.83954773172808461</v>
      </c>
      <c r="AP47">
        <f>MAX(pm.rep!B154:P154)</f>
        <v>1.5150300000000001</v>
      </c>
      <c r="AR47">
        <v>2001</v>
      </c>
      <c r="AS47">
        <v>33990.5</v>
      </c>
      <c r="AT47">
        <v>10057.6</v>
      </c>
      <c r="AU47">
        <v>4158.5200000000004</v>
      </c>
      <c r="AV47">
        <v>2780.16</v>
      </c>
      <c r="AW47">
        <v>3837.22</v>
      </c>
      <c r="AX47">
        <v>1895.19</v>
      </c>
      <c r="AY47">
        <v>584.31600000000003</v>
      </c>
      <c r="AZ47">
        <v>476.26</v>
      </c>
      <c r="BA47">
        <v>860.11599999999999</v>
      </c>
      <c r="BB47">
        <v>238.71899999999999</v>
      </c>
      <c r="BC47">
        <v>118.676</v>
      </c>
      <c r="BD47">
        <v>88.619</v>
      </c>
      <c r="BE47">
        <v>11.8919</v>
      </c>
      <c r="BF47">
        <v>3.5728900000000001</v>
      </c>
      <c r="BG47">
        <v>14.577400000000001</v>
      </c>
      <c r="BJ47" s="31">
        <v>6.4999999999999997E-3</v>
      </c>
      <c r="BK47" s="31">
        <v>0.22672500000000001</v>
      </c>
      <c r="BL47" s="31">
        <v>0.32352399999999998</v>
      </c>
      <c r="BM47" s="31">
        <v>0.496699</v>
      </c>
      <c r="BN47" s="31">
        <v>0.66917099999999996</v>
      </c>
      <c r="BO47" s="31">
        <v>0.78697399999999995</v>
      </c>
      <c r="BP47" s="31">
        <v>0.96277699999999999</v>
      </c>
      <c r="BQ47" s="31">
        <v>0.99509300000000001</v>
      </c>
      <c r="BR47" s="31">
        <v>1.0618300000000001</v>
      </c>
      <c r="BS47" s="31">
        <v>1.1370800000000001</v>
      </c>
      <c r="BT47" s="31">
        <v>1.32711</v>
      </c>
      <c r="BU47" s="31">
        <v>1.45139</v>
      </c>
      <c r="BV47" s="31">
        <v>1.5847899999999999</v>
      </c>
      <c r="BW47" s="31">
        <v>1.46591</v>
      </c>
      <c r="BX47" s="31">
        <v>1.6649400000000001</v>
      </c>
      <c r="BZ47">
        <v>6.4999999999999997E-3</v>
      </c>
      <c r="CA47">
        <v>0.22672500000000001</v>
      </c>
      <c r="CB47">
        <v>0.32352399999999998</v>
      </c>
      <c r="CC47">
        <v>0.496699</v>
      </c>
      <c r="CD47">
        <v>0.66917099999999996</v>
      </c>
      <c r="CE47">
        <v>0.78697399999999995</v>
      </c>
      <c r="CF47">
        <v>0.96277699999999999</v>
      </c>
      <c r="CG47">
        <v>0.99509300000000001</v>
      </c>
      <c r="CH47">
        <v>1.0618300000000001</v>
      </c>
      <c r="CI47">
        <v>1.1370800000000001</v>
      </c>
      <c r="CJ47">
        <v>1.32711</v>
      </c>
      <c r="CK47">
        <v>1.45139</v>
      </c>
      <c r="CL47">
        <v>1.5847899999999999</v>
      </c>
      <c r="CM47">
        <v>1.46591</v>
      </c>
      <c r="CN47">
        <v>1.6649400000000001</v>
      </c>
    </row>
    <row r="48" spans="1:92" x14ac:dyDescent="0.15">
      <c r="A48">
        <f t="shared" si="0"/>
        <v>2002</v>
      </c>
      <c r="B48" s="27">
        <v>2110</v>
      </c>
      <c r="C48" s="27">
        <f t="shared" si="2"/>
        <v>4670.2832777135036</v>
      </c>
      <c r="D48" s="27">
        <f t="shared" si="3"/>
        <v>3596.5184743692203</v>
      </c>
      <c r="E48" s="27" t="e">
        <f t="shared" si="4"/>
        <v>#VALUE!</v>
      </c>
      <c r="F48" s="27"/>
      <c r="G48" s="27">
        <f t="shared" si="1"/>
        <v>5470.8681723869986</v>
      </c>
      <c r="H48" s="27" t="e">
        <f t="shared" si="5"/>
        <v>#VALUE!</v>
      </c>
      <c r="I48">
        <f>pm.rep!A101</f>
        <v>2002</v>
      </c>
      <c r="J48" s="27">
        <f>pm.rep!B101</f>
        <v>23951.8</v>
      </c>
      <c r="K48" s="27">
        <f>pm.rep!C101</f>
        <v>14621.1</v>
      </c>
      <c r="L48" s="27">
        <f>pm.rep!D101</f>
        <v>6686.97</v>
      </c>
      <c r="M48" s="27">
        <f>pm.rep!E101</f>
        <v>3165.89</v>
      </c>
      <c r="N48" s="27">
        <f>pm.rep!F101</f>
        <v>1996.85</v>
      </c>
      <c r="O48" s="27">
        <f>pm.rep!G101</f>
        <v>2364.25</v>
      </c>
      <c r="P48" s="27">
        <f>pm.rep!H101</f>
        <v>1060.83</v>
      </c>
      <c r="Q48" s="27">
        <f>pm.rep!I101</f>
        <v>352.46899999999999</v>
      </c>
      <c r="R48" s="27">
        <f>pm.rep!J101</f>
        <v>311.16399999999999</v>
      </c>
      <c r="S48" s="27">
        <f>pm.rep!K101</f>
        <v>500.63600000000002</v>
      </c>
      <c r="T48" s="27">
        <f>pm.rep!L101</f>
        <v>158.53200000000001</v>
      </c>
      <c r="U48" s="27">
        <f>pm.rep!M101</f>
        <v>76.156300000000002</v>
      </c>
      <c r="V48" s="27">
        <f>pm.rep!N101</f>
        <v>54.615099999999998</v>
      </c>
      <c r="W48" s="27">
        <f>pm.rep!O101</f>
        <v>8.9166500000000006</v>
      </c>
      <c r="X48" s="27">
        <f>pm.rep!P101</f>
        <v>11.7034</v>
      </c>
      <c r="Z48">
        <f>pm.rep!A155</f>
        <v>2002</v>
      </c>
      <c r="AA48">
        <f>pm.rep!B155/$AP48</f>
        <v>1.1675569094027945E-4</v>
      </c>
      <c r="AB48">
        <f>pm.rep!C155/$AP48</f>
        <v>1.0032048738500606E-2</v>
      </c>
      <c r="AC48">
        <f>pm.rep!D155/$AP48</f>
        <v>6.0521997643654658E-2</v>
      </c>
      <c r="AD48">
        <f>pm.rep!E155/$AP48</f>
        <v>0.22973451435478257</v>
      </c>
      <c r="AE48">
        <f>pm.rep!F155/$AP48</f>
        <v>0.51405321921947589</v>
      </c>
      <c r="AF48">
        <f>pm.rep!G155/$AP48</f>
        <v>1</v>
      </c>
      <c r="AG48">
        <f>pm.rep!H155/$AP48</f>
        <v>0.98602675001373508</v>
      </c>
      <c r="AH48">
        <f>pm.rep!I155/$AP48</f>
        <v>0.97176658751136957</v>
      </c>
      <c r="AI48">
        <f>pm.rep!J155/$AP48</f>
        <v>0.88766459316415669</v>
      </c>
      <c r="AJ48">
        <f>pm.rep!K155/$AP48</f>
        <v>0.74947653727115671</v>
      </c>
      <c r="AK48">
        <f>pm.rep!L155/$AP48</f>
        <v>0.74947653727115671</v>
      </c>
      <c r="AL48">
        <f>pm.rep!M155/$AP48</f>
        <v>0.74947653727115671</v>
      </c>
      <c r="AM48">
        <f>pm.rep!N155/$AP48</f>
        <v>0.74947653727115671</v>
      </c>
      <c r="AN48">
        <f>pm.rep!O155/$AP48</f>
        <v>0.74947653727115671</v>
      </c>
      <c r="AO48">
        <f>pm.rep!P155/$AP48</f>
        <v>0.74947653727115671</v>
      </c>
      <c r="AP48">
        <f>MAX(pm.rep!B155:P155)</f>
        <v>1.6381300000000001</v>
      </c>
      <c r="AR48">
        <v>2002</v>
      </c>
      <c r="AS48">
        <v>21434.7</v>
      </c>
      <c r="AT48">
        <v>13818.5</v>
      </c>
      <c r="AU48">
        <v>6399.69</v>
      </c>
      <c r="AV48">
        <v>3020.63</v>
      </c>
      <c r="AW48">
        <v>1910.07</v>
      </c>
      <c r="AX48">
        <v>2328.46</v>
      </c>
      <c r="AY48">
        <v>1050.8399999999999</v>
      </c>
      <c r="AZ48">
        <v>324.63299999999998</v>
      </c>
      <c r="BA48">
        <v>264.10000000000002</v>
      </c>
      <c r="BB48">
        <v>485.57</v>
      </c>
      <c r="BC48">
        <v>136.047</v>
      </c>
      <c r="BD48">
        <v>67.634200000000007</v>
      </c>
      <c r="BE48">
        <v>50.5045</v>
      </c>
      <c r="BF48">
        <v>6.7772500000000004</v>
      </c>
      <c r="BG48">
        <v>10.3439</v>
      </c>
      <c r="BJ48" s="31">
        <v>6.7000000000000002E-3</v>
      </c>
      <c r="BK48" s="31">
        <v>0.231265</v>
      </c>
      <c r="BL48" s="31">
        <v>0.38042700000000002</v>
      </c>
      <c r="BM48" s="31">
        <v>0.50819800000000004</v>
      </c>
      <c r="BN48" s="31">
        <v>0.66937800000000003</v>
      </c>
      <c r="BO48" s="31">
        <v>0.79546799999999995</v>
      </c>
      <c r="BP48" s="31">
        <v>0.90825199999999995</v>
      </c>
      <c r="BQ48" s="31">
        <v>1.02397</v>
      </c>
      <c r="BR48" s="31">
        <v>1.11656</v>
      </c>
      <c r="BS48" s="31">
        <v>1.09582</v>
      </c>
      <c r="BT48" s="31">
        <v>1.3001</v>
      </c>
      <c r="BU48" s="31">
        <v>1.4300600000000001</v>
      </c>
      <c r="BV48" s="31">
        <v>1.61124</v>
      </c>
      <c r="BW48" s="31">
        <v>1.3192999999999999</v>
      </c>
      <c r="BX48" s="31">
        <v>1.6358900000000001</v>
      </c>
      <c r="BZ48">
        <v>6.7000000000000002E-3</v>
      </c>
      <c r="CA48">
        <v>0.231265</v>
      </c>
      <c r="CB48">
        <v>0.38042700000000002</v>
      </c>
      <c r="CC48">
        <v>0.50819800000000004</v>
      </c>
      <c r="CD48">
        <v>0.66937800000000003</v>
      </c>
      <c r="CE48">
        <v>0.79546799999999995</v>
      </c>
      <c r="CF48">
        <v>0.90825199999999995</v>
      </c>
      <c r="CG48">
        <v>1.02397</v>
      </c>
      <c r="CH48">
        <v>1.11656</v>
      </c>
      <c r="CI48">
        <v>1.09582</v>
      </c>
      <c r="CJ48">
        <v>1.3001</v>
      </c>
      <c r="CK48">
        <v>1.4300600000000001</v>
      </c>
      <c r="CL48">
        <v>1.61124</v>
      </c>
      <c r="CM48">
        <v>1.3192999999999999</v>
      </c>
      <c r="CN48">
        <v>1.6358900000000001</v>
      </c>
    </row>
    <row r="49" spans="1:101" x14ac:dyDescent="0.15">
      <c r="A49">
        <f t="shared" si="0"/>
        <v>2003</v>
      </c>
      <c r="B49" s="27">
        <v>2330</v>
      </c>
      <c r="C49" s="27">
        <f t="shared" si="2"/>
        <v>4362.2789779291388</v>
      </c>
      <c r="D49" s="27">
        <f t="shared" si="3"/>
        <v>3774.1624406373735</v>
      </c>
      <c r="E49" s="27" t="e">
        <f t="shared" si="4"/>
        <v>#VALUE!</v>
      </c>
      <c r="F49" s="27"/>
      <c r="G49" s="27">
        <f t="shared" si="1"/>
        <v>5055.941845915896</v>
      </c>
      <c r="H49" s="27" t="e">
        <f t="shared" si="5"/>
        <v>#VALUE!</v>
      </c>
      <c r="I49">
        <f>pm.rep!A102</f>
        <v>2003</v>
      </c>
      <c r="J49" s="27">
        <f>pm.rep!B102</f>
        <v>14625.5</v>
      </c>
      <c r="K49" s="27">
        <f>pm.rep!C102</f>
        <v>9737.66</v>
      </c>
      <c r="L49" s="27">
        <f>pm.rep!D102</f>
        <v>9289.35</v>
      </c>
      <c r="M49" s="27">
        <f>pm.rep!E102</f>
        <v>4847.5600000000004</v>
      </c>
      <c r="N49" s="27">
        <f>pm.rep!F102</f>
        <v>2160.02</v>
      </c>
      <c r="O49" s="27">
        <f>pm.rep!G102</f>
        <v>1230.45</v>
      </c>
      <c r="P49" s="27">
        <f>pm.rep!H102</f>
        <v>1224.03</v>
      </c>
      <c r="Q49" s="27">
        <f>pm.rep!I102</f>
        <v>551.97500000000002</v>
      </c>
      <c r="R49" s="27">
        <f>pm.rep!J102</f>
        <v>184.339</v>
      </c>
      <c r="S49" s="27">
        <f>pm.rep!K102</f>
        <v>167.715</v>
      </c>
      <c r="T49" s="27">
        <f>pm.rep!L102</f>
        <v>283.53500000000003</v>
      </c>
      <c r="U49" s="27">
        <f>pm.rep!M102</f>
        <v>89.784400000000005</v>
      </c>
      <c r="V49" s="27">
        <f>pm.rep!N102</f>
        <v>43.131100000000004</v>
      </c>
      <c r="W49" s="27">
        <f>pm.rep!O102</f>
        <v>30.9313</v>
      </c>
      <c r="X49" s="27">
        <f>pm.rep!P102</f>
        <v>11.6782</v>
      </c>
      <c r="Z49">
        <f>pm.rep!A156</f>
        <v>2003</v>
      </c>
      <c r="AA49">
        <f>pm.rep!B156/$AP49</f>
        <v>1.0839752745322999E-4</v>
      </c>
      <c r="AB49">
        <f>pm.rep!C156/$AP49</f>
        <v>6.5282493151326421E-3</v>
      </c>
      <c r="AC49">
        <f>pm.rep!D156/$AP49</f>
        <v>0.12430284015078788</v>
      </c>
      <c r="AD49">
        <f>pm.rep!E156/$AP49</f>
        <v>0.21847737010934462</v>
      </c>
      <c r="AE49">
        <f>pm.rep!F156/$AP49</f>
        <v>0.56586667915427658</v>
      </c>
      <c r="AF49">
        <f>pm.rep!G156/$AP49</f>
        <v>0.86535039453042673</v>
      </c>
      <c r="AG49">
        <f>pm.rep!H156/$AP49</f>
        <v>1</v>
      </c>
      <c r="AH49">
        <f>pm.rep!I156/$AP49</f>
        <v>0.9770540167177878</v>
      </c>
      <c r="AI49">
        <f>pm.rep!J156/$AP49</f>
        <v>0.85312229272518669</v>
      </c>
      <c r="AJ49">
        <f>pm.rep!K156/$AP49</f>
        <v>0.69492378655552689</v>
      </c>
      <c r="AK49">
        <f>pm.rep!L156/$AP49</f>
        <v>0.69492378655552689</v>
      </c>
      <c r="AL49">
        <f>pm.rep!M156/$AP49</f>
        <v>0.69492378655552689</v>
      </c>
      <c r="AM49">
        <f>pm.rep!N156/$AP49</f>
        <v>0.69492378655552689</v>
      </c>
      <c r="AN49">
        <f>pm.rep!O156/$AP49</f>
        <v>0.69492378655552689</v>
      </c>
      <c r="AO49">
        <f>pm.rep!P156/$AP49</f>
        <v>0.69492378655552689</v>
      </c>
      <c r="AP49">
        <f>MAX(pm.rep!B156:P156)</f>
        <v>1.7083600000000001</v>
      </c>
      <c r="AR49">
        <v>2003</v>
      </c>
      <c r="AS49">
        <v>12719.6</v>
      </c>
      <c r="AT49">
        <v>8713.9699999999993</v>
      </c>
      <c r="AU49">
        <v>8782.59</v>
      </c>
      <c r="AV49">
        <v>4630.05</v>
      </c>
      <c r="AW49">
        <v>2050.8200000000002</v>
      </c>
      <c r="AX49">
        <v>1163.82</v>
      </c>
      <c r="AY49">
        <v>1194.0999999999999</v>
      </c>
      <c r="AZ49">
        <v>542.42899999999997</v>
      </c>
      <c r="BA49">
        <v>168.75399999999999</v>
      </c>
      <c r="BB49">
        <v>140.577</v>
      </c>
      <c r="BC49">
        <v>267.28699999999998</v>
      </c>
      <c r="BD49">
        <v>74.888800000000003</v>
      </c>
      <c r="BE49">
        <v>37.229999999999997</v>
      </c>
      <c r="BF49">
        <v>27.800799999999999</v>
      </c>
      <c r="BG49">
        <v>9.42455</v>
      </c>
      <c r="BJ49" s="31">
        <v>6.4999999999999997E-3</v>
      </c>
      <c r="BK49" s="31">
        <v>0.27606999999999998</v>
      </c>
      <c r="BL49" s="31">
        <v>0.484263</v>
      </c>
      <c r="BM49" s="31">
        <v>0.55035599999999996</v>
      </c>
      <c r="BN49" s="31">
        <v>0.64982300000000004</v>
      </c>
      <c r="BO49" s="31">
        <v>0.76750799999999997</v>
      </c>
      <c r="BP49" s="31">
        <v>0.86199400000000004</v>
      </c>
      <c r="BQ49" s="31">
        <v>0.95434300000000005</v>
      </c>
      <c r="BR49" s="31">
        <v>1.08514</v>
      </c>
      <c r="BS49" s="31">
        <v>1.2244699999999999</v>
      </c>
      <c r="BT49" s="31">
        <v>1.2133799999999999</v>
      </c>
      <c r="BU49" s="31">
        <v>1.2264999999999999</v>
      </c>
      <c r="BV49" s="31">
        <v>1.44509</v>
      </c>
      <c r="BW49" s="31">
        <v>1.3402700000000001</v>
      </c>
      <c r="BX49" s="31">
        <v>1.7206600000000001</v>
      </c>
      <c r="BZ49">
        <v>6.4999999999999997E-3</v>
      </c>
      <c r="CA49">
        <v>0.27606999999999998</v>
      </c>
      <c r="CB49">
        <v>0.484263</v>
      </c>
      <c r="CC49">
        <v>0.55035599999999996</v>
      </c>
      <c r="CD49">
        <v>0.64982300000000004</v>
      </c>
      <c r="CE49">
        <v>0.76750799999999997</v>
      </c>
      <c r="CF49">
        <v>0.86199400000000004</v>
      </c>
      <c r="CG49">
        <v>0.95434300000000005</v>
      </c>
      <c r="CH49">
        <v>1.08514</v>
      </c>
      <c r="CI49">
        <v>1.2244699999999999</v>
      </c>
      <c r="CJ49">
        <v>1.2133799999999999</v>
      </c>
      <c r="CK49">
        <v>1.2264999999999999</v>
      </c>
      <c r="CL49">
        <v>1.44509</v>
      </c>
      <c r="CM49">
        <v>1.3402700000000001</v>
      </c>
      <c r="CN49">
        <v>1.7206600000000001</v>
      </c>
    </row>
    <row r="50" spans="1:101" x14ac:dyDescent="0.15">
      <c r="A50">
        <f t="shared" si="0"/>
        <v>2004</v>
      </c>
      <c r="B50" s="27">
        <v>2560</v>
      </c>
      <c r="C50" s="27">
        <f t="shared" si="2"/>
        <v>4159.999715148002</v>
      </c>
      <c r="D50" s="27">
        <f t="shared" si="3"/>
        <v>3885.1536584356227</v>
      </c>
      <c r="E50" s="27" t="e">
        <f t="shared" si="4"/>
        <v>#VALUE!</v>
      </c>
      <c r="F50" s="27"/>
      <c r="G50" s="27">
        <f t="shared" si="1"/>
        <v>5692.1706967491828</v>
      </c>
      <c r="H50" s="27" t="e">
        <f t="shared" si="5"/>
        <v>#VALUE!</v>
      </c>
      <c r="I50">
        <f>pm.rep!A103</f>
        <v>2004</v>
      </c>
      <c r="J50" s="27">
        <f>pm.rep!B103</f>
        <v>6640.46</v>
      </c>
      <c r="K50" s="27">
        <f>pm.rep!C103</f>
        <v>5946.02</v>
      </c>
      <c r="L50" s="27">
        <f>pm.rep!D103</f>
        <v>6193.41</v>
      </c>
      <c r="M50" s="27">
        <f>pm.rep!E103</f>
        <v>6559.88</v>
      </c>
      <c r="N50" s="27">
        <f>pm.rep!F103</f>
        <v>3301.22</v>
      </c>
      <c r="O50" s="27">
        <f>pm.rep!G103</f>
        <v>1286.7</v>
      </c>
      <c r="P50" s="27">
        <f>pm.rep!H103</f>
        <v>653.08100000000002</v>
      </c>
      <c r="Q50" s="27">
        <f>pm.rep!I103</f>
        <v>616.82600000000002</v>
      </c>
      <c r="R50" s="27">
        <f>pm.rep!J103</f>
        <v>280.62599999999998</v>
      </c>
      <c r="S50" s="27">
        <f>pm.rep!K103</f>
        <v>98.302499999999995</v>
      </c>
      <c r="T50" s="27">
        <f>pm.rep!L103</f>
        <v>95.058800000000005</v>
      </c>
      <c r="U50" s="27">
        <f>pm.rep!M103</f>
        <v>160.70500000000001</v>
      </c>
      <c r="V50" s="27">
        <f>pm.rep!N103</f>
        <v>50.888800000000003</v>
      </c>
      <c r="W50" s="27">
        <f>pm.rep!O103</f>
        <v>24.446300000000001</v>
      </c>
      <c r="X50" s="27">
        <f>pm.rep!P103</f>
        <v>24.150600000000001</v>
      </c>
      <c r="Z50">
        <f>pm.rep!A157</f>
        <v>2004</v>
      </c>
      <c r="AA50">
        <f>pm.rep!B157/$AP50</f>
        <v>1.0516562856443299E-4</v>
      </c>
      <c r="AB50">
        <f>pm.rep!C157/$AP50</f>
        <v>5.3009262300466398E-3</v>
      </c>
      <c r="AC50">
        <f>pm.rep!D157/$AP50</f>
        <v>6.1306754731178296E-2</v>
      </c>
      <c r="AD50">
        <f>pm.rep!E157/$AP50</f>
        <v>0.47226565066018528</v>
      </c>
      <c r="AE50">
        <f>pm.rep!F157/$AP50</f>
        <v>0.57102948289967925</v>
      </c>
      <c r="AF50">
        <f>pm.rep!G157/$AP50</f>
        <v>0.76561781514813099</v>
      </c>
      <c r="AG50">
        <f>pm.rep!H157/$AP50</f>
        <v>1</v>
      </c>
      <c r="AH50">
        <f>pm.rep!I157/$AP50</f>
        <v>0.97327011161340782</v>
      </c>
      <c r="AI50">
        <f>pm.rep!J157/$AP50</f>
        <v>0.84564026920986779</v>
      </c>
      <c r="AJ50">
        <f>pm.rep!K157/$AP50</f>
        <v>0.71053370199399235</v>
      </c>
      <c r="AK50">
        <f>pm.rep!L157/$AP50</f>
        <v>0.71053370199399235</v>
      </c>
      <c r="AL50">
        <f>pm.rep!M157/$AP50</f>
        <v>0.71053370199399235</v>
      </c>
      <c r="AM50">
        <f>pm.rep!N157/$AP50</f>
        <v>0.71053370199399235</v>
      </c>
      <c r="AN50">
        <f>pm.rep!O157/$AP50</f>
        <v>0.71053370199399235</v>
      </c>
      <c r="AO50">
        <f>pm.rep!P157/$AP50</f>
        <v>0.71053370199399235</v>
      </c>
      <c r="AP50">
        <f>MAX(pm.rep!B157:P157)</f>
        <v>1.6745300000000001</v>
      </c>
      <c r="AR50">
        <v>2004</v>
      </c>
      <c r="AS50">
        <v>5536.32</v>
      </c>
      <c r="AT50">
        <v>5170.93</v>
      </c>
      <c r="AU50">
        <v>5540.05</v>
      </c>
      <c r="AV50">
        <v>6189.22</v>
      </c>
      <c r="AW50">
        <v>3132.82</v>
      </c>
      <c r="AX50">
        <v>1204.43</v>
      </c>
      <c r="AY50">
        <v>603.47299999999996</v>
      </c>
      <c r="AZ50">
        <v>591.97699999999998</v>
      </c>
      <c r="BA50">
        <v>272.81900000000002</v>
      </c>
      <c r="BB50">
        <v>88.495900000000006</v>
      </c>
      <c r="BC50">
        <v>77.585999999999999</v>
      </c>
      <c r="BD50">
        <v>147.51900000000001</v>
      </c>
      <c r="BE50">
        <v>41.332000000000001</v>
      </c>
      <c r="BF50">
        <v>20.547699999999999</v>
      </c>
      <c r="BG50">
        <v>20.545100000000001</v>
      </c>
      <c r="BJ50" s="31">
        <v>6.7000000000000002E-3</v>
      </c>
      <c r="BK50" s="31">
        <v>0.13478499999999999</v>
      </c>
      <c r="BL50" s="31">
        <v>0.403671</v>
      </c>
      <c r="BM50" s="31">
        <v>0.58042899999999997</v>
      </c>
      <c r="BN50" s="31">
        <v>0.63982899999999998</v>
      </c>
      <c r="BO50" s="31">
        <v>0.76985400000000004</v>
      </c>
      <c r="BP50" s="31">
        <v>0.89041800000000004</v>
      </c>
      <c r="BQ50" s="31">
        <v>0.92849599999999999</v>
      </c>
      <c r="BR50" s="31">
        <v>1.0258499999999999</v>
      </c>
      <c r="BS50" s="31">
        <v>1.20669</v>
      </c>
      <c r="BT50" s="31">
        <v>1.1588499999999999</v>
      </c>
      <c r="BU50" s="31">
        <v>1.17852</v>
      </c>
      <c r="BV50" s="31">
        <v>1.3511500000000001</v>
      </c>
      <c r="BW50" s="31">
        <v>1.29176</v>
      </c>
      <c r="BX50" s="31">
        <v>1.23231</v>
      </c>
      <c r="BZ50">
        <v>6.7000000000000002E-3</v>
      </c>
      <c r="CA50">
        <v>0.13478499999999999</v>
      </c>
      <c r="CB50">
        <v>0.403671</v>
      </c>
      <c r="CC50">
        <v>0.58042899999999997</v>
      </c>
      <c r="CD50">
        <v>0.63982899999999998</v>
      </c>
      <c r="CE50">
        <v>0.76985400000000004</v>
      </c>
      <c r="CF50">
        <v>0.89041800000000004</v>
      </c>
      <c r="CG50">
        <v>0.92849599999999999</v>
      </c>
      <c r="CH50">
        <v>1.0258499999999999</v>
      </c>
      <c r="CI50">
        <v>1.20669</v>
      </c>
      <c r="CJ50">
        <v>1.1588499999999999</v>
      </c>
      <c r="CK50">
        <v>1.17852</v>
      </c>
      <c r="CL50">
        <v>1.3511500000000001</v>
      </c>
      <c r="CM50">
        <v>1.29176</v>
      </c>
      <c r="CN50">
        <v>1.23231</v>
      </c>
    </row>
    <row r="51" spans="1:101" x14ac:dyDescent="0.15">
      <c r="A51">
        <f t="shared" si="0"/>
        <v>2005</v>
      </c>
      <c r="B51" s="27">
        <v>1960</v>
      </c>
      <c r="C51" s="27">
        <f t="shared" si="2"/>
        <v>4129.4965841976837</v>
      </c>
      <c r="D51" s="27">
        <f t="shared" si="3"/>
        <v>3607.2031294319308</v>
      </c>
      <c r="E51" s="27" t="e">
        <f t="shared" si="4"/>
        <v>#VALUE!</v>
      </c>
      <c r="F51" s="27"/>
      <c r="G51" s="27">
        <f t="shared" si="1"/>
        <v>6166.4776674671957</v>
      </c>
      <c r="H51" s="27" t="e">
        <f t="shared" si="5"/>
        <v>#VALUE!</v>
      </c>
      <c r="I51">
        <f>pm.rep!A104</f>
        <v>2005</v>
      </c>
      <c r="J51" s="27">
        <f>pm.rep!B104</f>
        <v>4831.7</v>
      </c>
      <c r="K51" s="27">
        <f>pm.rep!C104</f>
        <v>2699.71</v>
      </c>
      <c r="L51" s="27">
        <f>pm.rep!D104</f>
        <v>3784.62</v>
      </c>
      <c r="M51" s="27">
        <f>pm.rep!E104</f>
        <v>4494.97</v>
      </c>
      <c r="N51" s="27">
        <f>pm.rep!F104</f>
        <v>4148.91</v>
      </c>
      <c r="O51" s="27">
        <f>pm.rep!G104</f>
        <v>2019.99</v>
      </c>
      <c r="P51" s="27">
        <f>pm.rep!H104</f>
        <v>737.65899999999999</v>
      </c>
      <c r="Q51" s="27">
        <f>pm.rep!I104</f>
        <v>346.15100000000001</v>
      </c>
      <c r="R51" s="27">
        <f>pm.rep!J104</f>
        <v>329.87299999999999</v>
      </c>
      <c r="S51" s="27">
        <f>pm.rep!K104</f>
        <v>156.62899999999999</v>
      </c>
      <c r="T51" s="27">
        <f>pm.rep!L104</f>
        <v>57.405700000000003</v>
      </c>
      <c r="U51" s="27">
        <f>pm.rep!M104</f>
        <v>55.511400000000002</v>
      </c>
      <c r="V51" s="27">
        <f>pm.rep!N104</f>
        <v>93.846699999999998</v>
      </c>
      <c r="W51" s="27">
        <f>pm.rep!O104</f>
        <v>29.717500000000001</v>
      </c>
      <c r="X51" s="27">
        <f>pm.rep!P104</f>
        <v>28.379100000000001</v>
      </c>
      <c r="Z51">
        <f>pm.rep!A158</f>
        <v>2005</v>
      </c>
      <c r="AA51">
        <f>pm.rep!B158/$AP51</f>
        <v>1.0039276789651624E-4</v>
      </c>
      <c r="AB51">
        <f>pm.rep!C158/$AP51</f>
        <v>5.8751844774364249E-3</v>
      </c>
      <c r="AC51">
        <f>pm.rep!D158/$AP51</f>
        <v>6.2815228575628393E-2</v>
      </c>
      <c r="AD51">
        <f>pm.rep!E158/$AP51</f>
        <v>0.33859179773629283</v>
      </c>
      <c r="AE51">
        <f>pm.rep!F158/$AP51</f>
        <v>0.88356313391150965</v>
      </c>
      <c r="AF51">
        <f>pm.rep!G158/$AP51</f>
        <v>1</v>
      </c>
      <c r="AG51">
        <f>pm.rep!H158/$AP51</f>
        <v>0.90034396589739829</v>
      </c>
      <c r="AH51">
        <f>pm.rep!I158/$AP51</f>
        <v>0.82382478318388941</v>
      </c>
      <c r="AI51">
        <f>pm.rep!J158/$AP51</f>
        <v>0.77582831103924743</v>
      </c>
      <c r="AJ51">
        <f>pm.rep!K158/$AP51</f>
        <v>0.67145083051594878</v>
      </c>
      <c r="AK51">
        <f>pm.rep!L158/$AP51</f>
        <v>0.67145083051594878</v>
      </c>
      <c r="AL51">
        <f>pm.rep!M158/$AP51</f>
        <v>0.67145083051594878</v>
      </c>
      <c r="AM51">
        <f>pm.rep!N158/$AP51</f>
        <v>0.67145083051594878</v>
      </c>
      <c r="AN51">
        <f>pm.rep!O158/$AP51</f>
        <v>0.67145083051594878</v>
      </c>
      <c r="AO51">
        <f>pm.rep!P158/$AP51</f>
        <v>0.67145083051594878</v>
      </c>
      <c r="AP51">
        <f>MAX(pm.rep!B158:P158)</f>
        <v>1.70075</v>
      </c>
      <c r="AR51">
        <v>2005</v>
      </c>
      <c r="AS51">
        <v>3491.84</v>
      </c>
      <c r="AT51">
        <v>2250.7199999999998</v>
      </c>
      <c r="AU51">
        <v>3289.8</v>
      </c>
      <c r="AV51">
        <v>4007.74</v>
      </c>
      <c r="AW51">
        <v>3874.76</v>
      </c>
      <c r="AX51">
        <v>1892.5</v>
      </c>
      <c r="AY51">
        <v>675.12199999999996</v>
      </c>
      <c r="AZ51">
        <v>313.92500000000001</v>
      </c>
      <c r="BA51">
        <v>310.73700000000002</v>
      </c>
      <c r="BB51">
        <v>148.096</v>
      </c>
      <c r="BC51">
        <v>49.3765</v>
      </c>
      <c r="BD51">
        <v>43.289299999999997</v>
      </c>
      <c r="BE51">
        <v>82.308599999999998</v>
      </c>
      <c r="BF51">
        <v>23.061299999999999</v>
      </c>
      <c r="BG51">
        <v>22.927800000000001</v>
      </c>
      <c r="BJ51" s="31">
        <v>6.6E-3</v>
      </c>
      <c r="BK51" s="31">
        <v>0.28263899999999997</v>
      </c>
      <c r="BL51" s="31">
        <v>0.35266399999999998</v>
      </c>
      <c r="BM51" s="31">
        <v>0.50690999999999997</v>
      </c>
      <c r="BN51" s="31">
        <v>0.63878400000000002</v>
      </c>
      <c r="BO51" s="31">
        <v>0.73880500000000005</v>
      </c>
      <c r="BP51" s="31">
        <v>0.87975199999999998</v>
      </c>
      <c r="BQ51" s="31">
        <v>0.948492</v>
      </c>
      <c r="BR51" s="31">
        <v>1.0628599999999999</v>
      </c>
      <c r="BS51" s="31">
        <v>1.0940700000000001</v>
      </c>
      <c r="BT51" s="31">
        <v>1.2672300000000001</v>
      </c>
      <c r="BU51" s="31">
        <v>1.3117300000000001</v>
      </c>
      <c r="BV51" s="31">
        <v>1.31338</v>
      </c>
      <c r="BW51" s="31">
        <v>1.16394</v>
      </c>
      <c r="BX51" s="31">
        <v>1.4193199999999999</v>
      </c>
      <c r="BZ51">
        <v>6.6E-3</v>
      </c>
      <c r="CA51">
        <v>0.28263899999999997</v>
      </c>
      <c r="CB51">
        <v>0.35266399999999998</v>
      </c>
      <c r="CC51">
        <v>0.50690999999999997</v>
      </c>
      <c r="CD51">
        <v>0.63878400000000002</v>
      </c>
      <c r="CE51">
        <v>0.73880500000000005</v>
      </c>
      <c r="CF51">
        <v>0.87975199999999998</v>
      </c>
      <c r="CG51">
        <v>0.948492</v>
      </c>
      <c r="CH51">
        <v>1.0628599999999999</v>
      </c>
      <c r="CI51">
        <v>1.0940700000000001</v>
      </c>
      <c r="CJ51">
        <v>1.2672300000000001</v>
      </c>
      <c r="CK51">
        <v>1.3117300000000001</v>
      </c>
      <c r="CL51">
        <v>1.31338</v>
      </c>
      <c r="CM51">
        <v>1.16394</v>
      </c>
      <c r="CN51">
        <v>1.4193199999999999</v>
      </c>
    </row>
    <row r="52" spans="1:101" x14ac:dyDescent="0.15">
      <c r="A52">
        <f t="shared" si="0"/>
        <v>2006</v>
      </c>
      <c r="B52" s="27">
        <v>1930</v>
      </c>
      <c r="C52" s="27">
        <f t="shared" si="2"/>
        <v>3853.6636611709314</v>
      </c>
      <c r="D52" s="27">
        <f t="shared" si="3"/>
        <v>3025.0535753894851</v>
      </c>
      <c r="E52" s="27" t="e">
        <f t="shared" si="4"/>
        <v>#VALUE!</v>
      </c>
      <c r="F52" s="27"/>
      <c r="G52" s="27">
        <f t="shared" si="1"/>
        <v>5383.0437174250092</v>
      </c>
      <c r="H52" s="27" t="e">
        <f t="shared" si="5"/>
        <v>#VALUE!</v>
      </c>
      <c r="I52">
        <f>pm.rep!A105</f>
        <v>2006</v>
      </c>
      <c r="J52" s="27">
        <f>pm.rep!B105</f>
        <v>12207.5</v>
      </c>
      <c r="K52" s="27">
        <f>pm.rep!C105</f>
        <v>1964.36</v>
      </c>
      <c r="L52" s="27">
        <f>pm.rep!D105</f>
        <v>1718.21</v>
      </c>
      <c r="M52" s="27">
        <f>pm.rep!E105</f>
        <v>2748.41</v>
      </c>
      <c r="N52" s="27">
        <f>pm.rep!F105</f>
        <v>2990.84</v>
      </c>
      <c r="O52" s="27">
        <f>pm.rep!G105</f>
        <v>2322.33</v>
      </c>
      <c r="P52" s="27">
        <f>pm.rep!H105</f>
        <v>1089.69</v>
      </c>
      <c r="Q52" s="27">
        <f>pm.rep!I105</f>
        <v>410.71</v>
      </c>
      <c r="R52" s="27">
        <f>pm.rep!J105</f>
        <v>197.46299999999999</v>
      </c>
      <c r="S52" s="27">
        <f>pm.rep!K105</f>
        <v>191.065</v>
      </c>
      <c r="T52" s="27">
        <f>pm.rep!L105</f>
        <v>93.774500000000003</v>
      </c>
      <c r="U52" s="27">
        <f>pm.rep!M105</f>
        <v>34.369</v>
      </c>
      <c r="V52" s="27">
        <f>pm.rep!N105</f>
        <v>33.234999999999999</v>
      </c>
      <c r="W52" s="27">
        <f>pm.rep!O105</f>
        <v>56.186399999999999</v>
      </c>
      <c r="X52" s="27">
        <f>pm.rep!P105</f>
        <v>34.782699999999998</v>
      </c>
      <c r="Z52">
        <f>pm.rep!A159</f>
        <v>2006</v>
      </c>
      <c r="AA52">
        <f>pm.rep!B159/$AP52</f>
        <v>1.0349580082122788E-4</v>
      </c>
      <c r="AB52">
        <f>pm.rep!C159/$AP52</f>
        <v>7.9100246864571844E-3</v>
      </c>
      <c r="AC52">
        <f>pm.rep!D159/$AP52</f>
        <v>0.12411643572217192</v>
      </c>
      <c r="AD52">
        <f>pm.rep!E159/$AP52</f>
        <v>0.34623190383446428</v>
      </c>
      <c r="AE52">
        <f>pm.rep!F159/$AP52</f>
        <v>0.73241865254121641</v>
      </c>
      <c r="AF52">
        <f>pm.rep!G159/$AP52</f>
        <v>1</v>
      </c>
      <c r="AG52">
        <f>pm.rep!H159/$AP52</f>
        <v>0.95249407649080153</v>
      </c>
      <c r="AH52">
        <f>pm.rep!I159/$AP52</f>
        <v>0.90637133889915777</v>
      </c>
      <c r="AI52">
        <f>pm.rep!J159/$AP52</f>
        <v>0.81681780402178361</v>
      </c>
      <c r="AJ52">
        <f>pm.rep!K159/$AP52</f>
        <v>0.73624567366736549</v>
      </c>
      <c r="AK52">
        <f>pm.rep!L159/$AP52</f>
        <v>0.73624567366736549</v>
      </c>
      <c r="AL52">
        <f>pm.rep!M159/$AP52</f>
        <v>0.73624567366736549</v>
      </c>
      <c r="AM52">
        <f>pm.rep!N159/$AP52</f>
        <v>0.73624567366736549</v>
      </c>
      <c r="AN52">
        <f>pm.rep!O159/$AP52</f>
        <v>0.73624567366736549</v>
      </c>
      <c r="AO52">
        <f>pm.rep!P159/$AP52</f>
        <v>0.73624567366736549</v>
      </c>
      <c r="AP52">
        <f>MAX(pm.rep!B159:P159)</f>
        <v>1.61222</v>
      </c>
      <c r="AR52">
        <v>2006</v>
      </c>
      <c r="AS52">
        <v>8570.07</v>
      </c>
      <c r="AT52">
        <v>1419.56</v>
      </c>
      <c r="AU52">
        <v>1431.75</v>
      </c>
      <c r="AV52">
        <v>2380.1999999999998</v>
      </c>
      <c r="AW52">
        <v>2632.81</v>
      </c>
      <c r="AX52">
        <v>2115.81</v>
      </c>
      <c r="AY52">
        <v>995.02499999999998</v>
      </c>
      <c r="AZ52">
        <v>364.31400000000002</v>
      </c>
      <c r="BA52">
        <v>173.054</v>
      </c>
      <c r="BB52">
        <v>173.96899999999999</v>
      </c>
      <c r="BC52">
        <v>85.218900000000005</v>
      </c>
      <c r="BD52">
        <v>28.412700000000001</v>
      </c>
      <c r="BE52">
        <v>24.91</v>
      </c>
      <c r="BF52">
        <v>47.362900000000003</v>
      </c>
      <c r="BG52">
        <v>26.4635</v>
      </c>
      <c r="BJ52" s="121">
        <v>6.5999999999999991E-3</v>
      </c>
      <c r="BK52" s="121">
        <v>0.174065</v>
      </c>
      <c r="BL52" s="121">
        <v>0.30482799999999999</v>
      </c>
      <c r="BM52" s="121">
        <v>0.44803500000000002</v>
      </c>
      <c r="BN52" s="121">
        <v>0.60378100000000001</v>
      </c>
      <c r="BO52" s="121">
        <v>0.75378599999999996</v>
      </c>
      <c r="BP52" s="121">
        <v>0.85452899999999998</v>
      </c>
      <c r="BQ52" s="121">
        <v>0.95787900000000004</v>
      </c>
      <c r="BR52" s="121">
        <v>1.05549</v>
      </c>
      <c r="BS52" s="121">
        <v>1.1262799999999999</v>
      </c>
      <c r="BT52" s="121">
        <v>1.21862</v>
      </c>
      <c r="BU52" s="121">
        <v>1.2830900000000001</v>
      </c>
      <c r="BV52" s="121">
        <v>1.3057799999999999</v>
      </c>
      <c r="BW52" s="121">
        <v>1.3988799999999999</v>
      </c>
      <c r="BX52" s="121">
        <v>1.45343</v>
      </c>
      <c r="BZ52">
        <v>6.6E-3</v>
      </c>
      <c r="CA52">
        <v>0.174065</v>
      </c>
      <c r="CB52">
        <v>0.30482799999999999</v>
      </c>
      <c r="CC52">
        <v>0.44803500000000002</v>
      </c>
      <c r="CD52">
        <v>0.60378100000000001</v>
      </c>
      <c r="CE52">
        <v>0.75378599999999996</v>
      </c>
      <c r="CF52">
        <v>0.85452899999999998</v>
      </c>
      <c r="CG52">
        <v>0.95787900000000004</v>
      </c>
      <c r="CH52">
        <v>1.05549</v>
      </c>
      <c r="CI52">
        <v>1.1262799999999999</v>
      </c>
      <c r="CJ52">
        <v>1.21862</v>
      </c>
      <c r="CK52">
        <v>1.2830900000000001</v>
      </c>
      <c r="CL52">
        <v>1.3057799999999999</v>
      </c>
      <c r="CM52">
        <v>1.3988799999999999</v>
      </c>
      <c r="CN52">
        <v>1.45343</v>
      </c>
    </row>
    <row r="53" spans="1:101" x14ac:dyDescent="0.15">
      <c r="A53">
        <f t="shared" si="0"/>
        <v>2007</v>
      </c>
      <c r="B53" s="27">
        <v>1394</v>
      </c>
      <c r="C53" s="27">
        <f t="shared" si="2"/>
        <v>3621.6625946501235</v>
      </c>
      <c r="D53" s="27">
        <f t="shared" si="3"/>
        <v>2562.8194905883051</v>
      </c>
      <c r="E53" s="27" t="e">
        <f t="shared" si="4"/>
        <v>#VALUE!</v>
      </c>
      <c r="F53" s="27"/>
      <c r="G53" s="27">
        <f t="shared" si="1"/>
        <v>4392.9785884393787</v>
      </c>
      <c r="H53" s="27" t="e">
        <f t="shared" si="5"/>
        <v>#VALUE!</v>
      </c>
      <c r="I53">
        <f>pm.rep!A106</f>
        <v>2007</v>
      </c>
      <c r="J53" s="27">
        <f>pm.rep!B106</f>
        <v>26390.5</v>
      </c>
      <c r="K53" s="27">
        <f>pm.rep!C106</f>
        <v>4963.0200000000004</v>
      </c>
      <c r="L53" s="27">
        <f>pm.rep!D106</f>
        <v>1248.8900000000001</v>
      </c>
      <c r="M53" s="27">
        <f>pm.rep!E106</f>
        <v>1216.02</v>
      </c>
      <c r="N53" s="27">
        <f>pm.rep!F106</f>
        <v>1792.36</v>
      </c>
      <c r="O53" s="27">
        <f>pm.rep!G106</f>
        <v>1691.93</v>
      </c>
      <c r="P53" s="27">
        <f>pm.rep!H106</f>
        <v>1190.48</v>
      </c>
      <c r="Q53" s="27">
        <f>pm.rep!I106</f>
        <v>568.45500000000004</v>
      </c>
      <c r="R53" s="27">
        <f>pm.rep!J106</f>
        <v>217.92400000000001</v>
      </c>
      <c r="S53" s="27">
        <f>pm.rep!K106</f>
        <v>108.28700000000001</v>
      </c>
      <c r="T53" s="27">
        <f>pm.rep!L106</f>
        <v>107.93300000000001</v>
      </c>
      <c r="U53" s="27">
        <f>pm.rep!M106</f>
        <v>52.973700000000001</v>
      </c>
      <c r="V53" s="27">
        <f>pm.rep!N106</f>
        <v>19.415199999999999</v>
      </c>
      <c r="W53" s="27">
        <f>pm.rep!O106</f>
        <v>18.7746</v>
      </c>
      <c r="X53" s="27">
        <f>pm.rep!P106</f>
        <v>51.3889</v>
      </c>
      <c r="Z53">
        <f>pm.rep!A160</f>
        <v>2007</v>
      </c>
      <c r="AA53">
        <f>pm.rep!B160/$AP53</f>
        <v>9.3104697782609209E-5</v>
      </c>
      <c r="AB53">
        <f>pm.rep!C160/$AP53</f>
        <v>7.9836004254772008E-3</v>
      </c>
      <c r="AC53">
        <f>pm.rep!D160/$AP53</f>
        <v>0.10947504997019322</v>
      </c>
      <c r="AD53">
        <f>pm.rep!E160/$AP53</f>
        <v>0.30424834309359328</v>
      </c>
      <c r="AE53">
        <f>pm.rep!F160/$AP53</f>
        <v>0.6553634674054073</v>
      </c>
      <c r="AF53">
        <f>pm.rep!G160/$AP53</f>
        <v>1</v>
      </c>
      <c r="AG53">
        <f>pm.rep!H160/$AP53</f>
        <v>0.89201762691260178</v>
      </c>
      <c r="AH53">
        <f>pm.rep!I160/$AP53</f>
        <v>0.80659489661137806</v>
      </c>
      <c r="AI53">
        <f>pm.rep!J160/$AP53</f>
        <v>0.7545908288623161</v>
      </c>
      <c r="AJ53">
        <f>pm.rep!K160/$AP53</f>
        <v>0.70605837453682607</v>
      </c>
      <c r="AK53">
        <f>pm.rep!L160/$AP53</f>
        <v>0.70605837453682607</v>
      </c>
      <c r="AL53">
        <f>pm.rep!M160/$AP53</f>
        <v>0.70605837453682607</v>
      </c>
      <c r="AM53">
        <f>pm.rep!N160/$AP53</f>
        <v>0.70605837453682607</v>
      </c>
      <c r="AN53">
        <f>pm.rep!O160/$AP53</f>
        <v>0.70605837453682607</v>
      </c>
      <c r="AO53">
        <f>pm.rep!P160/$AP53</f>
        <v>0.70605837453682607</v>
      </c>
      <c r="AP53">
        <f>MAX(pm.rep!B160:P160)</f>
        <v>1.71102</v>
      </c>
      <c r="AR53">
        <v>2007</v>
      </c>
      <c r="AS53">
        <v>24451.200000000001</v>
      </c>
      <c r="AT53">
        <v>3483.97</v>
      </c>
      <c r="AU53">
        <v>902.11199999999997</v>
      </c>
      <c r="AV53">
        <v>1010.63</v>
      </c>
      <c r="AW53">
        <v>1525.56</v>
      </c>
      <c r="AX53">
        <v>1435.3</v>
      </c>
      <c r="AY53">
        <v>1031.8499999999999</v>
      </c>
      <c r="AZ53">
        <v>495.34100000000001</v>
      </c>
      <c r="BA53">
        <v>183.815</v>
      </c>
      <c r="BB53">
        <v>89.860299999999995</v>
      </c>
      <c r="BC53">
        <v>92.715000000000003</v>
      </c>
      <c r="BD53">
        <v>45.416400000000003</v>
      </c>
      <c r="BE53">
        <v>15.142200000000001</v>
      </c>
      <c r="BF53">
        <v>13.275499999999999</v>
      </c>
      <c r="BG53">
        <v>39.344900000000003</v>
      </c>
      <c r="BJ53" s="121">
        <v>6.6333333333333322E-3</v>
      </c>
      <c r="BK53" s="121">
        <v>0.154728</v>
      </c>
      <c r="BL53" s="121">
        <v>0.33827400000000002</v>
      </c>
      <c r="BM53" s="121">
        <v>0.50944599999999995</v>
      </c>
      <c r="BN53" s="121">
        <v>0.64180700000000002</v>
      </c>
      <c r="BO53" s="121">
        <v>0.781609</v>
      </c>
      <c r="BP53" s="121">
        <v>0.95975100000000002</v>
      </c>
      <c r="BQ53" s="121">
        <v>1.10354</v>
      </c>
      <c r="BR53" s="121">
        <v>1.1958500000000001</v>
      </c>
      <c r="BS53" s="121">
        <v>1.2762899999999999</v>
      </c>
      <c r="BT53" s="121">
        <v>1.3284100000000001</v>
      </c>
      <c r="BU53" s="121">
        <v>1.51617</v>
      </c>
      <c r="BV53" s="121">
        <v>1.4155199999999999</v>
      </c>
      <c r="BW53" s="121">
        <v>1.76814</v>
      </c>
      <c r="BX53" s="121">
        <v>1.5319700000000001</v>
      </c>
      <c r="BZ53">
        <v>6.6333329999999999E-3</v>
      </c>
      <c r="CA53">
        <v>0.154728</v>
      </c>
      <c r="CB53">
        <v>0.33827400000000002</v>
      </c>
      <c r="CC53">
        <v>0.50944599999999995</v>
      </c>
      <c r="CD53">
        <v>0.64180700000000002</v>
      </c>
      <c r="CE53">
        <v>0.781609</v>
      </c>
      <c r="CF53">
        <v>0.95975100000000002</v>
      </c>
      <c r="CG53">
        <v>1.10354</v>
      </c>
      <c r="CH53">
        <v>1.1958500000000001</v>
      </c>
      <c r="CI53">
        <v>1.2762899999999999</v>
      </c>
      <c r="CJ53">
        <v>1.3284100000000001</v>
      </c>
      <c r="CK53">
        <v>1.51617</v>
      </c>
      <c r="CL53">
        <v>1.4155199999999999</v>
      </c>
      <c r="CM53">
        <v>1.76814</v>
      </c>
      <c r="CN53">
        <v>1.5319700000000001</v>
      </c>
      <c r="CO53" t="s">
        <v>66</v>
      </c>
      <c r="CP53">
        <v>3</v>
      </c>
      <c r="CQ53" t="s">
        <v>173</v>
      </c>
      <c r="CR53" t="s">
        <v>310</v>
      </c>
      <c r="CS53" t="s">
        <v>182</v>
      </c>
      <c r="CT53" t="s">
        <v>204</v>
      </c>
      <c r="CU53">
        <v>2007</v>
      </c>
      <c r="CV53" t="s">
        <v>310</v>
      </c>
      <c r="CW53" t="s">
        <v>137</v>
      </c>
    </row>
    <row r="54" spans="1:101" x14ac:dyDescent="0.15">
      <c r="A54">
        <f t="shared" si="0"/>
        <v>2008</v>
      </c>
      <c r="B54" s="27">
        <v>1000</v>
      </c>
      <c r="C54" s="27">
        <f t="shared" si="2"/>
        <v>2824.5223987144382</v>
      </c>
      <c r="D54" s="27">
        <f t="shared" si="3"/>
        <v>1913.9720767934189</v>
      </c>
      <c r="E54" s="27" t="e">
        <f t="shared" si="4"/>
        <v>#VALUE!</v>
      </c>
      <c r="F54" s="27"/>
      <c r="G54" s="27">
        <f t="shared" si="1"/>
        <v>3112.289304881459</v>
      </c>
      <c r="H54" s="27" t="e">
        <f t="shared" si="5"/>
        <v>#VALUE!</v>
      </c>
      <c r="I54">
        <f>pm.rep!A107</f>
        <v>2008</v>
      </c>
      <c r="J54" s="27">
        <f>pm.rep!B107</f>
        <v>14622.4</v>
      </c>
      <c r="K54" s="27">
        <f>pm.rep!C107</f>
        <v>10729.2</v>
      </c>
      <c r="L54" s="27">
        <f>pm.rep!D107</f>
        <v>3154.19</v>
      </c>
      <c r="M54" s="27">
        <f>pm.rep!E107</f>
        <v>884.49300000000005</v>
      </c>
      <c r="N54" s="27">
        <f>pm.rep!F107</f>
        <v>794.95799999999997</v>
      </c>
      <c r="O54" s="27">
        <f>pm.rep!G107</f>
        <v>1014.28</v>
      </c>
      <c r="P54" s="27">
        <f>pm.rep!H107</f>
        <v>830.99199999999996</v>
      </c>
      <c r="Q54" s="27">
        <f>pm.rep!I107</f>
        <v>611.24099999999999</v>
      </c>
      <c r="R54" s="27">
        <f>pm.rep!J107</f>
        <v>302.29700000000003</v>
      </c>
      <c r="S54" s="27">
        <f>pm.rep!K107</f>
        <v>118.393</v>
      </c>
      <c r="T54" s="27">
        <f>pm.rep!L107</f>
        <v>60.015099999999997</v>
      </c>
      <c r="U54" s="27">
        <f>pm.rep!M107</f>
        <v>59.819099999999999</v>
      </c>
      <c r="V54" s="27">
        <f>pm.rep!N107</f>
        <v>29.359200000000001</v>
      </c>
      <c r="W54" s="27">
        <f>pm.rep!O107</f>
        <v>10.760400000000001</v>
      </c>
      <c r="X54" s="27">
        <f>pm.rep!P107</f>
        <v>38.886200000000002</v>
      </c>
      <c r="Z54">
        <f>pm.rep!A161</f>
        <v>2008</v>
      </c>
      <c r="AA54">
        <f>pm.rep!B161/$AP54</f>
        <v>8.80917093191405E-5</v>
      </c>
      <c r="AB54">
        <f>pm.rep!C161/$AP54</f>
        <v>6.5475197561458559E-3</v>
      </c>
      <c r="AC54">
        <f>pm.rep!D161/$AP54</f>
        <v>5.8991461504767272E-2</v>
      </c>
      <c r="AD54">
        <f>pm.rep!E161/$AP54</f>
        <v>0.26622104082036757</v>
      </c>
      <c r="AE54">
        <f>pm.rep!F161/$AP54</f>
        <v>0.58107910258795004</v>
      </c>
      <c r="AF54">
        <f>pm.rep!G161/$AP54</f>
        <v>1</v>
      </c>
      <c r="AG54">
        <f>pm.rep!H161/$AP54</f>
        <v>0.93921047420750403</v>
      </c>
      <c r="AH54">
        <f>pm.rep!I161/$AP54</f>
        <v>0.83595048512813741</v>
      </c>
      <c r="AI54">
        <f>pm.rep!J161/$AP54</f>
        <v>0.8223716975584584</v>
      </c>
      <c r="AJ54">
        <f>pm.rep!K161/$AP54</f>
        <v>0.74834540403343386</v>
      </c>
      <c r="AK54">
        <f>pm.rep!L161/$AP54</f>
        <v>0.74834540403343386</v>
      </c>
      <c r="AL54">
        <f>pm.rep!M161/$AP54</f>
        <v>0.74834540403343386</v>
      </c>
      <c r="AM54">
        <f>pm.rep!N161/$AP54</f>
        <v>0.74834540403343386</v>
      </c>
      <c r="AN54">
        <f>pm.rep!O161/$AP54</f>
        <v>0.74834540403343386</v>
      </c>
      <c r="AO54">
        <f>pm.rep!P161/$AP54</f>
        <v>0.74834540403343386</v>
      </c>
      <c r="AP54">
        <f>MAX(pm.rep!B161:P161)</f>
        <v>1.6665700000000001</v>
      </c>
      <c r="AR54">
        <v>2008</v>
      </c>
      <c r="AS54">
        <v>9616.73</v>
      </c>
      <c r="AT54">
        <v>9939.98</v>
      </c>
      <c r="AU54">
        <v>2212.9</v>
      </c>
      <c r="AV54">
        <v>633.35799999999995</v>
      </c>
      <c r="AW54">
        <v>642.18600000000004</v>
      </c>
      <c r="AX54">
        <v>826.57500000000005</v>
      </c>
      <c r="AY54">
        <v>651.07899999999995</v>
      </c>
      <c r="AZ54">
        <v>491.291</v>
      </c>
      <c r="BA54">
        <v>244.881</v>
      </c>
      <c r="BB54">
        <v>91.919899999999998</v>
      </c>
      <c r="BC54">
        <v>45.721400000000003</v>
      </c>
      <c r="BD54">
        <v>47.173900000000003</v>
      </c>
      <c r="BE54">
        <v>23.1081</v>
      </c>
      <c r="BF54">
        <v>7.7044600000000001</v>
      </c>
      <c r="BG54">
        <v>26.773599999999998</v>
      </c>
      <c r="BJ54" s="121">
        <v>6.6111111111111101E-3</v>
      </c>
      <c r="BK54" s="121">
        <v>0.20763260000000003</v>
      </c>
      <c r="BL54" s="121">
        <v>0.32889499999999999</v>
      </c>
      <c r="BM54" s="121">
        <v>0.52090199999999998</v>
      </c>
      <c r="BN54" s="121">
        <v>0.65186900000000003</v>
      </c>
      <c r="BO54" s="121">
        <v>0.77220100000000003</v>
      </c>
      <c r="BP54" s="121">
        <v>0.89939199999999997</v>
      </c>
      <c r="BQ54" s="121">
        <v>1.0418099999999999</v>
      </c>
      <c r="BR54" s="121">
        <v>1.11391</v>
      </c>
      <c r="BS54" s="121">
        <v>1.2041299999999999</v>
      </c>
      <c r="BT54" s="121">
        <v>1.3090599999999999</v>
      </c>
      <c r="BU54" s="121">
        <v>1.4044000000000001</v>
      </c>
      <c r="BV54" s="121">
        <v>1.51342</v>
      </c>
      <c r="BW54" s="121">
        <v>1.59903</v>
      </c>
      <c r="BX54" s="121">
        <v>1.5056700000000001</v>
      </c>
      <c r="BZ54">
        <v>6.6111110000000002E-3</v>
      </c>
      <c r="CA54">
        <v>0.2076326</v>
      </c>
      <c r="CB54">
        <v>0.32889499999999999</v>
      </c>
      <c r="CC54">
        <v>0.52090199999999998</v>
      </c>
      <c r="CD54">
        <v>0.65186900000000003</v>
      </c>
      <c r="CE54">
        <v>0.77220100000000003</v>
      </c>
      <c r="CF54">
        <v>0.89939199999999997</v>
      </c>
      <c r="CG54">
        <v>1.0418099999999999</v>
      </c>
      <c r="CH54">
        <v>1.11391</v>
      </c>
      <c r="CI54">
        <v>1.2041299999999999</v>
      </c>
      <c r="CJ54">
        <v>1.3090599999999999</v>
      </c>
      <c r="CK54">
        <v>1.4044000000000001</v>
      </c>
      <c r="CL54">
        <v>1.51342</v>
      </c>
      <c r="CM54">
        <v>1.59903</v>
      </c>
      <c r="CN54">
        <v>1.5056700000000001</v>
      </c>
    </row>
    <row r="55" spans="1:101" x14ac:dyDescent="0.15">
      <c r="A55">
        <f t="shared" si="0"/>
        <v>2009</v>
      </c>
      <c r="B55" s="27">
        <v>815</v>
      </c>
      <c r="C55" s="27">
        <f t="shared" si="2"/>
        <v>2664.4041459348864</v>
      </c>
      <c r="D55" s="27">
        <f t="shared" si="3"/>
        <v>2048.8165255125168</v>
      </c>
      <c r="E55" s="27" t="e">
        <f t="shared" si="4"/>
        <v>#VALUE!</v>
      </c>
      <c r="F55" s="27"/>
      <c r="G55" s="27">
        <f t="shared" si="1"/>
        <v>3042.7857047683078</v>
      </c>
      <c r="H55" s="27" t="e">
        <f t="shared" si="5"/>
        <v>#VALUE!</v>
      </c>
      <c r="I55">
        <f>pm.rep!A108</f>
        <v>2009</v>
      </c>
      <c r="J55" s="27">
        <f>pm.rep!B108</f>
        <v>56930.6</v>
      </c>
      <c r="K55" s="27">
        <f>pm.rep!C108</f>
        <v>5944.81</v>
      </c>
      <c r="L55" s="27">
        <f>pm.rep!D108</f>
        <v>6821.99</v>
      </c>
      <c r="M55" s="27">
        <f>pm.rep!E108</f>
        <v>2278.16</v>
      </c>
      <c r="N55" s="27">
        <f>pm.rep!F108</f>
        <v>584.37400000000002</v>
      </c>
      <c r="O55" s="27">
        <f>pm.rep!G108</f>
        <v>458.71499999999997</v>
      </c>
      <c r="P55" s="27">
        <f>pm.rep!H108</f>
        <v>488.79399999999998</v>
      </c>
      <c r="Q55" s="27">
        <f>pm.rep!I108</f>
        <v>411.07100000000003</v>
      </c>
      <c r="R55" s="27">
        <f>pm.rep!J108</f>
        <v>316.09399999999999</v>
      </c>
      <c r="S55" s="27">
        <f>pm.rep!K108</f>
        <v>157.244</v>
      </c>
      <c r="T55" s="27">
        <f>pm.rep!L108</f>
        <v>63.575400000000002</v>
      </c>
      <c r="U55" s="27">
        <f>pm.rep!M108</f>
        <v>32.2273</v>
      </c>
      <c r="V55" s="27">
        <f>pm.rep!N108</f>
        <v>32.122</v>
      </c>
      <c r="W55" s="27">
        <f>pm.rep!O108</f>
        <v>15.765499999999999</v>
      </c>
      <c r="X55" s="27">
        <f>pm.rep!P108</f>
        <v>26.659500000000001</v>
      </c>
      <c r="Z55">
        <f>pm.rep!A162</f>
        <v>2009</v>
      </c>
      <c r="AA55">
        <f>pm.rep!B162/$AP55</f>
        <v>9.7459342401381448E-5</v>
      </c>
      <c r="AB55">
        <f>pm.rep!C162/$AP55</f>
        <v>5.3531726373299742E-3</v>
      </c>
      <c r="AC55">
        <f>pm.rep!D162/$AP55</f>
        <v>7.0434105674371209E-2</v>
      </c>
      <c r="AD55">
        <f>pm.rep!E162/$AP55</f>
        <v>0.29665963680627311</v>
      </c>
      <c r="AE55">
        <f>pm.rep!F162/$AP55</f>
        <v>0.50332903992866351</v>
      </c>
      <c r="AF55">
        <f>pm.rep!G162/$AP55</f>
        <v>0.88450269635249323</v>
      </c>
      <c r="AG55">
        <f>pm.rep!H162/$AP55</f>
        <v>0.99944799082815527</v>
      </c>
      <c r="AH55">
        <f>pm.rep!I162/$AP55</f>
        <v>0.97477035003043133</v>
      </c>
      <c r="AI55">
        <f>pm.rep!J162/$AP55</f>
        <v>1</v>
      </c>
      <c r="AJ55">
        <f>pm.rep!K162/$AP55</f>
        <v>0.98016305501691414</v>
      </c>
      <c r="AK55">
        <f>pm.rep!L162/$AP55</f>
        <v>0.98016305501691414</v>
      </c>
      <c r="AL55">
        <f>pm.rep!M162/$AP55</f>
        <v>0.98016305501691414</v>
      </c>
      <c r="AM55">
        <f>pm.rep!N162/$AP55</f>
        <v>0.98016305501691414</v>
      </c>
      <c r="AN55">
        <f>pm.rep!O162/$AP55</f>
        <v>0.98016305501691414</v>
      </c>
      <c r="AO55">
        <f>pm.rep!P162/$AP55</f>
        <v>0.98016305501691414</v>
      </c>
      <c r="AP55">
        <f>MAX(pm.rep!B162:P162)</f>
        <v>1.4130199999999999</v>
      </c>
      <c r="AR55">
        <v>2009</v>
      </c>
      <c r="AS55">
        <v>29419.7</v>
      </c>
      <c r="AT55">
        <v>3909.41</v>
      </c>
      <c r="AU55">
        <v>6314.9</v>
      </c>
      <c r="AV55">
        <v>1580.72</v>
      </c>
      <c r="AW55">
        <v>397.07799999999997</v>
      </c>
      <c r="AX55">
        <v>344.13099999999997</v>
      </c>
      <c r="AY55">
        <v>354.00299999999999</v>
      </c>
      <c r="AZ55">
        <v>283.01600000000002</v>
      </c>
      <c r="BA55">
        <v>225.51900000000001</v>
      </c>
      <c r="BB55">
        <v>114.032</v>
      </c>
      <c r="BC55">
        <v>44.009</v>
      </c>
      <c r="BD55">
        <v>21.8903</v>
      </c>
      <c r="BE55">
        <v>22.585699999999999</v>
      </c>
      <c r="BF55">
        <v>11.063599999999999</v>
      </c>
      <c r="BG55">
        <v>16.507200000000001</v>
      </c>
      <c r="BJ55" s="121">
        <v>6.6044444444444449E-3</v>
      </c>
      <c r="BK55" s="121">
        <v>0.135797</v>
      </c>
      <c r="BL55" s="121">
        <v>0.34501500000000002</v>
      </c>
      <c r="BM55" s="121">
        <v>0.54806699999999997</v>
      </c>
      <c r="BN55" s="121">
        <v>0.68665299999999996</v>
      </c>
      <c r="BO55" s="121">
        <v>0.89198599999999995</v>
      </c>
      <c r="BP55" s="121">
        <v>1.0199100000000001</v>
      </c>
      <c r="BQ55" s="121">
        <v>1.1527700000000001</v>
      </c>
      <c r="BR55" s="121">
        <v>1.40716</v>
      </c>
      <c r="BS55" s="121">
        <v>1.48603</v>
      </c>
      <c r="BT55" s="121">
        <v>1.6355200000000001</v>
      </c>
      <c r="BU55" s="121">
        <v>1.6374299999999999</v>
      </c>
      <c r="BV55" s="121">
        <v>1.8168299999999999</v>
      </c>
      <c r="BW55" s="121">
        <v>2.1764399999999999</v>
      </c>
      <c r="BX55" s="121">
        <v>2.2922600000000002</v>
      </c>
      <c r="BZ55">
        <v>6.6044440000000001E-3</v>
      </c>
      <c r="CA55">
        <v>0.20934226</v>
      </c>
      <c r="CB55">
        <v>0.36681399999999997</v>
      </c>
      <c r="CC55">
        <v>0.51470190000000005</v>
      </c>
      <c r="CD55">
        <v>0.64321510000000004</v>
      </c>
      <c r="CE55">
        <v>0.75989280000000003</v>
      </c>
      <c r="CF55">
        <v>0.87258729999999995</v>
      </c>
      <c r="CG55">
        <v>0.9659681</v>
      </c>
      <c r="CH55">
        <v>1.0728393000000001</v>
      </c>
      <c r="CI55">
        <v>1.1655329999999999</v>
      </c>
      <c r="CJ55">
        <v>1.2598050000000001</v>
      </c>
      <c r="CK55">
        <v>1.3534390000000001</v>
      </c>
      <c r="CL55">
        <v>1.4024049999999999</v>
      </c>
      <c r="CM55">
        <v>1.4153789999999999</v>
      </c>
      <c r="CN55">
        <v>1.5220629999999999</v>
      </c>
    </row>
    <row r="56" spans="1:101" x14ac:dyDescent="0.15">
      <c r="A56">
        <f t="shared" si="0"/>
        <v>2010</v>
      </c>
      <c r="B56" s="27">
        <v>813</v>
      </c>
      <c r="C56" s="27">
        <f t="shared" si="2"/>
        <v>2399.3996473138295</v>
      </c>
      <c r="D56" s="27">
        <f t="shared" si="3"/>
        <v>2145.4299279223783</v>
      </c>
      <c r="E56" s="27" t="e">
        <f t="shared" si="4"/>
        <v>#VALUE!</v>
      </c>
      <c r="F56" s="27"/>
      <c r="G56" s="27">
        <f t="shared" si="1"/>
        <v>3306.9521291895585</v>
      </c>
      <c r="H56" s="27"/>
      <c r="I56">
        <f>pm.rep!A109</f>
        <v>2010</v>
      </c>
      <c r="J56" s="27">
        <f>pm.rep!B109</f>
        <v>22500.1</v>
      </c>
      <c r="K56" s="27">
        <f>pm.rep!C109</f>
        <v>23145.5</v>
      </c>
      <c r="L56" s="27">
        <f>pm.rep!D109</f>
        <v>3783.56</v>
      </c>
      <c r="M56" s="27">
        <f>pm.rep!E109</f>
        <v>4932.12</v>
      </c>
      <c r="N56" s="27">
        <f>pm.rep!F109</f>
        <v>1522.99</v>
      </c>
      <c r="O56" s="27">
        <f>pm.rep!G109</f>
        <v>363.69400000000002</v>
      </c>
      <c r="P56" s="27">
        <f>pm.rep!H109</f>
        <v>250.19900000000001</v>
      </c>
      <c r="Q56" s="27">
        <f>pm.rep!I109</f>
        <v>256.20600000000002</v>
      </c>
      <c r="R56" s="27">
        <f>pm.rep!J109</f>
        <v>217.315</v>
      </c>
      <c r="S56" s="27">
        <f>pm.rep!K109</f>
        <v>165.65199999999999</v>
      </c>
      <c r="T56" s="27">
        <f>pm.rep!L109</f>
        <v>82.972800000000007</v>
      </c>
      <c r="U56" s="27">
        <f>pm.rep!M109</f>
        <v>33.546799999999998</v>
      </c>
      <c r="V56" s="27">
        <f>pm.rep!N109</f>
        <v>17.005400000000002</v>
      </c>
      <c r="W56" s="27">
        <f>pm.rep!O109</f>
        <v>16.9498</v>
      </c>
      <c r="X56" s="27">
        <f>pm.rep!P109</f>
        <v>22.386399999999998</v>
      </c>
      <c r="Z56">
        <f>pm.rep!A163</f>
        <v>2010</v>
      </c>
      <c r="AA56">
        <f>pm.rep!B163/$AP56</f>
        <v>9.9359562779794089E-5</v>
      </c>
      <c r="AB56">
        <f>pm.rep!C163/$AP56</f>
        <v>5.7240400502746756E-3</v>
      </c>
      <c r="AC56">
        <f>pm.rep!D163/$AP56</f>
        <v>4.357232633347926E-2</v>
      </c>
      <c r="AD56">
        <f>pm.rep!E163/$AP56</f>
        <v>0.4853843329426219</v>
      </c>
      <c r="AE56">
        <f>pm.rep!F163/$AP56</f>
        <v>0.65275522164635436</v>
      </c>
      <c r="AF56">
        <f>pm.rep!G163/$AP56</f>
        <v>0.76630749459829683</v>
      </c>
      <c r="AG56">
        <f>pm.rep!H163/$AP56</f>
        <v>0.91733628955953173</v>
      </c>
      <c r="AH56">
        <f>pm.rep!I163/$AP56</f>
        <v>1</v>
      </c>
      <c r="AI56">
        <f>pm.rep!J163/$AP56</f>
        <v>0.97801895185776211</v>
      </c>
      <c r="AJ56">
        <f>pm.rep!K163/$AP56</f>
        <v>0.95706175594187337</v>
      </c>
      <c r="AK56">
        <f>pm.rep!L163/$AP56</f>
        <v>0.95706175594187337</v>
      </c>
      <c r="AL56">
        <f>pm.rep!M163/$AP56</f>
        <v>0.95706175594187337</v>
      </c>
      <c r="AM56">
        <f>pm.rep!N163/$AP56</f>
        <v>0.95706175594187337</v>
      </c>
      <c r="AN56">
        <f>pm.rep!O163/$AP56</f>
        <v>0.95706175594187337</v>
      </c>
      <c r="AO56">
        <f>pm.rep!P163/$AP56</f>
        <v>0.95706175594187337</v>
      </c>
      <c r="AP56">
        <f>MAX(pm.rep!B163:P163)</f>
        <v>1.41622</v>
      </c>
      <c r="BJ56" s="121">
        <v>6.6048888888888893E-3</v>
      </c>
      <c r="BK56" s="121">
        <v>0.20414146</v>
      </c>
      <c r="BL56" s="121">
        <v>0.36129400000000006</v>
      </c>
      <c r="BM56" s="121">
        <v>0.51928779999999986</v>
      </c>
      <c r="BN56" s="121">
        <v>0.64808699999999997</v>
      </c>
      <c r="BO56" s="121">
        <v>0.77898420000000002</v>
      </c>
      <c r="BP56" s="121">
        <v>0.90191149999999998</v>
      </c>
      <c r="BQ56" s="121">
        <v>0.99112669999999992</v>
      </c>
      <c r="BR56" s="121">
        <v>1.1096182999999999</v>
      </c>
      <c r="BS56" s="121">
        <v>1.1869049999999999</v>
      </c>
      <c r="BT56" s="121">
        <v>1.302629</v>
      </c>
      <c r="BU56" s="121">
        <v>1.3756460000000001</v>
      </c>
      <c r="BV56" s="121">
        <v>1.4676730000000002</v>
      </c>
      <c r="BW56" s="121">
        <v>1.518907</v>
      </c>
      <c r="BX56" s="121">
        <v>1.6194009999999999</v>
      </c>
      <c r="BZ56" t="s">
        <v>66</v>
      </c>
      <c r="CA56" t="s">
        <v>671</v>
      </c>
      <c r="CB56" t="s">
        <v>781</v>
      </c>
      <c r="CC56" t="s">
        <v>715</v>
      </c>
      <c r="CD56" t="s">
        <v>782</v>
      </c>
      <c r="CE56" t="s">
        <v>204</v>
      </c>
      <c r="CF56" t="s">
        <v>43</v>
      </c>
    </row>
    <row r="57" spans="1:101" x14ac:dyDescent="0.15">
      <c r="A57">
        <f>I57</f>
        <v>2011</v>
      </c>
      <c r="B57" s="27">
        <v>2100</v>
      </c>
      <c r="C57" s="27" t="e">
        <f>SUMPRODUCT(J57:X57,$J$2:$X$2,$J$8:$X$8)</f>
        <v>#REF!</v>
      </c>
      <c r="D57" s="27" t="e">
        <f>SUMPRODUCT(J57:X57,$J$2:$X$2,$J$7:$X$7)</f>
        <v>#REF!</v>
      </c>
      <c r="E57" s="27" t="e">
        <f>SUMPRODUCT(J57:X57,$J$2:$X$2,$J$3:$X$3)</f>
        <v>#REF!</v>
      </c>
      <c r="F57" s="27"/>
      <c r="G57" s="27">
        <f t="shared" si="1"/>
        <v>3777.9373736912039</v>
      </c>
      <c r="H57" s="27"/>
      <c r="I57">
        <f>pm.rep!A110</f>
        <v>2011</v>
      </c>
      <c r="J57" s="27">
        <f>pm.rep!B110</f>
        <v>13479.2</v>
      </c>
      <c r="K57" s="27">
        <f>pm.rep!C110</f>
        <v>9147.59</v>
      </c>
      <c r="L57" s="27">
        <f>pm.rep!D110</f>
        <v>14734.1</v>
      </c>
      <c r="M57" s="27">
        <f>pm.rep!E110</f>
        <v>2768.26</v>
      </c>
      <c r="N57" s="27">
        <f>pm.rep!F110</f>
        <v>3180.79</v>
      </c>
      <c r="O57" s="27">
        <f>pm.rep!G110</f>
        <v>936.346</v>
      </c>
      <c r="P57" s="27">
        <f>pm.rep!H110</f>
        <v>216.465</v>
      </c>
      <c r="Q57" s="27">
        <f>pm.rep!I110</f>
        <v>142.62799999999999</v>
      </c>
      <c r="R57" s="27">
        <f>pm.rep!J110</f>
        <v>142.64400000000001</v>
      </c>
      <c r="S57" s="27">
        <f>pm.rep!K110</f>
        <v>121.753</v>
      </c>
      <c r="T57" s="27">
        <f>pm.rep!L110</f>
        <v>93.365300000000005</v>
      </c>
      <c r="U57" s="27">
        <f>pm.rep!M110</f>
        <v>46.7654</v>
      </c>
      <c r="V57" s="27">
        <f>pm.rep!N110</f>
        <v>18.907800000000002</v>
      </c>
      <c r="W57" s="27">
        <f>pm.rep!O110</f>
        <v>9.5846300000000006</v>
      </c>
      <c r="X57" s="27">
        <f>pm.rep!P110</f>
        <v>22.1708</v>
      </c>
      <c r="Z57">
        <f>pm.rep!A164</f>
        <v>2011</v>
      </c>
      <c r="AA57">
        <f>pm.rep!B164/$AP57</f>
        <v>9.056612467908631E-5</v>
      </c>
      <c r="AB57">
        <f>pm.rep!C164/$AP57</f>
        <v>5.6190902508063993E-3</v>
      </c>
      <c r="AC57">
        <f>pm.rep!D164/$AP57</f>
        <v>3.9191824106378781E-2</v>
      </c>
      <c r="AD57">
        <f>pm.rep!E164/$AP57</f>
        <v>0.14980712263840432</v>
      </c>
      <c r="AE57">
        <f>pm.rep!F164/$AP57</f>
        <v>0.88187742742413278</v>
      </c>
      <c r="AF57">
        <f>pm.rep!G164/$AP57</f>
        <v>1</v>
      </c>
      <c r="AG57">
        <f>pm.rep!H164/$AP57</f>
        <v>0.93825291290895929</v>
      </c>
      <c r="AH57">
        <f>pm.rep!I164/$AP57</f>
        <v>0.90787308274636314</v>
      </c>
      <c r="AI57">
        <f>pm.rep!J164/$AP57</f>
        <v>0.87875715884405248</v>
      </c>
      <c r="AJ57">
        <f>pm.rep!K164/$AP57</f>
        <v>0.84546771114475694</v>
      </c>
      <c r="AK57">
        <f>pm.rep!L164/$AP57</f>
        <v>0.84546771114475694</v>
      </c>
      <c r="AL57">
        <f>pm.rep!M164/$AP57</f>
        <v>0.84546771114475694</v>
      </c>
      <c r="AM57">
        <f>pm.rep!N164/$AP57</f>
        <v>0.84546771114475694</v>
      </c>
      <c r="AN57">
        <f>pm.rep!O164/$AP57</f>
        <v>0.84546771114475694</v>
      </c>
      <c r="AO57">
        <f>pm.rep!P164/$AP57</f>
        <v>0.84546771114475694</v>
      </c>
      <c r="AP57">
        <f>MAX(pm.rep!B164:P164)</f>
        <v>1.5190999999999999</v>
      </c>
      <c r="BJ57" s="121">
        <v>6.6048888888888893E-3</v>
      </c>
      <c r="BK57" s="121">
        <v>0.20414146</v>
      </c>
      <c r="BL57" s="121">
        <v>0.36129400000000006</v>
      </c>
      <c r="BM57" s="121">
        <v>0.51928779999999986</v>
      </c>
      <c r="BN57" s="121">
        <v>0.64808699999999997</v>
      </c>
      <c r="BO57" s="121">
        <v>0.77898420000000002</v>
      </c>
      <c r="BP57" s="121">
        <v>0.90191149999999998</v>
      </c>
      <c r="BQ57" s="121">
        <v>0.99112669999999992</v>
      </c>
      <c r="BR57" s="121">
        <v>1.1096182999999999</v>
      </c>
      <c r="BS57" s="121">
        <v>1.1869049999999999</v>
      </c>
      <c r="BT57" s="121">
        <v>1.302629</v>
      </c>
      <c r="BU57" s="121">
        <v>1.3756460000000001</v>
      </c>
      <c r="BV57" s="121">
        <v>1.4676730000000002</v>
      </c>
      <c r="BW57" s="121">
        <v>1.518907</v>
      </c>
      <c r="BX57" s="121">
        <v>1.6194009999999999</v>
      </c>
    </row>
    <row r="58" spans="1:101" x14ac:dyDescent="0.15">
      <c r="A58">
        <f>I58</f>
        <v>2013</v>
      </c>
      <c r="B58" s="27">
        <v>2600</v>
      </c>
      <c r="C58" s="27" t="e">
        <f>SUMPRODUCT(J58:X58,$J$2:$X$2,$J$8:$X$8)</f>
        <v>#VALUE!</v>
      </c>
      <c r="D58" s="27" t="e">
        <f>SUMPRODUCT(J58:X58,$J$2:$X$2,$J$7:$X$7)</f>
        <v>#VALUE!</v>
      </c>
      <c r="E58" s="27" t="e">
        <f>SUMPRODUCT(J58:X58,$J$2:$X$2,$J$3:$X$3)</f>
        <v>#VALUE!</v>
      </c>
      <c r="F58" s="27"/>
      <c r="G58" s="27" t="e">
        <f t="shared" si="1"/>
        <v>#VALUE!</v>
      </c>
      <c r="H58" s="27"/>
      <c r="I58" s="31">
        <f>Projections!C19</f>
        <v>2013</v>
      </c>
      <c r="J58" s="27">
        <f>Projections!D20</f>
        <v>24058.6</v>
      </c>
      <c r="K58" s="27" t="e">
        <f>Projections!E20</f>
        <v>#VALUE!</v>
      </c>
      <c r="L58" s="27">
        <f>Projections!F20</f>
        <v>6881.1554866718534</v>
      </c>
      <c r="M58" s="27">
        <f>Projections!G20</f>
        <v>3636.9285235215848</v>
      </c>
      <c r="N58" s="27">
        <f>Projections!H20</f>
        <v>2559.4750951798874</v>
      </c>
      <c r="O58" s="27">
        <f>Projections!I20</f>
        <v>3143.0842812507381</v>
      </c>
      <c r="P58" s="27">
        <f>Projections!J20</f>
        <v>4107.7185027648165</v>
      </c>
      <c r="Q58" s="27">
        <f>Projections!K20</f>
        <v>460.27110132777204</v>
      </c>
      <c r="R58" s="27">
        <f>Projections!L20</f>
        <v>318.08141532300579</v>
      </c>
      <c r="S58" s="27">
        <f>Projections!M20</f>
        <v>292.87285290964832</v>
      </c>
      <c r="T58" s="27">
        <f>Projections!N20</f>
        <v>453.60966388740195</v>
      </c>
      <c r="U58" s="27">
        <f>Projections!O20</f>
        <v>70.846224407522314</v>
      </c>
      <c r="V58" s="27">
        <f>Projections!P20</f>
        <v>40.673957670131109</v>
      </c>
      <c r="W58" s="27">
        <f>Projections!Q20</f>
        <v>9.7355367289108639</v>
      </c>
      <c r="X58" s="27">
        <f>Projections!R20</f>
        <v>8.8731502382152758</v>
      </c>
      <c r="BJ58" s="121">
        <v>6.6048888888888893E-3</v>
      </c>
      <c r="BK58" s="121">
        <v>0.20414146</v>
      </c>
      <c r="BL58" s="121">
        <v>0.36129400000000006</v>
      </c>
      <c r="BM58" s="121">
        <v>0.51928779999999986</v>
      </c>
      <c r="BN58" s="121">
        <v>0.64808699999999997</v>
      </c>
      <c r="BO58" s="121">
        <v>0.77898420000000002</v>
      </c>
      <c r="BP58" s="121">
        <v>0.90191149999999998</v>
      </c>
      <c r="BQ58" s="121">
        <v>0.99112669999999992</v>
      </c>
      <c r="BR58" s="121">
        <v>1.1096182999999999</v>
      </c>
      <c r="BS58" s="121">
        <v>1.1869049999999999</v>
      </c>
      <c r="BT58" s="121">
        <v>1.302629</v>
      </c>
      <c r="BU58" s="121">
        <v>1.3756460000000001</v>
      </c>
      <c r="BV58" s="121">
        <v>1.4676730000000002</v>
      </c>
      <c r="BW58" s="121">
        <v>1.518907</v>
      </c>
      <c r="BX58" s="121">
        <v>1.6194009999999999</v>
      </c>
    </row>
    <row r="59" spans="1:101" x14ac:dyDescent="0.15">
      <c r="A59">
        <f>I59</f>
        <v>2014</v>
      </c>
      <c r="C59" s="27" t="e">
        <f>SUMPRODUCT(J59:X59,$J$2:$X$2,$J$8:$X$8)</f>
        <v>#VALUE!</v>
      </c>
      <c r="D59" s="27" t="e">
        <f>SUMPRODUCT(J59:X59,$J$2:$X$2,$J$7:$X$7)</f>
        <v>#VALUE!</v>
      </c>
      <c r="E59" s="27" t="e">
        <f>SUMPRODUCT(J59:X59,$J$2:$X$2,$J$3:$X$3)</f>
        <v>#VALUE!</v>
      </c>
      <c r="F59" s="27"/>
      <c r="G59" s="27"/>
      <c r="H59" s="27"/>
      <c r="I59" s="31">
        <f>Projections!C20</f>
        <v>2014</v>
      </c>
      <c r="J59" s="27">
        <f>Projections!D21</f>
        <v>23755.7</v>
      </c>
      <c r="K59" s="27" t="e">
        <f>Projections!E21</f>
        <v>#VALUE!</v>
      </c>
      <c r="L59" s="27" t="e">
        <f>Projections!F21</f>
        <v>#VALUE!</v>
      </c>
      <c r="M59" s="27">
        <f>Projections!G21</f>
        <v>5097.6853638704824</v>
      </c>
      <c r="N59" s="27">
        <f>Projections!H21</f>
        <v>2694.3029175418478</v>
      </c>
      <c r="O59" s="27">
        <f>Projections!I21</f>
        <v>1896.1057858903346</v>
      </c>
      <c r="P59" s="27">
        <f>Projections!J21</f>
        <v>2328.454104688848</v>
      </c>
      <c r="Q59" s="27">
        <f>Projections!K21</f>
        <v>3043.0727122796015</v>
      </c>
      <c r="R59" s="27">
        <f>Projections!L21</f>
        <v>340.97721831685476</v>
      </c>
      <c r="S59" s="27">
        <f>Projections!M21</f>
        <v>235.64050813151167</v>
      </c>
      <c r="T59" s="27">
        <f>Projections!N21</f>
        <v>216.96554577850415</v>
      </c>
      <c r="U59" s="27">
        <f>Projections!O21</f>
        <v>336.04230408509721</v>
      </c>
      <c r="V59" s="27">
        <f>Projections!P21</f>
        <v>52.484173907598375</v>
      </c>
      <c r="W59" s="27">
        <f>Projections!Q21</f>
        <v>30.132008949270041</v>
      </c>
      <c r="X59" s="27">
        <f>Projections!R21</f>
        <v>13.78565436820946</v>
      </c>
      <c r="AR59" t="s">
        <v>161</v>
      </c>
      <c r="AS59" t="s">
        <v>22</v>
      </c>
      <c r="AT59" t="s">
        <v>162</v>
      </c>
      <c r="AU59" t="s">
        <v>23</v>
      </c>
      <c r="AV59" t="s">
        <v>156</v>
      </c>
      <c r="AW59" t="s">
        <v>163</v>
      </c>
      <c r="AX59" t="s">
        <v>164</v>
      </c>
      <c r="BJ59" s="121">
        <v>6.6048888888888893E-3</v>
      </c>
      <c r="BK59" s="121">
        <v>0.20414146</v>
      </c>
      <c r="BL59" s="121">
        <v>0.36129400000000006</v>
      </c>
      <c r="BM59" s="121">
        <v>0.51928779999999986</v>
      </c>
      <c r="BN59" s="121">
        <v>0.64808699999999997</v>
      </c>
      <c r="BO59" s="121">
        <v>0.77898420000000002</v>
      </c>
      <c r="BP59" s="121">
        <v>0.90191149999999998</v>
      </c>
      <c r="BQ59" s="121">
        <v>0.99112669999999992</v>
      </c>
      <c r="BR59" s="121">
        <v>1.1096182999999999</v>
      </c>
      <c r="BS59" s="121">
        <v>1.1869049999999999</v>
      </c>
      <c r="BT59" s="121">
        <v>1.302629</v>
      </c>
      <c r="BU59" s="121">
        <v>1.3756460000000001</v>
      </c>
      <c r="BV59" s="121">
        <v>1.4676730000000002</v>
      </c>
      <c r="BW59" s="121">
        <v>1.518907</v>
      </c>
      <c r="BX59" s="121">
        <v>1.6194009999999999</v>
      </c>
    </row>
    <row r="60" spans="1:101" x14ac:dyDescent="0.15">
      <c r="A60">
        <f>I60</f>
        <v>2015</v>
      </c>
      <c r="C60" s="27" t="e">
        <f>SUMPRODUCT(J60:X60,$J$2:$X$2,$J$8:$X$8)</f>
        <v>#VALUE!</v>
      </c>
      <c r="D60" s="27" t="e">
        <f>SUMPRODUCT(J60:X60,$J$2:$X$2,$J$7:$X$7)</f>
        <v>#VALUE!</v>
      </c>
      <c r="E60" s="27" t="e">
        <f>SUMPRODUCT(J60:X60,$J$2:$X$2,$J$3:$X$3)</f>
        <v>#VALUE!</v>
      </c>
      <c r="F60" s="27"/>
      <c r="G60" s="27"/>
      <c r="H60" s="27"/>
      <c r="I60" s="31">
        <f>Projections!C21</f>
        <v>2015</v>
      </c>
      <c r="J60" s="27">
        <f>Projections!D22</f>
        <v>23474</v>
      </c>
      <c r="K60" s="27" t="e">
        <f>Projections!E22</f>
        <v>#VALUE!</v>
      </c>
      <c r="L60" s="27" t="e">
        <f>Projections!F22</f>
        <v>#VALUE!</v>
      </c>
      <c r="M60" s="27" t="e">
        <f>Projections!G22</f>
        <v>#VALUE!</v>
      </c>
      <c r="N60" s="27">
        <f>Projections!H22</f>
        <v>3776.4582008577663</v>
      </c>
      <c r="O60" s="27">
        <f>Projections!I22</f>
        <v>1995.9886933509129</v>
      </c>
      <c r="P60" s="27">
        <f>Projections!J22</f>
        <v>1404.669714527588</v>
      </c>
      <c r="Q60" s="27">
        <f>Projections!K22</f>
        <v>1724.9612267746347</v>
      </c>
      <c r="R60" s="27">
        <f>Projections!L22</f>
        <v>2254.3637121160637</v>
      </c>
      <c r="S60" s="27">
        <f>Projections!M22</f>
        <v>252.60213616649401</v>
      </c>
      <c r="T60" s="27">
        <f>Projections!N22</f>
        <v>174.56678195452236</v>
      </c>
      <c r="U60" s="27">
        <f>Projections!O22</f>
        <v>160.73202957286924</v>
      </c>
      <c r="V60" s="27">
        <f>Projections!P22</f>
        <v>248.9462617861065</v>
      </c>
      <c r="W60" s="27">
        <f>Projections!Q22</f>
        <v>38.881232328176871</v>
      </c>
      <c r="X60" s="27">
        <f>Projections!R22</f>
        <v>32.535005195353918</v>
      </c>
      <c r="AR60">
        <v>1964</v>
      </c>
      <c r="AS60">
        <v>8.8772499999999997E-3</v>
      </c>
      <c r="AT60">
        <v>0.11126800000000001</v>
      </c>
      <c r="AU60">
        <v>0.39916800000000002</v>
      </c>
      <c r="AV60">
        <v>1.3946099999999999</v>
      </c>
      <c r="AW60">
        <v>1.4002699999999999</v>
      </c>
      <c r="AX60">
        <v>1.37195</v>
      </c>
      <c r="AY60">
        <v>1.2962199999999999</v>
      </c>
      <c r="AZ60">
        <v>1.21804</v>
      </c>
      <c r="BA60">
        <v>1.1515899999999999</v>
      </c>
      <c r="BB60">
        <v>1.1080000000000001</v>
      </c>
      <c r="BC60">
        <v>1.1080000000000001</v>
      </c>
      <c r="BD60">
        <v>1.1080000000000001</v>
      </c>
      <c r="BE60">
        <v>1.1080000000000001</v>
      </c>
      <c r="BF60">
        <v>1.1080000000000001</v>
      </c>
      <c r="BG60">
        <v>1.1080000000000001</v>
      </c>
      <c r="BJ60" s="121">
        <v>6.6048888888888893E-3</v>
      </c>
      <c r="BK60" s="121">
        <v>0.20414146</v>
      </c>
      <c r="BL60" s="121">
        <v>0.36129400000000006</v>
      </c>
      <c r="BM60" s="121">
        <v>0.51928779999999986</v>
      </c>
      <c r="BN60" s="121">
        <v>0.64808699999999997</v>
      </c>
      <c r="BO60" s="121">
        <v>0.77898420000000002</v>
      </c>
      <c r="BP60" s="121">
        <v>0.90191149999999998</v>
      </c>
      <c r="BQ60" s="121">
        <v>0.99112669999999992</v>
      </c>
      <c r="BR60" s="121">
        <v>1.1096182999999999</v>
      </c>
      <c r="BS60" s="121">
        <v>1.1869049999999999</v>
      </c>
      <c r="BT60" s="121">
        <v>1.302629</v>
      </c>
      <c r="BU60" s="121">
        <v>1.3756460000000001</v>
      </c>
      <c r="BV60" s="121">
        <v>1.4676730000000002</v>
      </c>
      <c r="BW60" s="121">
        <v>1.518907</v>
      </c>
      <c r="BX60" s="121">
        <v>1.6194009999999999</v>
      </c>
    </row>
    <row r="61" spans="1:101" x14ac:dyDescent="0.15">
      <c r="A61">
        <f>I61</f>
        <v>2016</v>
      </c>
      <c r="C61" s="27" t="e">
        <f>SUMPRODUCT(J61:X61,$J$2:$X$2,$J$8:$X$8)</f>
        <v>#VALUE!</v>
      </c>
      <c r="D61" s="27" t="e">
        <f>SUMPRODUCT(J61:X61,$J$2:$X$2,$J$7:$X$7)</f>
        <v>#VALUE!</v>
      </c>
      <c r="E61" s="27" t="e">
        <f>SUMPRODUCT(J61:X61,$J$2:$X$2,$J$3:$X$3)</f>
        <v>#VALUE!</v>
      </c>
      <c r="F61" s="27"/>
      <c r="G61" s="27"/>
      <c r="H61" s="27"/>
      <c r="I61" s="31">
        <f>Projections!C22</f>
        <v>2016</v>
      </c>
      <c r="J61" s="27" t="str">
        <f>Projections!D23</f>
        <v>MSY,</v>
      </c>
      <c r="K61" s="27" t="e">
        <f>Projections!E23</f>
        <v>#VALUE!</v>
      </c>
      <c r="L61" s="27" t="e">
        <f>Projections!F23</f>
        <v>#VALUE!</v>
      </c>
      <c r="M61" s="27" t="e">
        <f>Projections!G23</f>
        <v>#VALUE!</v>
      </c>
      <c r="N61" s="27" t="e">
        <f>Projections!H23</f>
        <v>#VALUE!</v>
      </c>
      <c r="O61" s="27">
        <f>Projections!I23</f>
        <v>2797.669044838332</v>
      </c>
      <c r="P61" s="27">
        <f>Projections!J23</f>
        <v>1478.6647923090502</v>
      </c>
      <c r="Q61" s="27">
        <f>Projections!K23</f>
        <v>1040.6049185618244</v>
      </c>
      <c r="R61" s="27">
        <f>Projections!L23</f>
        <v>1277.8827067641382</v>
      </c>
      <c r="S61" s="27">
        <f>Projections!M23</f>
        <v>1670.0737139792548</v>
      </c>
      <c r="T61" s="27">
        <f>Projections!N23</f>
        <v>187.1322650552631</v>
      </c>
      <c r="U61" s="27">
        <f>Projections!O23</f>
        <v>129.32225279768267</v>
      </c>
      <c r="V61" s="27">
        <f>Projections!P23</f>
        <v>119.07321615473424</v>
      </c>
      <c r="W61" s="27">
        <f>Projections!Q23</f>
        <v>184.42392670174857</v>
      </c>
      <c r="X61" s="27">
        <f>Projections!R23</f>
        <v>52.906450009965013</v>
      </c>
    </row>
    <row r="62" spans="1:101" x14ac:dyDescent="0.15">
      <c r="I62" s="31">
        <f>Projections!C23</f>
        <v>2017</v>
      </c>
      <c r="J62" s="27">
        <f>Projections!D24</f>
        <v>0</v>
      </c>
      <c r="K62" s="27">
        <f>Projections!E24</f>
        <v>0</v>
      </c>
      <c r="L62" s="27">
        <f>Projections!F24</f>
        <v>0</v>
      </c>
      <c r="M62" s="27">
        <f>Projections!G24</f>
        <v>0</v>
      </c>
      <c r="N62" s="27">
        <f>Projections!H24</f>
        <v>0</v>
      </c>
      <c r="O62" s="27">
        <f>Projections!I24</f>
        <v>0</v>
      </c>
      <c r="P62" s="27">
        <f>Projections!J24</f>
        <v>0</v>
      </c>
      <c r="Q62" s="27">
        <f>Projections!K24</f>
        <v>0</v>
      </c>
      <c r="R62" s="27">
        <f>Projections!L24</f>
        <v>0</v>
      </c>
      <c r="S62" s="27">
        <f>Projections!M24</f>
        <v>0</v>
      </c>
      <c r="T62" s="27">
        <f>Projections!N24</f>
        <v>0</v>
      </c>
      <c r="U62" s="27">
        <f>Projections!O24</f>
        <v>0</v>
      </c>
      <c r="V62" s="27">
        <f>Projections!P24</f>
        <v>0</v>
      </c>
      <c r="W62" s="27">
        <f>Projections!Q24</f>
        <v>0</v>
      </c>
      <c r="X62" s="27">
        <f>Projections!R24</f>
        <v>0</v>
      </c>
    </row>
    <row r="63" spans="1:101" ht="14" thickBot="1" x14ac:dyDescent="0.2"/>
    <row r="64" spans="1:101" ht="16" thickTop="1" thickBot="1" x14ac:dyDescent="0.2">
      <c r="A64" s="186" t="s">
        <v>147</v>
      </c>
      <c r="B64" s="187" t="s">
        <v>776</v>
      </c>
      <c r="C64" s="188" t="s">
        <v>777</v>
      </c>
      <c r="D64" s="188" t="s">
        <v>155</v>
      </c>
    </row>
    <row r="65" spans="1:15" ht="14" x14ac:dyDescent="0.15">
      <c r="A65" s="189">
        <v>1977</v>
      </c>
      <c r="B65" s="190">
        <v>950000</v>
      </c>
      <c r="C65" s="168">
        <v>950000</v>
      </c>
      <c r="D65" s="168">
        <v>978370</v>
      </c>
    </row>
    <row r="66" spans="1:15" ht="14" x14ac:dyDescent="0.15">
      <c r="A66" s="189">
        <v>1978</v>
      </c>
      <c r="B66" s="190">
        <v>950000</v>
      </c>
      <c r="C66" s="168">
        <v>950000</v>
      </c>
      <c r="D66" s="168">
        <v>979431</v>
      </c>
      <c r="H66" s="27" t="e">
        <f t="shared" ref="H66:H72" si="6">E47</f>
        <v>#VALUE!</v>
      </c>
      <c r="I66" s="27">
        <f t="shared" ref="I66:I72" si="7">B47</f>
        <v>1842</v>
      </c>
      <c r="K66" t="e">
        <f t="array" ref="K66:M71">LINEST(I67:I72,H67:H72,FALSE,TRUE)</f>
        <v>#VALUE!</v>
      </c>
      <c r="L66" s="31" t="e">
        <v>#VALUE!</v>
      </c>
      <c r="M66" t="e">
        <v>#VALUE!</v>
      </c>
      <c r="O66" t="e">
        <f t="array" ref="O66:O67">LINEST(I67:I72,H67:H72,FALSE)</f>
        <v>#VALUE!</v>
      </c>
    </row>
    <row r="67" spans="1:15" ht="14" x14ac:dyDescent="0.15">
      <c r="A67" s="189">
        <v>1979</v>
      </c>
      <c r="B67" s="190">
        <v>1100000</v>
      </c>
      <c r="C67" s="168">
        <v>950000</v>
      </c>
      <c r="D67" s="168">
        <v>935714</v>
      </c>
      <c r="H67" s="27" t="e">
        <f t="shared" si="6"/>
        <v>#VALUE!</v>
      </c>
      <c r="I67" s="27">
        <f t="shared" si="7"/>
        <v>2110</v>
      </c>
      <c r="K67" t="e">
        <v>#VALUE!</v>
      </c>
      <c r="L67" t="e">
        <v>#VALUE!</v>
      </c>
      <c r="M67" t="e">
        <v>#VALUE!</v>
      </c>
      <c r="O67" t="e">
        <v>#VALUE!</v>
      </c>
    </row>
    <row r="68" spans="1:15" ht="14" x14ac:dyDescent="0.15">
      <c r="A68" s="189">
        <v>1980</v>
      </c>
      <c r="B68" s="190">
        <v>1300000</v>
      </c>
      <c r="C68" s="168">
        <v>1000000</v>
      </c>
      <c r="D68" s="168">
        <v>958280</v>
      </c>
      <c r="H68" s="27" t="e">
        <f t="shared" si="6"/>
        <v>#VALUE!</v>
      </c>
      <c r="I68" s="27">
        <f t="shared" si="7"/>
        <v>2330</v>
      </c>
      <c r="K68" t="e">
        <v>#VALUE!</v>
      </c>
      <c r="L68" t="e">
        <v>#VALUE!</v>
      </c>
      <c r="M68" t="e">
        <v>#VALUE!</v>
      </c>
    </row>
    <row r="69" spans="1:15" ht="14" x14ac:dyDescent="0.15">
      <c r="A69" s="189">
        <v>1981</v>
      </c>
      <c r="B69" s="190">
        <v>1300000</v>
      </c>
      <c r="C69" s="168">
        <v>1000000</v>
      </c>
      <c r="D69" s="168">
        <v>973502</v>
      </c>
      <c r="H69" s="27" t="e">
        <f t="shared" si="6"/>
        <v>#VALUE!</v>
      </c>
      <c r="I69" s="27">
        <f t="shared" si="7"/>
        <v>2560</v>
      </c>
      <c r="K69" t="e">
        <v>#VALUE!</v>
      </c>
      <c r="L69" t="e">
        <v>#VALUE!</v>
      </c>
      <c r="M69" t="e">
        <v>#VALUE!</v>
      </c>
    </row>
    <row r="70" spans="1:15" ht="14" x14ac:dyDescent="0.15">
      <c r="A70" s="189">
        <v>1982</v>
      </c>
      <c r="B70" s="190">
        <v>1300000</v>
      </c>
      <c r="C70" s="168">
        <v>1000000</v>
      </c>
      <c r="D70" s="168">
        <v>955964</v>
      </c>
      <c r="H70" s="27" t="e">
        <f t="shared" si="6"/>
        <v>#VALUE!</v>
      </c>
      <c r="I70" s="27">
        <f t="shared" si="7"/>
        <v>1960</v>
      </c>
      <c r="K70" t="e">
        <v>#VALUE!</v>
      </c>
      <c r="L70" t="e">
        <v>#VALUE!</v>
      </c>
      <c r="M70" t="e">
        <v>#VALUE!</v>
      </c>
    </row>
    <row r="71" spans="1:15" ht="14" x14ac:dyDescent="0.15">
      <c r="A71" s="189">
        <v>1983</v>
      </c>
      <c r="B71" s="190">
        <v>1300000</v>
      </c>
      <c r="C71" s="168">
        <v>1000000</v>
      </c>
      <c r="D71" s="168">
        <v>981450</v>
      </c>
      <c r="H71" s="27" t="e">
        <f t="shared" si="6"/>
        <v>#VALUE!</v>
      </c>
      <c r="I71" s="27">
        <f t="shared" si="7"/>
        <v>1930</v>
      </c>
      <c r="K71" t="e">
        <v>#VALUE!</v>
      </c>
      <c r="L71" t="e">
        <v>#VALUE!</v>
      </c>
      <c r="M71" t="e">
        <v>#VALUE!</v>
      </c>
    </row>
    <row r="72" spans="1:15" ht="14" x14ac:dyDescent="0.15">
      <c r="A72" s="189">
        <v>1984</v>
      </c>
      <c r="B72" s="190">
        <v>1300000</v>
      </c>
      <c r="C72" s="168">
        <v>1200000</v>
      </c>
      <c r="D72" s="168">
        <v>1092055</v>
      </c>
      <c r="H72" s="27" t="e">
        <f t="shared" si="6"/>
        <v>#VALUE!</v>
      </c>
      <c r="I72" s="27">
        <f t="shared" si="7"/>
        <v>1394</v>
      </c>
    </row>
    <row r="73" spans="1:15" ht="14" x14ac:dyDescent="0.15">
      <c r="A73" s="189">
        <v>1985</v>
      </c>
      <c r="B73" s="190">
        <v>1300000</v>
      </c>
      <c r="C73" s="168">
        <v>1200000</v>
      </c>
      <c r="D73" s="168">
        <v>1139676</v>
      </c>
      <c r="H73" s="27" t="e">
        <f>SUM(H67:H72)</f>
        <v>#VALUE!</v>
      </c>
      <c r="I73" s="27">
        <f>SUM(I67:I72)</f>
        <v>12284</v>
      </c>
      <c r="J73" t="e">
        <f>I73/H73</f>
        <v>#VALUE!</v>
      </c>
    </row>
    <row r="74" spans="1:15" ht="14" x14ac:dyDescent="0.15">
      <c r="A74" s="189">
        <v>1986</v>
      </c>
      <c r="B74" s="190">
        <v>1300000</v>
      </c>
      <c r="C74" s="168">
        <v>1200000</v>
      </c>
      <c r="D74" s="168">
        <v>1141993</v>
      </c>
    </row>
    <row r="75" spans="1:15" ht="14" x14ac:dyDescent="0.15">
      <c r="A75" s="189">
        <v>1987</v>
      </c>
      <c r="B75" s="190">
        <v>1300000</v>
      </c>
      <c r="C75" s="168">
        <v>1200000</v>
      </c>
      <c r="D75" s="168">
        <v>859416</v>
      </c>
    </row>
    <row r="76" spans="1:15" ht="14" x14ac:dyDescent="0.15">
      <c r="A76" s="189">
        <v>1988</v>
      </c>
      <c r="B76" s="190">
        <v>1500000</v>
      </c>
      <c r="C76" s="168">
        <v>1300000</v>
      </c>
      <c r="D76" s="168">
        <v>1228721</v>
      </c>
    </row>
    <row r="77" spans="1:15" ht="14" x14ac:dyDescent="0.15">
      <c r="A77" s="189">
        <v>1989</v>
      </c>
      <c r="B77" s="190">
        <v>1340000</v>
      </c>
      <c r="C77" s="168">
        <v>1340000</v>
      </c>
      <c r="D77" s="168">
        <v>1229600</v>
      </c>
    </row>
    <row r="78" spans="1:15" ht="14" x14ac:dyDescent="0.15">
      <c r="A78" s="189">
        <v>1990</v>
      </c>
      <c r="B78" s="190">
        <v>1450000</v>
      </c>
      <c r="C78" s="168">
        <v>1280000</v>
      </c>
      <c r="D78" s="168">
        <v>1455193</v>
      </c>
    </row>
    <row r="79" spans="1:15" ht="14" x14ac:dyDescent="0.15">
      <c r="A79" s="189">
        <v>1991</v>
      </c>
      <c r="B79" s="190">
        <v>1676000</v>
      </c>
      <c r="C79" s="168">
        <v>1300000</v>
      </c>
      <c r="D79" s="168">
        <v>1195646</v>
      </c>
    </row>
    <row r="80" spans="1:15" ht="14" x14ac:dyDescent="0.15">
      <c r="A80" s="189">
        <v>1992</v>
      </c>
      <c r="B80" s="190">
        <v>1490000</v>
      </c>
      <c r="C80" s="168">
        <v>1300000</v>
      </c>
      <c r="D80" s="168">
        <v>1390331</v>
      </c>
    </row>
    <row r="81" spans="1:4" ht="14" x14ac:dyDescent="0.15">
      <c r="A81" s="189">
        <v>1993</v>
      </c>
      <c r="B81" s="190">
        <v>1340000</v>
      </c>
      <c r="C81" s="168">
        <v>1300000</v>
      </c>
      <c r="D81" s="168">
        <v>1326601</v>
      </c>
    </row>
    <row r="82" spans="1:4" ht="14" x14ac:dyDescent="0.15">
      <c r="A82" s="189">
        <v>1994</v>
      </c>
      <c r="B82" s="190">
        <v>1330000</v>
      </c>
      <c r="C82" s="168">
        <v>1330000</v>
      </c>
      <c r="D82" s="168">
        <v>1329350</v>
      </c>
    </row>
    <row r="83" spans="1:4" ht="14" x14ac:dyDescent="0.15">
      <c r="A83" s="189">
        <v>1995</v>
      </c>
      <c r="B83" s="190">
        <v>1250000</v>
      </c>
      <c r="C83" s="168">
        <v>1250000</v>
      </c>
      <c r="D83" s="168">
        <v>1264245</v>
      </c>
    </row>
    <row r="84" spans="1:4" ht="14" x14ac:dyDescent="0.15">
      <c r="A84" s="189">
        <v>1996</v>
      </c>
      <c r="B84" s="190">
        <v>1190000</v>
      </c>
      <c r="C84" s="168">
        <v>1190000</v>
      </c>
      <c r="D84" s="168">
        <v>1192778</v>
      </c>
    </row>
    <row r="85" spans="1:4" ht="14" x14ac:dyDescent="0.15">
      <c r="A85" s="189">
        <v>1997</v>
      </c>
      <c r="B85" s="190">
        <v>1130000</v>
      </c>
      <c r="C85" s="168">
        <v>1130000</v>
      </c>
      <c r="D85" s="168">
        <v>1124430</v>
      </c>
    </row>
    <row r="86" spans="1:4" ht="14" x14ac:dyDescent="0.15">
      <c r="A86" s="189">
        <v>1998</v>
      </c>
      <c r="B86" s="190">
        <v>1110000</v>
      </c>
      <c r="C86" s="168">
        <v>1110000</v>
      </c>
      <c r="D86" s="168">
        <v>1101165</v>
      </c>
    </row>
    <row r="87" spans="1:4" ht="14" x14ac:dyDescent="0.15">
      <c r="A87" s="189">
        <v>1999</v>
      </c>
      <c r="B87" s="190">
        <v>992000</v>
      </c>
      <c r="C87" s="168">
        <v>992000</v>
      </c>
      <c r="D87" s="168">
        <v>989816</v>
      </c>
    </row>
    <row r="88" spans="1:4" ht="14" x14ac:dyDescent="0.15">
      <c r="A88" s="189">
        <v>2000</v>
      </c>
      <c r="B88" s="190">
        <v>1139000</v>
      </c>
      <c r="C88" s="168">
        <v>1139000</v>
      </c>
      <c r="D88" s="168">
        <v>1132707</v>
      </c>
    </row>
    <row r="89" spans="1:4" ht="14" x14ac:dyDescent="0.15">
      <c r="A89" s="189">
        <v>2001</v>
      </c>
      <c r="B89" s="190">
        <v>1842000</v>
      </c>
      <c r="C89" s="168">
        <v>1400000</v>
      </c>
      <c r="D89" s="168">
        <v>1387194</v>
      </c>
    </row>
    <row r="90" spans="1:4" ht="14" x14ac:dyDescent="0.15">
      <c r="A90" s="189">
        <v>2002</v>
      </c>
      <c r="B90" s="190">
        <v>2110000</v>
      </c>
      <c r="C90" s="168">
        <v>1485000</v>
      </c>
      <c r="D90" s="168">
        <v>1480195</v>
      </c>
    </row>
    <row r="91" spans="1:4" ht="14" x14ac:dyDescent="0.15">
      <c r="A91" s="189">
        <v>2003</v>
      </c>
      <c r="B91" s="190">
        <v>2330000</v>
      </c>
      <c r="C91" s="168">
        <v>1491760</v>
      </c>
      <c r="D91" s="168">
        <v>1490899</v>
      </c>
    </row>
    <row r="92" spans="1:4" ht="14" x14ac:dyDescent="0.15">
      <c r="A92" s="189">
        <v>2004</v>
      </c>
      <c r="B92" s="190">
        <v>2560000</v>
      </c>
      <c r="C92" s="168">
        <v>1492000</v>
      </c>
      <c r="D92" s="168">
        <v>1480543</v>
      </c>
    </row>
    <row r="93" spans="1:4" ht="14" x14ac:dyDescent="0.15">
      <c r="A93" s="189">
        <v>2005</v>
      </c>
      <c r="B93" s="190">
        <v>1960000</v>
      </c>
      <c r="C93" s="168">
        <v>1478500</v>
      </c>
      <c r="D93" s="168">
        <v>1483286</v>
      </c>
    </row>
    <row r="94" spans="1:4" ht="14" x14ac:dyDescent="0.15">
      <c r="A94" s="189">
        <v>2006</v>
      </c>
      <c r="B94" s="190">
        <v>1930000</v>
      </c>
      <c r="C94" s="168">
        <v>1485000</v>
      </c>
      <c r="D94" s="168">
        <v>1486435</v>
      </c>
    </row>
    <row r="95" spans="1:4" ht="14" x14ac:dyDescent="0.15">
      <c r="A95" s="189">
        <v>2007</v>
      </c>
      <c r="B95" s="190">
        <v>1394000</v>
      </c>
      <c r="C95" s="190">
        <v>1394000</v>
      </c>
      <c r="D95" s="190">
        <v>1354097</v>
      </c>
    </row>
    <row r="96" spans="1:4" ht="14" x14ac:dyDescent="0.15">
      <c r="A96" s="189">
        <v>2008</v>
      </c>
      <c r="B96" s="190">
        <v>1000000</v>
      </c>
      <c r="C96" s="190">
        <v>1000000</v>
      </c>
      <c r="D96" s="190">
        <v>990566</v>
      </c>
    </row>
    <row r="97" spans="1:4" ht="14" x14ac:dyDescent="0.15">
      <c r="A97" s="189">
        <v>2009</v>
      </c>
      <c r="B97" s="190">
        <v>815000</v>
      </c>
      <c r="C97" s="190">
        <v>815000</v>
      </c>
      <c r="D97" s="190">
        <v>810731</v>
      </c>
    </row>
    <row r="98" spans="1:4" ht="15" thickBot="1" x14ac:dyDescent="0.2">
      <c r="A98" s="191">
        <v>2010</v>
      </c>
      <c r="B98" s="192">
        <v>813000</v>
      </c>
      <c r="C98" s="192">
        <v>813000</v>
      </c>
      <c r="D98" s="192">
        <v>813000</v>
      </c>
    </row>
    <row r="99" spans="1:4" ht="15" thickBot="1" x14ac:dyDescent="0.2">
      <c r="A99" s="191" t="s">
        <v>778</v>
      </c>
      <c r="B99" s="192">
        <v>1385029</v>
      </c>
      <c r="C99" s="192">
        <v>1190155</v>
      </c>
      <c r="D99" s="192">
        <v>1168547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enableFormatConditionsCalculation="0"/>
  <dimension ref="C1:CK176"/>
  <sheetViews>
    <sheetView showGridLines="0" topLeftCell="A57" zoomScale="70" zoomScaleNormal="70" zoomScalePageLayoutView="70" workbookViewId="0">
      <selection activeCell="N114" sqref="C57:N114"/>
    </sheetView>
  </sheetViews>
  <sheetFormatPr baseColWidth="10" defaultColWidth="8.83203125" defaultRowHeight="13" x14ac:dyDescent="0.15"/>
  <cols>
    <col min="3" max="3" width="4.6640625" customWidth="1"/>
    <col min="4" max="4" width="7" customWidth="1"/>
    <col min="5" max="5" width="1.33203125" customWidth="1"/>
    <col min="6" max="19" width="7" customWidth="1"/>
    <col min="20" max="20" width="6.6640625" customWidth="1"/>
  </cols>
  <sheetData>
    <row r="1" spans="4:89" x14ac:dyDescent="0.15">
      <c r="D1" s="4" t="s">
        <v>691</v>
      </c>
      <c r="E1">
        <v>0.9</v>
      </c>
      <c r="F1">
        <v>0.9</v>
      </c>
      <c r="G1">
        <v>0.45</v>
      </c>
      <c r="H1">
        <v>0.30000000000000004</v>
      </c>
      <c r="I1">
        <v>0.30000000000000004</v>
      </c>
      <c r="J1">
        <v>0.30000000000000004</v>
      </c>
      <c r="K1">
        <v>0.30000000000000004</v>
      </c>
      <c r="L1">
        <v>0.30000000000000004</v>
      </c>
      <c r="M1">
        <v>0.30000000000000004</v>
      </c>
      <c r="N1">
        <v>0.30000000000000004</v>
      </c>
      <c r="O1">
        <v>0.30000000000000004</v>
      </c>
      <c r="P1">
        <v>0.30000000000000004</v>
      </c>
      <c r="Q1">
        <v>0.30000000000000004</v>
      </c>
      <c r="R1">
        <v>0.30000000000000004</v>
      </c>
      <c r="S1">
        <v>0.30000000000000004</v>
      </c>
      <c r="T1">
        <v>0.30000000000000004</v>
      </c>
    </row>
    <row r="2" spans="4:89" x14ac:dyDescent="0.15">
      <c r="D2" s="4" t="s">
        <v>138</v>
      </c>
      <c r="E2">
        <v>0</v>
      </c>
      <c r="F2">
        <v>4.0000000000000001E-3</v>
      </c>
      <c r="G2">
        <v>0.14449999999999999</v>
      </c>
      <c r="H2">
        <v>0.32050000000000001</v>
      </c>
      <c r="I2">
        <v>0.42099999999999999</v>
      </c>
      <c r="J2">
        <v>0.45050000000000001</v>
      </c>
      <c r="K2">
        <v>0.47349999999999998</v>
      </c>
      <c r="L2">
        <v>0.48149999999999998</v>
      </c>
      <c r="M2">
        <v>0.48499999999999999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AK2" s="4" t="s">
        <v>696</v>
      </c>
      <c r="BA2" s="4" t="s">
        <v>697</v>
      </c>
      <c r="BW2" t="s">
        <v>695</v>
      </c>
    </row>
    <row r="3" spans="4:89" ht="28" x14ac:dyDescent="0.3">
      <c r="D3" s="164" t="s">
        <v>755</v>
      </c>
      <c r="U3" s="164" t="s">
        <v>692</v>
      </c>
      <c r="BR3" s="4" t="s">
        <v>693</v>
      </c>
      <c r="BS3" s="4" t="s">
        <v>694</v>
      </c>
      <c r="BT3" s="4" t="s">
        <v>249</v>
      </c>
      <c r="BU3" s="4" t="s">
        <v>698</v>
      </c>
      <c r="BV3" s="4" t="s">
        <v>699</v>
      </c>
      <c r="BW3">
        <v>1</v>
      </c>
      <c r="BX3">
        <v>2</v>
      </c>
      <c r="BY3">
        <v>3</v>
      </c>
      <c r="BZ3">
        <v>4</v>
      </c>
      <c r="CA3">
        <v>5</v>
      </c>
      <c r="CB3">
        <v>6</v>
      </c>
      <c r="CC3">
        <v>7</v>
      </c>
      <c r="CD3">
        <v>8</v>
      </c>
      <c r="CE3">
        <v>9</v>
      </c>
      <c r="CF3">
        <v>10</v>
      </c>
      <c r="CG3">
        <v>11</v>
      </c>
      <c r="CH3">
        <v>12</v>
      </c>
      <c r="CI3">
        <v>13</v>
      </c>
      <c r="CJ3">
        <v>14</v>
      </c>
      <c r="CK3">
        <v>15</v>
      </c>
    </row>
    <row r="4" spans="4:89" x14ac:dyDescent="0.15">
      <c r="D4">
        <f>pm.rep!A9</f>
        <v>1964</v>
      </c>
      <c r="E4">
        <f>pm.rep!B9</f>
        <v>0.40572399999999997</v>
      </c>
      <c r="F4">
        <f>pm.rep!C9</f>
        <v>0.62912500000000005</v>
      </c>
      <c r="G4">
        <f>pm.rep!D9</f>
        <v>0.70808400000000005</v>
      </c>
      <c r="H4">
        <f>pm.rep!E9</f>
        <v>0.63053199999999998</v>
      </c>
      <c r="I4">
        <f>pm.rep!F9</f>
        <v>0.629467</v>
      </c>
      <c r="J4">
        <f>pm.rep!G9</f>
        <v>0.63030200000000003</v>
      </c>
      <c r="K4">
        <f>pm.rep!H9</f>
        <v>0.63404099999999997</v>
      </c>
      <c r="L4">
        <f>pm.rep!I9</f>
        <v>0.63849900000000004</v>
      </c>
      <c r="M4">
        <f>pm.rep!J9</f>
        <v>0.64237</v>
      </c>
      <c r="N4">
        <f>pm.rep!K9</f>
        <v>0.64535100000000001</v>
      </c>
      <c r="O4">
        <f>pm.rep!L9</f>
        <v>0.64535100000000001</v>
      </c>
      <c r="P4">
        <f>pm.rep!M9</f>
        <v>0.64535100000000001</v>
      </c>
      <c r="Q4">
        <f>pm.rep!N9</f>
        <v>0.64535100000000001</v>
      </c>
      <c r="R4">
        <f>pm.rep!O9</f>
        <v>0.64535100000000001</v>
      </c>
      <c r="S4">
        <f>pm.rep!P9</f>
        <v>0.64535100000000001</v>
      </c>
      <c r="U4" s="27">
        <f>pm.rep!B63</f>
        <v>6669.66</v>
      </c>
      <c r="V4" s="27">
        <f>pm.rep!C63</f>
        <v>3534.24</v>
      </c>
      <c r="W4" s="27">
        <f>pm.rep!D63</f>
        <v>2242.08</v>
      </c>
      <c r="X4" s="27">
        <f>pm.rep!E63</f>
        <v>482.50599999999997</v>
      </c>
      <c r="Y4" s="27">
        <f>pm.rep!F63</f>
        <v>208.66399999999999</v>
      </c>
      <c r="Z4" s="27">
        <f>pm.rep!G63</f>
        <v>406.18900000000002</v>
      </c>
      <c r="AA4" s="27">
        <f>pm.rep!H63</f>
        <v>183.488</v>
      </c>
      <c r="AB4" s="27">
        <f>pm.rep!I63</f>
        <v>59.002600000000001</v>
      </c>
      <c r="AC4" s="27">
        <f>pm.rep!J63</f>
        <v>37.4255</v>
      </c>
      <c r="AD4" s="27">
        <f>pm.rep!K63</f>
        <v>37.698599999999999</v>
      </c>
      <c r="AE4" s="27">
        <f>pm.rep!L63</f>
        <v>37.605200000000004</v>
      </c>
      <c r="AF4" s="27">
        <f>pm.rep!M63</f>
        <v>37.5319</v>
      </c>
      <c r="AG4" s="27">
        <f>pm.rep!N63</f>
        <v>37.474200000000003</v>
      </c>
      <c r="AH4" s="27">
        <f>pm.rep!O63</f>
        <v>37.416800000000002</v>
      </c>
      <c r="AI4" s="27">
        <f>pm.rep!P63</f>
        <v>37.348599999999998</v>
      </c>
      <c r="AK4">
        <f>U5</f>
        <v>21534.799999999999</v>
      </c>
      <c r="AL4">
        <f>U4*EXP(-E$1-E59)</f>
        <v>2706.0411338399999</v>
      </c>
      <c r="AM4">
        <f t="shared" ref="AM4:AX4" si="0">V4*EXP(-F$1-F59)</f>
        <v>1417.7526391565093</v>
      </c>
      <c r="AN4">
        <f t="shared" si="0"/>
        <v>1366.443608162172</v>
      </c>
      <c r="AO4">
        <f t="shared" si="0"/>
        <v>304.23547319199997</v>
      </c>
      <c r="AP4">
        <f t="shared" si="0"/>
        <v>131.34710208799999</v>
      </c>
      <c r="AQ4">
        <f t="shared" si="0"/>
        <v>256.02173907800005</v>
      </c>
      <c r="AR4">
        <f t="shared" si="0"/>
        <v>116.33891500799999</v>
      </c>
      <c r="AS4">
        <f t="shared" si="0"/>
        <v>37.6731010974</v>
      </c>
      <c r="AT4">
        <f t="shared" si="0"/>
        <v>24.041018434999998</v>
      </c>
      <c r="AU4">
        <f t="shared" si="0"/>
        <v>24.328829208599998</v>
      </c>
      <c r="AV4">
        <f t="shared" si="0"/>
        <v>27.85861735238014</v>
      </c>
      <c r="AW4">
        <f t="shared" si="0"/>
        <v>27.804315376804169</v>
      </c>
      <c r="AX4">
        <f t="shared" si="0"/>
        <v>27.761570165470836</v>
      </c>
      <c r="AY4">
        <f t="shared" ref="AY4:AY51" si="1">AH4*EXP(-R$1-R59)+AI4*EXP(-S$1-S59)</f>
        <v>55.387570596556913</v>
      </c>
      <c r="BA4">
        <f>U5</f>
        <v>21534.799999999999</v>
      </c>
      <c r="BB4">
        <f t="shared" ref="BB4:BN4" si="2">U4*EXP(-E$1)</f>
        <v>2711.6813967854841</v>
      </c>
      <c r="BC4">
        <f t="shared" si="2"/>
        <v>1436.9147542416149</v>
      </c>
      <c r="BD4">
        <f t="shared" si="2"/>
        <v>1429.6133261881455</v>
      </c>
      <c r="BE4">
        <f t="shared" si="2"/>
        <v>357.44923638825293</v>
      </c>
      <c r="BF4">
        <f t="shared" si="2"/>
        <v>154.58209320032998</v>
      </c>
      <c r="BG4">
        <f t="shared" si="2"/>
        <v>300.91221224048633</v>
      </c>
      <c r="BH4">
        <f t="shared" si="2"/>
        <v>135.93125367644706</v>
      </c>
      <c r="BI4">
        <f t="shared" si="2"/>
        <v>43.710201147595129</v>
      </c>
      <c r="BJ4">
        <f t="shared" si="2"/>
        <v>27.725492318123631</v>
      </c>
      <c r="BK4">
        <f t="shared" si="2"/>
        <v>27.927809774191807</v>
      </c>
      <c r="BL4">
        <f t="shared" si="2"/>
        <v>27.85861735238014</v>
      </c>
      <c r="BM4">
        <f t="shared" si="2"/>
        <v>27.804315376804169</v>
      </c>
      <c r="BN4">
        <f t="shared" si="2"/>
        <v>27.761570165470836</v>
      </c>
      <c r="BO4">
        <f>AH4*EXP(-R$1)+AI4*EXP(-S$1)</f>
        <v>55.387570596556913</v>
      </c>
      <c r="BQ4" s="4">
        <f t="shared" ref="BQ4:BQ49" si="3">D59</f>
        <v>1964</v>
      </c>
      <c r="BR4" s="27">
        <f t="shared" ref="BR4:BR49" si="4">SUMPRODUCT(AK4:AY4,BW4:CK4,$E$2:$S$2)</f>
        <v>789392.58023620117</v>
      </c>
      <c r="BS4" s="27">
        <f t="shared" ref="BS4:BS49" si="5">SUMPRODUCT(BA4:BO4,BW4:CK4,$E$2:$S$2)</f>
        <v>819079.13087639085</v>
      </c>
      <c r="BT4">
        <f>1-BR4/BS4</f>
        <v>3.6243812741787118E-2</v>
      </c>
      <c r="BU4" s="20">
        <f>AVERAGE(K59:S59)</f>
        <v>0.14620714225463005</v>
      </c>
      <c r="BV4" s="20">
        <f t="shared" ref="BV4:BV51" si="6">SUMPRODUCT(K59:S59,CC4:CK4,AA4:AI4)/SUMPRODUCT(CC4:CK4,AA4:AI4)</f>
        <v>0.13094179393069791</v>
      </c>
      <c r="BW4">
        <f>pm.rep!B63</f>
        <v>6669.66</v>
      </c>
      <c r="BX4">
        <f>pm.rep!C63</f>
        <v>3534.24</v>
      </c>
      <c r="BY4">
        <f>pm.rep!D63</f>
        <v>2242.08</v>
      </c>
      <c r="BZ4">
        <f>pm.rep!E63</f>
        <v>482.50599999999997</v>
      </c>
      <c r="CA4">
        <f>pm.rep!F63</f>
        <v>208.66399999999999</v>
      </c>
      <c r="CB4">
        <f>pm.rep!G63</f>
        <v>406.18900000000002</v>
      </c>
      <c r="CC4">
        <f>pm.rep!H63</f>
        <v>183.488</v>
      </c>
      <c r="CD4">
        <f>pm.rep!I63</f>
        <v>59.002600000000001</v>
      </c>
      <c r="CE4">
        <f>pm.rep!J63</f>
        <v>37.4255</v>
      </c>
      <c r="CF4">
        <f>pm.rep!K63</f>
        <v>37.698599999999999</v>
      </c>
      <c r="CG4">
        <f>pm.rep!L63</f>
        <v>37.605200000000004</v>
      </c>
      <c r="CH4">
        <f>pm.rep!M63</f>
        <v>37.5319</v>
      </c>
      <c r="CI4">
        <f>pm.rep!N63</f>
        <v>37.474200000000003</v>
      </c>
      <c r="CJ4">
        <f>pm.rep!O63</f>
        <v>37.416800000000002</v>
      </c>
      <c r="CK4">
        <f>pm.rep!P63</f>
        <v>37.348599999999998</v>
      </c>
    </row>
    <row r="5" spans="4:89" x14ac:dyDescent="0.15">
      <c r="D5">
        <f>pm.rep!A10</f>
        <v>1965</v>
      </c>
      <c r="E5">
        <f>pm.rep!B10</f>
        <v>0.40573500000000001</v>
      </c>
      <c r="F5">
        <f>pm.rep!C10</f>
        <v>0.62886799999999998</v>
      </c>
      <c r="G5">
        <f>pm.rep!D10</f>
        <v>0.702843</v>
      </c>
      <c r="H5">
        <f>pm.rep!E10</f>
        <v>0.625942</v>
      </c>
      <c r="I5">
        <f>pm.rep!F10</f>
        <v>0.62953499999999996</v>
      </c>
      <c r="J5">
        <f>pm.rep!G10</f>
        <v>0.63429999999999997</v>
      </c>
      <c r="K5">
        <f>pm.rep!H10</f>
        <v>0.63849400000000001</v>
      </c>
      <c r="L5">
        <f>pm.rep!I10</f>
        <v>0.64201200000000003</v>
      </c>
      <c r="M5">
        <f>pm.rep!J10</f>
        <v>0.64504700000000004</v>
      </c>
      <c r="N5">
        <f>pm.rep!K10</f>
        <v>0.64751400000000003</v>
      </c>
      <c r="O5">
        <f>pm.rep!L10</f>
        <v>0.64751400000000003</v>
      </c>
      <c r="P5">
        <f>pm.rep!M10</f>
        <v>0.64751400000000003</v>
      </c>
      <c r="Q5">
        <f>pm.rep!N10</f>
        <v>0.64751400000000003</v>
      </c>
      <c r="R5">
        <f>pm.rep!O10</f>
        <v>0.64751400000000003</v>
      </c>
      <c r="S5">
        <f>pm.rep!P10</f>
        <v>0.64751400000000003</v>
      </c>
      <c r="U5" s="27">
        <f>pm.rep!B64</f>
        <v>21534.799999999999</v>
      </c>
      <c r="V5" s="27">
        <f>pm.rep!C64</f>
        <v>2706.04</v>
      </c>
      <c r="W5" s="27">
        <f>pm.rep!D64</f>
        <v>2223.48</v>
      </c>
      <c r="X5" s="27">
        <f>pm.rep!E64</f>
        <v>1587.58</v>
      </c>
      <c r="Y5" s="27">
        <f>pm.rep!F64</f>
        <v>304.23599999999999</v>
      </c>
      <c r="Z5" s="27">
        <f>pm.rep!G64</f>
        <v>131.34700000000001</v>
      </c>
      <c r="AA5" s="27">
        <f>pm.rep!H64</f>
        <v>256.02199999999999</v>
      </c>
      <c r="AB5" s="27">
        <f>pm.rep!I64</f>
        <v>116.339</v>
      </c>
      <c r="AC5" s="27">
        <f>pm.rep!J64</f>
        <v>37.673099999999998</v>
      </c>
      <c r="AD5" s="27">
        <f>pm.rep!K64</f>
        <v>24.041</v>
      </c>
      <c r="AE5" s="27">
        <f>pm.rep!L64</f>
        <v>24.328800000000001</v>
      </c>
      <c r="AF5" s="27">
        <f>pm.rep!M64</f>
        <v>24.268599999999999</v>
      </c>
      <c r="AG5" s="27">
        <f>pm.rep!N64</f>
        <v>24.2212</v>
      </c>
      <c r="AH5" s="27">
        <f>pm.rep!O64</f>
        <v>24.184100000000001</v>
      </c>
      <c r="AI5" s="27">
        <f>pm.rep!P64</f>
        <v>48.25</v>
      </c>
      <c r="AK5">
        <f t="shared" ref="AK5:AK48" si="7">U6</f>
        <v>15436.5</v>
      </c>
      <c r="AL5">
        <f t="shared" ref="AL5:AX5" si="8">U5*EXP(-E$1-E60)</f>
        <v>8737.4220779999996</v>
      </c>
      <c r="AM5">
        <f t="shared" si="8"/>
        <v>1085.0785822263622</v>
      </c>
      <c r="AN5">
        <f t="shared" si="8"/>
        <v>1345.0777194948628</v>
      </c>
      <c r="AO5">
        <f t="shared" si="8"/>
        <v>993.73300036000001</v>
      </c>
      <c r="AP5">
        <f t="shared" si="8"/>
        <v>191.52721025999998</v>
      </c>
      <c r="AQ5">
        <f t="shared" si="8"/>
        <v>83.313402100000005</v>
      </c>
      <c r="AR5">
        <f t="shared" si="8"/>
        <v>163.46851086800001</v>
      </c>
      <c r="AS5">
        <f t="shared" si="8"/>
        <v>74.691034068000008</v>
      </c>
      <c r="AT5">
        <f t="shared" si="8"/>
        <v>24.3009201357</v>
      </c>
      <c r="AU5">
        <f t="shared" si="8"/>
        <v>15.566884074000001</v>
      </c>
      <c r="AV5">
        <f t="shared" si="8"/>
        <v>18.023218327321377</v>
      </c>
      <c r="AW5">
        <f t="shared" si="8"/>
        <v>17.978621070436336</v>
      </c>
      <c r="AX5">
        <f t="shared" si="8"/>
        <v>17.943506286776024</v>
      </c>
      <c r="AY5">
        <f t="shared" si="1"/>
        <v>53.660501078681619</v>
      </c>
      <c r="BA5">
        <f t="shared" ref="BA5:BA48" si="9">U6</f>
        <v>15436.5</v>
      </c>
      <c r="BB5">
        <f t="shared" ref="BB5:BB49" si="10">U5*EXP(-E$1)</f>
        <v>8755.3963085818541</v>
      </c>
      <c r="BC5">
        <f t="shared" ref="BC5:BC49" si="11">V5*EXP(-F$1)</f>
        <v>1100.1937620444508</v>
      </c>
      <c r="BD5">
        <f t="shared" ref="BD5:BD49" si="12">W5*EXP(-G$1)</f>
        <v>1417.7534425679805</v>
      </c>
      <c r="BE5">
        <f t="shared" ref="BE5:BE49" si="13">X5*EXP(-H$1)</f>
        <v>1176.1081907898815</v>
      </c>
      <c r="BF5">
        <f t="shared" ref="BF5:BF49" si="14">Y5*EXP(-I$1)</f>
        <v>225.38357218732313</v>
      </c>
      <c r="BG5">
        <f t="shared" ref="BG5:BG49" si="15">Z5*EXP(-J$1)</f>
        <v>97.304250831881603</v>
      </c>
      <c r="BH5">
        <f t="shared" ref="BH5:BH49" si="16">AA5*EXP(-K$1)</f>
        <v>189.66576249537476</v>
      </c>
      <c r="BI5">
        <f t="shared" ref="BI5:BI49" si="17">AB5*EXP(-L$1)</f>
        <v>86.186050975890382</v>
      </c>
      <c r="BJ5">
        <f t="shared" ref="BJ5:BJ49" si="18">AC5*EXP(-M$1)</f>
        <v>27.908918909564424</v>
      </c>
      <c r="BK5">
        <f t="shared" ref="BK5:BK49" si="19">AD5*EXP(-N$1)</f>
        <v>17.810010843409181</v>
      </c>
      <c r="BL5">
        <f t="shared" ref="BL5:BL49" si="20">AE5*EXP(-O$1)</f>
        <v>18.023218327321377</v>
      </c>
      <c r="BM5">
        <f t="shared" ref="BM5:BM49" si="21">AF5*EXP(-P$1)</f>
        <v>17.978621070436336</v>
      </c>
      <c r="BN5">
        <f t="shared" ref="BN5:BN49" si="22">AG5*EXP(-Q$1)</f>
        <v>17.943506286776024</v>
      </c>
      <c r="BO5">
        <f t="shared" ref="BO5:BO49" si="23">AH5*EXP(-R$1)+AI5*EXP(-S$1)</f>
        <v>53.660501078681619</v>
      </c>
      <c r="BQ5" s="4">
        <f t="shared" si="3"/>
        <v>1965</v>
      </c>
      <c r="BR5" s="27">
        <f t="shared" si="4"/>
        <v>1289269.5395507098</v>
      </c>
      <c r="BS5" s="27">
        <f t="shared" si="5"/>
        <v>1360106.1258476458</v>
      </c>
      <c r="BT5">
        <f t="shared" ref="BT5:BT49" si="24">1-BR5/BS5</f>
        <v>5.2081661093018927E-2</v>
      </c>
      <c r="BU5" s="20">
        <f t="shared" ref="BU5:BU49" si="25">AVERAGE(K60:S60)</f>
        <v>0.14120956127517087</v>
      </c>
      <c r="BV5" s="20">
        <f t="shared" si="6"/>
        <v>0.13939989170848485</v>
      </c>
      <c r="BW5">
        <f>pm.rep!B64</f>
        <v>21534.799999999999</v>
      </c>
      <c r="BX5">
        <f>pm.rep!C64</f>
        <v>2706.04</v>
      </c>
      <c r="BY5">
        <f>pm.rep!D64</f>
        <v>2223.48</v>
      </c>
      <c r="BZ5">
        <f>pm.rep!E64</f>
        <v>1587.58</v>
      </c>
      <c r="CA5">
        <f>pm.rep!F64</f>
        <v>304.23599999999999</v>
      </c>
      <c r="CB5">
        <f>pm.rep!G64</f>
        <v>131.34700000000001</v>
      </c>
      <c r="CC5">
        <f>pm.rep!H64</f>
        <v>256.02199999999999</v>
      </c>
      <c r="CD5">
        <f>pm.rep!I64</f>
        <v>116.339</v>
      </c>
      <c r="CE5">
        <f>pm.rep!J64</f>
        <v>37.673099999999998</v>
      </c>
      <c r="CF5">
        <f>pm.rep!K64</f>
        <v>24.041</v>
      </c>
      <c r="CG5">
        <f>pm.rep!L64</f>
        <v>24.328800000000001</v>
      </c>
      <c r="CH5">
        <f>pm.rep!M64</f>
        <v>24.268599999999999</v>
      </c>
      <c r="CI5">
        <f>pm.rep!N64</f>
        <v>24.2212</v>
      </c>
      <c r="CJ5">
        <f>pm.rep!O64</f>
        <v>24.184100000000001</v>
      </c>
      <c r="CK5">
        <f>pm.rep!P64</f>
        <v>48.25</v>
      </c>
    </row>
    <row r="6" spans="4:89" x14ac:dyDescent="0.15">
      <c r="D6">
        <f>pm.rep!A11</f>
        <v>1966</v>
      </c>
      <c r="E6">
        <f>pm.rep!B11</f>
        <v>0.40573199999999998</v>
      </c>
      <c r="F6">
        <f>pm.rep!C11</f>
        <v>0.62841599999999997</v>
      </c>
      <c r="G6">
        <f>pm.rep!D11</f>
        <v>0.70008899999999996</v>
      </c>
      <c r="H6">
        <f>pm.rep!E11</f>
        <v>0.63594099999999998</v>
      </c>
      <c r="I6">
        <f>pm.rep!F11</f>
        <v>0.63846400000000003</v>
      </c>
      <c r="J6">
        <f>pm.rep!G11</f>
        <v>0.64307000000000003</v>
      </c>
      <c r="K6">
        <f>pm.rep!H11</f>
        <v>0.64631499999999997</v>
      </c>
      <c r="L6">
        <f>pm.rep!I11</f>
        <v>0.64921799999999996</v>
      </c>
      <c r="M6">
        <f>pm.rep!J11</f>
        <v>0.65143099999999998</v>
      </c>
      <c r="N6">
        <f>pm.rep!K11</f>
        <v>0.65312599999999998</v>
      </c>
      <c r="O6">
        <f>pm.rep!L11</f>
        <v>0.65312599999999998</v>
      </c>
      <c r="P6">
        <f>pm.rep!M11</f>
        <v>0.65312599999999998</v>
      </c>
      <c r="Q6">
        <f>pm.rep!N11</f>
        <v>0.65312599999999998</v>
      </c>
      <c r="R6">
        <f>pm.rep!O11</f>
        <v>0.65312599999999998</v>
      </c>
      <c r="S6">
        <f>pm.rep!P11</f>
        <v>0.65312599999999998</v>
      </c>
      <c r="U6" s="27">
        <f>pm.rep!B65</f>
        <v>15436.5</v>
      </c>
      <c r="V6" s="27">
        <f>pm.rep!C65</f>
        <v>8737.42</v>
      </c>
      <c r="W6" s="27">
        <f>pm.rep!D65</f>
        <v>1701.74</v>
      </c>
      <c r="X6" s="27">
        <f>pm.rep!E65</f>
        <v>1562.76</v>
      </c>
      <c r="Y6" s="27">
        <f>pm.rep!F65</f>
        <v>993.73400000000004</v>
      </c>
      <c r="Z6" s="27">
        <f>pm.rep!G65</f>
        <v>191.52699999999999</v>
      </c>
      <c r="AA6" s="27">
        <f>pm.rep!H65</f>
        <v>83.313400000000001</v>
      </c>
      <c r="AB6" s="27">
        <f>pm.rep!I65</f>
        <v>163.46799999999999</v>
      </c>
      <c r="AC6" s="27">
        <f>pm.rep!J65</f>
        <v>74.691000000000003</v>
      </c>
      <c r="AD6" s="27">
        <f>pm.rep!K65</f>
        <v>24.300899999999999</v>
      </c>
      <c r="AE6" s="27">
        <f>pm.rep!L65</f>
        <v>15.5669</v>
      </c>
      <c r="AF6" s="27">
        <f>pm.rep!M65</f>
        <v>15.753299999999999</v>
      </c>
      <c r="AG6" s="27">
        <f>pm.rep!N65</f>
        <v>15.7143</v>
      </c>
      <c r="AH6" s="27">
        <f>pm.rep!O65</f>
        <v>15.6836</v>
      </c>
      <c r="AI6" s="27">
        <f>pm.rep!P65</f>
        <v>46.902099999999997</v>
      </c>
      <c r="AK6">
        <f t="shared" si="7"/>
        <v>25796</v>
      </c>
      <c r="AL6">
        <f t="shared" ref="AL6:AX6" si="26">U6*EXP(-E$1-E61)</f>
        <v>6263.0820180000001</v>
      </c>
      <c r="AM6">
        <f t="shared" si="26"/>
        <v>3501.0469073183258</v>
      </c>
      <c r="AN6">
        <f t="shared" si="26"/>
        <v>1025.4211926671749</v>
      </c>
      <c r="AO6">
        <f t="shared" si="26"/>
        <v>993.82315715999994</v>
      </c>
      <c r="AP6">
        <f t="shared" si="26"/>
        <v>634.46338457600007</v>
      </c>
      <c r="AQ6">
        <f t="shared" si="26"/>
        <v>123.16526789</v>
      </c>
      <c r="AR6">
        <f t="shared" si="26"/>
        <v>53.846700120999998</v>
      </c>
      <c r="AS6">
        <f t="shared" si="26"/>
        <v>106.12636802399999</v>
      </c>
      <c r="AT6">
        <f t="shared" si="26"/>
        <v>48.656032821000004</v>
      </c>
      <c r="AU6">
        <f t="shared" si="26"/>
        <v>15.871549613399999</v>
      </c>
      <c r="AV6">
        <f t="shared" si="26"/>
        <v>11.532243159530234</v>
      </c>
      <c r="AW6">
        <f t="shared" si="26"/>
        <v>11.670331675865306</v>
      </c>
      <c r="AX6">
        <f t="shared" si="26"/>
        <v>11.641439765258719</v>
      </c>
      <c r="AY6">
        <f t="shared" si="1"/>
        <v>46.364626914119782</v>
      </c>
      <c r="BA6">
        <f t="shared" si="9"/>
        <v>25796</v>
      </c>
      <c r="BB6">
        <f t="shared" si="10"/>
        <v>6276.0125525857584</v>
      </c>
      <c r="BC6">
        <f t="shared" si="11"/>
        <v>3552.3698764107057</v>
      </c>
      <c r="BD6">
        <f t="shared" si="12"/>
        <v>1085.0773307408365</v>
      </c>
      <c r="BE6">
        <f t="shared" si="13"/>
        <v>1157.7210825525615</v>
      </c>
      <c r="BF6">
        <f t="shared" si="14"/>
        <v>736.17625371092629</v>
      </c>
      <c r="BG6">
        <f t="shared" si="15"/>
        <v>141.88669135250737</v>
      </c>
      <c r="BH6">
        <f t="shared" si="16"/>
        <v>61.720084746944238</v>
      </c>
      <c r="BI6">
        <f t="shared" si="17"/>
        <v>121.10007289839905</v>
      </c>
      <c r="BJ6">
        <f t="shared" si="18"/>
        <v>55.33245372093819</v>
      </c>
      <c r="BK6">
        <f t="shared" si="19"/>
        <v>18.002549498964356</v>
      </c>
      <c r="BL6">
        <f t="shared" si="20"/>
        <v>11.532243159530234</v>
      </c>
      <c r="BM6">
        <f t="shared" si="21"/>
        <v>11.670331675865306</v>
      </c>
      <c r="BN6">
        <f t="shared" si="22"/>
        <v>11.641439765258719</v>
      </c>
      <c r="BO6">
        <f t="shared" si="23"/>
        <v>46.364626914119782</v>
      </c>
      <c r="BQ6" s="4">
        <f t="shared" si="3"/>
        <v>1966</v>
      </c>
      <c r="BR6" s="27">
        <f t="shared" si="4"/>
        <v>2078940.8043560167</v>
      </c>
      <c r="BS6" s="27">
        <f t="shared" si="5"/>
        <v>2201235.8941377988</v>
      </c>
      <c r="BT6">
        <f t="shared" si="24"/>
        <v>5.555746665201633E-2</v>
      </c>
      <c r="BU6" s="20">
        <f t="shared" si="25"/>
        <v>0.1307560013588869</v>
      </c>
      <c r="BV6" s="20">
        <f t="shared" si="6"/>
        <v>0.12241890484409283</v>
      </c>
      <c r="BW6">
        <f>pm.rep!B65</f>
        <v>15436.5</v>
      </c>
      <c r="BX6">
        <f>pm.rep!C65</f>
        <v>8737.42</v>
      </c>
      <c r="BY6">
        <f>pm.rep!D65</f>
        <v>1701.74</v>
      </c>
      <c r="BZ6">
        <f>pm.rep!E65</f>
        <v>1562.76</v>
      </c>
      <c r="CA6">
        <f>pm.rep!F65</f>
        <v>993.73400000000004</v>
      </c>
      <c r="CB6">
        <f>pm.rep!G65</f>
        <v>191.52699999999999</v>
      </c>
      <c r="CC6">
        <f>pm.rep!H65</f>
        <v>83.313400000000001</v>
      </c>
      <c r="CD6">
        <f>pm.rep!I65</f>
        <v>163.46799999999999</v>
      </c>
      <c r="CE6">
        <f>pm.rep!J65</f>
        <v>74.691000000000003</v>
      </c>
      <c r="CF6">
        <f>pm.rep!K65</f>
        <v>24.300899999999999</v>
      </c>
      <c r="CG6">
        <f>pm.rep!L65</f>
        <v>15.5669</v>
      </c>
      <c r="CH6">
        <f>pm.rep!M65</f>
        <v>15.753299999999999</v>
      </c>
      <c r="CI6">
        <f>pm.rep!N65</f>
        <v>15.7143</v>
      </c>
      <c r="CJ6">
        <f>pm.rep!O65</f>
        <v>15.6836</v>
      </c>
      <c r="CK6">
        <f>pm.rep!P65</f>
        <v>46.902099999999997</v>
      </c>
    </row>
    <row r="7" spans="4:89" x14ac:dyDescent="0.15">
      <c r="D7">
        <f>pm.rep!A12</f>
        <v>1967</v>
      </c>
      <c r="E7">
        <f>pm.rep!B12</f>
        <v>0.40501900000000002</v>
      </c>
      <c r="F7">
        <f>pm.rep!C12</f>
        <v>0.61991200000000002</v>
      </c>
      <c r="G7">
        <f>pm.rep!D12</f>
        <v>0.65437599999999996</v>
      </c>
      <c r="H7">
        <f>pm.rep!E12</f>
        <v>0.58618499999999996</v>
      </c>
      <c r="I7">
        <f>pm.rep!F12</f>
        <v>0.58524900000000002</v>
      </c>
      <c r="J7">
        <f>pm.rep!G12</f>
        <v>0.58859499999999998</v>
      </c>
      <c r="K7">
        <f>pm.rep!H12</f>
        <v>0.59039299999999995</v>
      </c>
      <c r="L7">
        <f>pm.rep!I12</f>
        <v>0.592225</v>
      </c>
      <c r="M7">
        <f>pm.rep!J12</f>
        <v>0.59396899999999997</v>
      </c>
      <c r="N7">
        <f>pm.rep!K12</f>
        <v>0.59503399999999995</v>
      </c>
      <c r="O7">
        <f>pm.rep!L12</f>
        <v>0.59503399999999995</v>
      </c>
      <c r="P7">
        <f>pm.rep!M12</f>
        <v>0.59503399999999995</v>
      </c>
      <c r="Q7">
        <f>pm.rep!N12</f>
        <v>0.59503399999999995</v>
      </c>
      <c r="R7">
        <f>pm.rep!O12</f>
        <v>0.59503399999999995</v>
      </c>
      <c r="S7">
        <f>pm.rep!P12</f>
        <v>0.59503399999999995</v>
      </c>
      <c r="U7" s="27">
        <f>pm.rep!B66</f>
        <v>25796</v>
      </c>
      <c r="V7" s="27">
        <f>pm.rep!C66</f>
        <v>6263.08</v>
      </c>
      <c r="W7" s="27">
        <f>pm.rep!D66</f>
        <v>5490.74</v>
      </c>
      <c r="X7" s="27">
        <f>pm.rep!E66</f>
        <v>1191.3699999999999</v>
      </c>
      <c r="Y7" s="27">
        <f>pm.rep!F66</f>
        <v>993.82</v>
      </c>
      <c r="Z7" s="27">
        <f>pm.rep!G66</f>
        <v>634.46299999999997</v>
      </c>
      <c r="AA7" s="27">
        <f>pm.rep!H66</f>
        <v>123.16500000000001</v>
      </c>
      <c r="AB7" s="27">
        <f>pm.rep!I66</f>
        <v>53.846600000000002</v>
      </c>
      <c r="AC7" s="27">
        <f>pm.rep!J66</f>
        <v>106.127</v>
      </c>
      <c r="AD7" s="27">
        <f>pm.rep!K66</f>
        <v>48.655999999999999</v>
      </c>
      <c r="AE7" s="27">
        <f>pm.rep!L66</f>
        <v>15.871600000000001</v>
      </c>
      <c r="AF7" s="27">
        <f>pm.rep!M66</f>
        <v>10.1671</v>
      </c>
      <c r="AG7" s="27">
        <f>pm.rep!N66</f>
        <v>10.2889</v>
      </c>
      <c r="AH7" s="27">
        <f>pm.rep!O66</f>
        <v>10.263400000000001</v>
      </c>
      <c r="AI7" s="27">
        <f>pm.rep!P66</f>
        <v>40.876300000000001</v>
      </c>
      <c r="AK7">
        <f t="shared" si="7"/>
        <v>22271.4</v>
      </c>
      <c r="AL7">
        <f t="shared" ref="AL7:AX7" si="27">U7*EXP(-E$1-E62)</f>
        <v>10447.870124000001</v>
      </c>
      <c r="AM7">
        <f t="shared" si="27"/>
        <v>2475.6285673738639</v>
      </c>
      <c r="AN7">
        <f t="shared" si="27"/>
        <v>3092.5310565840268</v>
      </c>
      <c r="AO7">
        <f t="shared" si="27"/>
        <v>698.36322344999985</v>
      </c>
      <c r="AP7">
        <f t="shared" si="27"/>
        <v>581.63216118000003</v>
      </c>
      <c r="AQ7">
        <f t="shared" si="27"/>
        <v>373.44174948499995</v>
      </c>
      <c r="AR7">
        <f t="shared" si="27"/>
        <v>72.715753844999995</v>
      </c>
      <c r="AS7">
        <f t="shared" si="27"/>
        <v>31.889302685000001</v>
      </c>
      <c r="AT7">
        <f t="shared" si="27"/>
        <v>63.036148062999992</v>
      </c>
      <c r="AU7">
        <f t="shared" si="27"/>
        <v>28.951974303999997</v>
      </c>
      <c r="AV7">
        <f t="shared" si="27"/>
        <v>11.757970471371953</v>
      </c>
      <c r="AW7">
        <f t="shared" si="27"/>
        <v>7.5319729314930939</v>
      </c>
      <c r="AX7">
        <f t="shared" si="27"/>
        <v>7.6222045907721272</v>
      </c>
      <c r="AY7">
        <f t="shared" si="1"/>
        <v>37.885221560196847</v>
      </c>
      <c r="BA7">
        <f t="shared" si="9"/>
        <v>22271.4</v>
      </c>
      <c r="BB7">
        <f t="shared" si="10"/>
        <v>10487.870942668495</v>
      </c>
      <c r="BC7">
        <f t="shared" si="11"/>
        <v>2546.3783045281516</v>
      </c>
      <c r="BD7">
        <f t="shared" si="12"/>
        <v>3501.0503972357355</v>
      </c>
      <c r="BE7">
        <f t="shared" si="13"/>
        <v>882.5886035735781</v>
      </c>
      <c r="BF7">
        <f t="shared" si="14"/>
        <v>736.23996407790492</v>
      </c>
      <c r="BG7">
        <f t="shared" si="15"/>
        <v>470.02175074838476</v>
      </c>
      <c r="BH7">
        <f t="shared" si="16"/>
        <v>91.242876150263783</v>
      </c>
      <c r="BI7">
        <f t="shared" si="17"/>
        <v>39.890542401760193</v>
      </c>
      <c r="BJ7">
        <f t="shared" si="18"/>
        <v>78.620815306288677</v>
      </c>
      <c r="BK7">
        <f t="shared" si="19"/>
        <v>36.045251345489667</v>
      </c>
      <c r="BL7">
        <f t="shared" si="20"/>
        <v>11.757970471371953</v>
      </c>
      <c r="BM7">
        <f t="shared" si="21"/>
        <v>7.5319729314930939</v>
      </c>
      <c r="BN7">
        <f t="shared" si="22"/>
        <v>7.6222045907721272</v>
      </c>
      <c r="BO7">
        <f t="shared" si="23"/>
        <v>37.885221560196847</v>
      </c>
      <c r="BQ7" s="4">
        <f t="shared" si="3"/>
        <v>1967</v>
      </c>
      <c r="BR7" s="27">
        <f t="shared" si="4"/>
        <v>3893190.2261025477</v>
      </c>
      <c r="BS7" s="27">
        <f t="shared" si="5"/>
        <v>4234543.1094028447</v>
      </c>
      <c r="BT7">
        <f t="shared" si="24"/>
        <v>8.0611502700803639E-2</v>
      </c>
      <c r="BU7" s="20">
        <f t="shared" si="25"/>
        <v>0.22272509815454444</v>
      </c>
      <c r="BV7" s="20">
        <f t="shared" si="6"/>
        <v>0.20918856867031616</v>
      </c>
      <c r="BW7">
        <f>pm.rep!B66</f>
        <v>25796</v>
      </c>
      <c r="BX7">
        <f>pm.rep!C66</f>
        <v>6263.08</v>
      </c>
      <c r="BY7">
        <f>pm.rep!D66</f>
        <v>5490.74</v>
      </c>
      <c r="BZ7">
        <f>pm.rep!E66</f>
        <v>1191.3699999999999</v>
      </c>
      <c r="CA7">
        <f>pm.rep!F66</f>
        <v>993.82</v>
      </c>
      <c r="CB7">
        <f>pm.rep!G66</f>
        <v>634.46299999999997</v>
      </c>
      <c r="CC7">
        <f>pm.rep!H66</f>
        <v>123.16500000000001</v>
      </c>
      <c r="CD7">
        <f>pm.rep!I66</f>
        <v>53.846600000000002</v>
      </c>
      <c r="CE7">
        <f>pm.rep!J66</f>
        <v>106.127</v>
      </c>
      <c r="CF7">
        <f>pm.rep!K66</f>
        <v>48.655999999999999</v>
      </c>
      <c r="CG7">
        <f>pm.rep!L66</f>
        <v>15.871600000000001</v>
      </c>
      <c r="CH7">
        <f>pm.rep!M66</f>
        <v>10.1671</v>
      </c>
      <c r="CI7">
        <f>pm.rep!N66</f>
        <v>10.2889</v>
      </c>
      <c r="CJ7">
        <f>pm.rep!O66</f>
        <v>10.263400000000001</v>
      </c>
      <c r="CK7">
        <f>pm.rep!P66</f>
        <v>40.876300000000001</v>
      </c>
    </row>
    <row r="8" spans="4:89" x14ac:dyDescent="0.15">
      <c r="D8">
        <f>pm.rep!A13</f>
        <v>1968</v>
      </c>
      <c r="E8">
        <f>pm.rep!B13</f>
        <v>0.40479300000000001</v>
      </c>
      <c r="F8">
        <f>pm.rep!C13</f>
        <v>0.61779099999999998</v>
      </c>
      <c r="G8">
        <f>pm.rep!D13</f>
        <v>0.65329800000000005</v>
      </c>
      <c r="H8">
        <f>pm.rep!E13</f>
        <v>0.58539399999999997</v>
      </c>
      <c r="I8">
        <f>pm.rep!F13</f>
        <v>0.58915200000000001</v>
      </c>
      <c r="J8">
        <f>pm.rep!G13</f>
        <v>0.59311800000000003</v>
      </c>
      <c r="K8">
        <f>pm.rep!H13</f>
        <v>0.594661</v>
      </c>
      <c r="L8">
        <f>pm.rep!I13</f>
        <v>0.59516899999999995</v>
      </c>
      <c r="M8">
        <f>pm.rep!J13</f>
        <v>0.59536100000000003</v>
      </c>
      <c r="N8">
        <f>pm.rep!K13</f>
        <v>0.59536500000000003</v>
      </c>
      <c r="O8">
        <f>pm.rep!L13</f>
        <v>0.59536500000000003</v>
      </c>
      <c r="P8">
        <f>pm.rep!M13</f>
        <v>0.59536500000000003</v>
      </c>
      <c r="Q8">
        <f>pm.rep!N13</f>
        <v>0.59536500000000003</v>
      </c>
      <c r="R8">
        <f>pm.rep!O13</f>
        <v>0.59536500000000003</v>
      </c>
      <c r="S8">
        <f>pm.rep!P13</f>
        <v>0.59536500000000003</v>
      </c>
      <c r="U8" s="27">
        <f>pm.rep!B67</f>
        <v>22271.4</v>
      </c>
      <c r="V8" s="27">
        <f>pm.rep!C67</f>
        <v>10447.9</v>
      </c>
      <c r="W8" s="27">
        <f>pm.rep!D67</f>
        <v>3882.56</v>
      </c>
      <c r="X8" s="27">
        <f>pm.rep!E67</f>
        <v>3593.01</v>
      </c>
      <c r="Y8" s="27">
        <f>pm.rep!F67</f>
        <v>698.36500000000001</v>
      </c>
      <c r="Z8" s="27">
        <f>pm.rep!G67</f>
        <v>581.63199999999995</v>
      </c>
      <c r="AA8" s="27">
        <f>pm.rep!H67</f>
        <v>373.44200000000001</v>
      </c>
      <c r="AB8" s="27">
        <f>pm.rep!I67</f>
        <v>72.715800000000002</v>
      </c>
      <c r="AC8" s="27">
        <f>pm.rep!J67</f>
        <v>31.889299999999999</v>
      </c>
      <c r="AD8" s="27">
        <f>pm.rep!K67</f>
        <v>63.036000000000001</v>
      </c>
      <c r="AE8" s="27">
        <f>pm.rep!L67</f>
        <v>28.952000000000002</v>
      </c>
      <c r="AF8" s="27">
        <f>pm.rep!M67</f>
        <v>9.4441100000000002</v>
      </c>
      <c r="AG8" s="27">
        <f>pm.rep!N67</f>
        <v>6.0497899999999998</v>
      </c>
      <c r="AH8" s="27">
        <f>pm.rep!O67</f>
        <v>6.1222200000000004</v>
      </c>
      <c r="AI8" s="27">
        <f>pm.rep!P67</f>
        <v>30.4298</v>
      </c>
      <c r="AK8">
        <f t="shared" si="7"/>
        <v>26141.1</v>
      </c>
      <c r="AL8">
        <f t="shared" ref="AL8:AX8" si="28">U8*EXP(-E$1-E63)</f>
        <v>9015.3068202000013</v>
      </c>
      <c r="AM8">
        <f t="shared" si="28"/>
        <v>4115.6465202638456</v>
      </c>
      <c r="AN8">
        <f t="shared" si="28"/>
        <v>2183.1588273071766</v>
      </c>
      <c r="AO8">
        <f t="shared" si="28"/>
        <v>2103.3264959399999</v>
      </c>
      <c r="AP8">
        <f t="shared" si="28"/>
        <v>411.44313648000002</v>
      </c>
      <c r="AQ8">
        <f t="shared" si="28"/>
        <v>344.97640857599998</v>
      </c>
      <c r="AR8">
        <f t="shared" si="28"/>
        <v>222.07139316199999</v>
      </c>
      <c r="AS8">
        <f t="shared" si="28"/>
        <v>43.278189970199996</v>
      </c>
      <c r="AT8">
        <f t="shared" si="28"/>
        <v>18.985645537300002</v>
      </c>
      <c r="AU8">
        <f t="shared" si="28"/>
        <v>37.52942814</v>
      </c>
      <c r="AV8">
        <f t="shared" si="28"/>
        <v>21.448169125177099</v>
      </c>
      <c r="AW8">
        <f t="shared" si="28"/>
        <v>6.9963687661224192</v>
      </c>
      <c r="AX8">
        <f t="shared" si="28"/>
        <v>4.4817946632980501</v>
      </c>
      <c r="AY8">
        <f t="shared" si="1"/>
        <v>27.078402418722565</v>
      </c>
      <c r="BA8">
        <f t="shared" si="9"/>
        <v>26141.1</v>
      </c>
      <c r="BB8">
        <f t="shared" si="10"/>
        <v>9054.8755199467796</v>
      </c>
      <c r="BC8">
        <f t="shared" si="11"/>
        <v>4247.7991480038054</v>
      </c>
      <c r="BD8">
        <f t="shared" si="12"/>
        <v>2475.6295563606323</v>
      </c>
      <c r="BE8">
        <f t="shared" si="13"/>
        <v>2661.7672750916195</v>
      </c>
      <c r="BF8">
        <f t="shared" si="14"/>
        <v>517.36151668638786</v>
      </c>
      <c r="BG8">
        <f t="shared" si="15"/>
        <v>430.88358333154889</v>
      </c>
      <c r="BH8">
        <f t="shared" si="16"/>
        <v>276.6526379678221</v>
      </c>
      <c r="BI8">
        <f t="shared" si="17"/>
        <v>53.869189571447663</v>
      </c>
      <c r="BJ8">
        <f t="shared" si="18"/>
        <v>23.624174484785506</v>
      </c>
      <c r="BK8">
        <f t="shared" si="19"/>
        <v>46.698217358892769</v>
      </c>
      <c r="BL8">
        <f t="shared" si="20"/>
        <v>21.448169125177099</v>
      </c>
      <c r="BM8">
        <f t="shared" si="21"/>
        <v>6.9963687661224192</v>
      </c>
      <c r="BN8">
        <f t="shared" si="22"/>
        <v>4.4817946632980501</v>
      </c>
      <c r="BO8">
        <f t="shared" si="23"/>
        <v>27.078402418722565</v>
      </c>
      <c r="BQ8" s="4">
        <f t="shared" si="3"/>
        <v>1968</v>
      </c>
      <c r="BR8" s="27">
        <f t="shared" si="4"/>
        <v>5997148.5377873527</v>
      </c>
      <c r="BS8" s="27">
        <f t="shared" si="5"/>
        <v>6619226.931988162</v>
      </c>
      <c r="BT8">
        <f t="shared" si="24"/>
        <v>9.3980520775703402E-2</v>
      </c>
      <c r="BU8" s="20">
        <f t="shared" si="25"/>
        <v>0.21896040368123382</v>
      </c>
      <c r="BV8" s="20">
        <f t="shared" si="6"/>
        <v>0.21690220628063867</v>
      </c>
      <c r="BW8">
        <f>pm.rep!B67</f>
        <v>22271.4</v>
      </c>
      <c r="BX8">
        <f>pm.rep!C67</f>
        <v>10447.9</v>
      </c>
      <c r="BY8">
        <f>pm.rep!D67</f>
        <v>3882.56</v>
      </c>
      <c r="BZ8">
        <f>pm.rep!E67</f>
        <v>3593.01</v>
      </c>
      <c r="CA8">
        <f>pm.rep!F67</f>
        <v>698.36500000000001</v>
      </c>
      <c r="CB8">
        <f>pm.rep!G67</f>
        <v>581.63199999999995</v>
      </c>
      <c r="CC8">
        <f>pm.rep!H67</f>
        <v>373.44200000000001</v>
      </c>
      <c r="CD8">
        <f>pm.rep!I67</f>
        <v>72.715800000000002</v>
      </c>
      <c r="CE8">
        <f>pm.rep!J67</f>
        <v>31.889299999999999</v>
      </c>
      <c r="CF8">
        <f>pm.rep!K67</f>
        <v>63.036000000000001</v>
      </c>
      <c r="CG8">
        <f>pm.rep!L67</f>
        <v>28.952000000000002</v>
      </c>
      <c r="CH8">
        <f>pm.rep!M67</f>
        <v>9.4441100000000002</v>
      </c>
      <c r="CI8">
        <f>pm.rep!N67</f>
        <v>6.0497899999999998</v>
      </c>
      <c r="CJ8">
        <f>pm.rep!O67</f>
        <v>6.1222200000000004</v>
      </c>
      <c r="CK8">
        <f>pm.rep!P67</f>
        <v>30.4298</v>
      </c>
    </row>
    <row r="9" spans="4:89" x14ac:dyDescent="0.15">
      <c r="D9">
        <f>pm.rep!A14</f>
        <v>1969</v>
      </c>
      <c r="E9">
        <f>pm.rep!B14</f>
        <v>0.40442699999999998</v>
      </c>
      <c r="F9">
        <f>pm.rep!C14</f>
        <v>0.61521400000000004</v>
      </c>
      <c r="G9">
        <f>pm.rep!D14</f>
        <v>0.63422500000000004</v>
      </c>
      <c r="H9">
        <f>pm.rep!E14</f>
        <v>0.59144600000000003</v>
      </c>
      <c r="I9">
        <f>pm.rep!F14</f>
        <v>0.594499</v>
      </c>
      <c r="J9">
        <f>pm.rep!G14</f>
        <v>0.59694100000000005</v>
      </c>
      <c r="K9">
        <f>pm.rep!H14</f>
        <v>0.59709999999999996</v>
      </c>
      <c r="L9">
        <f>pm.rep!I14</f>
        <v>0.59139200000000003</v>
      </c>
      <c r="M9">
        <f>pm.rep!J14</f>
        <v>0.58907699999999996</v>
      </c>
      <c r="N9">
        <f>pm.rep!K14</f>
        <v>0.58601999999999999</v>
      </c>
      <c r="O9">
        <f>pm.rep!L14</f>
        <v>0.58601999999999999</v>
      </c>
      <c r="P9">
        <f>pm.rep!M14</f>
        <v>0.58601999999999999</v>
      </c>
      <c r="Q9">
        <f>pm.rep!N14</f>
        <v>0.58601999999999999</v>
      </c>
      <c r="R9">
        <f>pm.rep!O14</f>
        <v>0.58601999999999999</v>
      </c>
      <c r="S9">
        <f>pm.rep!P14</f>
        <v>0.58601999999999999</v>
      </c>
      <c r="U9" s="27">
        <f>pm.rep!B68</f>
        <v>26141.1</v>
      </c>
      <c r="V9" s="27">
        <f>pm.rep!C68</f>
        <v>9015.31</v>
      </c>
      <c r="W9" s="27">
        <f>pm.rep!D68</f>
        <v>6454.6</v>
      </c>
      <c r="X9" s="27">
        <f>pm.rep!E68</f>
        <v>2536.4699999999998</v>
      </c>
      <c r="Y9" s="27">
        <f>pm.rep!F68</f>
        <v>2103.33</v>
      </c>
      <c r="Z9" s="27">
        <f>pm.rep!G68</f>
        <v>411.44299999999998</v>
      </c>
      <c r="AA9" s="27">
        <f>pm.rep!H68</f>
        <v>344.976</v>
      </c>
      <c r="AB9" s="27">
        <f>pm.rep!I68</f>
        <v>222.071</v>
      </c>
      <c r="AC9" s="27">
        <f>pm.rep!J68</f>
        <v>43.278199999999998</v>
      </c>
      <c r="AD9" s="27">
        <f>pm.rep!K68</f>
        <v>18.985700000000001</v>
      </c>
      <c r="AE9" s="27">
        <f>pm.rep!L68</f>
        <v>37.529400000000003</v>
      </c>
      <c r="AF9" s="27">
        <f>pm.rep!M68</f>
        <v>17.236999999999998</v>
      </c>
      <c r="AG9" s="27">
        <f>pm.rep!N68</f>
        <v>5.6226900000000004</v>
      </c>
      <c r="AH9" s="27">
        <f>pm.rep!O68</f>
        <v>3.6018300000000001</v>
      </c>
      <c r="AI9" s="27">
        <f>pm.rep!P68</f>
        <v>21.761800000000001</v>
      </c>
      <c r="AK9">
        <f t="shared" si="7"/>
        <v>23500.1</v>
      </c>
      <c r="AL9">
        <f t="shared" ref="AL9:AX9" si="29">U9*EXP(-E$1-E64)</f>
        <v>10572.166649699999</v>
      </c>
      <c r="AM9">
        <f t="shared" si="29"/>
        <v>3536.5056636389745</v>
      </c>
      <c r="AN9">
        <f t="shared" si="29"/>
        <v>3523.4532900209779</v>
      </c>
      <c r="AO9">
        <f t="shared" si="29"/>
        <v>1500.18503562</v>
      </c>
      <c r="AP9">
        <f t="shared" si="29"/>
        <v>1250.4275816699999</v>
      </c>
      <c r="AQ9">
        <f t="shared" si="29"/>
        <v>245.60719586300002</v>
      </c>
      <c r="AR9">
        <f t="shared" si="29"/>
        <v>205.98516959999998</v>
      </c>
      <c r="AS9">
        <f t="shared" si="29"/>
        <v>131.331012832</v>
      </c>
      <c r="AT9">
        <f t="shared" si="29"/>
        <v>25.494192221399999</v>
      </c>
      <c r="AU9">
        <f t="shared" si="29"/>
        <v>11.125999914000001</v>
      </c>
      <c r="AV9">
        <f t="shared" si="29"/>
        <v>27.802463331252465</v>
      </c>
      <c r="AW9">
        <f t="shared" si="29"/>
        <v>12.76948366989077</v>
      </c>
      <c r="AX9">
        <f t="shared" si="29"/>
        <v>4.1653912012448888</v>
      </c>
      <c r="AY9">
        <f t="shared" si="1"/>
        <v>18.789839246629441</v>
      </c>
      <c r="BA9">
        <f t="shared" si="9"/>
        <v>23500.1</v>
      </c>
      <c r="BB9">
        <f t="shared" si="10"/>
        <v>10628.178132244975</v>
      </c>
      <c r="BC9">
        <f t="shared" si="11"/>
        <v>3665.3515191560205</v>
      </c>
      <c r="BD9">
        <f t="shared" si="12"/>
        <v>4115.6346674578981</v>
      </c>
      <c r="BE9">
        <f t="shared" si="13"/>
        <v>1879.0631922125567</v>
      </c>
      <c r="BF9">
        <f t="shared" si="14"/>
        <v>1558.1851881064777</v>
      </c>
      <c r="BG9">
        <f t="shared" si="15"/>
        <v>304.80447117194802</v>
      </c>
      <c r="BH9">
        <f t="shared" si="16"/>
        <v>255.5645064978963</v>
      </c>
      <c r="BI9">
        <f t="shared" si="17"/>
        <v>164.51424308500978</v>
      </c>
      <c r="BJ9">
        <f t="shared" si="18"/>
        <v>32.061279118307525</v>
      </c>
      <c r="BK9">
        <f t="shared" si="19"/>
        <v>14.064952492396893</v>
      </c>
      <c r="BL9">
        <f t="shared" si="20"/>
        <v>27.802463331252465</v>
      </c>
      <c r="BM9">
        <f t="shared" si="21"/>
        <v>12.76948366989077</v>
      </c>
      <c r="BN9">
        <f t="shared" si="22"/>
        <v>4.1653912012448888</v>
      </c>
      <c r="BO9">
        <f t="shared" si="23"/>
        <v>18.789839246629441</v>
      </c>
      <c r="BQ9" s="4">
        <f t="shared" si="3"/>
        <v>1969</v>
      </c>
      <c r="BR9" s="27">
        <f t="shared" si="4"/>
        <v>8170088.2764842277</v>
      </c>
      <c r="BS9" s="27">
        <f t="shared" si="5"/>
        <v>9182015.2427181229</v>
      </c>
      <c r="BT9">
        <f t="shared" si="24"/>
        <v>0.11020750232759768</v>
      </c>
      <c r="BU9" s="20">
        <f t="shared" si="25"/>
        <v>0.22613665210668077</v>
      </c>
      <c r="BV9" s="20">
        <f t="shared" si="6"/>
        <v>0.21582229102040562</v>
      </c>
      <c r="BW9">
        <f>pm.rep!B68</f>
        <v>26141.1</v>
      </c>
      <c r="BX9">
        <f>pm.rep!C68</f>
        <v>9015.31</v>
      </c>
      <c r="BY9">
        <f>pm.rep!D68</f>
        <v>6454.6</v>
      </c>
      <c r="BZ9">
        <f>pm.rep!E68</f>
        <v>2536.4699999999998</v>
      </c>
      <c r="CA9">
        <f>pm.rep!F68</f>
        <v>2103.33</v>
      </c>
      <c r="CB9">
        <f>pm.rep!G68</f>
        <v>411.44299999999998</v>
      </c>
      <c r="CC9">
        <f>pm.rep!H68</f>
        <v>344.976</v>
      </c>
      <c r="CD9">
        <f>pm.rep!I68</f>
        <v>222.071</v>
      </c>
      <c r="CE9">
        <f>pm.rep!J68</f>
        <v>43.278199999999998</v>
      </c>
      <c r="CF9">
        <f>pm.rep!K68</f>
        <v>18.985700000000001</v>
      </c>
      <c r="CG9">
        <f>pm.rep!L68</f>
        <v>37.529400000000003</v>
      </c>
      <c r="CH9">
        <f>pm.rep!M68</f>
        <v>17.236999999999998</v>
      </c>
      <c r="CI9">
        <f>pm.rep!N68</f>
        <v>5.6226900000000004</v>
      </c>
      <c r="CJ9">
        <f>pm.rep!O68</f>
        <v>3.6018300000000001</v>
      </c>
      <c r="CK9">
        <f>pm.rep!P68</f>
        <v>21.761800000000001</v>
      </c>
    </row>
    <row r="10" spans="4:89" x14ac:dyDescent="0.15">
      <c r="D10">
        <f>pm.rep!A15</f>
        <v>1970</v>
      </c>
      <c r="E10">
        <f>pm.rep!B15</f>
        <v>0.40287400000000001</v>
      </c>
      <c r="F10">
        <f>pm.rep!C15</f>
        <v>0.60124500000000003</v>
      </c>
      <c r="G10">
        <f>pm.rep!D15</f>
        <v>0.59722200000000003</v>
      </c>
      <c r="H10">
        <f>pm.rep!E15</f>
        <v>0.57436200000000004</v>
      </c>
      <c r="I10">
        <f>pm.rep!F15</f>
        <v>0.56019399999999997</v>
      </c>
      <c r="J10">
        <f>pm.rep!G15</f>
        <v>0.56048799999999999</v>
      </c>
      <c r="K10">
        <f>pm.rep!H15</f>
        <v>0.55210700000000001</v>
      </c>
      <c r="L10">
        <f>pm.rep!I15</f>
        <v>0.53540600000000005</v>
      </c>
      <c r="M10">
        <f>pm.rep!J15</f>
        <v>0.52773400000000004</v>
      </c>
      <c r="N10">
        <f>pm.rep!K15</f>
        <v>0.51588500000000004</v>
      </c>
      <c r="O10">
        <f>pm.rep!L15</f>
        <v>0.51588500000000004</v>
      </c>
      <c r="P10">
        <f>pm.rep!M15</f>
        <v>0.51588500000000004</v>
      </c>
      <c r="Q10">
        <f>pm.rep!N15</f>
        <v>0.51588500000000004</v>
      </c>
      <c r="R10">
        <f>pm.rep!O15</f>
        <v>0.51588500000000004</v>
      </c>
      <c r="S10">
        <f>pm.rep!P15</f>
        <v>0.51588500000000004</v>
      </c>
      <c r="U10" s="27">
        <f>pm.rep!B69</f>
        <v>23500.1</v>
      </c>
      <c r="V10" s="27">
        <f>pm.rep!C69</f>
        <v>10572.2</v>
      </c>
      <c r="W10" s="27">
        <f>pm.rep!D69</f>
        <v>5546.35</v>
      </c>
      <c r="X10" s="27">
        <f>pm.rep!E69</f>
        <v>4093.67</v>
      </c>
      <c r="Y10" s="27">
        <f>pm.rep!F69</f>
        <v>1500.18</v>
      </c>
      <c r="Z10" s="27">
        <f>pm.rep!G69</f>
        <v>1250.42</v>
      </c>
      <c r="AA10" s="27">
        <f>pm.rep!H69</f>
        <v>245.607</v>
      </c>
      <c r="AB10" s="27">
        <f>pm.rep!I69</f>
        <v>205.98500000000001</v>
      </c>
      <c r="AC10" s="27">
        <f>pm.rep!J69</f>
        <v>131.33099999999999</v>
      </c>
      <c r="AD10" s="27">
        <f>pm.rep!K69</f>
        <v>25.494199999999999</v>
      </c>
      <c r="AE10" s="27">
        <f>pm.rep!L69</f>
        <v>11.125999999999999</v>
      </c>
      <c r="AF10" s="27">
        <f>pm.rep!M69</f>
        <v>21.992999999999999</v>
      </c>
      <c r="AG10" s="27">
        <f>pm.rep!N69</f>
        <v>10.1012</v>
      </c>
      <c r="AH10" s="27">
        <f>pm.rep!O69</f>
        <v>3.29501</v>
      </c>
      <c r="AI10" s="27">
        <f>pm.rep!P69</f>
        <v>14.8636</v>
      </c>
      <c r="AK10">
        <f t="shared" si="7"/>
        <v>14578.3</v>
      </c>
      <c r="AL10">
        <f t="shared" ref="AL10:AX10" si="30">U10*EXP(-E$1-E65)</f>
        <v>9467.5792873999999</v>
      </c>
      <c r="AM10">
        <f t="shared" si="30"/>
        <v>4053.0721165144241</v>
      </c>
      <c r="AN10">
        <f t="shared" si="30"/>
        <v>2851.011028838017</v>
      </c>
      <c r="AO10">
        <f t="shared" si="30"/>
        <v>2351.2484885400004</v>
      </c>
      <c r="AP10">
        <f t="shared" si="30"/>
        <v>840.39183491999995</v>
      </c>
      <c r="AQ10">
        <f t="shared" si="30"/>
        <v>700.84540496</v>
      </c>
      <c r="AR10">
        <f t="shared" si="30"/>
        <v>135.60134394900001</v>
      </c>
      <c r="AS10">
        <f t="shared" si="30"/>
        <v>110.28560491000002</v>
      </c>
      <c r="AT10">
        <f t="shared" si="30"/>
        <v>69.307833954000003</v>
      </c>
      <c r="AU10">
        <f t="shared" si="30"/>
        <v>13.152075367</v>
      </c>
      <c r="AV10">
        <f t="shared" si="30"/>
        <v>8.2423435233047933</v>
      </c>
      <c r="AW10">
        <f t="shared" si="30"/>
        <v>16.292815127453022</v>
      </c>
      <c r="AX10">
        <f t="shared" si="30"/>
        <v>7.4831530107501685</v>
      </c>
      <c r="AY10">
        <f t="shared" si="1"/>
        <v>13.452229150253249</v>
      </c>
      <c r="BA10">
        <f t="shared" si="9"/>
        <v>14578.3</v>
      </c>
      <c r="BB10">
        <f t="shared" si="10"/>
        <v>9554.4276608700529</v>
      </c>
      <c r="BC10">
        <f t="shared" si="11"/>
        <v>4298.3357567095618</v>
      </c>
      <c r="BD10">
        <f t="shared" si="12"/>
        <v>3536.5088987474228</v>
      </c>
      <c r="BE10">
        <f t="shared" si="13"/>
        <v>3032.6653254581279</v>
      </c>
      <c r="BF10">
        <f t="shared" si="14"/>
        <v>1111.3606783022997</v>
      </c>
      <c r="BG10">
        <f t="shared" si="15"/>
        <v>926.33391950483372</v>
      </c>
      <c r="BH10">
        <f t="shared" si="16"/>
        <v>181.95014072697469</v>
      </c>
      <c r="BI10">
        <f t="shared" si="17"/>
        <v>152.59744118712368</v>
      </c>
      <c r="BJ10">
        <f t="shared" si="18"/>
        <v>97.29239774035068</v>
      </c>
      <c r="BK10">
        <f t="shared" si="19"/>
        <v>18.886567881703851</v>
      </c>
      <c r="BL10">
        <f t="shared" si="20"/>
        <v>8.2423435233047933</v>
      </c>
      <c r="BM10">
        <f t="shared" si="21"/>
        <v>16.292815127453022</v>
      </c>
      <c r="BN10">
        <f t="shared" si="22"/>
        <v>7.4831530107501685</v>
      </c>
      <c r="BO10">
        <f t="shared" si="23"/>
        <v>13.452229150253249</v>
      </c>
      <c r="BQ10" s="4">
        <f t="shared" si="3"/>
        <v>1970</v>
      </c>
      <c r="BR10" s="27">
        <f t="shared" si="4"/>
        <v>9450901.1643021926</v>
      </c>
      <c r="BS10" s="27">
        <f t="shared" si="5"/>
        <v>11167438.381195433</v>
      </c>
      <c r="BT10">
        <f t="shared" si="24"/>
        <v>0.15370912811873438</v>
      </c>
      <c r="BU10" s="20">
        <f t="shared" si="25"/>
        <v>0.32994441723724932</v>
      </c>
      <c r="BV10" s="20">
        <f t="shared" si="6"/>
        <v>0.30922315124544481</v>
      </c>
      <c r="BW10">
        <f>pm.rep!B69</f>
        <v>23500.1</v>
      </c>
      <c r="BX10">
        <f>pm.rep!C69</f>
        <v>10572.2</v>
      </c>
      <c r="BY10">
        <f>pm.rep!D69</f>
        <v>5546.35</v>
      </c>
      <c r="BZ10">
        <f>pm.rep!E69</f>
        <v>4093.67</v>
      </c>
      <c r="CA10">
        <f>pm.rep!F69</f>
        <v>1500.18</v>
      </c>
      <c r="CB10">
        <f>pm.rep!G69</f>
        <v>1250.42</v>
      </c>
      <c r="CC10">
        <f>pm.rep!H69</f>
        <v>245.607</v>
      </c>
      <c r="CD10">
        <f>pm.rep!I69</f>
        <v>205.98500000000001</v>
      </c>
      <c r="CE10">
        <f>pm.rep!J69</f>
        <v>131.33099999999999</v>
      </c>
      <c r="CF10">
        <f>pm.rep!K69</f>
        <v>25.494199999999999</v>
      </c>
      <c r="CG10">
        <f>pm.rep!L69</f>
        <v>11.125999999999999</v>
      </c>
      <c r="CH10">
        <f>pm.rep!M69</f>
        <v>21.992999999999999</v>
      </c>
      <c r="CI10">
        <f>pm.rep!N69</f>
        <v>10.1012</v>
      </c>
      <c r="CJ10">
        <f>pm.rep!O69</f>
        <v>3.29501</v>
      </c>
      <c r="CK10">
        <f>pm.rep!P69</f>
        <v>14.8636</v>
      </c>
    </row>
    <row r="11" spans="4:89" x14ac:dyDescent="0.15">
      <c r="D11">
        <f>pm.rep!A16</f>
        <v>1971</v>
      </c>
      <c r="E11">
        <f>pm.rep!B16</f>
        <v>0.40137200000000001</v>
      </c>
      <c r="F11">
        <f>pm.rep!C16</f>
        <v>0.58622200000000002</v>
      </c>
      <c r="G11">
        <f>pm.rep!D16</f>
        <v>0.56162199999999995</v>
      </c>
      <c r="H11">
        <f>pm.rep!E16</f>
        <v>0.52733799999999997</v>
      </c>
      <c r="I11">
        <f>pm.rep!F16</f>
        <v>0.50116000000000005</v>
      </c>
      <c r="J11">
        <f>pm.rep!G16</f>
        <v>0.50415900000000002</v>
      </c>
      <c r="K11">
        <f>pm.rep!H16</f>
        <v>0.50110299999999997</v>
      </c>
      <c r="L11">
        <f>pm.rep!I16</f>
        <v>0.47001300000000001</v>
      </c>
      <c r="M11">
        <f>pm.rep!J16</f>
        <v>0.45619799999999999</v>
      </c>
      <c r="N11">
        <f>pm.rep!K16</f>
        <v>0.43704399999999999</v>
      </c>
      <c r="O11">
        <f>pm.rep!L16</f>
        <v>0.43704399999999999</v>
      </c>
      <c r="P11">
        <f>pm.rep!M16</f>
        <v>0.43704399999999999</v>
      </c>
      <c r="Q11">
        <f>pm.rep!N16</f>
        <v>0.43704399999999999</v>
      </c>
      <c r="R11">
        <f>pm.rep!O16</f>
        <v>0.43704399999999999</v>
      </c>
      <c r="S11">
        <f>pm.rep!P16</f>
        <v>0.43704399999999999</v>
      </c>
      <c r="U11" s="27">
        <f>pm.rep!B70</f>
        <v>14578.3</v>
      </c>
      <c r="V11" s="27">
        <f>pm.rep!C70</f>
        <v>9467.61</v>
      </c>
      <c r="W11" s="27">
        <f>pm.rep!D70</f>
        <v>6356.46</v>
      </c>
      <c r="X11" s="27">
        <f>pm.rep!E70</f>
        <v>3312.4</v>
      </c>
      <c r="Y11" s="27">
        <f>pm.rep!F70</f>
        <v>2351.25</v>
      </c>
      <c r="Z11" s="27">
        <f>pm.rep!G70</f>
        <v>840.39400000000001</v>
      </c>
      <c r="AA11" s="27">
        <f>pm.rep!H70</f>
        <v>700.84799999999996</v>
      </c>
      <c r="AB11" s="27">
        <f>pm.rep!I70</f>
        <v>135.601</v>
      </c>
      <c r="AC11" s="27">
        <f>pm.rep!J70</f>
        <v>110.286</v>
      </c>
      <c r="AD11" s="27">
        <f>pm.rep!K70</f>
        <v>69.308000000000007</v>
      </c>
      <c r="AE11" s="27">
        <f>pm.rep!L70</f>
        <v>13.152100000000001</v>
      </c>
      <c r="AF11" s="27">
        <f>pm.rep!M70</f>
        <v>5.7397299999999998</v>
      </c>
      <c r="AG11" s="27">
        <f>pm.rep!N70</f>
        <v>11.345800000000001</v>
      </c>
      <c r="AH11" s="27">
        <f>pm.rep!O70</f>
        <v>5.2110700000000003</v>
      </c>
      <c r="AI11" s="27">
        <f>pm.rep!P70</f>
        <v>9.3677499999999991</v>
      </c>
      <c r="AK11">
        <f t="shared" si="7"/>
        <v>11964.4</v>
      </c>
      <c r="AL11">
        <f t="shared" ref="AL11:AX11" si="31">U11*EXP(-E$1-E66)</f>
        <v>5851.3214275999999</v>
      </c>
      <c r="AM11">
        <f t="shared" si="31"/>
        <v>3538.9135662969652</v>
      </c>
      <c r="AN11">
        <f t="shared" si="31"/>
        <v>3072.665313889268</v>
      </c>
      <c r="AO11">
        <f t="shared" si="31"/>
        <v>1746.7543911999999</v>
      </c>
      <c r="AP11">
        <f t="shared" si="31"/>
        <v>1178.3524500000001</v>
      </c>
      <c r="AQ11">
        <f t="shared" si="31"/>
        <v>423.69219864600001</v>
      </c>
      <c r="AR11">
        <f t="shared" si="31"/>
        <v>351.19703534399997</v>
      </c>
      <c r="AS11">
        <f t="shared" si="31"/>
        <v>63.734232812999998</v>
      </c>
      <c r="AT11">
        <f t="shared" si="31"/>
        <v>50.312252628000003</v>
      </c>
      <c r="AU11">
        <f t="shared" si="31"/>
        <v>30.290645552000001</v>
      </c>
      <c r="AV11">
        <f t="shared" si="31"/>
        <v>9.7433153202280227</v>
      </c>
      <c r="AW11">
        <f t="shared" si="31"/>
        <v>4.2520965657934759</v>
      </c>
      <c r="AX11">
        <f t="shared" si="31"/>
        <v>8.4051753682106352</v>
      </c>
      <c r="AY11">
        <f t="shared" si="1"/>
        <v>10.800255492039042</v>
      </c>
      <c r="BA11">
        <f t="shared" si="9"/>
        <v>11964.4</v>
      </c>
      <c r="BB11">
        <f t="shared" si="10"/>
        <v>5927.0944705963757</v>
      </c>
      <c r="BC11">
        <f t="shared" si="11"/>
        <v>3849.242976256694</v>
      </c>
      <c r="BD11">
        <f t="shared" si="12"/>
        <v>4053.0578406577374</v>
      </c>
      <c r="BE11">
        <f t="shared" si="13"/>
        <v>2453.8862741861221</v>
      </c>
      <c r="BF11">
        <f t="shared" si="14"/>
        <v>1741.8488413778891</v>
      </c>
      <c r="BG11">
        <f t="shared" si="15"/>
        <v>622.57918775159158</v>
      </c>
      <c r="BH11">
        <f t="shared" si="16"/>
        <v>519.20096832834054</v>
      </c>
      <c r="BI11">
        <f t="shared" si="17"/>
        <v>100.45569154266163</v>
      </c>
      <c r="BJ11">
        <f t="shared" si="18"/>
        <v>81.701878286103934</v>
      </c>
      <c r="BK11">
        <f t="shared" si="19"/>
        <v>51.344629239008505</v>
      </c>
      <c r="BL11">
        <f t="shared" si="20"/>
        <v>9.7433153202280227</v>
      </c>
      <c r="BM11">
        <f t="shared" si="21"/>
        <v>4.2520965657934759</v>
      </c>
      <c r="BN11">
        <f t="shared" si="22"/>
        <v>8.4051753682106352</v>
      </c>
      <c r="BO11">
        <f t="shared" si="23"/>
        <v>10.800255492039042</v>
      </c>
      <c r="BQ11" s="4">
        <f t="shared" si="3"/>
        <v>1971</v>
      </c>
      <c r="BR11" s="27">
        <f t="shared" si="4"/>
        <v>9078331.5975766294</v>
      </c>
      <c r="BS11" s="27">
        <f t="shared" si="5"/>
        <v>11400521.815151356</v>
      </c>
      <c r="BT11">
        <f t="shared" si="24"/>
        <v>0.20369157265139592</v>
      </c>
      <c r="BU11" s="20">
        <f t="shared" si="25"/>
        <v>0.46462207273281719</v>
      </c>
      <c r="BV11" s="20">
        <f t="shared" si="6"/>
        <v>0.39625858095301414</v>
      </c>
      <c r="BW11">
        <f>pm.rep!B70</f>
        <v>14578.3</v>
      </c>
      <c r="BX11">
        <f>pm.rep!C70</f>
        <v>9467.61</v>
      </c>
      <c r="BY11">
        <f>pm.rep!D70</f>
        <v>6356.46</v>
      </c>
      <c r="BZ11">
        <f>pm.rep!E70</f>
        <v>3312.4</v>
      </c>
      <c r="CA11">
        <f>pm.rep!F70</f>
        <v>2351.25</v>
      </c>
      <c r="CB11">
        <f>pm.rep!G70</f>
        <v>840.39400000000001</v>
      </c>
      <c r="CC11">
        <f>pm.rep!H70</f>
        <v>700.84799999999996</v>
      </c>
      <c r="CD11">
        <f>pm.rep!I70</f>
        <v>135.601</v>
      </c>
      <c r="CE11">
        <f>pm.rep!J70</f>
        <v>110.286</v>
      </c>
      <c r="CF11">
        <f>pm.rep!K70</f>
        <v>69.308000000000007</v>
      </c>
      <c r="CG11">
        <f>pm.rep!L70</f>
        <v>13.152100000000001</v>
      </c>
      <c r="CH11">
        <f>pm.rep!M70</f>
        <v>5.7397299999999998</v>
      </c>
      <c r="CI11">
        <f>pm.rep!N70</f>
        <v>11.345800000000001</v>
      </c>
      <c r="CJ11">
        <f>pm.rep!O70</f>
        <v>5.2110700000000003</v>
      </c>
      <c r="CK11">
        <f>pm.rep!P70</f>
        <v>9.3677499999999991</v>
      </c>
    </row>
    <row r="12" spans="4:89" x14ac:dyDescent="0.15">
      <c r="D12">
        <f>pm.rep!A17</f>
        <v>1972</v>
      </c>
      <c r="E12">
        <f>pm.rep!B17</f>
        <v>0.40189900000000001</v>
      </c>
      <c r="F12">
        <f>pm.rep!C17</f>
        <v>0.56815199999999999</v>
      </c>
      <c r="G12">
        <f>pm.rep!D17</f>
        <v>0.52205999999999997</v>
      </c>
      <c r="H12">
        <f>pm.rep!E17</f>
        <v>0.48846699999999998</v>
      </c>
      <c r="I12">
        <f>pm.rep!F17</f>
        <v>0.48050399999999999</v>
      </c>
      <c r="J12">
        <f>pm.rep!G17</f>
        <v>0.48088999999999998</v>
      </c>
      <c r="K12">
        <f>pm.rep!H17</f>
        <v>0.47880099999999998</v>
      </c>
      <c r="L12">
        <f>pm.rep!I17</f>
        <v>0.44930700000000001</v>
      </c>
      <c r="M12">
        <f>pm.rep!J17</f>
        <v>0.43133899999999997</v>
      </c>
      <c r="N12">
        <f>pm.rep!K17</f>
        <v>0.41665200000000002</v>
      </c>
      <c r="O12">
        <f>pm.rep!L17</f>
        <v>0.41665200000000002</v>
      </c>
      <c r="P12">
        <f>pm.rep!M17</f>
        <v>0.41665200000000002</v>
      </c>
      <c r="Q12">
        <f>pm.rep!N17</f>
        <v>0.41665200000000002</v>
      </c>
      <c r="R12">
        <f>pm.rep!O17</f>
        <v>0.41665200000000002</v>
      </c>
      <c r="S12">
        <f>pm.rep!P17</f>
        <v>0.41665200000000002</v>
      </c>
      <c r="U12" s="27">
        <f>pm.rep!B71</f>
        <v>11964.4</v>
      </c>
      <c r="V12" s="27">
        <f>pm.rep!C71</f>
        <v>5851.31</v>
      </c>
      <c r="W12" s="27">
        <f>pm.rep!D71</f>
        <v>5550.12</v>
      </c>
      <c r="X12" s="27">
        <f>pm.rep!E71</f>
        <v>3569.93</v>
      </c>
      <c r="Y12" s="27">
        <f>pm.rep!F71</f>
        <v>1746.76</v>
      </c>
      <c r="Z12" s="27">
        <f>pm.rep!G71</f>
        <v>1178.3499999999999</v>
      </c>
      <c r="AA12" s="27">
        <f>pm.rep!H71</f>
        <v>423.69200000000001</v>
      </c>
      <c r="AB12" s="27">
        <f>pm.rep!I71</f>
        <v>351.197</v>
      </c>
      <c r="AC12" s="27">
        <f>pm.rep!J71</f>
        <v>63.734400000000001</v>
      </c>
      <c r="AD12" s="27">
        <f>pm.rep!K71</f>
        <v>50.312199999999997</v>
      </c>
      <c r="AE12" s="27">
        <f>pm.rep!L71</f>
        <v>30.290600000000001</v>
      </c>
      <c r="AF12" s="27">
        <f>pm.rep!M71</f>
        <v>5.7480399999999996</v>
      </c>
      <c r="AG12" s="27">
        <f>pm.rep!N71</f>
        <v>2.5085099999999998</v>
      </c>
      <c r="AH12" s="27">
        <f>pm.rep!O71</f>
        <v>4.9586300000000003</v>
      </c>
      <c r="AI12" s="27">
        <f>pm.rep!P71</f>
        <v>6.3715799999999998</v>
      </c>
      <c r="AK12">
        <f t="shared" si="7"/>
        <v>26909</v>
      </c>
      <c r="AL12">
        <f t="shared" ref="AL12:AX12" si="32">U12*EXP(-E$1-E67)</f>
        <v>4808.4803955999996</v>
      </c>
      <c r="AM12">
        <f t="shared" si="32"/>
        <v>2119.7523744808268</v>
      </c>
      <c r="AN12">
        <f t="shared" si="32"/>
        <v>2493.897615201925</v>
      </c>
      <c r="AO12">
        <f t="shared" si="32"/>
        <v>1743.7929973099999</v>
      </c>
      <c r="AP12">
        <f t="shared" si="32"/>
        <v>839.32516704</v>
      </c>
      <c r="AQ12">
        <f t="shared" si="32"/>
        <v>566.65673149999998</v>
      </c>
      <c r="AR12">
        <f t="shared" si="32"/>
        <v>202.864153292</v>
      </c>
      <c r="AS12">
        <f t="shared" si="32"/>
        <v>157.79527047900001</v>
      </c>
      <c r="AT12">
        <f t="shared" si="32"/>
        <v>27.491132361599998</v>
      </c>
      <c r="AU12">
        <f t="shared" si="32"/>
        <v>20.962678754399999</v>
      </c>
      <c r="AV12">
        <f t="shared" si="32"/>
        <v>22.439828395381646</v>
      </c>
      <c r="AW12">
        <f t="shared" si="32"/>
        <v>4.2582527652073416</v>
      </c>
      <c r="AX12">
        <f t="shared" si="32"/>
        <v>1.8583499147622959</v>
      </c>
      <c r="AY12">
        <f t="shared" si="1"/>
        <v>8.3936260121502073</v>
      </c>
      <c r="BA12">
        <f t="shared" si="9"/>
        <v>26909</v>
      </c>
      <c r="BB12">
        <f t="shared" si="10"/>
        <v>4864.3620370004237</v>
      </c>
      <c r="BC12">
        <f t="shared" si="11"/>
        <v>2378.9651157367653</v>
      </c>
      <c r="BD12">
        <f t="shared" si="12"/>
        <v>3538.9127568790364</v>
      </c>
      <c r="BE12">
        <f t="shared" si="13"/>
        <v>2644.6691905582848</v>
      </c>
      <c r="BF12">
        <f t="shared" si="14"/>
        <v>1294.0316351579975</v>
      </c>
      <c r="BG12">
        <f t="shared" si="15"/>
        <v>872.94315034030217</v>
      </c>
      <c r="BH12">
        <f t="shared" si="16"/>
        <v>313.87875355707843</v>
      </c>
      <c r="BI12">
        <f t="shared" si="17"/>
        <v>260.17313664875729</v>
      </c>
      <c r="BJ12">
        <f t="shared" si="18"/>
        <v>47.215604804216881</v>
      </c>
      <c r="BK12">
        <f t="shared" si="19"/>
        <v>37.272194482582726</v>
      </c>
      <c r="BL12">
        <f t="shared" si="20"/>
        <v>22.439828395381646</v>
      </c>
      <c r="BM12">
        <f t="shared" si="21"/>
        <v>4.2582527652073416</v>
      </c>
      <c r="BN12">
        <f t="shared" si="22"/>
        <v>1.8583499147622959</v>
      </c>
      <c r="BO12">
        <f t="shared" si="23"/>
        <v>8.3936260121502073</v>
      </c>
      <c r="BQ12" s="4">
        <f t="shared" si="3"/>
        <v>1972</v>
      </c>
      <c r="BR12" s="27">
        <f t="shared" si="4"/>
        <v>6547881.0693676593</v>
      </c>
      <c r="BS12" s="27">
        <f t="shared" si="5"/>
        <v>8940741.1135403775</v>
      </c>
      <c r="BT12">
        <f t="shared" si="24"/>
        <v>0.26763553644885563</v>
      </c>
      <c r="BU12" s="20">
        <f t="shared" si="25"/>
        <v>0.51322099826838818</v>
      </c>
      <c r="BV12" s="20">
        <f t="shared" si="6"/>
        <v>0.46279047666434581</v>
      </c>
      <c r="BW12">
        <f>pm.rep!B71</f>
        <v>11964.4</v>
      </c>
      <c r="BX12">
        <f>pm.rep!C71</f>
        <v>5851.31</v>
      </c>
      <c r="BY12">
        <f>pm.rep!D71</f>
        <v>5550.12</v>
      </c>
      <c r="BZ12">
        <f>pm.rep!E71</f>
        <v>3569.93</v>
      </c>
      <c r="CA12">
        <f>pm.rep!F71</f>
        <v>1746.76</v>
      </c>
      <c r="CB12">
        <f>pm.rep!G71</f>
        <v>1178.3499999999999</v>
      </c>
      <c r="CC12">
        <f>pm.rep!H71</f>
        <v>423.69200000000001</v>
      </c>
      <c r="CD12">
        <f>pm.rep!I71</f>
        <v>351.197</v>
      </c>
      <c r="CE12">
        <f>pm.rep!J71</f>
        <v>63.734400000000001</v>
      </c>
      <c r="CF12">
        <f>pm.rep!K71</f>
        <v>50.312199999999997</v>
      </c>
      <c r="CG12">
        <f>pm.rep!L71</f>
        <v>30.290600000000001</v>
      </c>
      <c r="CH12">
        <f>pm.rep!M71</f>
        <v>5.7480399999999996</v>
      </c>
      <c r="CI12">
        <f>pm.rep!N71</f>
        <v>2.5085099999999998</v>
      </c>
      <c r="CJ12">
        <f>pm.rep!O71</f>
        <v>4.9586300000000003</v>
      </c>
      <c r="CK12">
        <f>pm.rep!P71</f>
        <v>6.3715799999999998</v>
      </c>
    </row>
    <row r="13" spans="4:89" x14ac:dyDescent="0.15">
      <c r="D13">
        <f>pm.rep!A18</f>
        <v>1973</v>
      </c>
      <c r="E13">
        <f>pm.rep!B18</f>
        <v>0.402422</v>
      </c>
      <c r="F13">
        <f>pm.rep!C18</f>
        <v>0.55099399999999998</v>
      </c>
      <c r="G13">
        <f>pm.rep!D18</f>
        <v>0.48483100000000001</v>
      </c>
      <c r="H13">
        <f>pm.rep!E18</f>
        <v>0.450791</v>
      </c>
      <c r="I13">
        <f>pm.rep!F18</f>
        <v>0.44353399999999998</v>
      </c>
      <c r="J13">
        <f>pm.rep!G18</f>
        <v>0.44267800000000002</v>
      </c>
      <c r="K13">
        <f>pm.rep!H18</f>
        <v>0.44313200000000003</v>
      </c>
      <c r="L13">
        <f>pm.rep!I18</f>
        <v>0.41824099999999997</v>
      </c>
      <c r="M13">
        <f>pm.rep!J18</f>
        <v>0.40204600000000001</v>
      </c>
      <c r="N13">
        <f>pm.rep!K18</f>
        <v>0.39387699999999998</v>
      </c>
      <c r="O13">
        <f>pm.rep!L18</f>
        <v>0.39387699999999998</v>
      </c>
      <c r="P13">
        <f>pm.rep!M18</f>
        <v>0.39387699999999998</v>
      </c>
      <c r="Q13">
        <f>pm.rep!N18</f>
        <v>0.39387699999999998</v>
      </c>
      <c r="R13">
        <f>pm.rep!O18</f>
        <v>0.39387699999999998</v>
      </c>
      <c r="S13">
        <f>pm.rep!P18</f>
        <v>0.39387699999999998</v>
      </c>
      <c r="U13" s="27">
        <f>pm.rep!B72</f>
        <v>26909</v>
      </c>
      <c r="V13" s="27">
        <f>pm.rep!C72</f>
        <v>4808.49</v>
      </c>
      <c r="W13" s="27">
        <f>pm.rep!D72</f>
        <v>3324.44</v>
      </c>
      <c r="X13" s="27">
        <f>pm.rep!E72</f>
        <v>2897.5</v>
      </c>
      <c r="Y13" s="27">
        <f>pm.rep!F72</f>
        <v>1743.8</v>
      </c>
      <c r="Z13" s="27">
        <f>pm.rep!G72</f>
        <v>839.32299999999998</v>
      </c>
      <c r="AA13" s="27">
        <f>pm.rep!H72</f>
        <v>566.65800000000002</v>
      </c>
      <c r="AB13" s="27">
        <f>pm.rep!I72</f>
        <v>202.86500000000001</v>
      </c>
      <c r="AC13" s="27">
        <f>pm.rep!J72</f>
        <v>157.79499999999999</v>
      </c>
      <c r="AD13" s="27">
        <f>pm.rep!K72</f>
        <v>27.491099999999999</v>
      </c>
      <c r="AE13" s="27">
        <f>pm.rep!L72</f>
        <v>20.962700000000002</v>
      </c>
      <c r="AF13" s="27">
        <f>pm.rep!M72</f>
        <v>12.620699999999999</v>
      </c>
      <c r="AG13" s="27">
        <f>pm.rep!N72</f>
        <v>2.39493</v>
      </c>
      <c r="AH13" s="27">
        <f>pm.rep!O72</f>
        <v>1.04518</v>
      </c>
      <c r="AI13" s="27">
        <f>pm.rep!P72</f>
        <v>4.7207600000000003</v>
      </c>
      <c r="AK13">
        <f t="shared" si="7"/>
        <v>19909.099999999999</v>
      </c>
      <c r="AL13">
        <f t="shared" ref="AL13:AX13" si="33">U13*EXP(-E$1-E68)</f>
        <v>10828.773598</v>
      </c>
      <c r="AM13">
        <f t="shared" si="33"/>
        <v>1689.3633573547263</v>
      </c>
      <c r="AN13">
        <f t="shared" si="33"/>
        <v>1387.281860323812</v>
      </c>
      <c r="AO13">
        <f t="shared" si="33"/>
        <v>1306.1669225000001</v>
      </c>
      <c r="AP13">
        <f t="shared" si="33"/>
        <v>773.4345892</v>
      </c>
      <c r="AQ13">
        <f t="shared" si="33"/>
        <v>371.549826994</v>
      </c>
      <c r="AR13">
        <f t="shared" si="33"/>
        <v>251.10429285600003</v>
      </c>
      <c r="AS13">
        <f t="shared" si="33"/>
        <v>84.846460464999993</v>
      </c>
      <c r="AT13">
        <f t="shared" si="33"/>
        <v>63.44084857</v>
      </c>
      <c r="AU13">
        <f t="shared" si="33"/>
        <v>10.828111994699999</v>
      </c>
      <c r="AV13">
        <f t="shared" si="33"/>
        <v>15.529550114684648</v>
      </c>
      <c r="AW13">
        <f t="shared" si="33"/>
        <v>9.3496445177577563</v>
      </c>
      <c r="AX13">
        <f t="shared" si="33"/>
        <v>1.7742077812572665</v>
      </c>
      <c r="AY13">
        <f t="shared" si="1"/>
        <v>4.2715134113575441</v>
      </c>
      <c r="BA13">
        <f t="shared" si="9"/>
        <v>19909.099999999999</v>
      </c>
      <c r="BB13">
        <f t="shared" si="10"/>
        <v>10940.382973959782</v>
      </c>
      <c r="BC13">
        <f t="shared" si="11"/>
        <v>1954.9861431660734</v>
      </c>
      <c r="BD13">
        <f t="shared" si="12"/>
        <v>2119.7565323774884</v>
      </c>
      <c r="BE13">
        <f t="shared" si="13"/>
        <v>2146.5207944252775</v>
      </c>
      <c r="BF13">
        <f t="shared" si="14"/>
        <v>1291.8388132247796</v>
      </c>
      <c r="BG13">
        <f t="shared" si="15"/>
        <v>621.78577143724146</v>
      </c>
      <c r="BH13">
        <f t="shared" si="16"/>
        <v>419.79057129506089</v>
      </c>
      <c r="BI13">
        <f t="shared" si="17"/>
        <v>150.2860883385967</v>
      </c>
      <c r="BJ13">
        <f t="shared" si="18"/>
        <v>116.89741113247166</v>
      </c>
      <c r="BK13">
        <f t="shared" si="19"/>
        <v>20.365907786583175</v>
      </c>
      <c r="BL13">
        <f t="shared" si="20"/>
        <v>15.529550114684648</v>
      </c>
      <c r="BM13">
        <f t="shared" si="21"/>
        <v>9.3496445177577563</v>
      </c>
      <c r="BN13">
        <f t="shared" si="22"/>
        <v>1.7742077812572665</v>
      </c>
      <c r="BO13">
        <f t="shared" si="23"/>
        <v>4.2715134113575441</v>
      </c>
      <c r="BQ13" s="4">
        <f t="shared" si="3"/>
        <v>1973</v>
      </c>
      <c r="BR13" s="27">
        <f t="shared" si="4"/>
        <v>3691291.4552109204</v>
      </c>
      <c r="BS13" s="27">
        <f t="shared" si="5"/>
        <v>5403665.2999181161</v>
      </c>
      <c r="BT13">
        <f t="shared" si="24"/>
        <v>0.31689117472415329</v>
      </c>
      <c r="BU13" s="20">
        <f t="shared" si="25"/>
        <v>0.58212260317855191</v>
      </c>
      <c r="BV13" s="20">
        <f t="shared" si="6"/>
        <v>0.52564514611341584</v>
      </c>
      <c r="BW13">
        <f>pm.rep!B72</f>
        <v>26909</v>
      </c>
      <c r="BX13">
        <f>pm.rep!C72</f>
        <v>4808.49</v>
      </c>
      <c r="BY13">
        <f>pm.rep!D72</f>
        <v>3324.44</v>
      </c>
      <c r="BZ13">
        <f>pm.rep!E72</f>
        <v>2897.5</v>
      </c>
      <c r="CA13">
        <f>pm.rep!F72</f>
        <v>1743.8</v>
      </c>
      <c r="CB13">
        <f>pm.rep!G72</f>
        <v>839.32299999999998</v>
      </c>
      <c r="CC13">
        <f>pm.rep!H72</f>
        <v>566.65800000000002</v>
      </c>
      <c r="CD13">
        <f>pm.rep!I72</f>
        <v>202.86500000000001</v>
      </c>
      <c r="CE13">
        <f>pm.rep!J72</f>
        <v>157.79499999999999</v>
      </c>
      <c r="CF13">
        <f>pm.rep!K72</f>
        <v>27.491099999999999</v>
      </c>
      <c r="CG13">
        <f>pm.rep!L72</f>
        <v>20.962700000000002</v>
      </c>
      <c r="CH13">
        <f>pm.rep!M72</f>
        <v>12.620699999999999</v>
      </c>
      <c r="CI13">
        <f>pm.rep!N72</f>
        <v>2.39493</v>
      </c>
      <c r="CJ13">
        <f>pm.rep!O72</f>
        <v>1.04518</v>
      </c>
      <c r="CK13">
        <f>pm.rep!P72</f>
        <v>4.7207600000000003</v>
      </c>
    </row>
    <row r="14" spans="4:89" x14ac:dyDescent="0.15">
      <c r="D14">
        <f>pm.rep!A19</f>
        <v>1974</v>
      </c>
      <c r="E14">
        <f>pm.rep!B19</f>
        <v>0.40295700000000001</v>
      </c>
      <c r="F14">
        <f>pm.rep!C19</f>
        <v>0.53222400000000003</v>
      </c>
      <c r="G14">
        <f>pm.rep!D19</f>
        <v>0.431892</v>
      </c>
      <c r="H14">
        <f>pm.rep!E19</f>
        <v>0.42869000000000002</v>
      </c>
      <c r="I14">
        <f>pm.rep!F19</f>
        <v>0.427205</v>
      </c>
      <c r="J14">
        <f>pm.rep!G19</f>
        <v>0.42795899999999998</v>
      </c>
      <c r="K14">
        <f>pm.rep!H19</f>
        <v>0.42811500000000002</v>
      </c>
      <c r="L14">
        <f>pm.rep!I19</f>
        <v>0.40803800000000001</v>
      </c>
      <c r="M14">
        <f>pm.rep!J19</f>
        <v>0.38970700000000003</v>
      </c>
      <c r="N14">
        <f>pm.rep!K19</f>
        <v>0.38850099999999999</v>
      </c>
      <c r="O14">
        <f>pm.rep!L19</f>
        <v>0.38850099999999999</v>
      </c>
      <c r="P14">
        <f>pm.rep!M19</f>
        <v>0.38850099999999999</v>
      </c>
      <c r="Q14">
        <f>pm.rep!N19</f>
        <v>0.38850099999999999</v>
      </c>
      <c r="R14">
        <f>pm.rep!O19</f>
        <v>0.38850099999999999</v>
      </c>
      <c r="S14">
        <f>pm.rep!P19</f>
        <v>0.38850099999999999</v>
      </c>
      <c r="U14" s="27">
        <f>pm.rep!B73</f>
        <v>19909.099999999999</v>
      </c>
      <c r="V14" s="27">
        <f>pm.rep!C73</f>
        <v>10828.8</v>
      </c>
      <c r="W14" s="27">
        <f>pm.rep!D73</f>
        <v>2649.45</v>
      </c>
      <c r="X14" s="27">
        <f>pm.rep!E73</f>
        <v>1611.79</v>
      </c>
      <c r="Y14" s="27">
        <f>pm.rep!F73</f>
        <v>1306.17</v>
      </c>
      <c r="Z14" s="27">
        <f>pm.rep!G73</f>
        <v>773.43200000000002</v>
      </c>
      <c r="AA14" s="27">
        <f>pm.rep!H73</f>
        <v>371.54899999999998</v>
      </c>
      <c r="AB14" s="27">
        <f>pm.rep!I73</f>
        <v>251.10400000000001</v>
      </c>
      <c r="AC14" s="27">
        <f>pm.rep!J73</f>
        <v>84.846400000000003</v>
      </c>
      <c r="AD14" s="27">
        <f>pm.rep!K73</f>
        <v>63.440899999999999</v>
      </c>
      <c r="AE14" s="27">
        <f>pm.rep!L73</f>
        <v>10.828099999999999</v>
      </c>
      <c r="AF14" s="27">
        <f>pm.rep!M73</f>
        <v>8.25671</v>
      </c>
      <c r="AG14" s="27">
        <f>pm.rep!N73</f>
        <v>4.97098</v>
      </c>
      <c r="AH14" s="27">
        <f>pm.rep!O73</f>
        <v>0.94330800000000004</v>
      </c>
      <c r="AI14" s="27">
        <f>pm.rep!P73</f>
        <v>2.2710699999999999</v>
      </c>
      <c r="AK14">
        <f t="shared" si="7"/>
        <v>17094.099999999999</v>
      </c>
      <c r="AL14">
        <f t="shared" ref="AL14:AX14" si="34">U14*EXP(-E$1-E69)</f>
        <v>8022.5112086999998</v>
      </c>
      <c r="AM14">
        <f t="shared" si="34"/>
        <v>3674.8724549370841</v>
      </c>
      <c r="AN14">
        <f t="shared" si="34"/>
        <v>984.88770369940835</v>
      </c>
      <c r="AO14">
        <f t="shared" si="34"/>
        <v>690.95825509999997</v>
      </c>
      <c r="AP14">
        <f t="shared" si="34"/>
        <v>558.00235485000007</v>
      </c>
      <c r="AQ14">
        <f t="shared" si="34"/>
        <v>330.99718528799997</v>
      </c>
      <c r="AR14">
        <f t="shared" si="34"/>
        <v>159.06570013499999</v>
      </c>
      <c r="AS14">
        <f t="shared" si="34"/>
        <v>102.45997395200001</v>
      </c>
      <c r="AT14">
        <f t="shared" si="34"/>
        <v>33.065236004800006</v>
      </c>
      <c r="AU14">
        <f t="shared" si="34"/>
        <v>24.646853090899999</v>
      </c>
      <c r="AV14">
        <f t="shared" si="34"/>
        <v>8.021653775363708</v>
      </c>
      <c r="AW14">
        <f t="shared" si="34"/>
        <v>6.1167212108849469</v>
      </c>
      <c r="AX14">
        <f t="shared" si="34"/>
        <v>3.6825925586444059</v>
      </c>
      <c r="AY14">
        <f t="shared" si="1"/>
        <v>2.3812697905584592</v>
      </c>
      <c r="BA14">
        <f t="shared" si="9"/>
        <v>17094.099999999999</v>
      </c>
      <c r="BB14">
        <f t="shared" si="10"/>
        <v>8094.4360127415612</v>
      </c>
      <c r="BC14">
        <f t="shared" si="11"/>
        <v>4402.6615313989996</v>
      </c>
      <c r="BD14">
        <f t="shared" si="12"/>
        <v>1689.3639063143073</v>
      </c>
      <c r="BE14">
        <f t="shared" si="13"/>
        <v>1194.043399912586</v>
      </c>
      <c r="BF14">
        <f t="shared" si="14"/>
        <v>967.63453530783954</v>
      </c>
      <c r="BG14">
        <f t="shared" si="15"/>
        <v>572.9725180583024</v>
      </c>
      <c r="BH14">
        <f t="shared" si="16"/>
        <v>275.25026907607156</v>
      </c>
      <c r="BI14">
        <f t="shared" si="17"/>
        <v>186.02241848606209</v>
      </c>
      <c r="BJ14">
        <f t="shared" si="18"/>
        <v>62.85575907924931</v>
      </c>
      <c r="BK14">
        <f t="shared" si="19"/>
        <v>46.998174656446793</v>
      </c>
      <c r="BL14">
        <f t="shared" si="20"/>
        <v>8.021653775363708</v>
      </c>
      <c r="BM14">
        <f t="shared" si="21"/>
        <v>6.1167212108849469</v>
      </c>
      <c r="BN14">
        <f t="shared" si="22"/>
        <v>3.6825925586444059</v>
      </c>
      <c r="BO14">
        <f t="shared" si="23"/>
        <v>2.3812697905584592</v>
      </c>
      <c r="BQ14" s="4">
        <f t="shared" si="3"/>
        <v>1974</v>
      </c>
      <c r="BR14" s="27">
        <f t="shared" si="4"/>
        <v>2920474.0398639147</v>
      </c>
      <c r="BS14" s="27">
        <f t="shared" si="5"/>
        <v>4046634.0027190051</v>
      </c>
      <c r="BT14">
        <f t="shared" si="24"/>
        <v>0.27829548264023962</v>
      </c>
      <c r="BU14" s="20">
        <f t="shared" si="25"/>
        <v>0.60814450975036038</v>
      </c>
      <c r="BV14" s="20">
        <f t="shared" si="6"/>
        <v>0.56707721178840509</v>
      </c>
      <c r="BW14">
        <f>pm.rep!B73</f>
        <v>19909.099999999999</v>
      </c>
      <c r="BX14">
        <f>pm.rep!C73</f>
        <v>10828.8</v>
      </c>
      <c r="BY14">
        <f>pm.rep!D73</f>
        <v>2649.45</v>
      </c>
      <c r="BZ14">
        <f>pm.rep!E73</f>
        <v>1611.79</v>
      </c>
      <c r="CA14">
        <f>pm.rep!F73</f>
        <v>1306.17</v>
      </c>
      <c r="CB14">
        <f>pm.rep!G73</f>
        <v>773.43200000000002</v>
      </c>
      <c r="CC14">
        <f>pm.rep!H73</f>
        <v>371.54899999999998</v>
      </c>
      <c r="CD14">
        <f>pm.rep!I73</f>
        <v>251.10400000000001</v>
      </c>
      <c r="CE14">
        <f>pm.rep!J73</f>
        <v>84.846400000000003</v>
      </c>
      <c r="CF14">
        <f>pm.rep!K73</f>
        <v>63.440899999999999</v>
      </c>
      <c r="CG14">
        <f>pm.rep!L73</f>
        <v>10.828099999999999</v>
      </c>
      <c r="CH14">
        <f>pm.rep!M73</f>
        <v>8.25671</v>
      </c>
      <c r="CI14">
        <f>pm.rep!N73</f>
        <v>4.97098</v>
      </c>
      <c r="CJ14">
        <f>pm.rep!O73</f>
        <v>0.94330800000000004</v>
      </c>
      <c r="CK14">
        <f>pm.rep!P73</f>
        <v>2.2710699999999999</v>
      </c>
    </row>
    <row r="15" spans="4:89" x14ac:dyDescent="0.15">
      <c r="D15">
        <f>pm.rep!A20</f>
        <v>1975</v>
      </c>
      <c r="E15">
        <f>pm.rep!B20</f>
        <v>0.40416099999999999</v>
      </c>
      <c r="F15">
        <f>pm.rep!C20</f>
        <v>0.56444499999999997</v>
      </c>
      <c r="G15">
        <f>pm.rep!D20</f>
        <v>0.45292399999999999</v>
      </c>
      <c r="H15">
        <f>pm.rep!E20</f>
        <v>0.46081699999999998</v>
      </c>
      <c r="I15">
        <f>pm.rep!F20</f>
        <v>0.466229</v>
      </c>
      <c r="J15">
        <f>pm.rep!G20</f>
        <v>0.46878999999999998</v>
      </c>
      <c r="K15">
        <f>pm.rep!H20</f>
        <v>0.46947699999999998</v>
      </c>
      <c r="L15">
        <f>pm.rep!I20</f>
        <v>0.45882200000000001</v>
      </c>
      <c r="M15">
        <f>pm.rep!J20</f>
        <v>0.44005100000000003</v>
      </c>
      <c r="N15">
        <f>pm.rep!K20</f>
        <v>0.43693700000000002</v>
      </c>
      <c r="O15">
        <f>pm.rep!L20</f>
        <v>0.43693700000000002</v>
      </c>
      <c r="P15">
        <f>pm.rep!M20</f>
        <v>0.43693700000000002</v>
      </c>
      <c r="Q15">
        <f>pm.rep!N20</f>
        <v>0.43693700000000002</v>
      </c>
      <c r="R15">
        <f>pm.rep!O20</f>
        <v>0.43693700000000002</v>
      </c>
      <c r="S15">
        <f>pm.rep!P20</f>
        <v>0.43693700000000002</v>
      </c>
      <c r="U15" s="27">
        <f>pm.rep!B74</f>
        <v>17094.099999999999</v>
      </c>
      <c r="V15" s="27">
        <f>pm.rep!C74</f>
        <v>8022.51</v>
      </c>
      <c r="W15" s="27">
        <f>pm.rep!D74</f>
        <v>5763.34</v>
      </c>
      <c r="X15" s="27">
        <f>pm.rep!E74</f>
        <v>1144.27</v>
      </c>
      <c r="Y15" s="27">
        <f>pm.rep!F74</f>
        <v>690.95799999999997</v>
      </c>
      <c r="Z15" s="27">
        <f>pm.rep!G74</f>
        <v>558</v>
      </c>
      <c r="AA15" s="27">
        <f>pm.rep!H74</f>
        <v>330.99700000000001</v>
      </c>
      <c r="AB15" s="27">
        <f>pm.rep!I74</f>
        <v>159.066</v>
      </c>
      <c r="AC15" s="27">
        <f>pm.rep!J74</f>
        <v>102.46</v>
      </c>
      <c r="AD15" s="27">
        <f>pm.rep!K74</f>
        <v>33.065300000000001</v>
      </c>
      <c r="AE15" s="27">
        <f>pm.rep!L74</f>
        <v>24.646799999999999</v>
      </c>
      <c r="AF15" s="27">
        <f>pm.rep!M74</f>
        <v>4.2067300000000003</v>
      </c>
      <c r="AG15" s="27">
        <f>pm.rep!N74</f>
        <v>3.2077399999999998</v>
      </c>
      <c r="AH15" s="27">
        <f>pm.rep!O74</f>
        <v>1.93123</v>
      </c>
      <c r="AI15" s="27">
        <f>pm.rep!P74</f>
        <v>1.2487900000000001</v>
      </c>
      <c r="AK15">
        <f t="shared" si="7"/>
        <v>13137.6</v>
      </c>
      <c r="AL15">
        <f t="shared" ref="AL15:AX15" si="35">U15*EXP(-E$1-E70)</f>
        <v>6908.7685500999996</v>
      </c>
      <c r="AM15">
        <f t="shared" si="35"/>
        <v>2887.3496608933838</v>
      </c>
      <c r="AN15">
        <f t="shared" si="35"/>
        <v>2246.7533751029932</v>
      </c>
      <c r="AO15">
        <f t="shared" si="35"/>
        <v>527.29906858999993</v>
      </c>
      <c r="AP15">
        <f t="shared" si="35"/>
        <v>322.14465738199999</v>
      </c>
      <c r="AQ15">
        <f t="shared" si="35"/>
        <v>261.58481999999998</v>
      </c>
      <c r="AR15">
        <f t="shared" si="35"/>
        <v>155.39547856900001</v>
      </c>
      <c r="AS15">
        <f t="shared" si="35"/>
        <v>72.982980252000004</v>
      </c>
      <c r="AT15">
        <f t="shared" si="35"/>
        <v>45.087625459999998</v>
      </c>
      <c r="AU15">
        <f t="shared" si="35"/>
        <v>14.4474529861</v>
      </c>
      <c r="AV15">
        <f t="shared" si="35"/>
        <v>18.258798521498164</v>
      </c>
      <c r="AW15">
        <f t="shared" si="35"/>
        <v>3.1164222334884033</v>
      </c>
      <c r="AX15">
        <f t="shared" si="35"/>
        <v>2.3763522392095737</v>
      </c>
      <c r="AY15">
        <f t="shared" si="1"/>
        <v>2.3558167581322764</v>
      </c>
      <c r="BA15">
        <f t="shared" si="9"/>
        <v>13137.6</v>
      </c>
      <c r="BB15">
        <f t="shared" si="10"/>
        <v>6949.9424205717751</v>
      </c>
      <c r="BC15">
        <f t="shared" si="11"/>
        <v>3261.709160965554</v>
      </c>
      <c r="BD15">
        <f t="shared" si="12"/>
        <v>3674.8678313678311</v>
      </c>
      <c r="BE15">
        <f t="shared" si="13"/>
        <v>847.69606537946925</v>
      </c>
      <c r="BF15">
        <f t="shared" si="14"/>
        <v>511.87427612579842</v>
      </c>
      <c r="BG15">
        <f t="shared" si="15"/>
        <v>413.37656714039855</v>
      </c>
      <c r="BH15">
        <f t="shared" si="16"/>
        <v>245.20860859098659</v>
      </c>
      <c r="BI15">
        <f t="shared" si="17"/>
        <v>117.83899109095813</v>
      </c>
      <c r="BJ15">
        <f t="shared" si="18"/>
        <v>75.904234891048816</v>
      </c>
      <c r="BK15">
        <f t="shared" si="19"/>
        <v>24.495376712307205</v>
      </c>
      <c r="BL15">
        <f t="shared" si="20"/>
        <v>18.258798521498164</v>
      </c>
      <c r="BM15">
        <f t="shared" si="21"/>
        <v>3.1164222334884033</v>
      </c>
      <c r="BN15">
        <f t="shared" si="22"/>
        <v>2.3763522392095737</v>
      </c>
      <c r="BO15">
        <f t="shared" si="23"/>
        <v>2.3558167581322764</v>
      </c>
      <c r="BQ15" s="4">
        <f t="shared" si="3"/>
        <v>1975</v>
      </c>
      <c r="BR15" s="27">
        <f t="shared" si="4"/>
        <v>3742130.8562088045</v>
      </c>
      <c r="BS15" s="27">
        <f t="shared" si="5"/>
        <v>4753390.7233323408</v>
      </c>
      <c r="BT15">
        <f t="shared" si="24"/>
        <v>0.21274494902337793</v>
      </c>
      <c r="BU15" s="20">
        <f t="shared" si="25"/>
        <v>0.49601495556340602</v>
      </c>
      <c r="BV15" s="20">
        <f t="shared" si="6"/>
        <v>0.46325153536726493</v>
      </c>
      <c r="BW15">
        <f>pm.rep!B74</f>
        <v>17094.099999999999</v>
      </c>
      <c r="BX15">
        <f>pm.rep!C74</f>
        <v>8022.51</v>
      </c>
      <c r="BY15">
        <f>pm.rep!D74</f>
        <v>5763.34</v>
      </c>
      <c r="BZ15">
        <f>pm.rep!E74</f>
        <v>1144.27</v>
      </c>
      <c r="CA15">
        <f>pm.rep!F74</f>
        <v>690.95799999999997</v>
      </c>
      <c r="CB15">
        <f>pm.rep!G74</f>
        <v>558</v>
      </c>
      <c r="CC15">
        <f>pm.rep!H74</f>
        <v>330.99700000000001</v>
      </c>
      <c r="CD15">
        <f>pm.rep!I74</f>
        <v>159.066</v>
      </c>
      <c r="CE15">
        <f>pm.rep!J74</f>
        <v>102.46</v>
      </c>
      <c r="CF15">
        <f>pm.rep!K74</f>
        <v>33.065300000000001</v>
      </c>
      <c r="CG15">
        <f>pm.rep!L74</f>
        <v>24.646799999999999</v>
      </c>
      <c r="CH15">
        <f>pm.rep!M74</f>
        <v>4.2067300000000003</v>
      </c>
      <c r="CI15">
        <f>pm.rep!N74</f>
        <v>3.2077399999999998</v>
      </c>
      <c r="CJ15">
        <f>pm.rep!O74</f>
        <v>1.93123</v>
      </c>
      <c r="CK15">
        <f>pm.rep!P74</f>
        <v>1.2487900000000001</v>
      </c>
    </row>
    <row r="16" spans="4:89" x14ac:dyDescent="0.15">
      <c r="D16">
        <f>pm.rep!A21</f>
        <v>1976</v>
      </c>
      <c r="E16">
        <f>pm.rep!B21</f>
        <v>0.40482899999999999</v>
      </c>
      <c r="F16">
        <f>pm.rep!C21</f>
        <v>0.57752300000000001</v>
      </c>
      <c r="G16">
        <f>pm.rep!D21</f>
        <v>0.49820799999999998</v>
      </c>
      <c r="H16">
        <f>pm.rep!E21</f>
        <v>0.472827</v>
      </c>
      <c r="I16">
        <f>pm.rep!F21</f>
        <v>0.48079100000000002</v>
      </c>
      <c r="J16">
        <f>pm.rep!G21</f>
        <v>0.48566300000000001</v>
      </c>
      <c r="K16">
        <f>pm.rep!H21</f>
        <v>0.48764099999999999</v>
      </c>
      <c r="L16">
        <f>pm.rep!I21</f>
        <v>0.484628</v>
      </c>
      <c r="M16">
        <f>pm.rep!J21</f>
        <v>0.46748699999999999</v>
      </c>
      <c r="N16">
        <f>pm.rep!K21</f>
        <v>0.46454000000000001</v>
      </c>
      <c r="O16">
        <f>pm.rep!L21</f>
        <v>0.46454000000000001</v>
      </c>
      <c r="P16">
        <f>pm.rep!M21</f>
        <v>0.46454000000000001</v>
      </c>
      <c r="Q16">
        <f>pm.rep!N21</f>
        <v>0.46454000000000001</v>
      </c>
      <c r="R16">
        <f>pm.rep!O21</f>
        <v>0.46454000000000001</v>
      </c>
      <c r="S16">
        <f>pm.rep!P21</f>
        <v>0.46454000000000001</v>
      </c>
      <c r="U16" s="27">
        <f>pm.rep!B75</f>
        <v>13137.6</v>
      </c>
      <c r="V16" s="27">
        <f>pm.rep!C75</f>
        <v>6908.76</v>
      </c>
      <c r="W16" s="27">
        <f>pm.rep!D75</f>
        <v>4528.26</v>
      </c>
      <c r="X16" s="27">
        <f>pm.rep!E75</f>
        <v>2610.36</v>
      </c>
      <c r="Y16" s="27">
        <f>pm.rep!F75</f>
        <v>527.30100000000004</v>
      </c>
      <c r="Z16" s="27">
        <f>pm.rep!G75</f>
        <v>322.14400000000001</v>
      </c>
      <c r="AA16" s="27">
        <f>pm.rep!H75</f>
        <v>261.58499999999998</v>
      </c>
      <c r="AB16" s="27">
        <f>pm.rep!I75</f>
        <v>155.39599999999999</v>
      </c>
      <c r="AC16" s="27">
        <f>pm.rep!J75</f>
        <v>72.983000000000004</v>
      </c>
      <c r="AD16" s="27">
        <f>pm.rep!K75</f>
        <v>45.087699999999998</v>
      </c>
      <c r="AE16" s="27">
        <f>pm.rep!L75</f>
        <v>14.4474</v>
      </c>
      <c r="AF16" s="27">
        <f>pm.rep!M75</f>
        <v>10.7691</v>
      </c>
      <c r="AG16" s="27">
        <f>pm.rep!N75</f>
        <v>1.8380799999999999</v>
      </c>
      <c r="AH16" s="27">
        <f>pm.rep!O75</f>
        <v>1.40158</v>
      </c>
      <c r="AI16" s="27">
        <f>pm.rep!P75</f>
        <v>1.38947</v>
      </c>
      <c r="AK16">
        <f t="shared" si="7"/>
        <v>13755.3</v>
      </c>
      <c r="AL16">
        <f t="shared" ref="AL16:AX16" si="36">U16*EXP(-E$1-E71)</f>
        <v>5318.4814704</v>
      </c>
      <c r="AM16">
        <f t="shared" si="36"/>
        <v>2544.1157942880832</v>
      </c>
      <c r="AN16">
        <f t="shared" si="36"/>
        <v>1941.7704136368893</v>
      </c>
      <c r="AO16">
        <f t="shared" si="36"/>
        <v>1234.2486877200001</v>
      </c>
      <c r="AP16">
        <f t="shared" si="36"/>
        <v>253.52157509100005</v>
      </c>
      <c r="AQ16">
        <f t="shared" si="36"/>
        <v>156.453421472</v>
      </c>
      <c r="AR16">
        <f t="shared" si="36"/>
        <v>127.55957098499999</v>
      </c>
      <c r="AS16">
        <f t="shared" si="36"/>
        <v>75.309252688000001</v>
      </c>
      <c r="AT16">
        <f t="shared" si="36"/>
        <v>34.118603720999999</v>
      </c>
      <c r="AU16">
        <f t="shared" si="36"/>
        <v>20.945040158000001</v>
      </c>
      <c r="AV16">
        <f t="shared" si="36"/>
        <v>10.702897161477051</v>
      </c>
      <c r="AW16">
        <f t="shared" si="36"/>
        <v>7.9779455003434876</v>
      </c>
      <c r="AX16">
        <f t="shared" si="36"/>
        <v>1.3616831550706519</v>
      </c>
      <c r="AY16">
        <f t="shared" si="1"/>
        <v>2.0676606948337088</v>
      </c>
      <c r="BA16">
        <f t="shared" si="9"/>
        <v>13755.3</v>
      </c>
      <c r="BB16">
        <f t="shared" si="10"/>
        <v>5341.3495618080951</v>
      </c>
      <c r="BC16">
        <f t="shared" si="11"/>
        <v>2808.8922024294616</v>
      </c>
      <c r="BD16">
        <f t="shared" si="12"/>
        <v>2887.3460538628115</v>
      </c>
      <c r="BE16">
        <f t="shared" si="13"/>
        <v>1933.8022505387291</v>
      </c>
      <c r="BF16">
        <f t="shared" si="14"/>
        <v>390.63418858369056</v>
      </c>
      <c r="BG16">
        <f t="shared" si="15"/>
        <v>238.65014488329132</v>
      </c>
      <c r="BH16">
        <f t="shared" si="16"/>
        <v>193.78693425702716</v>
      </c>
      <c r="BI16">
        <f t="shared" si="17"/>
        <v>115.12018822105622</v>
      </c>
      <c r="BJ16">
        <f t="shared" si="18"/>
        <v>54.06713620001382</v>
      </c>
      <c r="BK16">
        <f t="shared" si="19"/>
        <v>33.401789688631091</v>
      </c>
      <c r="BL16">
        <f t="shared" si="20"/>
        <v>10.702897161477051</v>
      </c>
      <c r="BM16">
        <f t="shared" si="21"/>
        <v>7.9779455003434876</v>
      </c>
      <c r="BN16">
        <f t="shared" si="22"/>
        <v>1.3616831550706519</v>
      </c>
      <c r="BO16">
        <f t="shared" si="23"/>
        <v>2.0676606948337088</v>
      </c>
      <c r="BQ16" s="4">
        <f t="shared" si="3"/>
        <v>1976</v>
      </c>
      <c r="BR16" s="27">
        <f t="shared" si="4"/>
        <v>3779565.8503536717</v>
      </c>
      <c r="BS16" s="27">
        <f t="shared" si="5"/>
        <v>4936817.987911351</v>
      </c>
      <c r="BT16">
        <f t="shared" si="24"/>
        <v>0.2344125589380468</v>
      </c>
      <c r="BU16" s="20">
        <f t="shared" si="25"/>
        <v>0.44241021017808141</v>
      </c>
      <c r="BV16" s="20">
        <f t="shared" si="6"/>
        <v>0.42151017164989313</v>
      </c>
      <c r="BW16">
        <f>pm.rep!B75</f>
        <v>13137.6</v>
      </c>
      <c r="BX16">
        <f>pm.rep!C75</f>
        <v>6908.76</v>
      </c>
      <c r="BY16">
        <f>pm.rep!D75</f>
        <v>4528.26</v>
      </c>
      <c r="BZ16">
        <f>pm.rep!E75</f>
        <v>2610.36</v>
      </c>
      <c r="CA16">
        <f>pm.rep!F75</f>
        <v>527.30100000000004</v>
      </c>
      <c r="CB16">
        <f>pm.rep!G75</f>
        <v>322.14400000000001</v>
      </c>
      <c r="CC16">
        <f>pm.rep!H75</f>
        <v>261.58499999999998</v>
      </c>
      <c r="CD16">
        <f>pm.rep!I75</f>
        <v>155.39599999999999</v>
      </c>
      <c r="CE16">
        <f>pm.rep!J75</f>
        <v>72.983000000000004</v>
      </c>
      <c r="CF16">
        <f>pm.rep!K75</f>
        <v>45.087699999999998</v>
      </c>
      <c r="CG16">
        <f>pm.rep!L75</f>
        <v>14.4474</v>
      </c>
      <c r="CH16">
        <f>pm.rep!M75</f>
        <v>10.7691</v>
      </c>
      <c r="CI16">
        <f>pm.rep!N75</f>
        <v>1.8380799999999999</v>
      </c>
      <c r="CJ16">
        <f>pm.rep!O75</f>
        <v>1.40158</v>
      </c>
      <c r="CK16">
        <f>pm.rep!P75</f>
        <v>1.38947</v>
      </c>
    </row>
    <row r="17" spans="4:89" x14ac:dyDescent="0.15">
      <c r="D17">
        <f>pm.rep!A22</f>
        <v>1977</v>
      </c>
      <c r="E17">
        <f>pm.rep!B22</f>
        <v>0.40531699999999998</v>
      </c>
      <c r="F17">
        <f>pm.rep!C22</f>
        <v>0.58432700000000004</v>
      </c>
      <c r="G17">
        <f>pm.rep!D22</f>
        <v>0.54781800000000003</v>
      </c>
      <c r="H17">
        <f>pm.rep!E22</f>
        <v>0.51135399999999998</v>
      </c>
      <c r="I17">
        <f>pm.rep!F22</f>
        <v>0.50170199999999998</v>
      </c>
      <c r="J17">
        <f>pm.rep!G22</f>
        <v>0.50524000000000002</v>
      </c>
      <c r="K17">
        <f>pm.rep!H22</f>
        <v>0.50739699999999999</v>
      </c>
      <c r="L17">
        <f>pm.rep!I22</f>
        <v>0.507795</v>
      </c>
      <c r="M17">
        <f>pm.rep!J22</f>
        <v>0.49294199999999999</v>
      </c>
      <c r="N17">
        <f>pm.rep!K22</f>
        <v>0.48811700000000002</v>
      </c>
      <c r="O17">
        <f>pm.rep!L22</f>
        <v>0.48811700000000002</v>
      </c>
      <c r="P17">
        <f>pm.rep!M22</f>
        <v>0.48811700000000002</v>
      </c>
      <c r="Q17">
        <f>pm.rep!N22</f>
        <v>0.48811700000000002</v>
      </c>
      <c r="R17">
        <f>pm.rep!O22</f>
        <v>0.48811700000000002</v>
      </c>
      <c r="S17">
        <f>pm.rep!P22</f>
        <v>0.48811700000000002</v>
      </c>
      <c r="U17" s="27">
        <f>pm.rep!B76</f>
        <v>13755.3</v>
      </c>
      <c r="V17" s="27">
        <f>pm.rep!C76</f>
        <v>5318.47</v>
      </c>
      <c r="W17" s="27">
        <f>pm.rep!D76</f>
        <v>3989.97</v>
      </c>
      <c r="X17" s="27">
        <f>pm.rep!E76</f>
        <v>2256.02</v>
      </c>
      <c r="Y17" s="27">
        <f>pm.rep!F76</f>
        <v>1234.25</v>
      </c>
      <c r="Z17" s="27">
        <f>pm.rep!G76</f>
        <v>253.52199999999999</v>
      </c>
      <c r="AA17" s="27">
        <f>pm.rep!H76</f>
        <v>156.45400000000001</v>
      </c>
      <c r="AB17" s="27">
        <f>pm.rep!I76</f>
        <v>127.56</v>
      </c>
      <c r="AC17" s="27">
        <f>pm.rep!J76</f>
        <v>75.309100000000001</v>
      </c>
      <c r="AD17" s="27">
        <f>pm.rep!K76</f>
        <v>34.118600000000001</v>
      </c>
      <c r="AE17" s="27">
        <f>pm.rep!L76</f>
        <v>20.945</v>
      </c>
      <c r="AF17" s="27">
        <f>pm.rep!M76</f>
        <v>6.7114099999999999</v>
      </c>
      <c r="AG17" s="27">
        <f>pm.rep!N76</f>
        <v>5.0026799999999998</v>
      </c>
      <c r="AH17" s="27">
        <f>pm.rep!O76</f>
        <v>0.85385999999999995</v>
      </c>
      <c r="AI17" s="27">
        <f>pm.rep!P76</f>
        <v>1.2965500000000001</v>
      </c>
      <c r="AK17">
        <f t="shared" si="7"/>
        <v>25352.3</v>
      </c>
      <c r="AL17">
        <f t="shared" ref="AL17:AX17" si="37">U17*EXP(-E$1-E72)</f>
        <v>5575.2569300999994</v>
      </c>
      <c r="AM17">
        <f t="shared" si="37"/>
        <v>1981.5733426305646</v>
      </c>
      <c r="AN17">
        <f t="shared" si="37"/>
        <v>1881.3160303549303</v>
      </c>
      <c r="AO17">
        <f t="shared" si="37"/>
        <v>1153.6248510799999</v>
      </c>
      <c r="AP17">
        <f t="shared" si="37"/>
        <v>619.22569349999992</v>
      </c>
      <c r="AQ17">
        <f t="shared" si="37"/>
        <v>128.08945528000001</v>
      </c>
      <c r="AR17">
        <f t="shared" si="37"/>
        <v>79.384290238000006</v>
      </c>
      <c r="AS17">
        <f t="shared" si="37"/>
        <v>64.774330199999994</v>
      </c>
      <c r="AT17">
        <f t="shared" si="37"/>
        <v>37.123018372200001</v>
      </c>
      <c r="AU17">
        <f t="shared" si="37"/>
        <v>16.653868676200002</v>
      </c>
      <c r="AV17">
        <f t="shared" si="37"/>
        <v>15.516437632178581</v>
      </c>
      <c r="AW17">
        <f t="shared" si="37"/>
        <v>4.971934814465488</v>
      </c>
      <c r="AX17">
        <f t="shared" si="37"/>
        <v>3.7060764962400161</v>
      </c>
      <c r="AY17">
        <f t="shared" si="1"/>
        <v>1.5930629099361731</v>
      </c>
      <c r="BA17">
        <f t="shared" si="9"/>
        <v>25352.3</v>
      </c>
      <c r="BB17">
        <f t="shared" si="10"/>
        <v>5592.4876406298627</v>
      </c>
      <c r="BC17">
        <f t="shared" si="11"/>
        <v>2162.3285382405843</v>
      </c>
      <c r="BD17">
        <f t="shared" si="12"/>
        <v>2544.1171961263267</v>
      </c>
      <c r="BE17">
        <f t="shared" si="13"/>
        <v>1671.3007222223691</v>
      </c>
      <c r="BF17">
        <f t="shared" si="14"/>
        <v>914.35488887641031</v>
      </c>
      <c r="BG17">
        <f t="shared" si="15"/>
        <v>187.81371694367047</v>
      </c>
      <c r="BH17">
        <f t="shared" si="16"/>
        <v>115.9039738985375</v>
      </c>
      <c r="BI17">
        <f t="shared" si="17"/>
        <v>94.498772230159929</v>
      </c>
      <c r="BJ17">
        <f t="shared" si="18"/>
        <v>55.790353463141564</v>
      </c>
      <c r="BK17">
        <f t="shared" si="19"/>
        <v>25.27568054415126</v>
      </c>
      <c r="BL17">
        <f t="shared" si="20"/>
        <v>15.516437632178581</v>
      </c>
      <c r="BM17">
        <f t="shared" si="21"/>
        <v>4.971934814465488</v>
      </c>
      <c r="BN17">
        <f t="shared" si="22"/>
        <v>3.7060764962400161</v>
      </c>
      <c r="BO17">
        <f t="shared" si="23"/>
        <v>1.5930629099361731</v>
      </c>
      <c r="BQ17" s="4">
        <f t="shared" si="3"/>
        <v>1977</v>
      </c>
      <c r="BR17" s="27">
        <f t="shared" si="4"/>
        <v>3309152.5849854471</v>
      </c>
      <c r="BS17" s="27">
        <f t="shared" si="5"/>
        <v>4203838.4281968446</v>
      </c>
      <c r="BT17">
        <f t="shared" si="24"/>
        <v>0.21282593479577561</v>
      </c>
      <c r="BU17" s="20">
        <f t="shared" si="25"/>
        <v>0.39517572679300994</v>
      </c>
      <c r="BV17" s="20">
        <f t="shared" si="6"/>
        <v>0.37851965531343956</v>
      </c>
      <c r="BW17">
        <f>pm.rep!B76</f>
        <v>13755.3</v>
      </c>
      <c r="BX17">
        <f>pm.rep!C76</f>
        <v>5318.47</v>
      </c>
      <c r="BY17">
        <f>pm.rep!D76</f>
        <v>3989.97</v>
      </c>
      <c r="BZ17">
        <f>pm.rep!E76</f>
        <v>2256.02</v>
      </c>
      <c r="CA17">
        <f>pm.rep!F76</f>
        <v>1234.25</v>
      </c>
      <c r="CB17">
        <f>pm.rep!G76</f>
        <v>253.52199999999999</v>
      </c>
      <c r="CC17">
        <f>pm.rep!H76</f>
        <v>156.45400000000001</v>
      </c>
      <c r="CD17">
        <f>pm.rep!I76</f>
        <v>127.56</v>
      </c>
      <c r="CE17">
        <f>pm.rep!J76</f>
        <v>75.309100000000001</v>
      </c>
      <c r="CF17">
        <f>pm.rep!K76</f>
        <v>34.118600000000001</v>
      </c>
      <c r="CG17">
        <f>pm.rep!L76</f>
        <v>20.945</v>
      </c>
      <c r="CH17">
        <f>pm.rep!M76</f>
        <v>6.7114099999999999</v>
      </c>
      <c r="CI17">
        <f>pm.rep!N76</f>
        <v>5.0026799999999998</v>
      </c>
      <c r="CJ17">
        <f>pm.rep!O76</f>
        <v>0.85385999999999995</v>
      </c>
      <c r="CK17">
        <f>pm.rep!P76</f>
        <v>1.2965500000000001</v>
      </c>
    </row>
    <row r="18" spans="4:89" x14ac:dyDescent="0.15">
      <c r="D18">
        <f>pm.rep!A23</f>
        <v>1978</v>
      </c>
      <c r="E18">
        <f>pm.rep!B23</f>
        <v>0.405526</v>
      </c>
      <c r="F18">
        <f>pm.rep!C23</f>
        <v>0.588835</v>
      </c>
      <c r="G18">
        <f>pm.rep!D23</f>
        <v>0.54705800000000004</v>
      </c>
      <c r="H18">
        <f>pm.rep!E23</f>
        <v>0.5081</v>
      </c>
      <c r="I18">
        <f>pm.rep!F23</f>
        <v>0.485259</v>
      </c>
      <c r="J18">
        <f>pm.rep!G23</f>
        <v>0.487956</v>
      </c>
      <c r="K18">
        <f>pm.rep!H23</f>
        <v>0.488122</v>
      </c>
      <c r="L18">
        <f>pm.rep!I23</f>
        <v>0.48838500000000001</v>
      </c>
      <c r="M18">
        <f>pm.rep!J23</f>
        <v>0.473686</v>
      </c>
      <c r="N18">
        <f>pm.rep!K23</f>
        <v>0.46842099999999998</v>
      </c>
      <c r="O18">
        <f>pm.rep!L23</f>
        <v>0.46842099999999998</v>
      </c>
      <c r="P18">
        <f>pm.rep!M23</f>
        <v>0.46842099999999998</v>
      </c>
      <c r="Q18">
        <f>pm.rep!N23</f>
        <v>0.46842099999999998</v>
      </c>
      <c r="R18">
        <f>pm.rep!O23</f>
        <v>0.46842099999999998</v>
      </c>
      <c r="S18">
        <f>pm.rep!P23</f>
        <v>0.46842099999999998</v>
      </c>
      <c r="U18" s="27">
        <f>pm.rep!B77</f>
        <v>25352.3</v>
      </c>
      <c r="V18" s="27">
        <f>pm.rep!C77</f>
        <v>5575.28</v>
      </c>
      <c r="W18" s="27">
        <f>pm.rep!D77</f>
        <v>3107.72</v>
      </c>
      <c r="X18" s="27">
        <f>pm.rep!E77</f>
        <v>2185.7800000000002</v>
      </c>
      <c r="Y18" s="27">
        <f>pm.rep!F77</f>
        <v>1153.6300000000001</v>
      </c>
      <c r="Z18" s="27">
        <f>pm.rep!G77</f>
        <v>619.22400000000005</v>
      </c>
      <c r="AA18" s="27">
        <f>pm.rep!H77</f>
        <v>128.09</v>
      </c>
      <c r="AB18" s="27">
        <f>pm.rep!I77</f>
        <v>79.384</v>
      </c>
      <c r="AC18" s="27">
        <f>pm.rep!J77</f>
        <v>64.774100000000004</v>
      </c>
      <c r="AD18" s="27">
        <f>pm.rep!K77</f>
        <v>37.122999999999998</v>
      </c>
      <c r="AE18" s="27">
        <f>pm.rep!L77</f>
        <v>16.6539</v>
      </c>
      <c r="AF18" s="27">
        <f>pm.rep!M77</f>
        <v>10.223599999999999</v>
      </c>
      <c r="AG18" s="27">
        <f>pm.rep!N77</f>
        <v>3.27596</v>
      </c>
      <c r="AH18" s="27">
        <f>pm.rep!O77</f>
        <v>2.4419</v>
      </c>
      <c r="AI18" s="27">
        <f>pm.rep!P77</f>
        <v>1.04965</v>
      </c>
      <c r="AK18">
        <f t="shared" si="7"/>
        <v>61942.6</v>
      </c>
      <c r="AL18">
        <f t="shared" ref="AL18:AX18" si="38">U18*EXP(-E$1-E73)</f>
        <v>10281.016809799999</v>
      </c>
      <c r="AM18">
        <f t="shared" si="38"/>
        <v>2093.2822107569982</v>
      </c>
      <c r="AN18">
        <f t="shared" si="38"/>
        <v>1463.2922883799022</v>
      </c>
      <c r="AO18">
        <f t="shared" si="38"/>
        <v>1110.594818</v>
      </c>
      <c r="AP18">
        <f t="shared" si="38"/>
        <v>559.80934017000004</v>
      </c>
      <c r="AQ18">
        <f t="shared" si="38"/>
        <v>302.15406614400001</v>
      </c>
      <c r="AR18">
        <f t="shared" si="38"/>
        <v>62.523546979999999</v>
      </c>
      <c r="AS18">
        <f t="shared" si="38"/>
        <v>38.769954840000004</v>
      </c>
      <c r="AT18">
        <f t="shared" si="38"/>
        <v>30.682584332600001</v>
      </c>
      <c r="AU18">
        <f t="shared" si="38"/>
        <v>17.389192782999999</v>
      </c>
      <c r="AV18">
        <f t="shared" si="38"/>
        <v>12.337512565411261</v>
      </c>
      <c r="AW18">
        <f t="shared" si="38"/>
        <v>7.5738291609616102</v>
      </c>
      <c r="AX18">
        <f t="shared" si="38"/>
        <v>2.4268908582244806</v>
      </c>
      <c r="AY18">
        <f t="shared" si="1"/>
        <v>2.5866038584212521</v>
      </c>
      <c r="BA18">
        <f t="shared" si="9"/>
        <v>61942.6</v>
      </c>
      <c r="BB18">
        <f t="shared" si="10"/>
        <v>10307.475984641591</v>
      </c>
      <c r="BC18">
        <f t="shared" si="11"/>
        <v>2266.7396925585672</v>
      </c>
      <c r="BD18">
        <f t="shared" si="12"/>
        <v>1981.5697593580173</v>
      </c>
      <c r="BE18">
        <f t="shared" si="13"/>
        <v>1619.2656504016854</v>
      </c>
      <c r="BF18">
        <f t="shared" si="14"/>
        <v>854.63012392505027</v>
      </c>
      <c r="BG18">
        <f t="shared" si="15"/>
        <v>458.73242188341612</v>
      </c>
      <c r="BH18">
        <f t="shared" si="16"/>
        <v>94.891405887121252</v>
      </c>
      <c r="BI18">
        <f t="shared" si="17"/>
        <v>58.809113630597494</v>
      </c>
      <c r="BJ18">
        <f t="shared" si="18"/>
        <v>47.985833508259667</v>
      </c>
      <c r="BK18">
        <f t="shared" si="19"/>
        <v>27.501394806367411</v>
      </c>
      <c r="BL18">
        <f t="shared" si="20"/>
        <v>12.337512565411261</v>
      </c>
      <c r="BM18">
        <f t="shared" si="21"/>
        <v>7.5738291609616102</v>
      </c>
      <c r="BN18">
        <f t="shared" si="22"/>
        <v>2.4268908582244806</v>
      </c>
      <c r="BO18">
        <f t="shared" si="23"/>
        <v>2.5866038584212521</v>
      </c>
      <c r="BQ18" s="4">
        <f t="shared" si="3"/>
        <v>1978</v>
      </c>
      <c r="BR18" s="27">
        <f t="shared" si="4"/>
        <v>2912681.6632674579</v>
      </c>
      <c r="BS18" s="27">
        <f t="shared" si="5"/>
        <v>3695303.2771795774</v>
      </c>
      <c r="BT18">
        <f t="shared" si="24"/>
        <v>0.21178819577413732</v>
      </c>
      <c r="BU18" s="20">
        <f t="shared" si="25"/>
        <v>0.43485989824230098</v>
      </c>
      <c r="BV18" s="20">
        <f t="shared" si="6"/>
        <v>0.41762919266883058</v>
      </c>
      <c r="BW18">
        <f>pm.rep!B77</f>
        <v>25352.3</v>
      </c>
      <c r="BX18">
        <f>pm.rep!C77</f>
        <v>5575.28</v>
      </c>
      <c r="BY18">
        <f>pm.rep!D77</f>
        <v>3107.72</v>
      </c>
      <c r="BZ18">
        <f>pm.rep!E77</f>
        <v>2185.7800000000002</v>
      </c>
      <c r="CA18">
        <f>pm.rep!F77</f>
        <v>1153.6300000000001</v>
      </c>
      <c r="CB18">
        <f>pm.rep!G77</f>
        <v>619.22400000000005</v>
      </c>
      <c r="CC18">
        <f>pm.rep!H77</f>
        <v>128.09</v>
      </c>
      <c r="CD18">
        <f>pm.rep!I77</f>
        <v>79.384</v>
      </c>
      <c r="CE18">
        <f>pm.rep!J77</f>
        <v>64.774100000000004</v>
      </c>
      <c r="CF18">
        <f>pm.rep!K77</f>
        <v>37.122999999999998</v>
      </c>
      <c r="CG18">
        <f>pm.rep!L77</f>
        <v>16.6539</v>
      </c>
      <c r="CH18">
        <f>pm.rep!M77</f>
        <v>10.223599999999999</v>
      </c>
      <c r="CI18">
        <f>pm.rep!N77</f>
        <v>3.27596</v>
      </c>
      <c r="CJ18">
        <f>pm.rep!O77</f>
        <v>2.4419</v>
      </c>
      <c r="CK18">
        <f>pm.rep!P77</f>
        <v>1.04965</v>
      </c>
    </row>
    <row r="19" spans="4:89" x14ac:dyDescent="0.15">
      <c r="D19">
        <f>pm.rep!A24</f>
        <v>1979</v>
      </c>
      <c r="E19">
        <f>pm.rep!B24</f>
        <v>0.405719</v>
      </c>
      <c r="F19">
        <f>pm.rep!C24</f>
        <v>0.60455599999999998</v>
      </c>
      <c r="G19">
        <f>pm.rep!D24</f>
        <v>0.57611299999999999</v>
      </c>
      <c r="H19">
        <f>pm.rep!E24</f>
        <v>0.52046800000000004</v>
      </c>
      <c r="I19">
        <f>pm.rep!F24</f>
        <v>0.47336600000000001</v>
      </c>
      <c r="J19">
        <f>pm.rep!G24</f>
        <v>0.46775499999999998</v>
      </c>
      <c r="K19">
        <f>pm.rep!H24</f>
        <v>0.470858</v>
      </c>
      <c r="L19">
        <f>pm.rep!I24</f>
        <v>0.47102899999999998</v>
      </c>
      <c r="M19">
        <f>pm.rep!J24</f>
        <v>0.45890599999999998</v>
      </c>
      <c r="N19">
        <f>pm.rep!K24</f>
        <v>0.45838099999999998</v>
      </c>
      <c r="O19">
        <f>pm.rep!L24</f>
        <v>0.45838099999999998</v>
      </c>
      <c r="P19">
        <f>pm.rep!M24</f>
        <v>0.45838099999999998</v>
      </c>
      <c r="Q19">
        <f>pm.rep!N24</f>
        <v>0.45838099999999998</v>
      </c>
      <c r="R19">
        <f>pm.rep!O24</f>
        <v>0.45838099999999998</v>
      </c>
      <c r="S19">
        <f>pm.rep!P24</f>
        <v>0.45838099999999998</v>
      </c>
      <c r="U19" s="27">
        <f>pm.rep!B78</f>
        <v>61942.6</v>
      </c>
      <c r="V19" s="27">
        <f>pm.rep!C78</f>
        <v>10281</v>
      </c>
      <c r="W19" s="27">
        <f>pm.rep!D78</f>
        <v>3282.92</v>
      </c>
      <c r="X19" s="27">
        <f>pm.rep!E78</f>
        <v>1700.1</v>
      </c>
      <c r="Y19" s="27">
        <f>pm.rep!F78</f>
        <v>1110.5899999999999</v>
      </c>
      <c r="Z19" s="27">
        <f>pm.rep!G78</f>
        <v>559.80700000000002</v>
      </c>
      <c r="AA19" s="27">
        <f>pm.rep!H78</f>
        <v>302.154</v>
      </c>
      <c r="AB19" s="27">
        <f>pm.rep!I78</f>
        <v>62.523200000000003</v>
      </c>
      <c r="AC19" s="27">
        <f>pm.rep!J78</f>
        <v>38.7699</v>
      </c>
      <c r="AD19" s="27">
        <f>pm.rep!K78</f>
        <v>30.682600000000001</v>
      </c>
      <c r="AE19" s="27">
        <f>pm.rep!L78</f>
        <v>17.389199999999999</v>
      </c>
      <c r="AF19" s="27">
        <f>pm.rep!M78</f>
        <v>7.8010099999999998</v>
      </c>
      <c r="AG19" s="27">
        <f>pm.rep!N78</f>
        <v>4.7889600000000003</v>
      </c>
      <c r="AH19" s="27">
        <f>pm.rep!O78</f>
        <v>1.5345299999999999</v>
      </c>
      <c r="AI19" s="27">
        <f>pm.rep!P78</f>
        <v>1.63551</v>
      </c>
      <c r="AK19">
        <f t="shared" si="7"/>
        <v>27184.1</v>
      </c>
      <c r="AL19">
        <f t="shared" ref="AL19:AX19" si="39">U19*EXP(-E$1-E74)</f>
        <v>25131.289729399999</v>
      </c>
      <c r="AM19">
        <f t="shared" si="39"/>
        <v>3963.1396691962777</v>
      </c>
      <c r="AN19">
        <f t="shared" si="39"/>
        <v>1627.8853044636282</v>
      </c>
      <c r="AO19">
        <f t="shared" si="39"/>
        <v>884.84764680000001</v>
      </c>
      <c r="AP19">
        <f t="shared" si="39"/>
        <v>525.71554593999997</v>
      </c>
      <c r="AQ19">
        <f t="shared" si="39"/>
        <v>261.85252328500002</v>
      </c>
      <c r="AR19">
        <f t="shared" si="39"/>
        <v>142.27162813199999</v>
      </c>
      <c r="AS19">
        <f t="shared" si="39"/>
        <v>29.4502403728</v>
      </c>
      <c r="AT19">
        <f t="shared" si="39"/>
        <v>17.7917397294</v>
      </c>
      <c r="AU19">
        <f t="shared" si="39"/>
        <v>14.0643208706</v>
      </c>
      <c r="AV19">
        <f t="shared" si="39"/>
        <v>12.882236203078527</v>
      </c>
      <c r="AW19">
        <f t="shared" si="39"/>
        <v>5.7791303477202876</v>
      </c>
      <c r="AX19">
        <f t="shared" si="39"/>
        <v>3.54774882611592</v>
      </c>
      <c r="AY19">
        <f t="shared" si="1"/>
        <v>2.348423392289873</v>
      </c>
      <c r="BA19">
        <f t="shared" si="9"/>
        <v>27184.1</v>
      </c>
      <c r="BB19">
        <f t="shared" si="10"/>
        <v>25183.981805448035</v>
      </c>
      <c r="BC19">
        <f t="shared" si="11"/>
        <v>4179.9426717930992</v>
      </c>
      <c r="BD19">
        <f t="shared" si="12"/>
        <v>2093.282211522152</v>
      </c>
      <c r="BE19">
        <f t="shared" si="13"/>
        <v>1259.4650569809885</v>
      </c>
      <c r="BF19">
        <f t="shared" si="14"/>
        <v>822.74530770690899</v>
      </c>
      <c r="BG19">
        <f t="shared" si="15"/>
        <v>414.71522566517046</v>
      </c>
      <c r="BH19">
        <f t="shared" si="16"/>
        <v>223.84118865186377</v>
      </c>
      <c r="BI19">
        <f t="shared" si="17"/>
        <v>46.318325775327182</v>
      </c>
      <c r="BJ19">
        <f t="shared" si="18"/>
        <v>28.721448334008134</v>
      </c>
      <c r="BK19">
        <f t="shared" si="19"/>
        <v>22.730229137888877</v>
      </c>
      <c r="BL19">
        <f t="shared" si="20"/>
        <v>12.882236203078527</v>
      </c>
      <c r="BM19">
        <f t="shared" si="21"/>
        <v>5.7791303477202876</v>
      </c>
      <c r="BN19">
        <f t="shared" si="22"/>
        <v>3.54774882611592</v>
      </c>
      <c r="BO19">
        <f t="shared" si="23"/>
        <v>2.348423392289873</v>
      </c>
      <c r="BQ19" s="4">
        <f t="shared" si="3"/>
        <v>1979</v>
      </c>
      <c r="BR19" s="27">
        <f t="shared" si="4"/>
        <v>4389610.2952787913</v>
      </c>
      <c r="BS19" s="27">
        <f t="shared" si="5"/>
        <v>5023161.309269961</v>
      </c>
      <c r="BT19">
        <f t="shared" si="24"/>
        <v>0.12612595435109497</v>
      </c>
      <c r="BU19" s="20">
        <f t="shared" si="25"/>
        <v>0.4662496945593359</v>
      </c>
      <c r="BV19" s="20">
        <f t="shared" si="6"/>
        <v>0.45202796000486994</v>
      </c>
      <c r="BW19">
        <f>pm.rep!B78</f>
        <v>61942.6</v>
      </c>
      <c r="BX19">
        <f>pm.rep!C78</f>
        <v>10281</v>
      </c>
      <c r="BY19">
        <f>pm.rep!D78</f>
        <v>3282.92</v>
      </c>
      <c r="BZ19">
        <f>pm.rep!E78</f>
        <v>1700.1</v>
      </c>
      <c r="CA19">
        <f>pm.rep!F78</f>
        <v>1110.5899999999999</v>
      </c>
      <c r="CB19">
        <f>pm.rep!G78</f>
        <v>559.80700000000002</v>
      </c>
      <c r="CC19">
        <f>pm.rep!H78</f>
        <v>302.154</v>
      </c>
      <c r="CD19">
        <f>pm.rep!I78</f>
        <v>62.523200000000003</v>
      </c>
      <c r="CE19">
        <f>pm.rep!J78</f>
        <v>38.7699</v>
      </c>
      <c r="CF19">
        <f>pm.rep!K78</f>
        <v>30.682600000000001</v>
      </c>
      <c r="CG19">
        <f>pm.rep!L78</f>
        <v>17.389199999999999</v>
      </c>
      <c r="CH19">
        <f>pm.rep!M78</f>
        <v>7.8010099999999998</v>
      </c>
      <c r="CI19">
        <f>pm.rep!N78</f>
        <v>4.7889600000000003</v>
      </c>
      <c r="CJ19">
        <f>pm.rep!O78</f>
        <v>1.5345299999999999</v>
      </c>
      <c r="CK19">
        <f>pm.rep!P78</f>
        <v>1.63551</v>
      </c>
    </row>
    <row r="20" spans="4:89" x14ac:dyDescent="0.15">
      <c r="D20">
        <f>pm.rep!A25</f>
        <v>1980</v>
      </c>
      <c r="E20">
        <f>pm.rep!B25</f>
        <v>0.40596700000000002</v>
      </c>
      <c r="F20">
        <f>pm.rep!C25</f>
        <v>0.62015900000000002</v>
      </c>
      <c r="G20">
        <f>pm.rep!D25</f>
        <v>0.62875599999999998</v>
      </c>
      <c r="H20">
        <f>pm.rep!E25</f>
        <v>0.53542900000000004</v>
      </c>
      <c r="I20">
        <f>pm.rep!F25</f>
        <v>0.484178</v>
      </c>
      <c r="J20">
        <f>pm.rep!G25</f>
        <v>0.47252300000000003</v>
      </c>
      <c r="K20">
        <f>pm.rep!H25</f>
        <v>0.47586299999999998</v>
      </c>
      <c r="L20">
        <f>pm.rep!I25</f>
        <v>0.47778500000000002</v>
      </c>
      <c r="M20">
        <f>pm.rep!J25</f>
        <v>0.47400799999999998</v>
      </c>
      <c r="N20">
        <f>pm.rep!K25</f>
        <v>0.474107</v>
      </c>
      <c r="O20">
        <f>pm.rep!L25</f>
        <v>0.474107</v>
      </c>
      <c r="P20">
        <f>pm.rep!M25</f>
        <v>0.474107</v>
      </c>
      <c r="Q20">
        <f>pm.rep!N25</f>
        <v>0.474107</v>
      </c>
      <c r="R20">
        <f>pm.rep!O25</f>
        <v>0.474107</v>
      </c>
      <c r="S20">
        <f>pm.rep!P25</f>
        <v>0.474107</v>
      </c>
      <c r="U20" s="27">
        <f>pm.rep!B79</f>
        <v>27184.1</v>
      </c>
      <c r="V20" s="27">
        <f>pm.rep!C79</f>
        <v>25131.3</v>
      </c>
      <c r="W20" s="27">
        <f>pm.rep!D79</f>
        <v>6215.44</v>
      </c>
      <c r="X20" s="27">
        <f>pm.rep!E79</f>
        <v>1891.33</v>
      </c>
      <c r="Y20" s="27">
        <f>pm.rep!F79</f>
        <v>884.84900000000005</v>
      </c>
      <c r="Z20" s="27">
        <f>pm.rep!G79</f>
        <v>525.71699999999998</v>
      </c>
      <c r="AA20" s="27">
        <f>pm.rep!H79</f>
        <v>261.85300000000001</v>
      </c>
      <c r="AB20" s="27">
        <f>pm.rep!I79</f>
        <v>142.27199999999999</v>
      </c>
      <c r="AC20" s="27">
        <f>pm.rep!J79</f>
        <v>29.450299999999999</v>
      </c>
      <c r="AD20" s="27">
        <f>pm.rep!K79</f>
        <v>17.791799999999999</v>
      </c>
      <c r="AE20" s="27">
        <f>pm.rep!L79</f>
        <v>14.064299999999999</v>
      </c>
      <c r="AF20" s="27">
        <f>pm.rep!M79</f>
        <v>7.9708800000000002</v>
      </c>
      <c r="AG20" s="27">
        <f>pm.rep!N79</f>
        <v>3.5758399999999999</v>
      </c>
      <c r="AH20" s="27">
        <f>pm.rep!O79</f>
        <v>2.1951700000000001</v>
      </c>
      <c r="AI20" s="27">
        <f>pm.rep!P79</f>
        <v>1.45309</v>
      </c>
      <c r="AK20">
        <f t="shared" si="7"/>
        <v>30738.1</v>
      </c>
      <c r="AL20">
        <f t="shared" ref="AL20:AX20" si="40">U20*EXP(-E$1-E75)</f>
        <v>11035.847524700001</v>
      </c>
      <c r="AM20">
        <f t="shared" si="40"/>
        <v>9937.6909909227379</v>
      </c>
      <c r="AN20">
        <f t="shared" si="40"/>
        <v>3363.6426341360279</v>
      </c>
      <c r="AO20">
        <f t="shared" si="40"/>
        <v>1012.6729305700001</v>
      </c>
      <c r="AP20">
        <f t="shared" si="40"/>
        <v>428.42441912200002</v>
      </c>
      <c r="AQ20">
        <f t="shared" si="40"/>
        <v>248.41337399100001</v>
      </c>
      <c r="AR20">
        <f t="shared" si="40"/>
        <v>124.606154139</v>
      </c>
      <c r="AS20">
        <f t="shared" si="40"/>
        <v>67.975427519999997</v>
      </c>
      <c r="AT20">
        <f t="shared" si="40"/>
        <v>13.959677802399998</v>
      </c>
      <c r="AU20">
        <f t="shared" si="40"/>
        <v>8.4352169225999987</v>
      </c>
      <c r="AV20">
        <f t="shared" si="40"/>
        <v>10.419089701133885</v>
      </c>
      <c r="AW20">
        <f t="shared" si="40"/>
        <v>5.9049731388674918</v>
      </c>
      <c r="AX20">
        <f t="shared" si="40"/>
        <v>2.6490474262425141</v>
      </c>
      <c r="AY20">
        <f t="shared" si="1"/>
        <v>2.7026974817842842</v>
      </c>
      <c r="BA20">
        <f t="shared" si="9"/>
        <v>30738.1</v>
      </c>
      <c r="BB20">
        <f t="shared" si="10"/>
        <v>11052.230287354419</v>
      </c>
      <c r="BC20">
        <f t="shared" si="11"/>
        <v>10217.624089838919</v>
      </c>
      <c r="BD20">
        <f t="shared" si="12"/>
        <v>3963.1395187160347</v>
      </c>
      <c r="BE20">
        <f t="shared" si="13"/>
        <v>1401.1317253219534</v>
      </c>
      <c r="BF20">
        <f t="shared" si="14"/>
        <v>655.51226175199747</v>
      </c>
      <c r="BG20">
        <f t="shared" si="15"/>
        <v>389.46073252213068</v>
      </c>
      <c r="BH20">
        <f t="shared" si="16"/>
        <v>193.98547354016986</v>
      </c>
      <c r="BI20">
        <f t="shared" si="17"/>
        <v>105.39768989282936</v>
      </c>
      <c r="BJ20">
        <f t="shared" si="18"/>
        <v>21.817318844542793</v>
      </c>
      <c r="BK20">
        <f t="shared" si="19"/>
        <v>13.180489618724987</v>
      </c>
      <c r="BL20">
        <f t="shared" si="20"/>
        <v>10.419089701133885</v>
      </c>
      <c r="BM20">
        <f t="shared" si="21"/>
        <v>5.9049731388674918</v>
      </c>
      <c r="BN20">
        <f t="shared" si="22"/>
        <v>2.6490474262425141</v>
      </c>
      <c r="BO20">
        <f t="shared" si="23"/>
        <v>2.7026974817842842</v>
      </c>
      <c r="BQ20" s="4">
        <f t="shared" si="3"/>
        <v>1980</v>
      </c>
      <c r="BR20" s="27">
        <f t="shared" si="4"/>
        <v>12592929.433108717</v>
      </c>
      <c r="BS20" s="27">
        <f t="shared" si="5"/>
        <v>13430761.045494784</v>
      </c>
      <c r="BT20">
        <f t="shared" si="24"/>
        <v>6.2381544094785912E-2</v>
      </c>
      <c r="BU20" s="20">
        <f t="shared" si="25"/>
        <v>0.44351826098331054</v>
      </c>
      <c r="BV20" s="20">
        <f t="shared" si="6"/>
        <v>0.44039389598643225</v>
      </c>
      <c r="BW20">
        <f>pm.rep!B79</f>
        <v>27184.1</v>
      </c>
      <c r="BX20">
        <f>pm.rep!C79</f>
        <v>25131.3</v>
      </c>
      <c r="BY20">
        <f>pm.rep!D79</f>
        <v>6215.44</v>
      </c>
      <c r="BZ20">
        <f>pm.rep!E79</f>
        <v>1891.33</v>
      </c>
      <c r="CA20">
        <f>pm.rep!F79</f>
        <v>884.84900000000005</v>
      </c>
      <c r="CB20">
        <f>pm.rep!G79</f>
        <v>525.71699999999998</v>
      </c>
      <c r="CC20">
        <f>pm.rep!H79</f>
        <v>261.85300000000001</v>
      </c>
      <c r="CD20">
        <f>pm.rep!I79</f>
        <v>142.27199999999999</v>
      </c>
      <c r="CE20">
        <f>pm.rep!J79</f>
        <v>29.450299999999999</v>
      </c>
      <c r="CF20">
        <f>pm.rep!K79</f>
        <v>17.791799999999999</v>
      </c>
      <c r="CG20">
        <f>pm.rep!L79</f>
        <v>14.064299999999999</v>
      </c>
      <c r="CH20">
        <f>pm.rep!M79</f>
        <v>7.9708800000000002</v>
      </c>
      <c r="CI20">
        <f>pm.rep!N79</f>
        <v>3.5758399999999999</v>
      </c>
      <c r="CJ20">
        <f>pm.rep!O79</f>
        <v>2.1951700000000001</v>
      </c>
      <c r="CK20">
        <f>pm.rep!P79</f>
        <v>1.45309</v>
      </c>
    </row>
    <row r="21" spans="4:89" x14ac:dyDescent="0.15">
      <c r="D21">
        <f>pm.rep!A26</f>
        <v>1981</v>
      </c>
      <c r="E21">
        <f>pm.rep!B26</f>
        <v>0.40621400000000002</v>
      </c>
      <c r="F21">
        <f>pm.rep!C26</f>
        <v>0.62830900000000001</v>
      </c>
      <c r="G21">
        <f>pm.rep!D26</f>
        <v>0.68134799999999995</v>
      </c>
      <c r="H21">
        <f>pm.rep!E26</f>
        <v>0.59588200000000002</v>
      </c>
      <c r="I21">
        <f>pm.rep!F26</f>
        <v>0.53414200000000001</v>
      </c>
      <c r="J21">
        <f>pm.rep!G26</f>
        <v>0.53083100000000005</v>
      </c>
      <c r="K21">
        <f>pm.rep!H26</f>
        <v>0.53179900000000002</v>
      </c>
      <c r="L21">
        <f>pm.rep!I26</f>
        <v>0.53188100000000005</v>
      </c>
      <c r="M21">
        <f>pm.rep!J26</f>
        <v>0.52962500000000001</v>
      </c>
      <c r="N21">
        <f>pm.rep!K26</f>
        <v>0.52995199999999998</v>
      </c>
      <c r="O21">
        <f>pm.rep!L26</f>
        <v>0.52995199999999998</v>
      </c>
      <c r="P21">
        <f>pm.rep!M26</f>
        <v>0.52995199999999998</v>
      </c>
      <c r="Q21">
        <f>pm.rep!N26</f>
        <v>0.52995199999999998</v>
      </c>
      <c r="R21">
        <f>pm.rep!O26</f>
        <v>0.52995199999999998</v>
      </c>
      <c r="S21">
        <f>pm.rep!P26</f>
        <v>0.52995199999999998</v>
      </c>
      <c r="U21" s="27">
        <f>pm.rep!B80</f>
        <v>30738.1</v>
      </c>
      <c r="V21" s="27">
        <f>pm.rep!C80</f>
        <v>11035.8</v>
      </c>
      <c r="W21" s="27">
        <f>pm.rep!D80</f>
        <v>15585.4</v>
      </c>
      <c r="X21" s="27">
        <f>pm.rep!E80</f>
        <v>3907.99</v>
      </c>
      <c r="Y21" s="27">
        <f>pm.rep!F80</f>
        <v>1012.67</v>
      </c>
      <c r="Z21" s="27">
        <f>pm.rep!G80</f>
        <v>428.42500000000001</v>
      </c>
      <c r="AA21" s="27">
        <f>pm.rep!H80</f>
        <v>248.41300000000001</v>
      </c>
      <c r="AB21" s="27">
        <f>pm.rep!I80</f>
        <v>124.60599999999999</v>
      </c>
      <c r="AC21" s="27">
        <f>pm.rep!J80</f>
        <v>67.975300000000004</v>
      </c>
      <c r="AD21" s="27">
        <f>pm.rep!K80</f>
        <v>13.9597</v>
      </c>
      <c r="AE21" s="27">
        <f>pm.rep!L80</f>
        <v>8.4352099999999997</v>
      </c>
      <c r="AF21" s="27">
        <f>pm.rep!M80</f>
        <v>6.6680000000000001</v>
      </c>
      <c r="AG21" s="27">
        <f>pm.rep!N80</f>
        <v>3.7790499999999998</v>
      </c>
      <c r="AH21" s="27">
        <f>pm.rep!O80</f>
        <v>1.69533</v>
      </c>
      <c r="AI21" s="27">
        <f>pm.rep!P80</f>
        <v>1.72966</v>
      </c>
      <c r="AK21">
        <f t="shared" si="7"/>
        <v>16305.4</v>
      </c>
      <c r="AL21">
        <f t="shared" ref="AL21:AX21" si="41">U21*EXP(-E$1-E76)</f>
        <v>12486.2465534</v>
      </c>
      <c r="AM21">
        <f t="shared" si="41"/>
        <v>4421.2450342167331</v>
      </c>
      <c r="AN21">
        <f t="shared" si="41"/>
        <v>9139.9278216001694</v>
      </c>
      <c r="AO21">
        <f t="shared" si="41"/>
        <v>2328.7008971800001</v>
      </c>
      <c r="AP21">
        <f t="shared" si="41"/>
        <v>540.90957914000001</v>
      </c>
      <c r="AQ21">
        <f t="shared" si="41"/>
        <v>227.42127117500002</v>
      </c>
      <c r="AR21">
        <f t="shared" si="41"/>
        <v>132.10578498700002</v>
      </c>
      <c r="AS21">
        <f t="shared" si="41"/>
        <v>66.275563886</v>
      </c>
      <c r="AT21">
        <f t="shared" si="41"/>
        <v>36.001418262500003</v>
      </c>
      <c r="AU21">
        <f t="shared" si="41"/>
        <v>7.3979709344</v>
      </c>
      <c r="AV21">
        <f t="shared" si="41"/>
        <v>6.2489572632766333</v>
      </c>
      <c r="AW21">
        <f t="shared" si="41"/>
        <v>4.9397758955056945</v>
      </c>
      <c r="AX21">
        <f t="shared" si="41"/>
        <v>2.7995890968672459</v>
      </c>
      <c r="AY21">
        <f t="shared" si="1"/>
        <v>2.5372949976526771</v>
      </c>
      <c r="BA21">
        <f t="shared" si="9"/>
        <v>16305.4</v>
      </c>
      <c r="BB21">
        <f t="shared" si="10"/>
        <v>12497.17885807251</v>
      </c>
      <c r="BC21">
        <f t="shared" si="11"/>
        <v>4486.8214509653035</v>
      </c>
      <c r="BD21">
        <f t="shared" si="12"/>
        <v>9937.689794285985</v>
      </c>
      <c r="BE21">
        <f t="shared" si="13"/>
        <v>2895.1101982419464</v>
      </c>
      <c r="BF21">
        <f t="shared" si="14"/>
        <v>750.20438753775522</v>
      </c>
      <c r="BG21">
        <f t="shared" si="15"/>
        <v>317.385046195565</v>
      </c>
      <c r="BH21">
        <f t="shared" si="16"/>
        <v>184.02887665420758</v>
      </c>
      <c r="BI21">
        <f t="shared" si="17"/>
        <v>92.310395206266136</v>
      </c>
      <c r="BJ21">
        <f t="shared" si="18"/>
        <v>50.357340796305984</v>
      </c>
      <c r="BK21">
        <f t="shared" si="19"/>
        <v>10.341600115250577</v>
      </c>
      <c r="BL21">
        <f t="shared" si="20"/>
        <v>6.2489572632766333</v>
      </c>
      <c r="BM21">
        <f t="shared" si="21"/>
        <v>4.9397758955056945</v>
      </c>
      <c r="BN21">
        <f t="shared" si="22"/>
        <v>2.7995890968672459</v>
      </c>
      <c r="BO21">
        <f t="shared" si="23"/>
        <v>2.5372949976526771</v>
      </c>
      <c r="BQ21" s="4">
        <f t="shared" si="3"/>
        <v>1981</v>
      </c>
      <c r="BR21" s="27">
        <f t="shared" si="4"/>
        <v>23090465.580402415</v>
      </c>
      <c r="BS21" s="27">
        <f t="shared" si="5"/>
        <v>24534380.349798907</v>
      </c>
      <c r="BT21">
        <f t="shared" si="24"/>
        <v>5.885270990381164E-2</v>
      </c>
      <c r="BU21" s="20">
        <f t="shared" si="25"/>
        <v>0.33334502301592173</v>
      </c>
      <c r="BV21" s="20">
        <f t="shared" si="6"/>
        <v>0.33115152821347593</v>
      </c>
      <c r="BW21">
        <f>pm.rep!B80</f>
        <v>30738.1</v>
      </c>
      <c r="BX21">
        <f>pm.rep!C80</f>
        <v>11035.8</v>
      </c>
      <c r="BY21">
        <f>pm.rep!D80</f>
        <v>15585.4</v>
      </c>
      <c r="BZ21">
        <f>pm.rep!E80</f>
        <v>3907.99</v>
      </c>
      <c r="CA21">
        <f>pm.rep!F80</f>
        <v>1012.67</v>
      </c>
      <c r="CB21">
        <f>pm.rep!G80</f>
        <v>428.42500000000001</v>
      </c>
      <c r="CC21">
        <f>pm.rep!H80</f>
        <v>248.41300000000001</v>
      </c>
      <c r="CD21">
        <f>pm.rep!I80</f>
        <v>124.60599999999999</v>
      </c>
      <c r="CE21">
        <f>pm.rep!J80</f>
        <v>67.975300000000004</v>
      </c>
      <c r="CF21">
        <f>pm.rep!K80</f>
        <v>13.9597</v>
      </c>
      <c r="CG21">
        <f>pm.rep!L80</f>
        <v>8.4352099999999997</v>
      </c>
      <c r="CH21">
        <f>pm.rep!M80</f>
        <v>6.6680000000000001</v>
      </c>
      <c r="CI21">
        <f>pm.rep!N80</f>
        <v>3.7790499999999998</v>
      </c>
      <c r="CJ21">
        <f>pm.rep!O80</f>
        <v>1.69533</v>
      </c>
      <c r="CK21">
        <f>pm.rep!P80</f>
        <v>1.72966</v>
      </c>
    </row>
    <row r="22" spans="4:89" x14ac:dyDescent="0.15">
      <c r="D22">
        <f>pm.rep!A27</f>
        <v>1982</v>
      </c>
      <c r="E22">
        <f>pm.rep!B27</f>
        <v>0.40637000000000001</v>
      </c>
      <c r="F22">
        <f>pm.rep!C27</f>
        <v>0.63230799999999998</v>
      </c>
      <c r="G22">
        <f>pm.rep!D27</f>
        <v>0.712144</v>
      </c>
      <c r="H22">
        <f>pm.rep!E27</f>
        <v>0.65097700000000003</v>
      </c>
      <c r="I22">
        <f>pm.rep!F27</f>
        <v>0.60122600000000004</v>
      </c>
      <c r="J22">
        <f>pm.rep!G27</f>
        <v>0.59159899999999999</v>
      </c>
      <c r="K22">
        <f>pm.rep!H27</f>
        <v>0.592781</v>
      </c>
      <c r="L22">
        <f>pm.rep!I27</f>
        <v>0.59087900000000004</v>
      </c>
      <c r="M22">
        <f>pm.rep!J27</f>
        <v>0.58729799999999999</v>
      </c>
      <c r="N22">
        <f>pm.rep!K27</f>
        <v>0.58746100000000001</v>
      </c>
      <c r="O22">
        <f>pm.rep!L27</f>
        <v>0.58746100000000001</v>
      </c>
      <c r="P22">
        <f>pm.rep!M27</f>
        <v>0.58746100000000001</v>
      </c>
      <c r="Q22">
        <f>pm.rep!N27</f>
        <v>0.58746100000000001</v>
      </c>
      <c r="R22">
        <f>pm.rep!O27</f>
        <v>0.58746100000000001</v>
      </c>
      <c r="S22">
        <f>pm.rep!P27</f>
        <v>0.58746100000000001</v>
      </c>
      <c r="U22" s="27">
        <f>pm.rep!B81</f>
        <v>16305.4</v>
      </c>
      <c r="V22" s="27">
        <f>pm.rep!C81</f>
        <v>12486.2</v>
      </c>
      <c r="W22" s="27">
        <f>pm.rep!D81</f>
        <v>6933.92</v>
      </c>
      <c r="X22" s="27">
        <f>pm.rep!E81</f>
        <v>10619.1</v>
      </c>
      <c r="Y22" s="27">
        <f>pm.rep!F81</f>
        <v>2328.6999999999998</v>
      </c>
      <c r="Z22" s="27">
        <f>pm.rep!G81</f>
        <v>540.91099999999994</v>
      </c>
      <c r="AA22" s="27">
        <f>pm.rep!H81</f>
        <v>227.42099999999999</v>
      </c>
      <c r="AB22" s="27">
        <f>pm.rep!I81</f>
        <v>132.10599999999999</v>
      </c>
      <c r="AC22" s="27">
        <f>pm.rep!J81</f>
        <v>66.275700000000001</v>
      </c>
      <c r="AD22" s="27">
        <f>pm.rep!K81</f>
        <v>36.001399999999997</v>
      </c>
      <c r="AE22" s="27">
        <f>pm.rep!L81</f>
        <v>7.3979600000000003</v>
      </c>
      <c r="AF22" s="27">
        <f>pm.rep!M81</f>
        <v>4.4702599999999997</v>
      </c>
      <c r="AG22" s="27">
        <f>pm.rep!N81</f>
        <v>3.5337200000000002</v>
      </c>
      <c r="AH22" s="27">
        <f>pm.rep!O81</f>
        <v>2.0027200000000001</v>
      </c>
      <c r="AI22" s="27">
        <f>pm.rep!P81</f>
        <v>1.81508</v>
      </c>
      <c r="AK22">
        <f t="shared" si="7"/>
        <v>52162.3</v>
      </c>
      <c r="AL22">
        <f t="shared" ref="AL22:AX22" si="42">U22*EXP(-E$1-E77)</f>
        <v>6626.0253979999998</v>
      </c>
      <c r="AM22">
        <f t="shared" si="42"/>
        <v>5034.1534183338727</v>
      </c>
      <c r="AN22">
        <f t="shared" si="42"/>
        <v>4250.1325429042581</v>
      </c>
      <c r="AO22">
        <f t="shared" si="42"/>
        <v>6912.7898607000006</v>
      </c>
      <c r="AP22">
        <f t="shared" si="42"/>
        <v>1400.0749862</v>
      </c>
      <c r="AQ22">
        <f t="shared" si="42"/>
        <v>320.00240668899994</v>
      </c>
      <c r="AR22">
        <f t="shared" si="42"/>
        <v>134.81084780099999</v>
      </c>
      <c r="AS22">
        <f t="shared" si="42"/>
        <v>78.058661174000008</v>
      </c>
      <c r="AT22">
        <f t="shared" si="42"/>
        <v>38.923586058600002</v>
      </c>
      <c r="AU22">
        <f t="shared" si="42"/>
        <v>21.149418445399998</v>
      </c>
      <c r="AV22">
        <f t="shared" si="42"/>
        <v>5.4805435638745221</v>
      </c>
      <c r="AW22">
        <f t="shared" si="42"/>
        <v>3.311650059184656</v>
      </c>
      <c r="AX22">
        <f t="shared" si="42"/>
        <v>2.6178441627874003</v>
      </c>
      <c r="AY22">
        <f t="shared" si="1"/>
        <v>2.8282958029186624</v>
      </c>
      <c r="BA22">
        <f t="shared" si="9"/>
        <v>52162.3</v>
      </c>
      <c r="BB22">
        <f t="shared" si="10"/>
        <v>6629.2809299343644</v>
      </c>
      <c r="BC22">
        <f t="shared" si="11"/>
        <v>5076.5100854530692</v>
      </c>
      <c r="BD22">
        <f t="shared" si="12"/>
        <v>4421.2625930932463</v>
      </c>
      <c r="BE22">
        <f t="shared" si="13"/>
        <v>7866.8227672412304</v>
      </c>
      <c r="BF22">
        <f t="shared" si="14"/>
        <v>1725.1433905015163</v>
      </c>
      <c r="BG22">
        <f t="shared" si="15"/>
        <v>400.71672456716868</v>
      </c>
      <c r="BH22">
        <f t="shared" si="16"/>
        <v>168.47762056565696</v>
      </c>
      <c r="BI22">
        <f t="shared" si="17"/>
        <v>97.866531861379016</v>
      </c>
      <c r="BJ22">
        <f t="shared" si="18"/>
        <v>49.098246148435329</v>
      </c>
      <c r="BK22">
        <f t="shared" si="19"/>
        <v>26.670493090050794</v>
      </c>
      <c r="BL22">
        <f t="shared" si="20"/>
        <v>5.4805435638745221</v>
      </c>
      <c r="BM22">
        <f t="shared" si="21"/>
        <v>3.311650059184656</v>
      </c>
      <c r="BN22">
        <f t="shared" si="22"/>
        <v>2.6178441627874003</v>
      </c>
      <c r="BO22">
        <f t="shared" si="23"/>
        <v>2.8282958029186624</v>
      </c>
      <c r="BQ22" s="4">
        <f t="shared" si="3"/>
        <v>1982</v>
      </c>
      <c r="BR22" s="27">
        <f t="shared" si="4"/>
        <v>27004601.440481257</v>
      </c>
      <c r="BS22" s="27">
        <f t="shared" si="5"/>
        <v>28655834.629956435</v>
      </c>
      <c r="BT22">
        <f t="shared" si="24"/>
        <v>5.7622931273793698E-2</v>
      </c>
      <c r="BU22" s="20">
        <f t="shared" si="25"/>
        <v>0.22831065427158878</v>
      </c>
      <c r="BV22" s="20">
        <f t="shared" si="6"/>
        <v>0.22409789436422053</v>
      </c>
      <c r="BW22">
        <f>pm.rep!B81</f>
        <v>16305.4</v>
      </c>
      <c r="BX22">
        <f>pm.rep!C81</f>
        <v>12486.2</v>
      </c>
      <c r="BY22">
        <f>pm.rep!D81</f>
        <v>6933.92</v>
      </c>
      <c r="BZ22">
        <f>pm.rep!E81</f>
        <v>10619.1</v>
      </c>
      <c r="CA22">
        <f>pm.rep!F81</f>
        <v>2328.6999999999998</v>
      </c>
      <c r="CB22">
        <f>pm.rep!G81</f>
        <v>540.91099999999994</v>
      </c>
      <c r="CC22">
        <f>pm.rep!H81</f>
        <v>227.42099999999999</v>
      </c>
      <c r="CD22">
        <f>pm.rep!I81</f>
        <v>132.10599999999999</v>
      </c>
      <c r="CE22">
        <f>pm.rep!J81</f>
        <v>66.275700000000001</v>
      </c>
      <c r="CF22">
        <f>pm.rep!K81</f>
        <v>36.001399999999997</v>
      </c>
      <c r="CG22">
        <f>pm.rep!L81</f>
        <v>7.3979600000000003</v>
      </c>
      <c r="CH22">
        <f>pm.rep!M81</f>
        <v>4.4702599999999997</v>
      </c>
      <c r="CI22">
        <f>pm.rep!N81</f>
        <v>3.5337200000000002</v>
      </c>
      <c r="CJ22">
        <f>pm.rep!O81</f>
        <v>2.0027200000000001</v>
      </c>
      <c r="CK22">
        <f>pm.rep!P81</f>
        <v>1.81508</v>
      </c>
    </row>
    <row r="23" spans="4:89" x14ac:dyDescent="0.15">
      <c r="D23">
        <f>pm.rep!A28</f>
        <v>1983</v>
      </c>
      <c r="E23">
        <f>pm.rep!B28</f>
        <v>0.40642499999999998</v>
      </c>
      <c r="F23">
        <f>pm.rep!C28</f>
        <v>0.63283900000000004</v>
      </c>
      <c r="G23">
        <f>pm.rep!D28</f>
        <v>0.71912399999999999</v>
      </c>
      <c r="H23">
        <f>pm.rep!E28</f>
        <v>0.67637100000000006</v>
      </c>
      <c r="I23">
        <f>pm.rep!F28</f>
        <v>0.63461999999999996</v>
      </c>
      <c r="J23">
        <f>pm.rep!G28</f>
        <v>0.610568</v>
      </c>
      <c r="K23">
        <f>pm.rep!H28</f>
        <v>0.61129500000000003</v>
      </c>
      <c r="L23">
        <f>pm.rep!I28</f>
        <v>0.61031999999999997</v>
      </c>
      <c r="M23">
        <f>pm.rep!J28</f>
        <v>0.60408600000000001</v>
      </c>
      <c r="N23">
        <f>pm.rep!K28</f>
        <v>0.60165199999999996</v>
      </c>
      <c r="O23">
        <f>pm.rep!L28</f>
        <v>0.60165199999999996</v>
      </c>
      <c r="P23">
        <f>pm.rep!M28</f>
        <v>0.60165199999999996</v>
      </c>
      <c r="Q23">
        <f>pm.rep!N28</f>
        <v>0.60165199999999996</v>
      </c>
      <c r="R23">
        <f>pm.rep!O28</f>
        <v>0.60165199999999996</v>
      </c>
      <c r="S23">
        <f>pm.rep!P28</f>
        <v>0.60165199999999996</v>
      </c>
      <c r="U23" s="27">
        <f>pm.rep!B82</f>
        <v>52162.3</v>
      </c>
      <c r="V23" s="27">
        <f>pm.rep!C82</f>
        <v>6626.01</v>
      </c>
      <c r="W23" s="27">
        <f>pm.rep!D82</f>
        <v>7895.15</v>
      </c>
      <c r="X23" s="27">
        <f>pm.rep!E82</f>
        <v>4937.95</v>
      </c>
      <c r="Y23" s="27">
        <f>pm.rep!F82</f>
        <v>6912.79</v>
      </c>
      <c r="Z23" s="27">
        <f>pm.rep!G82</f>
        <v>1400.08</v>
      </c>
      <c r="AA23" s="27">
        <f>pm.rep!H82</f>
        <v>320.00200000000001</v>
      </c>
      <c r="AB23" s="27">
        <f>pm.rep!I82</f>
        <v>134.81100000000001</v>
      </c>
      <c r="AC23" s="27">
        <f>pm.rep!J82</f>
        <v>78.058700000000002</v>
      </c>
      <c r="AD23" s="27">
        <f>pm.rep!K82</f>
        <v>38.923499999999997</v>
      </c>
      <c r="AE23" s="27">
        <f>pm.rep!L82</f>
        <v>21.1494</v>
      </c>
      <c r="AF23" s="27">
        <f>pm.rep!M82</f>
        <v>4.3460099999999997</v>
      </c>
      <c r="AG23" s="27">
        <f>pm.rep!N82</f>
        <v>2.6261000000000001</v>
      </c>
      <c r="AH23" s="27">
        <f>pm.rep!O82</f>
        <v>2.07592</v>
      </c>
      <c r="AI23" s="27">
        <f>pm.rep!P82</f>
        <v>2.24281</v>
      </c>
      <c r="AK23">
        <f t="shared" si="7"/>
        <v>13572.8</v>
      </c>
      <c r="AL23">
        <f t="shared" ref="AL23:AX23" si="43">U23*EXP(-E$1-E78)</f>
        <v>21200.062777499999</v>
      </c>
      <c r="AM23">
        <f t="shared" si="43"/>
        <v>2673.7007983390986</v>
      </c>
      <c r="AN23">
        <f t="shared" si="43"/>
        <v>4886.7485909759089</v>
      </c>
      <c r="AO23">
        <f t="shared" si="43"/>
        <v>3339.8861794500003</v>
      </c>
      <c r="AP23">
        <f t="shared" si="43"/>
        <v>4386.9947898</v>
      </c>
      <c r="AQ23">
        <f t="shared" si="43"/>
        <v>854.84404543999995</v>
      </c>
      <c r="AR23">
        <f t="shared" si="43"/>
        <v>195.61562259000002</v>
      </c>
      <c r="AS23">
        <f t="shared" si="43"/>
        <v>82.277849520000004</v>
      </c>
      <c r="AT23">
        <f t="shared" si="43"/>
        <v>47.154167848200004</v>
      </c>
      <c r="AU23">
        <f t="shared" si="43"/>
        <v>23.418401621999998</v>
      </c>
      <c r="AV23">
        <f t="shared" si="43"/>
        <v>15.667860876485925</v>
      </c>
      <c r="AW23">
        <f t="shared" si="43"/>
        <v>3.2196033952649525</v>
      </c>
      <c r="AX23">
        <f t="shared" si="43"/>
        <v>1.9454627293322595</v>
      </c>
      <c r="AY23">
        <f t="shared" si="1"/>
        <v>3.1993938742047554</v>
      </c>
      <c r="BA23">
        <f t="shared" si="9"/>
        <v>13572.8</v>
      </c>
      <c r="BB23">
        <f t="shared" si="10"/>
        <v>21207.608562287052</v>
      </c>
      <c r="BC23">
        <f t="shared" si="11"/>
        <v>2693.9346311378072</v>
      </c>
      <c r="BD23">
        <f t="shared" si="12"/>
        <v>5034.169901276643</v>
      </c>
      <c r="BE23">
        <f t="shared" si="13"/>
        <v>3658.1233328152884</v>
      </c>
      <c r="BF23">
        <f t="shared" si="14"/>
        <v>5121.1207877463721</v>
      </c>
      <c r="BG23">
        <f t="shared" si="15"/>
        <v>1037.2047744120596</v>
      </c>
      <c r="BH23">
        <f t="shared" si="16"/>
        <v>237.0633122545911</v>
      </c>
      <c r="BI23">
        <f t="shared" si="17"/>
        <v>99.870445148323071</v>
      </c>
      <c r="BJ23">
        <f t="shared" si="18"/>
        <v>57.827307242728011</v>
      </c>
      <c r="BK23">
        <f t="shared" si="19"/>
        <v>28.835238012704842</v>
      </c>
      <c r="BL23">
        <f t="shared" si="20"/>
        <v>15.667860876485925</v>
      </c>
      <c r="BM23">
        <f t="shared" si="21"/>
        <v>3.2196033952649525</v>
      </c>
      <c r="BN23">
        <f t="shared" si="22"/>
        <v>1.9454627293322595</v>
      </c>
      <c r="BO23">
        <f t="shared" si="23"/>
        <v>3.1993938742047554</v>
      </c>
      <c r="BQ23" s="4">
        <f t="shared" si="3"/>
        <v>1983</v>
      </c>
      <c r="BR23" s="27">
        <f t="shared" si="4"/>
        <v>23979612.010834057</v>
      </c>
      <c r="BS23" s="27">
        <f t="shared" si="5"/>
        <v>25656659.972802494</v>
      </c>
      <c r="BT23">
        <f t="shared" si="24"/>
        <v>6.5365014921903386E-2</v>
      </c>
      <c r="BU23" s="20">
        <f t="shared" si="25"/>
        <v>0.19951556786495245</v>
      </c>
      <c r="BV23" s="20">
        <f t="shared" si="6"/>
        <v>0.19242956703160261</v>
      </c>
      <c r="BW23">
        <f>pm.rep!B82</f>
        <v>52162.3</v>
      </c>
      <c r="BX23">
        <f>pm.rep!C82</f>
        <v>6626.01</v>
      </c>
      <c r="BY23">
        <f>pm.rep!D82</f>
        <v>7895.15</v>
      </c>
      <c r="BZ23">
        <f>pm.rep!E82</f>
        <v>4937.95</v>
      </c>
      <c r="CA23">
        <f>pm.rep!F82</f>
        <v>6912.79</v>
      </c>
      <c r="CB23">
        <f>pm.rep!G82</f>
        <v>1400.08</v>
      </c>
      <c r="CC23">
        <f>pm.rep!H82</f>
        <v>320.00200000000001</v>
      </c>
      <c r="CD23">
        <f>pm.rep!I82</f>
        <v>134.81100000000001</v>
      </c>
      <c r="CE23">
        <f>pm.rep!J82</f>
        <v>78.058700000000002</v>
      </c>
      <c r="CF23">
        <f>pm.rep!K82</f>
        <v>38.923499999999997</v>
      </c>
      <c r="CG23">
        <f>pm.rep!L82</f>
        <v>21.1494</v>
      </c>
      <c r="CH23">
        <f>pm.rep!M82</f>
        <v>4.3460099999999997</v>
      </c>
      <c r="CI23">
        <f>pm.rep!N82</f>
        <v>2.6261000000000001</v>
      </c>
      <c r="CJ23">
        <f>pm.rep!O82</f>
        <v>2.07592</v>
      </c>
      <c r="CK23">
        <f>pm.rep!P82</f>
        <v>2.24281</v>
      </c>
    </row>
    <row r="24" spans="4:89" x14ac:dyDescent="0.15">
      <c r="D24">
        <f>pm.rep!A29</f>
        <v>1984</v>
      </c>
      <c r="E24">
        <f>pm.rep!B29</f>
        <v>0.406447</v>
      </c>
      <c r="F24">
        <f>pm.rep!C29</f>
        <v>0.63378900000000005</v>
      </c>
      <c r="G24">
        <f>pm.rep!D29</f>
        <v>0.71957400000000005</v>
      </c>
      <c r="H24">
        <f>pm.rep!E29</f>
        <v>0.68348200000000003</v>
      </c>
      <c r="I24">
        <f>pm.rep!F29</f>
        <v>0.63259699999999996</v>
      </c>
      <c r="J24">
        <f>pm.rep!G29</f>
        <v>0.61629299999999998</v>
      </c>
      <c r="K24">
        <f>pm.rep!H29</f>
        <v>0.610958</v>
      </c>
      <c r="L24">
        <f>pm.rep!I29</f>
        <v>0.61151500000000003</v>
      </c>
      <c r="M24">
        <f>pm.rep!J29</f>
        <v>0.60517200000000004</v>
      </c>
      <c r="N24">
        <f>pm.rep!K29</f>
        <v>0.60078200000000004</v>
      </c>
      <c r="O24">
        <f>pm.rep!L29</f>
        <v>0.60078200000000004</v>
      </c>
      <c r="P24">
        <f>pm.rep!M29</f>
        <v>0.60078200000000004</v>
      </c>
      <c r="Q24">
        <f>pm.rep!N29</f>
        <v>0.60078200000000004</v>
      </c>
      <c r="R24">
        <f>pm.rep!O29</f>
        <v>0.60078200000000004</v>
      </c>
      <c r="S24">
        <f>pm.rep!P29</f>
        <v>0.60078200000000004</v>
      </c>
      <c r="U24" s="27">
        <f>pm.rep!B83</f>
        <v>13572.8</v>
      </c>
      <c r="V24" s="27">
        <f>pm.rep!C83</f>
        <v>21200.1</v>
      </c>
      <c r="W24" s="27">
        <f>pm.rep!D83</f>
        <v>4193.2</v>
      </c>
      <c r="X24" s="27">
        <f>pm.rep!E83</f>
        <v>5677.6</v>
      </c>
      <c r="Y24" s="27">
        <f>pm.rep!F83</f>
        <v>3339.89</v>
      </c>
      <c r="Z24" s="27">
        <f>pm.rep!G83</f>
        <v>4387</v>
      </c>
      <c r="AA24" s="27">
        <f>pm.rep!H83</f>
        <v>854.84199999999998</v>
      </c>
      <c r="AB24" s="27">
        <f>pm.rep!I83</f>
        <v>195.61600000000001</v>
      </c>
      <c r="AC24" s="27">
        <f>pm.rep!J83</f>
        <v>82.277699999999996</v>
      </c>
      <c r="AD24" s="27">
        <f>pm.rep!K83</f>
        <v>47.154200000000003</v>
      </c>
      <c r="AE24" s="27">
        <f>pm.rep!L83</f>
        <v>23.418399999999998</v>
      </c>
      <c r="AF24" s="27">
        <f>pm.rep!M83</f>
        <v>12.724600000000001</v>
      </c>
      <c r="AG24" s="27">
        <f>pm.rep!N83</f>
        <v>2.6147900000000002</v>
      </c>
      <c r="AH24" s="27">
        <f>pm.rep!O83</f>
        <v>1.58</v>
      </c>
      <c r="AI24" s="27">
        <f>pm.rep!P83</f>
        <v>2.5983700000000001</v>
      </c>
      <c r="AK24">
        <f t="shared" si="7"/>
        <v>34631.9</v>
      </c>
      <c r="AL24">
        <f t="shared" ref="AL24:AX24" si="44">U24*EXP(-E$1-E79)</f>
        <v>5516.6238415999997</v>
      </c>
      <c r="AM24">
        <f t="shared" si="44"/>
        <v>8567.4206342409543</v>
      </c>
      <c r="AN24">
        <f t="shared" si="44"/>
        <v>2597.0294090442439</v>
      </c>
      <c r="AO24">
        <f t="shared" si="44"/>
        <v>3880.5374032000004</v>
      </c>
      <c r="AP24">
        <f t="shared" si="44"/>
        <v>2112.8043943299999</v>
      </c>
      <c r="AQ24">
        <f t="shared" si="44"/>
        <v>2703.6773909999997</v>
      </c>
      <c r="AR24">
        <f t="shared" si="44"/>
        <v>522.27255863599999</v>
      </c>
      <c r="AS24">
        <f t="shared" si="44"/>
        <v>119.62211824000002</v>
      </c>
      <c r="AT24">
        <f t="shared" si="44"/>
        <v>49.792160264400003</v>
      </c>
      <c r="AU24">
        <f t="shared" si="44"/>
        <v>28.329394584400003</v>
      </c>
      <c r="AV24">
        <f t="shared" si="44"/>
        <v>17.348777419212741</v>
      </c>
      <c r="AW24">
        <f t="shared" si="44"/>
        <v>9.426615530886588</v>
      </c>
      <c r="AX24">
        <f t="shared" si="44"/>
        <v>1.9370840752563492</v>
      </c>
      <c r="AY24">
        <f t="shared" si="1"/>
        <v>3.0954126287498696</v>
      </c>
      <c r="BA24">
        <f t="shared" si="9"/>
        <v>34631.9</v>
      </c>
      <c r="BB24">
        <f t="shared" si="10"/>
        <v>5518.2886777272033</v>
      </c>
      <c r="BC24">
        <f t="shared" si="11"/>
        <v>8619.3174434666744</v>
      </c>
      <c r="BD24">
        <f t="shared" si="12"/>
        <v>2673.7023653804199</v>
      </c>
      <c r="BE24">
        <f t="shared" si="13"/>
        <v>4206.0695297425218</v>
      </c>
      <c r="BF24">
        <f t="shared" si="14"/>
        <v>2474.2513670726626</v>
      </c>
      <c r="BG24">
        <f t="shared" si="15"/>
        <v>3249.9695341306965</v>
      </c>
      <c r="BH24">
        <f t="shared" si="16"/>
        <v>633.28252940400102</v>
      </c>
      <c r="BI24">
        <f t="shared" si="17"/>
        <v>144.91589705687494</v>
      </c>
      <c r="BJ24">
        <f t="shared" si="18"/>
        <v>60.952819315784176</v>
      </c>
      <c r="BK24">
        <f t="shared" si="19"/>
        <v>34.932690541669864</v>
      </c>
      <c r="BL24">
        <f t="shared" si="20"/>
        <v>17.348777419212741</v>
      </c>
      <c r="BM24">
        <f t="shared" si="21"/>
        <v>9.426615530886588</v>
      </c>
      <c r="BN24">
        <f t="shared" si="22"/>
        <v>1.9370840752563492</v>
      </c>
      <c r="BO24">
        <f t="shared" si="23"/>
        <v>3.0954126287498696</v>
      </c>
      <c r="BQ24" s="4">
        <f t="shared" si="3"/>
        <v>1984</v>
      </c>
      <c r="BR24" s="27">
        <f t="shared" si="4"/>
        <v>21166687.148870014</v>
      </c>
      <c r="BS24" s="27">
        <f t="shared" si="5"/>
        <v>22742792.223780889</v>
      </c>
      <c r="BT24">
        <f t="shared" si="24"/>
        <v>6.9301300359365214E-2</v>
      </c>
      <c r="BU24" s="20">
        <f t="shared" si="25"/>
        <v>0.19907713978125377</v>
      </c>
      <c r="BV24" s="20">
        <f t="shared" si="6"/>
        <v>0.1926331812302628</v>
      </c>
      <c r="BW24">
        <f>pm.rep!B83</f>
        <v>13572.8</v>
      </c>
      <c r="BX24">
        <f>pm.rep!C83</f>
        <v>21200.1</v>
      </c>
      <c r="BY24">
        <f>pm.rep!D83</f>
        <v>4193.2</v>
      </c>
      <c r="BZ24">
        <f>pm.rep!E83</f>
        <v>5677.6</v>
      </c>
      <c r="CA24">
        <f>pm.rep!F83</f>
        <v>3339.89</v>
      </c>
      <c r="CB24">
        <f>pm.rep!G83</f>
        <v>4387</v>
      </c>
      <c r="CC24">
        <f>pm.rep!H83</f>
        <v>854.84199999999998</v>
      </c>
      <c r="CD24">
        <f>pm.rep!I83</f>
        <v>195.61600000000001</v>
      </c>
      <c r="CE24">
        <f>pm.rep!J83</f>
        <v>82.277699999999996</v>
      </c>
      <c r="CF24">
        <f>pm.rep!K83</f>
        <v>47.154200000000003</v>
      </c>
      <c r="CG24">
        <f>pm.rep!L83</f>
        <v>23.418399999999998</v>
      </c>
      <c r="CH24">
        <f>pm.rep!M83</f>
        <v>12.724600000000001</v>
      </c>
      <c r="CI24">
        <f>pm.rep!N83</f>
        <v>2.6147900000000002</v>
      </c>
      <c r="CJ24">
        <f>pm.rep!O83</f>
        <v>1.58</v>
      </c>
      <c r="CK24">
        <f>pm.rep!P83</f>
        <v>2.5983700000000001</v>
      </c>
    </row>
    <row r="25" spans="4:89" x14ac:dyDescent="0.15">
      <c r="D25">
        <f>pm.rep!A30</f>
        <v>1985</v>
      </c>
      <c r="E25">
        <f>pm.rep!B30</f>
        <v>0.40646300000000002</v>
      </c>
      <c r="F25">
        <f>pm.rep!C30</f>
        <v>0.63364600000000004</v>
      </c>
      <c r="G25">
        <f>pm.rep!D30</f>
        <v>0.71774899999999997</v>
      </c>
      <c r="H25">
        <f>pm.rep!E30</f>
        <v>0.689083</v>
      </c>
      <c r="I25">
        <f>pm.rep!F30</f>
        <v>0.65265099999999998</v>
      </c>
      <c r="J25">
        <f>pm.rep!G30</f>
        <v>0.60672599999999999</v>
      </c>
      <c r="K25">
        <f>pm.rep!H30</f>
        <v>0.60836900000000005</v>
      </c>
      <c r="L25">
        <f>pm.rep!I30</f>
        <v>0.60836999999999997</v>
      </c>
      <c r="M25">
        <f>pm.rep!J30</f>
        <v>0.60327900000000001</v>
      </c>
      <c r="N25">
        <f>pm.rep!K30</f>
        <v>0.59714699999999998</v>
      </c>
      <c r="O25">
        <f>pm.rep!L30</f>
        <v>0.59714699999999998</v>
      </c>
      <c r="P25">
        <f>pm.rep!M30</f>
        <v>0.59714699999999998</v>
      </c>
      <c r="Q25">
        <f>pm.rep!N30</f>
        <v>0.59714699999999998</v>
      </c>
      <c r="R25">
        <f>pm.rep!O30</f>
        <v>0.59714699999999998</v>
      </c>
      <c r="S25">
        <f>pm.rep!P30</f>
        <v>0.59714699999999998</v>
      </c>
      <c r="U25" s="27">
        <f>pm.rep!B84</f>
        <v>34631.9</v>
      </c>
      <c r="V25" s="27">
        <f>pm.rep!C84</f>
        <v>5516.6</v>
      </c>
      <c r="W25" s="27">
        <f>pm.rep!D84</f>
        <v>13436.4</v>
      </c>
      <c r="X25" s="27">
        <f>pm.rep!E84</f>
        <v>3017.32</v>
      </c>
      <c r="Y25" s="27">
        <f>pm.rep!F84</f>
        <v>3880.54</v>
      </c>
      <c r="Z25" s="27">
        <f>pm.rep!G84</f>
        <v>2112.8000000000002</v>
      </c>
      <c r="AA25" s="27">
        <f>pm.rep!H84</f>
        <v>2703.67</v>
      </c>
      <c r="AB25" s="27">
        <f>pm.rep!I84</f>
        <v>522.27200000000005</v>
      </c>
      <c r="AC25" s="27">
        <f>pm.rep!J84</f>
        <v>119.622</v>
      </c>
      <c r="AD25" s="27">
        <f>pm.rep!K84</f>
        <v>49.792200000000001</v>
      </c>
      <c r="AE25" s="27">
        <f>pm.rep!L84</f>
        <v>28.3294</v>
      </c>
      <c r="AF25" s="27">
        <f>pm.rep!M84</f>
        <v>14.0694</v>
      </c>
      <c r="AG25" s="27">
        <f>pm.rep!N84</f>
        <v>7.6447099999999999</v>
      </c>
      <c r="AH25" s="27">
        <f>pm.rep!O84</f>
        <v>1.5709200000000001</v>
      </c>
      <c r="AI25" s="27">
        <f>pm.rep!P84</f>
        <v>2.5102899999999999</v>
      </c>
      <c r="AK25">
        <f t="shared" si="7"/>
        <v>14545.4</v>
      </c>
      <c r="AL25">
        <f t="shared" ref="AL25:AX25" si="45">U25*EXP(-E$1-E80)</f>
        <v>14076.585969700001</v>
      </c>
      <c r="AM25">
        <f t="shared" si="45"/>
        <v>2228.8748094547741</v>
      </c>
      <c r="AN25">
        <f t="shared" si="45"/>
        <v>8300.6355889059669</v>
      </c>
      <c r="AO25">
        <f t="shared" si="45"/>
        <v>2079.1839175600003</v>
      </c>
      <c r="AP25">
        <f t="shared" si="45"/>
        <v>2532.6383115399999</v>
      </c>
      <c r="AQ25">
        <f t="shared" si="45"/>
        <v>1281.8906928000001</v>
      </c>
      <c r="AR25">
        <f t="shared" si="45"/>
        <v>1644.8290142300002</v>
      </c>
      <c r="AS25">
        <f t="shared" si="45"/>
        <v>317.73461664000001</v>
      </c>
      <c r="AT25">
        <f t="shared" si="45"/>
        <v>72.165440537999999</v>
      </c>
      <c r="AU25">
        <f t="shared" si="45"/>
        <v>29.733262853399999</v>
      </c>
      <c r="AV25">
        <f t="shared" si="45"/>
        <v>20.986935700980659</v>
      </c>
      <c r="AW25">
        <f t="shared" si="45"/>
        <v>10.422867874059362</v>
      </c>
      <c r="AX25">
        <f t="shared" si="45"/>
        <v>5.6633404598277357</v>
      </c>
      <c r="AY25">
        <f t="shared" si="1"/>
        <v>3.0234347304284341</v>
      </c>
      <c r="BA25">
        <f t="shared" si="9"/>
        <v>14545.4</v>
      </c>
      <c r="BB25">
        <f t="shared" si="10"/>
        <v>14080.279799170456</v>
      </c>
      <c r="BC25">
        <f t="shared" si="11"/>
        <v>2242.8821849249894</v>
      </c>
      <c r="BD25">
        <f t="shared" si="12"/>
        <v>8567.4268964507955</v>
      </c>
      <c r="BE25">
        <f t="shared" si="13"/>
        <v>2235.2856336273612</v>
      </c>
      <c r="BF25">
        <f t="shared" si="14"/>
        <v>2874.7747380842334</v>
      </c>
      <c r="BG25">
        <f t="shared" si="15"/>
        <v>1565.2007366563337</v>
      </c>
      <c r="BH25">
        <f t="shared" si="16"/>
        <v>2002.9279987105401</v>
      </c>
      <c r="BI25">
        <f t="shared" si="17"/>
        <v>386.90861375188217</v>
      </c>
      <c r="BJ25">
        <f t="shared" si="18"/>
        <v>88.618157194388459</v>
      </c>
      <c r="BK25">
        <f t="shared" si="19"/>
        <v>36.886969007828235</v>
      </c>
      <c r="BL25">
        <f t="shared" si="20"/>
        <v>20.986935700980659</v>
      </c>
      <c r="BM25">
        <f t="shared" si="21"/>
        <v>10.422867874059362</v>
      </c>
      <c r="BN25">
        <f t="shared" si="22"/>
        <v>5.6633404598277357</v>
      </c>
      <c r="BO25">
        <f t="shared" si="23"/>
        <v>3.0234347304284341</v>
      </c>
      <c r="BQ25" s="4">
        <f t="shared" si="3"/>
        <v>1985</v>
      </c>
      <c r="BR25" s="27">
        <f t="shared" si="4"/>
        <v>20548176.317646742</v>
      </c>
      <c r="BS25" s="27">
        <f t="shared" si="5"/>
        <v>21871397.184478011</v>
      </c>
      <c r="BT25">
        <f t="shared" si="24"/>
        <v>6.0500061137856775E-2</v>
      </c>
      <c r="BU25" s="20">
        <f t="shared" si="25"/>
        <v>0.2037282925326715</v>
      </c>
      <c r="BV25" s="20">
        <f t="shared" si="6"/>
        <v>0.19696783476244428</v>
      </c>
      <c r="BW25">
        <f>pm.rep!B84</f>
        <v>34631.9</v>
      </c>
      <c r="BX25">
        <f>pm.rep!C84</f>
        <v>5516.6</v>
      </c>
      <c r="BY25">
        <f>pm.rep!D84</f>
        <v>13436.4</v>
      </c>
      <c r="BZ25">
        <f>pm.rep!E84</f>
        <v>3017.32</v>
      </c>
      <c r="CA25">
        <f>pm.rep!F84</f>
        <v>3880.54</v>
      </c>
      <c r="CB25">
        <f>pm.rep!G84</f>
        <v>2112.8000000000002</v>
      </c>
      <c r="CC25">
        <f>pm.rep!H84</f>
        <v>2703.67</v>
      </c>
      <c r="CD25">
        <f>pm.rep!I84</f>
        <v>522.27200000000005</v>
      </c>
      <c r="CE25">
        <f>pm.rep!J84</f>
        <v>119.622</v>
      </c>
      <c r="CF25">
        <f>pm.rep!K84</f>
        <v>49.792200000000001</v>
      </c>
      <c r="CG25">
        <f>pm.rep!L84</f>
        <v>28.3294</v>
      </c>
      <c r="CH25">
        <f>pm.rep!M84</f>
        <v>14.0694</v>
      </c>
      <c r="CI25">
        <f>pm.rep!N84</f>
        <v>7.6447099999999999</v>
      </c>
      <c r="CJ25">
        <f>pm.rep!O84</f>
        <v>1.5709200000000001</v>
      </c>
      <c r="CK25">
        <f>pm.rep!P84</f>
        <v>2.5102899999999999</v>
      </c>
    </row>
    <row r="26" spans="4:89" x14ac:dyDescent="0.15">
      <c r="D26">
        <f>pm.rep!A31</f>
        <v>1986</v>
      </c>
      <c r="E26">
        <f>pm.rep!B31</f>
        <v>0.40648400000000001</v>
      </c>
      <c r="F26">
        <f>pm.rep!C31</f>
        <v>0.63404700000000003</v>
      </c>
      <c r="G26">
        <f>pm.rep!D31</f>
        <v>0.71778299999999995</v>
      </c>
      <c r="H26">
        <f>pm.rep!E31</f>
        <v>0.68545</v>
      </c>
      <c r="I26">
        <f>pm.rep!F31</f>
        <v>0.66125900000000004</v>
      </c>
      <c r="J26">
        <f>pm.rep!G31</f>
        <v>0.62065199999999998</v>
      </c>
      <c r="K26">
        <f>pm.rep!H31</f>
        <v>0.61613799999999996</v>
      </c>
      <c r="L26">
        <f>pm.rep!I31</f>
        <v>0.62353899999999995</v>
      </c>
      <c r="M26">
        <f>pm.rep!J31</f>
        <v>0.60919699999999999</v>
      </c>
      <c r="N26">
        <f>pm.rep!K31</f>
        <v>0.60609400000000002</v>
      </c>
      <c r="O26">
        <f>pm.rep!L31</f>
        <v>0.60609400000000002</v>
      </c>
      <c r="P26">
        <f>pm.rep!M31</f>
        <v>0.60609400000000002</v>
      </c>
      <c r="Q26">
        <f>pm.rep!N31</f>
        <v>0.60609400000000002</v>
      </c>
      <c r="R26">
        <f>pm.rep!O31</f>
        <v>0.60609400000000002</v>
      </c>
      <c r="S26">
        <f>pm.rep!P31</f>
        <v>0.60609400000000002</v>
      </c>
      <c r="U26" s="27">
        <f>pm.rep!B85</f>
        <v>14545.4</v>
      </c>
      <c r="V26" s="27">
        <f>pm.rep!C85</f>
        <v>14076.6</v>
      </c>
      <c r="W26" s="27">
        <f>pm.rep!D85</f>
        <v>3495.58</v>
      </c>
      <c r="X26" s="27">
        <f>pm.rep!E85</f>
        <v>9643.9500000000007</v>
      </c>
      <c r="Y26" s="27">
        <f>pm.rep!F85</f>
        <v>2079.1799999999998</v>
      </c>
      <c r="Z26" s="27">
        <f>pm.rep!G85</f>
        <v>2532.64</v>
      </c>
      <c r="AA26" s="27">
        <f>pm.rep!H85</f>
        <v>1281.8900000000001</v>
      </c>
      <c r="AB26" s="27">
        <f>pm.rep!I85</f>
        <v>1644.83</v>
      </c>
      <c r="AC26" s="27">
        <f>pm.rep!J85</f>
        <v>317.73500000000001</v>
      </c>
      <c r="AD26" s="27">
        <f>pm.rep!K85</f>
        <v>72.165400000000005</v>
      </c>
      <c r="AE26" s="27">
        <f>pm.rep!L85</f>
        <v>29.7333</v>
      </c>
      <c r="AF26" s="27">
        <f>pm.rep!M85</f>
        <v>16.916799999999999</v>
      </c>
      <c r="AG26" s="27">
        <f>pm.rep!N85</f>
        <v>8.4014900000000008</v>
      </c>
      <c r="AH26" s="27">
        <f>pm.rep!O85</f>
        <v>4.5650199999999996</v>
      </c>
      <c r="AI26" s="27">
        <f>pm.rep!P85</f>
        <v>2.4370799999999999</v>
      </c>
      <c r="AK26">
        <f t="shared" si="7"/>
        <v>7835.33</v>
      </c>
      <c r="AL26">
        <f t="shared" ref="AL26:AX26" si="46">U26*EXP(-E$1-E81)</f>
        <v>5912.4723735999996</v>
      </c>
      <c r="AM26">
        <f t="shared" si="46"/>
        <v>5690.9753573141197</v>
      </c>
      <c r="AN26">
        <f t="shared" si="46"/>
        <v>2159.5747541818605</v>
      </c>
      <c r="AO26">
        <f t="shared" si="46"/>
        <v>6610.4455275000009</v>
      </c>
      <c r="AP26">
        <f t="shared" si="46"/>
        <v>1374.87648762</v>
      </c>
      <c r="AQ26">
        <f t="shared" si="46"/>
        <v>1571.8880812799998</v>
      </c>
      <c r="AR26">
        <f t="shared" si="46"/>
        <v>789.82114081999998</v>
      </c>
      <c r="AS26">
        <f t="shared" si="46"/>
        <v>1025.6156533699998</v>
      </c>
      <c r="AT26">
        <f t="shared" si="46"/>
        <v>193.56320879500001</v>
      </c>
      <c r="AU26">
        <f t="shared" si="46"/>
        <v>43.739015947600002</v>
      </c>
      <c r="AV26">
        <f t="shared" si="46"/>
        <v>22.026970400995722</v>
      </c>
      <c r="AW26">
        <f t="shared" si="46"/>
        <v>12.532273675628485</v>
      </c>
      <c r="AX26">
        <f t="shared" si="46"/>
        <v>6.2239768728752463</v>
      </c>
      <c r="AY26">
        <f t="shared" si="1"/>
        <v>5.1872832630354564</v>
      </c>
      <c r="BA26">
        <f t="shared" si="9"/>
        <v>7835.33</v>
      </c>
      <c r="BB26">
        <f t="shared" si="10"/>
        <v>5913.7183287909102</v>
      </c>
      <c r="BC26">
        <f t="shared" si="11"/>
        <v>5723.1184723045171</v>
      </c>
      <c r="BD26">
        <f t="shared" si="12"/>
        <v>2228.8802142460386</v>
      </c>
      <c r="BE26">
        <f t="shared" si="13"/>
        <v>7144.413879343454</v>
      </c>
      <c r="BF26">
        <f t="shared" si="14"/>
        <v>1540.2944280770141</v>
      </c>
      <c r="BG26">
        <f t="shared" si="15"/>
        <v>1876.2258584273459</v>
      </c>
      <c r="BH26">
        <f t="shared" si="16"/>
        <v>949.6474689096874</v>
      </c>
      <c r="BI26">
        <f t="shared" si="17"/>
        <v>1218.52003392391</v>
      </c>
      <c r="BJ26">
        <f t="shared" si="18"/>
        <v>235.38387734830565</v>
      </c>
      <c r="BK26">
        <f t="shared" si="19"/>
        <v>53.461443222784446</v>
      </c>
      <c r="BL26">
        <f t="shared" si="20"/>
        <v>22.026970400995722</v>
      </c>
      <c r="BM26">
        <f t="shared" si="21"/>
        <v>12.532273675628485</v>
      </c>
      <c r="BN26">
        <f t="shared" si="22"/>
        <v>6.2239768728752463</v>
      </c>
      <c r="BO26">
        <f t="shared" si="23"/>
        <v>5.1872832630354564</v>
      </c>
      <c r="BQ26" s="4">
        <f t="shared" si="3"/>
        <v>1986</v>
      </c>
      <c r="BR26" s="27">
        <f t="shared" si="4"/>
        <v>18983076.06755323</v>
      </c>
      <c r="BS26" s="27">
        <f t="shared" si="5"/>
        <v>20212418.677879315</v>
      </c>
      <c r="BT26">
        <f t="shared" si="24"/>
        <v>6.0821153070190981E-2</v>
      </c>
      <c r="BU26" s="20">
        <f t="shared" si="25"/>
        <v>0.18824051303935679</v>
      </c>
      <c r="BV26" s="20">
        <f t="shared" si="6"/>
        <v>0.17725839819503733</v>
      </c>
      <c r="BW26">
        <f>pm.rep!B85</f>
        <v>14545.4</v>
      </c>
      <c r="BX26">
        <f>pm.rep!C85</f>
        <v>14076.6</v>
      </c>
      <c r="BY26">
        <f>pm.rep!D85</f>
        <v>3495.58</v>
      </c>
      <c r="BZ26">
        <f>pm.rep!E85</f>
        <v>9643.9500000000007</v>
      </c>
      <c r="CA26">
        <f>pm.rep!F85</f>
        <v>2079.1799999999998</v>
      </c>
      <c r="CB26">
        <f>pm.rep!G85</f>
        <v>2532.64</v>
      </c>
      <c r="CC26">
        <f>pm.rep!H85</f>
        <v>1281.8900000000001</v>
      </c>
      <c r="CD26">
        <f>pm.rep!I85</f>
        <v>1644.83</v>
      </c>
      <c r="CE26">
        <f>pm.rep!J85</f>
        <v>317.73500000000001</v>
      </c>
      <c r="CF26">
        <f>pm.rep!K85</f>
        <v>72.165400000000005</v>
      </c>
      <c r="CG26">
        <f>pm.rep!L85</f>
        <v>29.7333</v>
      </c>
      <c r="CH26">
        <f>pm.rep!M85</f>
        <v>16.916799999999999</v>
      </c>
      <c r="CI26">
        <f>pm.rep!N85</f>
        <v>8.4014900000000008</v>
      </c>
      <c r="CJ26">
        <f>pm.rep!O85</f>
        <v>4.5650199999999996</v>
      </c>
      <c r="CK26">
        <f>pm.rep!P85</f>
        <v>2.4370799999999999</v>
      </c>
    </row>
    <row r="27" spans="4:89" x14ac:dyDescent="0.15">
      <c r="D27">
        <f>pm.rep!A32</f>
        <v>1987</v>
      </c>
      <c r="E27">
        <f>pm.rep!B32</f>
        <v>0.40651599999999999</v>
      </c>
      <c r="F27">
        <f>pm.rep!C32</f>
        <v>0.63518600000000003</v>
      </c>
      <c r="G27">
        <f>pm.rep!D32</f>
        <v>0.72220700000000004</v>
      </c>
      <c r="H27">
        <f>pm.rep!E32</f>
        <v>0.70358600000000004</v>
      </c>
      <c r="I27">
        <f>pm.rep!F32</f>
        <v>0.68225100000000005</v>
      </c>
      <c r="J27">
        <f>pm.rep!G32</f>
        <v>0.65834199999999998</v>
      </c>
      <c r="K27">
        <f>pm.rep!H32</f>
        <v>0.65502800000000005</v>
      </c>
      <c r="L27">
        <f>pm.rep!I32</f>
        <v>0.64328700000000005</v>
      </c>
      <c r="M27">
        <f>pm.rep!J32</f>
        <v>0.63736199999999998</v>
      </c>
      <c r="N27">
        <f>pm.rep!K32</f>
        <v>0.63939299999999999</v>
      </c>
      <c r="O27">
        <f>pm.rep!L32</f>
        <v>0.63939299999999999</v>
      </c>
      <c r="P27">
        <f>pm.rep!M32</f>
        <v>0.63939299999999999</v>
      </c>
      <c r="Q27">
        <f>pm.rep!N32</f>
        <v>0.63939299999999999</v>
      </c>
      <c r="R27">
        <f>pm.rep!O32</f>
        <v>0.63939299999999999</v>
      </c>
      <c r="S27">
        <f>pm.rep!P32</f>
        <v>0.63939299999999999</v>
      </c>
      <c r="U27" s="27">
        <f>pm.rep!B86</f>
        <v>7835.33</v>
      </c>
      <c r="V27" s="27">
        <f>pm.rep!C86</f>
        <v>5912.49</v>
      </c>
      <c r="W27" s="27">
        <f>pm.rep!D86</f>
        <v>8925.2199999999993</v>
      </c>
      <c r="X27" s="27">
        <f>pm.rep!E86</f>
        <v>2509.0700000000002</v>
      </c>
      <c r="Y27" s="27">
        <f>pm.rep!F86</f>
        <v>6610.44</v>
      </c>
      <c r="Z27" s="27">
        <f>pm.rep!G86</f>
        <v>1374.88</v>
      </c>
      <c r="AA27" s="27">
        <f>pm.rep!H86</f>
        <v>1571.89</v>
      </c>
      <c r="AB27" s="27">
        <f>pm.rep!I86</f>
        <v>789.82299999999998</v>
      </c>
      <c r="AC27" s="27">
        <f>pm.rep!J86</f>
        <v>1025.6199999999999</v>
      </c>
      <c r="AD27" s="27">
        <f>pm.rep!K86</f>
        <v>193.56299999999999</v>
      </c>
      <c r="AE27" s="27">
        <f>pm.rep!L86</f>
        <v>43.738999999999997</v>
      </c>
      <c r="AF27" s="27">
        <f>pm.rep!M86</f>
        <v>18.0212</v>
      </c>
      <c r="AG27" s="27">
        <f>pm.rep!N86</f>
        <v>10.2532</v>
      </c>
      <c r="AH27" s="27">
        <f>pm.rep!O86</f>
        <v>5.0921000000000003</v>
      </c>
      <c r="AI27" s="27">
        <f>pm.rep!P86</f>
        <v>4.2439299999999998</v>
      </c>
      <c r="AK27">
        <f t="shared" si="7"/>
        <v>5561.46</v>
      </c>
      <c r="AL27">
        <f t="shared" ref="AL27:AX27" si="47">U27*EXP(-E$1-E82)</f>
        <v>3185.1870102799999</v>
      </c>
      <c r="AM27">
        <f t="shared" si="47"/>
        <v>2394.6322089987625</v>
      </c>
      <c r="AN27">
        <f t="shared" si="47"/>
        <v>5547.9999844069716</v>
      </c>
      <c r="AO27">
        <f t="shared" si="47"/>
        <v>1765.3465250200002</v>
      </c>
      <c r="AP27">
        <f t="shared" si="47"/>
        <v>4509.9793004399999</v>
      </c>
      <c r="AQ27">
        <f t="shared" si="47"/>
        <v>905.1412489600001</v>
      </c>
      <c r="AR27">
        <f t="shared" si="47"/>
        <v>1029.6319629200002</v>
      </c>
      <c r="AS27">
        <f t="shared" si="47"/>
        <v>508.08286820100005</v>
      </c>
      <c r="AT27">
        <f t="shared" si="47"/>
        <v>653.69121443999995</v>
      </c>
      <c r="AU27">
        <f t="shared" si="47"/>
        <v>123.76282725899999</v>
      </c>
      <c r="AV27">
        <f t="shared" si="47"/>
        <v>32.402648154397653</v>
      </c>
      <c r="AW27">
        <f t="shared" si="47"/>
        <v>13.350433318549374</v>
      </c>
      <c r="AX27">
        <f t="shared" si="47"/>
        <v>7.5957573802937892</v>
      </c>
      <c r="AY27">
        <f t="shared" si="1"/>
        <v>6.9163011328311388</v>
      </c>
      <c r="BA27">
        <f t="shared" si="9"/>
        <v>5561.46</v>
      </c>
      <c r="BB27">
        <f t="shared" si="10"/>
        <v>3185.6074520553084</v>
      </c>
      <c r="BC27">
        <f t="shared" si="11"/>
        <v>2403.8390475196948</v>
      </c>
      <c r="BD27">
        <f t="shared" si="12"/>
        <v>5690.9715314176838</v>
      </c>
      <c r="BE27">
        <f t="shared" si="13"/>
        <v>1858.7647729658779</v>
      </c>
      <c r="BF27">
        <f t="shared" si="14"/>
        <v>4897.1343987232549</v>
      </c>
      <c r="BG27">
        <f t="shared" si="15"/>
        <v>1018.5361552508804</v>
      </c>
      <c r="BH27">
        <f t="shared" si="16"/>
        <v>1164.4847529073857</v>
      </c>
      <c r="BI27">
        <f t="shared" si="17"/>
        <v>585.1152695134964</v>
      </c>
      <c r="BJ27">
        <f t="shared" si="18"/>
        <v>759.79798349558337</v>
      </c>
      <c r="BK27">
        <f t="shared" si="19"/>
        <v>143.39499724981536</v>
      </c>
      <c r="BL27">
        <f t="shared" si="20"/>
        <v>32.402648154397653</v>
      </c>
      <c r="BM27">
        <f t="shared" si="21"/>
        <v>13.350433318549374</v>
      </c>
      <c r="BN27">
        <f t="shared" si="22"/>
        <v>7.5957573802937892</v>
      </c>
      <c r="BO27">
        <f t="shared" si="23"/>
        <v>6.9163011328311388</v>
      </c>
      <c r="BQ27" s="4">
        <f t="shared" si="3"/>
        <v>1987</v>
      </c>
      <c r="BR27" s="27">
        <f t="shared" si="4"/>
        <v>16715849.219660491</v>
      </c>
      <c r="BS27" s="27">
        <f t="shared" si="5"/>
        <v>17527184.31209223</v>
      </c>
      <c r="BT27">
        <f t="shared" si="24"/>
        <v>4.629009873947576E-2</v>
      </c>
      <c r="BU27" s="20">
        <f t="shared" si="25"/>
        <v>0.14047377284751467</v>
      </c>
      <c r="BV27" s="20">
        <f t="shared" si="6"/>
        <v>0.132788119245106</v>
      </c>
      <c r="BW27">
        <f>pm.rep!B86</f>
        <v>7835.33</v>
      </c>
      <c r="BX27">
        <f>pm.rep!C86</f>
        <v>5912.49</v>
      </c>
      <c r="BY27">
        <f>pm.rep!D86</f>
        <v>8925.2199999999993</v>
      </c>
      <c r="BZ27">
        <f>pm.rep!E86</f>
        <v>2509.0700000000002</v>
      </c>
      <c r="CA27">
        <f>pm.rep!F86</f>
        <v>6610.44</v>
      </c>
      <c r="CB27">
        <f>pm.rep!G86</f>
        <v>1374.88</v>
      </c>
      <c r="CC27">
        <f>pm.rep!H86</f>
        <v>1571.89</v>
      </c>
      <c r="CD27">
        <f>pm.rep!I86</f>
        <v>789.82299999999998</v>
      </c>
      <c r="CE27">
        <f>pm.rep!J86</f>
        <v>1025.6199999999999</v>
      </c>
      <c r="CF27">
        <f>pm.rep!K86</f>
        <v>193.56299999999999</v>
      </c>
      <c r="CG27">
        <f>pm.rep!L86</f>
        <v>43.738999999999997</v>
      </c>
      <c r="CH27">
        <f>pm.rep!M86</f>
        <v>18.0212</v>
      </c>
      <c r="CI27">
        <f>pm.rep!N86</f>
        <v>10.2532</v>
      </c>
      <c r="CJ27">
        <f>pm.rep!O86</f>
        <v>5.0921000000000003</v>
      </c>
      <c r="CK27">
        <f>pm.rep!P86</f>
        <v>4.2439299999999998</v>
      </c>
    </row>
    <row r="28" spans="4:89" x14ac:dyDescent="0.15">
      <c r="D28">
        <f>pm.rep!A33</f>
        <v>1988</v>
      </c>
      <c r="E28">
        <f>pm.rep!B33</f>
        <v>0.40650700000000001</v>
      </c>
      <c r="F28">
        <f>pm.rep!C33</f>
        <v>0.63449</v>
      </c>
      <c r="G28">
        <f>pm.rep!D33</f>
        <v>0.69976000000000005</v>
      </c>
      <c r="H28">
        <f>pm.rep!E33</f>
        <v>0.68754300000000002</v>
      </c>
      <c r="I28">
        <f>pm.rep!F33</f>
        <v>0.65063000000000004</v>
      </c>
      <c r="J28">
        <f>pm.rep!G33</f>
        <v>0.63589799999999996</v>
      </c>
      <c r="K28">
        <f>pm.rep!H33</f>
        <v>0.61289700000000003</v>
      </c>
      <c r="L28">
        <f>pm.rep!I33</f>
        <v>0.61803600000000003</v>
      </c>
      <c r="M28">
        <f>pm.rep!J33</f>
        <v>0.61156900000000003</v>
      </c>
      <c r="N28">
        <f>pm.rep!K33</f>
        <v>0.61443800000000004</v>
      </c>
      <c r="O28">
        <f>pm.rep!L33</f>
        <v>0.61443800000000004</v>
      </c>
      <c r="P28">
        <f>pm.rep!M33</f>
        <v>0.61443800000000004</v>
      </c>
      <c r="Q28">
        <f>pm.rep!N33</f>
        <v>0.61443800000000004</v>
      </c>
      <c r="R28">
        <f>pm.rep!O33</f>
        <v>0.61443800000000004</v>
      </c>
      <c r="S28">
        <f>pm.rep!P33</f>
        <v>0.61443800000000004</v>
      </c>
      <c r="U28" s="27">
        <f>pm.rep!B87</f>
        <v>5561.46</v>
      </c>
      <c r="V28" s="27">
        <f>pm.rep!C87</f>
        <v>3185.19</v>
      </c>
      <c r="W28" s="27">
        <f>pm.rep!D87</f>
        <v>3755.53</v>
      </c>
      <c r="X28" s="27">
        <f>pm.rep!E87</f>
        <v>6445.86</v>
      </c>
      <c r="Y28" s="27">
        <f>pm.rep!F87</f>
        <v>1765.34</v>
      </c>
      <c r="Z28" s="27">
        <f>pm.rep!G87</f>
        <v>4509.9799999999996</v>
      </c>
      <c r="AA28" s="27">
        <f>pm.rep!H87</f>
        <v>905.13900000000001</v>
      </c>
      <c r="AB28" s="27">
        <f>pm.rep!I87</f>
        <v>1029.6300000000001</v>
      </c>
      <c r="AC28" s="27">
        <f>pm.rep!J87</f>
        <v>508.08300000000003</v>
      </c>
      <c r="AD28" s="27">
        <f>pm.rep!K87</f>
        <v>653.68799999999999</v>
      </c>
      <c r="AE28" s="27">
        <f>pm.rep!L87</f>
        <v>123.76300000000001</v>
      </c>
      <c r="AF28" s="27">
        <f>pm.rep!M87</f>
        <v>27.9664</v>
      </c>
      <c r="AG28" s="27">
        <f>pm.rep!N87</f>
        <v>11.522600000000001</v>
      </c>
      <c r="AH28" s="27">
        <f>pm.rep!O87</f>
        <v>6.5558199999999998</v>
      </c>
      <c r="AI28" s="27">
        <f>pm.rep!P87</f>
        <v>5.9693899999999998</v>
      </c>
      <c r="AK28">
        <f t="shared" si="7"/>
        <v>11102.8</v>
      </c>
      <c r="AL28">
        <f t="shared" ref="AL28:AX28" si="48">U28*EXP(-E$1-E83)</f>
        <v>2260.7724202200002</v>
      </c>
      <c r="AM28">
        <f t="shared" si="48"/>
        <v>1288.6281327134843</v>
      </c>
      <c r="AN28">
        <f t="shared" si="48"/>
        <v>2261.9144591821096</v>
      </c>
      <c r="AO28">
        <f t="shared" si="48"/>
        <v>4431.8059219799998</v>
      </c>
      <c r="AP28">
        <f t="shared" si="48"/>
        <v>1148.5831642000001</v>
      </c>
      <c r="AQ28">
        <f t="shared" si="48"/>
        <v>2867.8872620399998</v>
      </c>
      <c r="AR28">
        <f t="shared" si="48"/>
        <v>554.75697768300006</v>
      </c>
      <c r="AS28">
        <f t="shared" si="48"/>
        <v>636.34840668000015</v>
      </c>
      <c r="AT28">
        <f t="shared" si="48"/>
        <v>310.72781222700002</v>
      </c>
      <c r="AU28">
        <f t="shared" si="48"/>
        <v>401.65074734400002</v>
      </c>
      <c r="AV28">
        <f t="shared" si="48"/>
        <v>91.685885446231453</v>
      </c>
      <c r="AW28">
        <f t="shared" si="48"/>
        <v>20.718018686873194</v>
      </c>
      <c r="AX28">
        <f t="shared" si="48"/>
        <v>8.5361520296271625</v>
      </c>
      <c r="AY28">
        <f t="shared" si="1"/>
        <v>9.2789037858648591</v>
      </c>
      <c r="BA28">
        <f t="shared" si="9"/>
        <v>11102.8</v>
      </c>
      <c r="BB28">
        <f t="shared" si="10"/>
        <v>2261.1208998609522</v>
      </c>
      <c r="BC28">
        <f t="shared" si="11"/>
        <v>1295.0016145091588</v>
      </c>
      <c r="BD28">
        <f t="shared" si="12"/>
        <v>2394.6316522601187</v>
      </c>
      <c r="BE28">
        <f t="shared" si="13"/>
        <v>4775.2105359634579</v>
      </c>
      <c r="BF28">
        <f t="shared" si="14"/>
        <v>1307.7960376982637</v>
      </c>
      <c r="BG28">
        <f t="shared" si="15"/>
        <v>3341.0753589101337</v>
      </c>
      <c r="BH28">
        <f t="shared" si="16"/>
        <v>670.54346344962948</v>
      </c>
      <c r="BI28">
        <f t="shared" si="17"/>
        <v>762.76866456051721</v>
      </c>
      <c r="BJ28">
        <f t="shared" si="18"/>
        <v>376.39714401862926</v>
      </c>
      <c r="BK28">
        <f t="shared" si="19"/>
        <v>484.26398104099081</v>
      </c>
      <c r="BL28">
        <f t="shared" si="20"/>
        <v>91.685885446231453</v>
      </c>
      <c r="BM28">
        <f t="shared" si="21"/>
        <v>20.718018686873194</v>
      </c>
      <c r="BN28">
        <f t="shared" si="22"/>
        <v>8.5361520296271625</v>
      </c>
      <c r="BO28">
        <f t="shared" si="23"/>
        <v>9.2789037858648591</v>
      </c>
      <c r="BQ28" s="4">
        <f t="shared" si="3"/>
        <v>1988</v>
      </c>
      <c r="BR28" s="27">
        <f t="shared" si="4"/>
        <v>12817216.636586405</v>
      </c>
      <c r="BS28" s="27">
        <f t="shared" si="5"/>
        <v>13991493.217307147</v>
      </c>
      <c r="BT28">
        <f t="shared" si="24"/>
        <v>8.3927895506405892E-2</v>
      </c>
      <c r="BU28" s="20">
        <f t="shared" si="25"/>
        <v>0.18738542427425142</v>
      </c>
      <c r="BV28" s="20">
        <f t="shared" si="6"/>
        <v>0.18473234799553223</v>
      </c>
      <c r="BW28">
        <f>pm.rep!B87</f>
        <v>5561.46</v>
      </c>
      <c r="BX28">
        <f>pm.rep!C87</f>
        <v>3185.19</v>
      </c>
      <c r="BY28">
        <f>pm.rep!D87</f>
        <v>3755.53</v>
      </c>
      <c r="BZ28">
        <f>pm.rep!E87</f>
        <v>6445.86</v>
      </c>
      <c r="CA28">
        <f>pm.rep!F87</f>
        <v>1765.34</v>
      </c>
      <c r="CB28">
        <f>pm.rep!G87</f>
        <v>4509.9799999999996</v>
      </c>
      <c r="CC28">
        <f>pm.rep!H87</f>
        <v>905.13900000000001</v>
      </c>
      <c r="CD28">
        <f>pm.rep!I87</f>
        <v>1029.6300000000001</v>
      </c>
      <c r="CE28">
        <f>pm.rep!J87</f>
        <v>508.08300000000003</v>
      </c>
      <c r="CF28">
        <f>pm.rep!K87</f>
        <v>653.68799999999999</v>
      </c>
      <c r="CG28">
        <f>pm.rep!L87</f>
        <v>123.76300000000001</v>
      </c>
      <c r="CH28">
        <f>pm.rep!M87</f>
        <v>27.9664</v>
      </c>
      <c r="CI28">
        <f>pm.rep!N87</f>
        <v>11.522600000000001</v>
      </c>
      <c r="CJ28">
        <f>pm.rep!O87</f>
        <v>6.5558199999999998</v>
      </c>
      <c r="CK28">
        <f>pm.rep!P87</f>
        <v>5.9693899999999998</v>
      </c>
    </row>
    <row r="29" spans="4:89" x14ac:dyDescent="0.15">
      <c r="D29">
        <f>pm.rep!A34</f>
        <v>1989</v>
      </c>
      <c r="E29">
        <f>pm.rep!B34</f>
        <v>0.40651599999999999</v>
      </c>
      <c r="F29">
        <f>pm.rep!C34</f>
        <v>0.63459100000000002</v>
      </c>
      <c r="G29">
        <f>pm.rep!D34</f>
        <v>0.71058399999999999</v>
      </c>
      <c r="H29">
        <f>pm.rep!E34</f>
        <v>0.67750200000000005</v>
      </c>
      <c r="I29">
        <f>pm.rep!F34</f>
        <v>0.64815599999999995</v>
      </c>
      <c r="J29">
        <f>pm.rep!G34</f>
        <v>0.62802500000000006</v>
      </c>
      <c r="K29">
        <f>pm.rep!H34</f>
        <v>0.60065100000000005</v>
      </c>
      <c r="L29">
        <f>pm.rep!I34</f>
        <v>0.60830600000000001</v>
      </c>
      <c r="M29">
        <f>pm.rep!J34</f>
        <v>0.61432900000000001</v>
      </c>
      <c r="N29">
        <f>pm.rep!K34</f>
        <v>0.61546900000000004</v>
      </c>
      <c r="O29">
        <f>pm.rep!L34</f>
        <v>0.61546900000000004</v>
      </c>
      <c r="P29">
        <f>pm.rep!M34</f>
        <v>0.61546900000000004</v>
      </c>
      <c r="Q29">
        <f>pm.rep!N34</f>
        <v>0.61546900000000004</v>
      </c>
      <c r="R29">
        <f>pm.rep!O34</f>
        <v>0.61546900000000004</v>
      </c>
      <c r="S29">
        <f>pm.rep!P34</f>
        <v>0.61546900000000004</v>
      </c>
      <c r="U29" s="27">
        <f>pm.rep!B88</f>
        <v>11102.8</v>
      </c>
      <c r="V29" s="27">
        <f>pm.rep!C88</f>
        <v>2260.7800000000002</v>
      </c>
      <c r="W29" s="27">
        <f>pm.rep!D88</f>
        <v>2020.97</v>
      </c>
      <c r="X29" s="27">
        <f>pm.rep!E88</f>
        <v>2627.97</v>
      </c>
      <c r="Y29" s="27">
        <f>pm.rep!F88</f>
        <v>4431.8100000000004</v>
      </c>
      <c r="Z29" s="27">
        <f>pm.rep!G88</f>
        <v>1148.5899999999999</v>
      </c>
      <c r="AA29" s="27">
        <f>pm.rep!H88</f>
        <v>2867.89</v>
      </c>
      <c r="AB29" s="27">
        <f>pm.rep!I88</f>
        <v>554.75699999999995</v>
      </c>
      <c r="AC29" s="27">
        <f>pm.rep!J88</f>
        <v>636.34799999999996</v>
      </c>
      <c r="AD29" s="27">
        <f>pm.rep!K88</f>
        <v>310.72800000000001</v>
      </c>
      <c r="AE29" s="27">
        <f>pm.rep!L88</f>
        <v>401.65100000000001</v>
      </c>
      <c r="AF29" s="27">
        <f>pm.rep!M88</f>
        <v>76.044600000000003</v>
      </c>
      <c r="AG29" s="27">
        <f>pm.rep!N88</f>
        <v>17.183599999999998</v>
      </c>
      <c r="AH29" s="27">
        <f>pm.rep!O88</f>
        <v>7.0799300000000001</v>
      </c>
      <c r="AI29" s="27">
        <f>pm.rep!P88</f>
        <v>7.6959600000000004</v>
      </c>
      <c r="AK29">
        <f t="shared" si="7"/>
        <v>48848.1</v>
      </c>
      <c r="AL29">
        <f t="shared" ref="AL29:AX29" si="49">U29*EXP(-E$1-E84)</f>
        <v>4513.4658448</v>
      </c>
      <c r="AM29">
        <f t="shared" si="49"/>
        <v>914.78638899410225</v>
      </c>
      <c r="AN29">
        <f t="shared" si="49"/>
        <v>1236.0359969316655</v>
      </c>
      <c r="AO29">
        <f t="shared" si="49"/>
        <v>1780.4549309399999</v>
      </c>
      <c r="AP29">
        <f t="shared" si="49"/>
        <v>2872.5042423600003</v>
      </c>
      <c r="AQ29">
        <f t="shared" si="49"/>
        <v>721.34323474999997</v>
      </c>
      <c r="AR29">
        <f t="shared" si="49"/>
        <v>1722.6009963900001</v>
      </c>
      <c r="AS29">
        <f t="shared" si="49"/>
        <v>337.46201164199999</v>
      </c>
      <c r="AT29">
        <f t="shared" si="49"/>
        <v>390.92703049199997</v>
      </c>
      <c r="AU29">
        <f t="shared" si="49"/>
        <v>191.24345143200003</v>
      </c>
      <c r="AV29">
        <f t="shared" si="49"/>
        <v>297.55037915503266</v>
      </c>
      <c r="AW29">
        <f t="shared" si="49"/>
        <v>56.335225264452966</v>
      </c>
      <c r="AX29">
        <f t="shared" si="49"/>
        <v>12.729923976906367</v>
      </c>
      <c r="AY29">
        <f t="shared" si="1"/>
        <v>10.946248538788788</v>
      </c>
      <c r="BA29">
        <f t="shared" si="9"/>
        <v>48848.1</v>
      </c>
      <c r="BB29">
        <f t="shared" si="10"/>
        <v>4514.0616181679234</v>
      </c>
      <c r="BC29">
        <f t="shared" si="11"/>
        <v>919.16455534835177</v>
      </c>
      <c r="BD29">
        <f t="shared" si="12"/>
        <v>1288.6273655830553</v>
      </c>
      <c r="BE29">
        <f t="shared" si="13"/>
        <v>1946.848059404934</v>
      </c>
      <c r="BF29">
        <f t="shared" si="14"/>
        <v>3283.1655985994444</v>
      </c>
      <c r="BG29">
        <f t="shared" si="15"/>
        <v>850.89640009281425</v>
      </c>
      <c r="BH29">
        <f t="shared" si="16"/>
        <v>2124.585166910892</v>
      </c>
      <c r="BI29">
        <f t="shared" si="17"/>
        <v>410.97409365072775</v>
      </c>
      <c r="BJ29">
        <f t="shared" si="18"/>
        <v>471.41819309436977</v>
      </c>
      <c r="BK29">
        <f t="shared" si="19"/>
        <v>230.19296407598884</v>
      </c>
      <c r="BL29">
        <f t="shared" si="20"/>
        <v>297.55037915503266</v>
      </c>
      <c r="BM29">
        <f t="shared" si="21"/>
        <v>56.335225264452966</v>
      </c>
      <c r="BN29">
        <f t="shared" si="22"/>
        <v>12.729923976906367</v>
      </c>
      <c r="BO29">
        <f t="shared" si="23"/>
        <v>10.946248538788788</v>
      </c>
      <c r="BQ29" s="4">
        <f t="shared" si="3"/>
        <v>1989</v>
      </c>
      <c r="BR29" s="27">
        <f t="shared" si="4"/>
        <v>7812193.0334900301</v>
      </c>
      <c r="BS29" s="27">
        <f t="shared" si="5"/>
        <v>8707038.1332202181</v>
      </c>
      <c r="BT29">
        <f t="shared" si="24"/>
        <v>0.10277261751226963</v>
      </c>
      <c r="BU29" s="20">
        <f t="shared" si="25"/>
        <v>0.19485345250189237</v>
      </c>
      <c r="BV29" s="20">
        <f t="shared" si="6"/>
        <v>0.20425276750469579</v>
      </c>
      <c r="BW29">
        <f>pm.rep!B88</f>
        <v>11102.8</v>
      </c>
      <c r="BX29">
        <f>pm.rep!C88</f>
        <v>2260.7800000000002</v>
      </c>
      <c r="BY29">
        <f>pm.rep!D88</f>
        <v>2020.97</v>
      </c>
      <c r="BZ29">
        <f>pm.rep!E88</f>
        <v>2627.97</v>
      </c>
      <c r="CA29">
        <f>pm.rep!F88</f>
        <v>4431.8100000000004</v>
      </c>
      <c r="CB29">
        <f>pm.rep!G88</f>
        <v>1148.5899999999999</v>
      </c>
      <c r="CC29">
        <f>pm.rep!H88</f>
        <v>2867.89</v>
      </c>
      <c r="CD29">
        <f>pm.rep!I88</f>
        <v>554.75699999999995</v>
      </c>
      <c r="CE29">
        <f>pm.rep!J88</f>
        <v>636.34799999999996</v>
      </c>
      <c r="CF29">
        <f>pm.rep!K88</f>
        <v>310.72800000000001</v>
      </c>
      <c r="CG29">
        <f>pm.rep!L88</f>
        <v>401.65100000000001</v>
      </c>
      <c r="CH29">
        <f>pm.rep!M88</f>
        <v>76.044600000000003</v>
      </c>
      <c r="CI29">
        <f>pm.rep!N88</f>
        <v>17.183599999999998</v>
      </c>
      <c r="CJ29">
        <f>pm.rep!O88</f>
        <v>7.0799300000000001</v>
      </c>
      <c r="CK29">
        <f>pm.rep!P88</f>
        <v>7.6959600000000004</v>
      </c>
    </row>
    <row r="30" spans="4:89" x14ac:dyDescent="0.15">
      <c r="D30">
        <f>pm.rep!A35</f>
        <v>1990</v>
      </c>
      <c r="E30">
        <f>pm.rep!B35</f>
        <v>0.40650500000000001</v>
      </c>
      <c r="F30">
        <f>pm.rep!C35</f>
        <v>0.63336599999999998</v>
      </c>
      <c r="G30">
        <f>pm.rep!D35</f>
        <v>0.70764800000000005</v>
      </c>
      <c r="H30">
        <f>pm.rep!E35</f>
        <v>0.64471299999999998</v>
      </c>
      <c r="I30">
        <f>pm.rep!F35</f>
        <v>0.58976300000000004</v>
      </c>
      <c r="J30">
        <f>pm.rep!G35</f>
        <v>0.57712699999999995</v>
      </c>
      <c r="K30">
        <f>pm.rep!H35</f>
        <v>0.55981599999999998</v>
      </c>
      <c r="L30">
        <f>pm.rep!I35</f>
        <v>0.55691800000000002</v>
      </c>
      <c r="M30">
        <f>pm.rep!J35</f>
        <v>0.56301599999999996</v>
      </c>
      <c r="N30">
        <f>pm.rep!K35</f>
        <v>0.56914299999999995</v>
      </c>
      <c r="O30">
        <f>pm.rep!L35</f>
        <v>0.56914299999999995</v>
      </c>
      <c r="P30">
        <f>pm.rep!M35</f>
        <v>0.56914299999999995</v>
      </c>
      <c r="Q30">
        <f>pm.rep!N35</f>
        <v>0.56914299999999995</v>
      </c>
      <c r="R30">
        <f>pm.rep!O35</f>
        <v>0.56914299999999995</v>
      </c>
      <c r="S30">
        <f>pm.rep!P35</f>
        <v>0.56914299999999995</v>
      </c>
      <c r="U30" s="27">
        <f>pm.rep!B89</f>
        <v>48848.1</v>
      </c>
      <c r="V30" s="27">
        <f>pm.rep!C89</f>
        <v>4513.45</v>
      </c>
      <c r="W30" s="27">
        <f>pm.rep!D89</f>
        <v>1434.67</v>
      </c>
      <c r="X30" s="27">
        <f>pm.rep!E89</f>
        <v>1436.07</v>
      </c>
      <c r="Y30" s="27">
        <f>pm.rep!F89</f>
        <v>1780.46</v>
      </c>
      <c r="Z30" s="27">
        <f>pm.rep!G89</f>
        <v>2872.5</v>
      </c>
      <c r="AA30" s="27">
        <f>pm.rep!H89</f>
        <v>721.34100000000001</v>
      </c>
      <c r="AB30" s="27">
        <f>pm.rep!I89</f>
        <v>1722.6</v>
      </c>
      <c r="AC30" s="27">
        <f>pm.rep!J89</f>
        <v>337.46199999999999</v>
      </c>
      <c r="AD30" s="27">
        <f>pm.rep!K89</f>
        <v>390.92700000000002</v>
      </c>
      <c r="AE30" s="27">
        <f>pm.rep!L89</f>
        <v>191.24299999999999</v>
      </c>
      <c r="AF30" s="27">
        <f>pm.rep!M89</f>
        <v>247.203</v>
      </c>
      <c r="AG30" s="27">
        <f>pm.rep!N89</f>
        <v>46.803100000000001</v>
      </c>
      <c r="AH30" s="27">
        <f>pm.rep!O89</f>
        <v>10.576000000000001</v>
      </c>
      <c r="AI30" s="27">
        <f>pm.rep!P89</f>
        <v>9.0940999999999992</v>
      </c>
      <c r="AK30">
        <f t="shared" si="7"/>
        <v>25581.3</v>
      </c>
      <c r="AL30">
        <f t="shared" ref="AL30:AX30" si="50">U30*EXP(-E$1-E85)</f>
        <v>19856.996890499999</v>
      </c>
      <c r="AM30">
        <f t="shared" si="50"/>
        <v>1822.7657727511294</v>
      </c>
      <c r="AN30">
        <f t="shared" si="50"/>
        <v>873.82633324350513</v>
      </c>
      <c r="AO30">
        <f t="shared" si="50"/>
        <v>925.85299790999989</v>
      </c>
      <c r="AP30">
        <f t="shared" si="50"/>
        <v>1050.0494309800001</v>
      </c>
      <c r="AQ30">
        <f t="shared" si="50"/>
        <v>1657.7973074999998</v>
      </c>
      <c r="AR30">
        <f t="shared" si="50"/>
        <v>403.81823325599998</v>
      </c>
      <c r="AS30">
        <f t="shared" si="50"/>
        <v>959.34694679999996</v>
      </c>
      <c r="AT30">
        <f t="shared" si="50"/>
        <v>189.99650539199999</v>
      </c>
      <c r="AU30">
        <f t="shared" si="50"/>
        <v>222.49336556099999</v>
      </c>
      <c r="AV30">
        <f t="shared" si="50"/>
        <v>141.67629897783377</v>
      </c>
      <c r="AW30">
        <f t="shared" si="50"/>
        <v>183.1324866071827</v>
      </c>
      <c r="AX30">
        <f t="shared" si="50"/>
        <v>34.672589264388513</v>
      </c>
      <c r="AY30">
        <f t="shared" si="1"/>
        <v>14.571968482631458</v>
      </c>
      <c r="BA30">
        <f t="shared" si="9"/>
        <v>25581.3</v>
      </c>
      <c r="BB30">
        <f t="shared" si="10"/>
        <v>19860.155395974758</v>
      </c>
      <c r="BC30">
        <f t="shared" si="11"/>
        <v>1835.031830756207</v>
      </c>
      <c r="BD30">
        <f t="shared" si="12"/>
        <v>914.78598028720955</v>
      </c>
      <c r="BE30">
        <f t="shared" si="13"/>
        <v>1063.8668221743947</v>
      </c>
      <c r="BF30">
        <f t="shared" si="14"/>
        <v>1318.9972091949714</v>
      </c>
      <c r="BG30">
        <f t="shared" si="15"/>
        <v>2128.0003389082344</v>
      </c>
      <c r="BH30">
        <f t="shared" si="16"/>
        <v>534.3825561247711</v>
      </c>
      <c r="BI30">
        <f t="shared" si="17"/>
        <v>1276.1334669463272</v>
      </c>
      <c r="BJ30">
        <f t="shared" si="18"/>
        <v>249.99799838769388</v>
      </c>
      <c r="BK30">
        <f t="shared" si="19"/>
        <v>289.60584455644192</v>
      </c>
      <c r="BL30">
        <f t="shared" si="20"/>
        <v>141.67629897783377</v>
      </c>
      <c r="BM30">
        <f t="shared" si="21"/>
        <v>183.1324866071827</v>
      </c>
      <c r="BN30">
        <f t="shared" si="22"/>
        <v>34.672589264388513</v>
      </c>
      <c r="BO30">
        <f t="shared" si="23"/>
        <v>14.571968482631458</v>
      </c>
      <c r="BQ30" s="4">
        <f t="shared" si="3"/>
        <v>1990</v>
      </c>
      <c r="BR30" s="27">
        <f t="shared" si="4"/>
        <v>4330025.6457592221</v>
      </c>
      <c r="BS30" s="27">
        <f t="shared" si="5"/>
        <v>5141852.1199098015</v>
      </c>
      <c r="BT30">
        <f t="shared" si="24"/>
        <v>0.15788600201221281</v>
      </c>
      <c r="BU30" s="20">
        <f t="shared" si="25"/>
        <v>0.27588879454819681</v>
      </c>
      <c r="BV30" s="20">
        <f t="shared" si="6"/>
        <v>0.27604611142526281</v>
      </c>
      <c r="BW30">
        <f>pm.rep!B89</f>
        <v>48848.1</v>
      </c>
      <c r="BX30">
        <f>pm.rep!C89</f>
        <v>4513.45</v>
      </c>
      <c r="BY30">
        <f>pm.rep!D89</f>
        <v>1434.67</v>
      </c>
      <c r="BZ30">
        <f>pm.rep!E89</f>
        <v>1436.07</v>
      </c>
      <c r="CA30">
        <f>pm.rep!F89</f>
        <v>1780.46</v>
      </c>
      <c r="CB30">
        <f>pm.rep!G89</f>
        <v>2872.5</v>
      </c>
      <c r="CC30">
        <f>pm.rep!H89</f>
        <v>721.34100000000001</v>
      </c>
      <c r="CD30">
        <f>pm.rep!I89</f>
        <v>1722.6</v>
      </c>
      <c r="CE30">
        <f>pm.rep!J89</f>
        <v>337.46199999999999</v>
      </c>
      <c r="CF30">
        <f>pm.rep!K89</f>
        <v>390.92700000000002</v>
      </c>
      <c r="CG30">
        <f>pm.rep!L89</f>
        <v>191.24299999999999</v>
      </c>
      <c r="CH30">
        <f>pm.rep!M89</f>
        <v>247.203</v>
      </c>
      <c r="CI30">
        <f>pm.rep!N89</f>
        <v>46.803100000000001</v>
      </c>
      <c r="CJ30">
        <f>pm.rep!O89</f>
        <v>10.576000000000001</v>
      </c>
      <c r="CK30">
        <f>pm.rep!P89</f>
        <v>9.0940999999999992</v>
      </c>
    </row>
    <row r="31" spans="4:89" x14ac:dyDescent="0.15">
      <c r="D31">
        <f>pm.rep!A36</f>
        <v>1991</v>
      </c>
      <c r="E31">
        <f>pm.rep!B36</f>
        <v>0.40650900000000001</v>
      </c>
      <c r="F31">
        <f>pm.rep!C36</f>
        <v>0.63310500000000003</v>
      </c>
      <c r="G31">
        <f>pm.rep!D36</f>
        <v>0.71424799999999999</v>
      </c>
      <c r="H31">
        <f>pm.rep!E36</f>
        <v>0.65946899999999997</v>
      </c>
      <c r="I31">
        <f>pm.rep!F36</f>
        <v>0.60325200000000001</v>
      </c>
      <c r="J31">
        <f>pm.rep!G36</f>
        <v>0.57524500000000001</v>
      </c>
      <c r="K31">
        <f>pm.rep!H36</f>
        <v>0.53327800000000003</v>
      </c>
      <c r="L31">
        <f>pm.rep!I36</f>
        <v>0.55243699999999996</v>
      </c>
      <c r="M31">
        <f>pm.rep!J36</f>
        <v>0.53133300000000006</v>
      </c>
      <c r="N31">
        <f>pm.rep!K36</f>
        <v>0.53209899999999999</v>
      </c>
      <c r="O31">
        <f>pm.rep!L36</f>
        <v>0.53209899999999999</v>
      </c>
      <c r="P31">
        <f>pm.rep!M36</f>
        <v>0.53209899999999999</v>
      </c>
      <c r="Q31">
        <f>pm.rep!N36</f>
        <v>0.53209899999999999</v>
      </c>
      <c r="R31">
        <f>pm.rep!O36</f>
        <v>0.53209899999999999</v>
      </c>
      <c r="S31">
        <f>pm.rep!P36</f>
        <v>0.53209899999999999</v>
      </c>
      <c r="U31" s="27">
        <f>pm.rep!B90</f>
        <v>25581.3</v>
      </c>
      <c r="V31" s="27">
        <f>pm.rep!C90</f>
        <v>19857</v>
      </c>
      <c r="W31" s="27">
        <f>pm.rep!D90</f>
        <v>2858.66</v>
      </c>
      <c r="X31" s="27">
        <f>pm.rep!E90</f>
        <v>1015.24</v>
      </c>
      <c r="Y31" s="27">
        <f>pm.rep!F90</f>
        <v>925.85299999999995</v>
      </c>
      <c r="Z31" s="27">
        <f>pm.rep!G90</f>
        <v>1050.05</v>
      </c>
      <c r="AA31" s="27">
        <f>pm.rep!H90</f>
        <v>1657.8</v>
      </c>
      <c r="AB31" s="27">
        <f>pm.rep!I90</f>
        <v>403.81900000000002</v>
      </c>
      <c r="AC31" s="27">
        <f>pm.rep!J90</f>
        <v>959.34799999999996</v>
      </c>
      <c r="AD31" s="27">
        <f>pm.rep!K90</f>
        <v>189.99700000000001</v>
      </c>
      <c r="AE31" s="27">
        <f>pm.rep!L90</f>
        <v>222.494</v>
      </c>
      <c r="AF31" s="27">
        <f>pm.rep!M90</f>
        <v>108.845</v>
      </c>
      <c r="AG31" s="27">
        <f>pm.rep!N90</f>
        <v>140.69399999999999</v>
      </c>
      <c r="AH31" s="27">
        <f>pm.rep!O90</f>
        <v>26.637599999999999</v>
      </c>
      <c r="AI31" s="27">
        <f>pm.rep!P90</f>
        <v>11.1951</v>
      </c>
      <c r="AK31">
        <f t="shared" si="7"/>
        <v>22780.799999999999</v>
      </c>
      <c r="AL31">
        <f t="shared" ref="AL31:AX31" si="51">U31*EXP(-E$1-E86)</f>
        <v>10399.0286817</v>
      </c>
      <c r="AM31">
        <f t="shared" si="51"/>
        <v>8015.9843820067081</v>
      </c>
      <c r="AN31">
        <f t="shared" si="51"/>
        <v>1757.3868221385446</v>
      </c>
      <c r="AO31">
        <f t="shared" si="51"/>
        <v>669.51930756000002</v>
      </c>
      <c r="AP31">
        <f t="shared" si="51"/>
        <v>558.52267395599995</v>
      </c>
      <c r="AQ31">
        <f t="shared" si="51"/>
        <v>604.03601225</v>
      </c>
      <c r="AR31">
        <f t="shared" si="51"/>
        <v>884.06826840000008</v>
      </c>
      <c r="AS31">
        <f t="shared" si="51"/>
        <v>223.08455690299999</v>
      </c>
      <c r="AT31">
        <f t="shared" si="51"/>
        <v>509.73325088400003</v>
      </c>
      <c r="AU31">
        <f t="shared" si="51"/>
        <v>101.09721370300001</v>
      </c>
      <c r="AV31">
        <f t="shared" si="51"/>
        <v>164.82760919235812</v>
      </c>
      <c r="AW31">
        <f t="shared" si="51"/>
        <v>80.63435923010158</v>
      </c>
      <c r="AX31">
        <f t="shared" si="51"/>
        <v>104.22867874059361</v>
      </c>
      <c r="AY31">
        <f t="shared" si="1"/>
        <v>28.027153497585225</v>
      </c>
      <c r="BA31">
        <f t="shared" si="9"/>
        <v>22780.799999999999</v>
      </c>
      <c r="BB31">
        <f t="shared" si="10"/>
        <v>10400.580436722188</v>
      </c>
      <c r="BC31">
        <f t="shared" si="11"/>
        <v>8073.2537334690769</v>
      </c>
      <c r="BD31">
        <f t="shared" si="12"/>
        <v>1822.7620919150984</v>
      </c>
      <c r="BE31">
        <f t="shared" si="13"/>
        <v>752.10829036490725</v>
      </c>
      <c r="BF31">
        <f t="shared" si="14"/>
        <v>685.88877207283053</v>
      </c>
      <c r="BG31">
        <f t="shared" si="15"/>
        <v>777.89617262683782</v>
      </c>
      <c r="BH31">
        <f t="shared" si="16"/>
        <v>1228.128446246152</v>
      </c>
      <c r="BI31">
        <f t="shared" si="17"/>
        <v>299.15647305747063</v>
      </c>
      <c r="BJ31">
        <f t="shared" si="18"/>
        <v>710.70247837456463</v>
      </c>
      <c r="BK31">
        <f t="shared" si="19"/>
        <v>140.75323947486436</v>
      </c>
      <c r="BL31">
        <f t="shared" si="20"/>
        <v>164.82760919235812</v>
      </c>
      <c r="BM31">
        <f t="shared" si="21"/>
        <v>80.63435923010158</v>
      </c>
      <c r="BN31">
        <f t="shared" si="22"/>
        <v>104.22867874059361</v>
      </c>
      <c r="BO31">
        <f t="shared" si="23"/>
        <v>28.027153497585225</v>
      </c>
      <c r="BQ31" s="4">
        <f t="shared" si="3"/>
        <v>1991</v>
      </c>
      <c r="BR31" s="27">
        <f t="shared" si="4"/>
        <v>6059892.2502578245</v>
      </c>
      <c r="BS31" s="27">
        <f t="shared" si="5"/>
        <v>6459658.101078745</v>
      </c>
      <c r="BT31">
        <f t="shared" si="24"/>
        <v>6.1886534018597783E-2</v>
      </c>
      <c r="BU31" s="20">
        <f t="shared" si="25"/>
        <v>0.32135508660658496</v>
      </c>
      <c r="BV31" s="20">
        <f t="shared" si="6"/>
        <v>0.32130418120123683</v>
      </c>
      <c r="BW31">
        <f>pm.rep!B90</f>
        <v>25581.3</v>
      </c>
      <c r="BX31">
        <f>pm.rep!C90</f>
        <v>19857</v>
      </c>
      <c r="BY31">
        <f>pm.rep!D90</f>
        <v>2858.66</v>
      </c>
      <c r="BZ31">
        <f>pm.rep!E90</f>
        <v>1015.24</v>
      </c>
      <c r="CA31">
        <f>pm.rep!F90</f>
        <v>925.85299999999995</v>
      </c>
      <c r="CB31">
        <f>pm.rep!G90</f>
        <v>1050.05</v>
      </c>
      <c r="CC31">
        <f>pm.rep!H90</f>
        <v>1657.8</v>
      </c>
      <c r="CD31">
        <f>pm.rep!I90</f>
        <v>403.81900000000002</v>
      </c>
      <c r="CE31">
        <f>pm.rep!J90</f>
        <v>959.34799999999996</v>
      </c>
      <c r="CF31">
        <f>pm.rep!K90</f>
        <v>189.99700000000001</v>
      </c>
      <c r="CG31">
        <f>pm.rep!L90</f>
        <v>222.494</v>
      </c>
      <c r="CH31">
        <f>pm.rep!M90</f>
        <v>108.845</v>
      </c>
      <c r="CI31">
        <f>pm.rep!N90</f>
        <v>140.69399999999999</v>
      </c>
      <c r="CJ31">
        <f>pm.rep!O90</f>
        <v>26.637599999999999</v>
      </c>
      <c r="CK31">
        <f>pm.rep!P90</f>
        <v>11.1951</v>
      </c>
    </row>
    <row r="32" spans="4:89" x14ac:dyDescent="0.15">
      <c r="D32">
        <f>pm.rep!A37</f>
        <v>1992</v>
      </c>
      <c r="E32">
        <f>pm.rep!B37</f>
        <v>0.40649999999999997</v>
      </c>
      <c r="F32">
        <f>pm.rep!C37</f>
        <v>0.63225399999999998</v>
      </c>
      <c r="G32">
        <f>pm.rep!D37</f>
        <v>0.69383799999999995</v>
      </c>
      <c r="H32">
        <f>pm.rep!E37</f>
        <v>0.65708599999999995</v>
      </c>
      <c r="I32">
        <f>pm.rep!F37</f>
        <v>0.60677000000000003</v>
      </c>
      <c r="J32">
        <f>pm.rep!G37</f>
        <v>0.53682200000000002</v>
      </c>
      <c r="K32">
        <f>pm.rep!H37</f>
        <v>0.48445100000000002</v>
      </c>
      <c r="L32">
        <f>pm.rep!I37</f>
        <v>0.47079799999999999</v>
      </c>
      <c r="M32">
        <f>pm.rep!J37</f>
        <v>0.46894799999999998</v>
      </c>
      <c r="N32">
        <f>pm.rep!K37</f>
        <v>0.47231299999999998</v>
      </c>
      <c r="O32">
        <f>pm.rep!L37</f>
        <v>0.47231299999999998</v>
      </c>
      <c r="P32">
        <f>pm.rep!M37</f>
        <v>0.47231299999999998</v>
      </c>
      <c r="Q32">
        <f>pm.rep!N37</f>
        <v>0.47231299999999998</v>
      </c>
      <c r="R32">
        <f>pm.rep!O37</f>
        <v>0.47231299999999998</v>
      </c>
      <c r="S32">
        <f>pm.rep!P37</f>
        <v>0.47231299999999998</v>
      </c>
      <c r="U32" s="27">
        <f>pm.rep!B91</f>
        <v>22780.799999999999</v>
      </c>
      <c r="V32" s="27">
        <f>pm.rep!C91</f>
        <v>10399</v>
      </c>
      <c r="W32" s="27">
        <f>pm.rep!D91</f>
        <v>12571.5</v>
      </c>
      <c r="X32" s="27">
        <f>pm.rep!E91</f>
        <v>2041.8</v>
      </c>
      <c r="Y32" s="27">
        <f>pm.rep!F91</f>
        <v>669.51900000000001</v>
      </c>
      <c r="Z32" s="27">
        <f>pm.rep!G91</f>
        <v>558.52300000000002</v>
      </c>
      <c r="AA32" s="27">
        <f>pm.rep!H91</f>
        <v>604.03499999999997</v>
      </c>
      <c r="AB32" s="27">
        <f>pm.rep!I91</f>
        <v>884.06799999999998</v>
      </c>
      <c r="AC32" s="27">
        <f>pm.rep!J91</f>
        <v>223.084</v>
      </c>
      <c r="AD32" s="27">
        <f>pm.rep!K91</f>
        <v>509.733</v>
      </c>
      <c r="AE32" s="27">
        <f>pm.rep!L91</f>
        <v>101.09699999999999</v>
      </c>
      <c r="AF32" s="27">
        <f>pm.rep!M91</f>
        <v>118.389</v>
      </c>
      <c r="AG32" s="27">
        <f>pm.rep!N91</f>
        <v>57.916200000000003</v>
      </c>
      <c r="AH32" s="27">
        <f>pm.rep!O91</f>
        <v>74.863200000000006</v>
      </c>
      <c r="AI32" s="27">
        <f>pm.rep!P91</f>
        <v>20.130700000000001</v>
      </c>
      <c r="AK32">
        <f t="shared" si="7"/>
        <v>46863.199999999997</v>
      </c>
      <c r="AL32">
        <f t="shared" ref="AL32:AX32" si="52">U32*EXP(-E$1-E87)</f>
        <v>9260.395199999999</v>
      </c>
      <c r="AM32">
        <f t="shared" si="52"/>
        <v>4192.28353055554</v>
      </c>
      <c r="AN32">
        <f t="shared" si="52"/>
        <v>7507.5979827528117</v>
      </c>
      <c r="AO32">
        <f t="shared" si="52"/>
        <v>1341.6381947999998</v>
      </c>
      <c r="AP32">
        <f t="shared" si="52"/>
        <v>406.24404363000002</v>
      </c>
      <c r="AQ32">
        <f t="shared" si="52"/>
        <v>299.82743390600001</v>
      </c>
      <c r="AR32">
        <f t="shared" si="52"/>
        <v>292.625359785</v>
      </c>
      <c r="AS32">
        <f t="shared" si="52"/>
        <v>416.21744626399999</v>
      </c>
      <c r="AT32">
        <f t="shared" si="52"/>
        <v>104.614795632</v>
      </c>
      <c r="AU32">
        <f t="shared" si="52"/>
        <v>240.75352242899999</v>
      </c>
      <c r="AV32">
        <f t="shared" si="52"/>
        <v>74.894499656259626</v>
      </c>
      <c r="AW32">
        <f t="shared" si="52"/>
        <v>87.704728328287899</v>
      </c>
      <c r="AX32">
        <f t="shared" si="52"/>
        <v>42.90537623264651</v>
      </c>
      <c r="AY32">
        <f t="shared" si="1"/>
        <v>70.373211973617046</v>
      </c>
      <c r="BA32">
        <f t="shared" si="9"/>
        <v>46863.199999999997</v>
      </c>
      <c r="BB32">
        <f t="shared" si="10"/>
        <v>9261.9821046186407</v>
      </c>
      <c r="BC32">
        <f t="shared" si="11"/>
        <v>4227.9178916424898</v>
      </c>
      <c r="BD32">
        <f t="shared" si="12"/>
        <v>8015.9423081131235</v>
      </c>
      <c r="BE32">
        <f t="shared" si="13"/>
        <v>1512.6026429879316</v>
      </c>
      <c r="BF32">
        <f t="shared" si="14"/>
        <v>495.99187429260309</v>
      </c>
      <c r="BG32">
        <f t="shared" si="15"/>
        <v>413.76401506981512</v>
      </c>
      <c r="BH32">
        <f t="shared" si="16"/>
        <v>447.48013392948144</v>
      </c>
      <c r="BI32">
        <f t="shared" si="17"/>
        <v>654.93368272164491</v>
      </c>
      <c r="BJ32">
        <f t="shared" si="18"/>
        <v>165.26469194256035</v>
      </c>
      <c r="BK32">
        <f t="shared" si="19"/>
        <v>377.6194940827541</v>
      </c>
      <c r="BL32">
        <f t="shared" si="20"/>
        <v>74.894499656259626</v>
      </c>
      <c r="BM32">
        <f t="shared" si="21"/>
        <v>87.704728328287899</v>
      </c>
      <c r="BN32">
        <f t="shared" si="22"/>
        <v>42.90537623264651</v>
      </c>
      <c r="BO32">
        <f t="shared" si="23"/>
        <v>70.373211973617046</v>
      </c>
      <c r="BQ32" s="4">
        <f t="shared" si="3"/>
        <v>1992</v>
      </c>
      <c r="BR32" s="27">
        <f t="shared" si="4"/>
        <v>13697622.291810518</v>
      </c>
      <c r="BS32" s="27">
        <f t="shared" si="5"/>
        <v>14312560.696818259</v>
      </c>
      <c r="BT32">
        <f t="shared" si="24"/>
        <v>4.2964946527314529E-2</v>
      </c>
      <c r="BU32" s="20">
        <f t="shared" si="25"/>
        <v>0.44636047702850923</v>
      </c>
      <c r="BV32" s="20">
        <f t="shared" si="6"/>
        <v>0.43567000441542814</v>
      </c>
      <c r="BW32">
        <f>pm.rep!B91</f>
        <v>22780.799999999999</v>
      </c>
      <c r="BX32">
        <f>pm.rep!C91</f>
        <v>10399</v>
      </c>
      <c r="BY32">
        <f>pm.rep!D91</f>
        <v>12571.5</v>
      </c>
      <c r="BZ32">
        <f>pm.rep!E91</f>
        <v>2041.8</v>
      </c>
      <c r="CA32">
        <f>pm.rep!F91</f>
        <v>669.51900000000001</v>
      </c>
      <c r="CB32">
        <f>pm.rep!G91</f>
        <v>558.52300000000002</v>
      </c>
      <c r="CC32">
        <f>pm.rep!H91</f>
        <v>604.03499999999997</v>
      </c>
      <c r="CD32">
        <f>pm.rep!I91</f>
        <v>884.06799999999998</v>
      </c>
      <c r="CE32">
        <f>pm.rep!J91</f>
        <v>223.084</v>
      </c>
      <c r="CF32">
        <f>pm.rep!K91</f>
        <v>509.733</v>
      </c>
      <c r="CG32">
        <f>pm.rep!L91</f>
        <v>101.09699999999999</v>
      </c>
      <c r="CH32">
        <f>pm.rep!M91</f>
        <v>118.389</v>
      </c>
      <c r="CI32">
        <f>pm.rep!N91</f>
        <v>57.916200000000003</v>
      </c>
      <c r="CJ32">
        <f>pm.rep!O91</f>
        <v>74.863200000000006</v>
      </c>
      <c r="CK32">
        <f>pm.rep!P91</f>
        <v>20.130700000000001</v>
      </c>
    </row>
    <row r="33" spans="4:89" x14ac:dyDescent="0.15">
      <c r="D33">
        <f>pm.rep!A38</f>
        <v>1993</v>
      </c>
      <c r="E33">
        <f>pm.rep!B38</f>
        <v>0.40652899999999997</v>
      </c>
      <c r="F33">
        <f>pm.rep!C38</f>
        <v>0.63526199999999999</v>
      </c>
      <c r="G33">
        <f>pm.rep!D38</f>
        <v>0.710978</v>
      </c>
      <c r="H33">
        <f>pm.rep!E38</f>
        <v>0.63631000000000004</v>
      </c>
      <c r="I33">
        <f>pm.rep!F38</f>
        <v>0.64765099999999998</v>
      </c>
      <c r="J33">
        <f>pm.rep!G38</f>
        <v>0.59678799999999999</v>
      </c>
      <c r="K33">
        <f>pm.rep!H38</f>
        <v>0.54742599999999997</v>
      </c>
      <c r="L33">
        <f>pm.rep!I38</f>
        <v>0.54767600000000005</v>
      </c>
      <c r="M33">
        <f>pm.rep!J38</f>
        <v>0.54800000000000004</v>
      </c>
      <c r="N33">
        <f>pm.rep!K38</f>
        <v>0.55438100000000001</v>
      </c>
      <c r="O33">
        <f>pm.rep!L38</f>
        <v>0.55438100000000001</v>
      </c>
      <c r="P33">
        <f>pm.rep!M38</f>
        <v>0.55438100000000001</v>
      </c>
      <c r="Q33">
        <f>pm.rep!N38</f>
        <v>0.55438100000000001</v>
      </c>
      <c r="R33">
        <f>pm.rep!O38</f>
        <v>0.55438100000000001</v>
      </c>
      <c r="S33">
        <f>pm.rep!P38</f>
        <v>0.55438100000000001</v>
      </c>
      <c r="U33" s="27">
        <f>pm.rep!B92</f>
        <v>46863.199999999997</v>
      </c>
      <c r="V33" s="27">
        <f>pm.rep!C92</f>
        <v>9260.4</v>
      </c>
      <c r="W33" s="27">
        <f>pm.rep!D92</f>
        <v>6574.82</v>
      </c>
      <c r="X33" s="27">
        <f>pm.rep!E92</f>
        <v>8722.6200000000008</v>
      </c>
      <c r="Y33" s="27">
        <f>pm.rep!F92</f>
        <v>1341.63</v>
      </c>
      <c r="Z33" s="27">
        <f>pm.rep!G92</f>
        <v>406.24400000000003</v>
      </c>
      <c r="AA33" s="27">
        <f>pm.rep!H92</f>
        <v>299.82799999999997</v>
      </c>
      <c r="AB33" s="27">
        <f>pm.rep!I92</f>
        <v>292.62599999999998</v>
      </c>
      <c r="AC33" s="27">
        <f>pm.rep!J92</f>
        <v>416.21800000000002</v>
      </c>
      <c r="AD33" s="27">
        <f>pm.rep!K92</f>
        <v>104.61499999999999</v>
      </c>
      <c r="AE33" s="27">
        <f>pm.rep!L92</f>
        <v>240.75299999999999</v>
      </c>
      <c r="AF33" s="27">
        <f>pm.rep!M92</f>
        <v>47.749400000000001</v>
      </c>
      <c r="AG33" s="27">
        <f>pm.rep!N92</f>
        <v>55.916499999999999</v>
      </c>
      <c r="AH33" s="27">
        <f>pm.rep!O92</f>
        <v>27.354600000000001</v>
      </c>
      <c r="AI33" s="27">
        <f>pm.rep!P92</f>
        <v>44.866799999999998</v>
      </c>
      <c r="AK33">
        <f t="shared" si="7"/>
        <v>15942.8</v>
      </c>
      <c r="AL33">
        <f t="shared" ref="AL33:AX33" si="53">U33*EXP(-E$1-E88)</f>
        <v>19051.249832799997</v>
      </c>
      <c r="AM33">
        <f t="shared" si="53"/>
        <v>3751.0262811363436</v>
      </c>
      <c r="AN33">
        <f t="shared" si="53"/>
        <v>4023.4245144840611</v>
      </c>
      <c r="AO33">
        <f t="shared" si="53"/>
        <v>5550.2903322000011</v>
      </c>
      <c r="AP33">
        <f t="shared" si="53"/>
        <v>868.90801113000009</v>
      </c>
      <c r="AQ33">
        <f t="shared" si="53"/>
        <v>242.44154427200002</v>
      </c>
      <c r="AR33">
        <f t="shared" si="53"/>
        <v>164.13364272799998</v>
      </c>
      <c r="AS33">
        <f t="shared" si="53"/>
        <v>160.26423717599999</v>
      </c>
      <c r="AT33">
        <f t="shared" si="53"/>
        <v>228.08746400000004</v>
      </c>
      <c r="AU33">
        <f t="shared" si="53"/>
        <v>57.996568314999998</v>
      </c>
      <c r="AV33">
        <f t="shared" si="53"/>
        <v>178.35420908378561</v>
      </c>
      <c r="AW33">
        <f t="shared" si="53"/>
        <v>35.373625546619621</v>
      </c>
      <c r="AX33">
        <f t="shared" si="53"/>
        <v>41.42396203674928</v>
      </c>
      <c r="AY33">
        <f t="shared" si="1"/>
        <v>53.502929043142615</v>
      </c>
      <c r="BA33">
        <f t="shared" si="9"/>
        <v>15942.8</v>
      </c>
      <c r="BB33">
        <f t="shared" si="10"/>
        <v>19053.155278355644</v>
      </c>
      <c r="BC33">
        <f t="shared" si="11"/>
        <v>3764.9976770618437</v>
      </c>
      <c r="BD33">
        <f t="shared" si="12"/>
        <v>4192.2903238458675</v>
      </c>
      <c r="BE33">
        <f t="shared" si="13"/>
        <v>6461.8758280827669</v>
      </c>
      <c r="BF33">
        <f t="shared" si="14"/>
        <v>993.90394941321324</v>
      </c>
      <c r="BG33">
        <f t="shared" si="15"/>
        <v>300.95295724262382</v>
      </c>
      <c r="BH33">
        <f t="shared" si="16"/>
        <v>222.11804547055809</v>
      </c>
      <c r="BI33">
        <f t="shared" si="17"/>
        <v>216.78267264520835</v>
      </c>
      <c r="BJ33">
        <f t="shared" si="18"/>
        <v>308.34187817570324</v>
      </c>
      <c r="BK33">
        <f t="shared" si="19"/>
        <v>77.500698156617915</v>
      </c>
      <c r="BL33">
        <f t="shared" si="20"/>
        <v>178.35420908378561</v>
      </c>
      <c r="BM33">
        <f t="shared" si="21"/>
        <v>35.373625546619621</v>
      </c>
      <c r="BN33">
        <f t="shared" si="22"/>
        <v>41.42396203674928</v>
      </c>
      <c r="BO33">
        <f t="shared" si="23"/>
        <v>53.502929043142615</v>
      </c>
      <c r="BQ33" s="4">
        <f t="shared" si="3"/>
        <v>1993</v>
      </c>
      <c r="BR33" s="27">
        <f t="shared" si="4"/>
        <v>18927073.093162928</v>
      </c>
      <c r="BS33" s="27">
        <f t="shared" si="5"/>
        <v>19984693.469164945</v>
      </c>
      <c r="BT33">
        <f t="shared" si="24"/>
        <v>5.2921521044786424E-2</v>
      </c>
      <c r="BU33" s="20">
        <f t="shared" si="25"/>
        <v>0.29899562225442444</v>
      </c>
      <c r="BV33" s="20">
        <f t="shared" si="6"/>
        <v>0.25470472421401452</v>
      </c>
      <c r="BW33">
        <f>pm.rep!B92</f>
        <v>46863.199999999997</v>
      </c>
      <c r="BX33">
        <f>pm.rep!C92</f>
        <v>9260.4</v>
      </c>
      <c r="BY33">
        <f>pm.rep!D92</f>
        <v>6574.82</v>
      </c>
      <c r="BZ33">
        <f>pm.rep!E92</f>
        <v>8722.6200000000008</v>
      </c>
      <c r="CA33">
        <f>pm.rep!F92</f>
        <v>1341.63</v>
      </c>
      <c r="CB33">
        <f>pm.rep!G92</f>
        <v>406.24400000000003</v>
      </c>
      <c r="CC33">
        <f>pm.rep!H92</f>
        <v>299.82799999999997</v>
      </c>
      <c r="CD33">
        <f>pm.rep!I92</f>
        <v>292.62599999999998</v>
      </c>
      <c r="CE33">
        <f>pm.rep!J92</f>
        <v>416.21800000000002</v>
      </c>
      <c r="CF33">
        <f>pm.rep!K92</f>
        <v>104.61499999999999</v>
      </c>
      <c r="CG33">
        <f>pm.rep!L92</f>
        <v>240.75299999999999</v>
      </c>
      <c r="CH33">
        <f>pm.rep!M92</f>
        <v>47.749400000000001</v>
      </c>
      <c r="CI33">
        <f>pm.rep!N92</f>
        <v>55.916499999999999</v>
      </c>
      <c r="CJ33">
        <f>pm.rep!O92</f>
        <v>27.354600000000001</v>
      </c>
      <c r="CK33">
        <f>pm.rep!P92</f>
        <v>44.866799999999998</v>
      </c>
    </row>
    <row r="34" spans="4:89" x14ac:dyDescent="0.15">
      <c r="D34">
        <f>pm.rep!A39</f>
        <v>1994</v>
      </c>
      <c r="E34">
        <f>pm.rep!B39</f>
        <v>0.40653499999999998</v>
      </c>
      <c r="F34">
        <f>pm.rep!C39</f>
        <v>0.635571</v>
      </c>
      <c r="G34">
        <f>pm.rep!D39</f>
        <v>0.72700500000000001</v>
      </c>
      <c r="H34">
        <f>pm.rep!E39</f>
        <v>0.68048299999999995</v>
      </c>
      <c r="I34">
        <f>pm.rep!F39</f>
        <v>0.59151299999999996</v>
      </c>
      <c r="J34">
        <f>pm.rep!G39</f>
        <v>0.59597599999999995</v>
      </c>
      <c r="K34">
        <f>pm.rep!H39</f>
        <v>0.56106400000000001</v>
      </c>
      <c r="L34">
        <f>pm.rep!I39</f>
        <v>0.56182900000000002</v>
      </c>
      <c r="M34">
        <f>pm.rep!J39</f>
        <v>0.563693</v>
      </c>
      <c r="N34">
        <f>pm.rep!K39</f>
        <v>0.567299</v>
      </c>
      <c r="O34">
        <f>pm.rep!L39</f>
        <v>0.567299</v>
      </c>
      <c r="P34">
        <f>pm.rep!M39</f>
        <v>0.567299</v>
      </c>
      <c r="Q34">
        <f>pm.rep!N39</f>
        <v>0.567299</v>
      </c>
      <c r="R34">
        <f>pm.rep!O39</f>
        <v>0.567299</v>
      </c>
      <c r="S34">
        <f>pm.rep!P39</f>
        <v>0.567299</v>
      </c>
      <c r="U34" s="27">
        <f>pm.rep!B93</f>
        <v>15942.8</v>
      </c>
      <c r="V34" s="27">
        <f>pm.rep!C93</f>
        <v>19051.2</v>
      </c>
      <c r="W34" s="27">
        <f>pm.rep!D93</f>
        <v>5882.78</v>
      </c>
      <c r="X34" s="27">
        <f>pm.rep!E93</f>
        <v>4674.55</v>
      </c>
      <c r="Y34" s="27">
        <f>pm.rep!F93</f>
        <v>5550.3</v>
      </c>
      <c r="Z34" s="27">
        <f>pm.rep!G93</f>
        <v>868.91099999999994</v>
      </c>
      <c r="AA34" s="27">
        <f>pm.rep!H93</f>
        <v>242.44200000000001</v>
      </c>
      <c r="AB34" s="27">
        <f>pm.rep!I93</f>
        <v>164.13300000000001</v>
      </c>
      <c r="AC34" s="27">
        <f>pm.rep!J93</f>
        <v>160.26400000000001</v>
      </c>
      <c r="AD34" s="27">
        <f>pm.rep!K93</f>
        <v>228.08699999999999</v>
      </c>
      <c r="AE34" s="27">
        <f>pm.rep!L93</f>
        <v>57.996499999999997</v>
      </c>
      <c r="AF34" s="27">
        <f>pm.rep!M93</f>
        <v>133.46899999999999</v>
      </c>
      <c r="AG34" s="27">
        <f>pm.rep!N93</f>
        <v>26.471299999999999</v>
      </c>
      <c r="AH34" s="27">
        <f>pm.rep!O93</f>
        <v>30.998999999999999</v>
      </c>
      <c r="AI34" s="27">
        <f>pm.rep!P93</f>
        <v>40.038200000000003</v>
      </c>
      <c r="AK34">
        <f t="shared" si="7"/>
        <v>10904.9</v>
      </c>
      <c r="AL34">
        <f t="shared" ref="AL34:AX34" si="54">U34*EXP(-E$1-E89)</f>
        <v>6481.3061979999993</v>
      </c>
      <c r="AM34">
        <f t="shared" si="54"/>
        <v>7720.650484785705</v>
      </c>
      <c r="AN34">
        <f t="shared" si="54"/>
        <v>3681.0848885439614</v>
      </c>
      <c r="AO34">
        <f t="shared" si="54"/>
        <v>3180.9518076499999</v>
      </c>
      <c r="AP34">
        <f t="shared" si="54"/>
        <v>3283.0746039000001</v>
      </c>
      <c r="AQ34">
        <f t="shared" si="54"/>
        <v>517.85010213599992</v>
      </c>
      <c r="AR34">
        <f t="shared" si="54"/>
        <v>136.02547828800002</v>
      </c>
      <c r="AS34">
        <f t="shared" si="54"/>
        <v>92.214679257000014</v>
      </c>
      <c r="AT34">
        <f t="shared" si="54"/>
        <v>90.339694952000002</v>
      </c>
      <c r="AU34">
        <f t="shared" si="54"/>
        <v>129.39352701299998</v>
      </c>
      <c r="AV34">
        <f t="shared" si="54"/>
        <v>42.964863935767248</v>
      </c>
      <c r="AW34">
        <f t="shared" si="54"/>
        <v>98.876267096168192</v>
      </c>
      <c r="AX34">
        <f t="shared" si="54"/>
        <v>19.610421365131959</v>
      </c>
      <c r="AY34">
        <f t="shared" si="1"/>
        <v>52.625652106211334</v>
      </c>
      <c r="BA34">
        <f t="shared" si="9"/>
        <v>10904.9</v>
      </c>
      <c r="BB34">
        <f t="shared" si="10"/>
        <v>6481.8587713124234</v>
      </c>
      <c r="BC34">
        <f t="shared" si="11"/>
        <v>7745.6399016501018</v>
      </c>
      <c r="BD34">
        <f t="shared" si="12"/>
        <v>3751.0261377975357</v>
      </c>
      <c r="BE34">
        <f t="shared" si="13"/>
        <v>3462.9918134877244</v>
      </c>
      <c r="BF34">
        <f t="shared" si="14"/>
        <v>4111.7633702497387</v>
      </c>
      <c r="BG34">
        <f t="shared" si="15"/>
        <v>643.70510095077213</v>
      </c>
      <c r="BH34">
        <f t="shared" si="16"/>
        <v>179.60545105851705</v>
      </c>
      <c r="BI34">
        <f t="shared" si="17"/>
        <v>121.5927170151524</v>
      </c>
      <c r="BJ34">
        <f t="shared" si="18"/>
        <v>118.72649131933484</v>
      </c>
      <c r="BK34">
        <f t="shared" si="19"/>
        <v>168.97100550063098</v>
      </c>
      <c r="BL34">
        <f t="shared" si="20"/>
        <v>42.964863935767248</v>
      </c>
      <c r="BM34">
        <f t="shared" si="21"/>
        <v>98.876267096168192</v>
      </c>
      <c r="BN34">
        <f t="shared" si="22"/>
        <v>19.610421365131959</v>
      </c>
      <c r="BO34">
        <f t="shared" si="23"/>
        <v>52.625652106211334</v>
      </c>
      <c r="BQ34" s="4">
        <f t="shared" si="3"/>
        <v>1994</v>
      </c>
      <c r="BR34" s="27">
        <f t="shared" si="4"/>
        <v>21386861.782889668</v>
      </c>
      <c r="BS34" s="27">
        <f t="shared" si="5"/>
        <v>22520914.044172909</v>
      </c>
      <c r="BT34">
        <f t="shared" si="24"/>
        <v>5.0355516612642481E-2</v>
      </c>
      <c r="BU34" s="20">
        <f t="shared" si="25"/>
        <v>0.27364808078301206</v>
      </c>
      <c r="BV34" s="20">
        <f t="shared" si="6"/>
        <v>0.2378670938809179</v>
      </c>
      <c r="BW34">
        <f>pm.rep!B93</f>
        <v>15942.8</v>
      </c>
      <c r="BX34">
        <f>pm.rep!C93</f>
        <v>19051.2</v>
      </c>
      <c r="BY34">
        <f>pm.rep!D93</f>
        <v>5882.78</v>
      </c>
      <c r="BZ34">
        <f>pm.rep!E93</f>
        <v>4674.55</v>
      </c>
      <c r="CA34">
        <f>pm.rep!F93</f>
        <v>5550.3</v>
      </c>
      <c r="CB34">
        <f>pm.rep!G93</f>
        <v>868.91099999999994</v>
      </c>
      <c r="CC34">
        <f>pm.rep!H93</f>
        <v>242.44200000000001</v>
      </c>
      <c r="CD34">
        <f>pm.rep!I93</f>
        <v>164.13300000000001</v>
      </c>
      <c r="CE34">
        <f>pm.rep!J93</f>
        <v>160.26400000000001</v>
      </c>
      <c r="CF34">
        <f>pm.rep!K93</f>
        <v>228.08699999999999</v>
      </c>
      <c r="CG34">
        <f>pm.rep!L93</f>
        <v>57.996499999999997</v>
      </c>
      <c r="CH34">
        <f>pm.rep!M93</f>
        <v>133.46899999999999</v>
      </c>
      <c r="CI34">
        <f>pm.rep!N93</f>
        <v>26.471299999999999</v>
      </c>
      <c r="CJ34">
        <f>pm.rep!O93</f>
        <v>30.998999999999999</v>
      </c>
      <c r="CK34">
        <f>pm.rep!P93</f>
        <v>40.038200000000003</v>
      </c>
    </row>
    <row r="35" spans="4:89" x14ac:dyDescent="0.15">
      <c r="D35">
        <f>pm.rep!A40</f>
        <v>1995</v>
      </c>
      <c r="E35">
        <f>pm.rep!B40</f>
        <v>0.40654000000000001</v>
      </c>
      <c r="F35">
        <f>pm.rep!C40</f>
        <v>0.63550099999999998</v>
      </c>
      <c r="G35">
        <f>pm.rep!D40</f>
        <v>0.73179300000000003</v>
      </c>
      <c r="H35">
        <f>pm.rep!E40</f>
        <v>0.71164700000000003</v>
      </c>
      <c r="I35">
        <f>pm.rep!F40</f>
        <v>0.63938899999999999</v>
      </c>
      <c r="J35">
        <f>pm.rep!G40</f>
        <v>0.54642900000000005</v>
      </c>
      <c r="K35">
        <f>pm.rep!H40</f>
        <v>0.56028599999999995</v>
      </c>
      <c r="L35">
        <f>pm.rep!I40</f>
        <v>0.561191</v>
      </c>
      <c r="M35">
        <f>pm.rep!J40</f>
        <v>0.56582900000000003</v>
      </c>
      <c r="N35">
        <f>pm.rep!K40</f>
        <v>0.57054700000000003</v>
      </c>
      <c r="O35">
        <f>pm.rep!L40</f>
        <v>0.57054700000000003</v>
      </c>
      <c r="P35">
        <f>pm.rep!M40</f>
        <v>0.57054700000000003</v>
      </c>
      <c r="Q35">
        <f>pm.rep!N40</f>
        <v>0.57054700000000003</v>
      </c>
      <c r="R35">
        <f>pm.rep!O40</f>
        <v>0.57054700000000003</v>
      </c>
      <c r="S35">
        <f>pm.rep!P40</f>
        <v>0.57054700000000003</v>
      </c>
      <c r="U35" s="27">
        <f>pm.rep!B94</f>
        <v>10904.9</v>
      </c>
      <c r="V35" s="27">
        <f>pm.rep!C94</f>
        <v>6481.33</v>
      </c>
      <c r="W35" s="27">
        <f>pm.rep!D94</f>
        <v>12108.4</v>
      </c>
      <c r="X35" s="27">
        <f>pm.rep!E94</f>
        <v>4276.8100000000004</v>
      </c>
      <c r="Y35" s="27">
        <f>pm.rep!F94</f>
        <v>3180.95</v>
      </c>
      <c r="Z35" s="27">
        <f>pm.rep!G94</f>
        <v>3283.07</v>
      </c>
      <c r="AA35" s="27">
        <f>pm.rep!H94</f>
        <v>517.85</v>
      </c>
      <c r="AB35" s="27">
        <f>pm.rep!I94</f>
        <v>136.02500000000001</v>
      </c>
      <c r="AC35" s="27">
        <f>pm.rep!J94</f>
        <v>92.2149</v>
      </c>
      <c r="AD35" s="27">
        <f>pm.rep!K94</f>
        <v>90.339699999999993</v>
      </c>
      <c r="AE35" s="27">
        <f>pm.rep!L94</f>
        <v>129.39400000000001</v>
      </c>
      <c r="AF35" s="27">
        <f>pm.rep!M94</f>
        <v>32.901299999999999</v>
      </c>
      <c r="AG35" s="27">
        <f>pm.rep!N94</f>
        <v>75.716899999999995</v>
      </c>
      <c r="AH35" s="27">
        <f>pm.rep!O94</f>
        <v>15.017200000000001</v>
      </c>
      <c r="AI35" s="27">
        <f>pm.rep!P94</f>
        <v>40.299300000000002</v>
      </c>
      <c r="AK35">
        <f t="shared" si="7"/>
        <v>22878.1</v>
      </c>
      <c r="AL35">
        <f t="shared" ref="AL35:AX35" si="55">U35*EXP(-E$1-E90)</f>
        <v>4433.2780460000004</v>
      </c>
      <c r="AM35">
        <f t="shared" si="55"/>
        <v>2626.3212990611678</v>
      </c>
      <c r="AN35">
        <f t="shared" si="55"/>
        <v>7626.5976981298827</v>
      </c>
      <c r="AO35">
        <f t="shared" si="55"/>
        <v>3043.5790060700006</v>
      </c>
      <c r="AP35">
        <f t="shared" si="55"/>
        <v>2033.8644395499998</v>
      </c>
      <c r="AQ35">
        <f t="shared" si="55"/>
        <v>1793.9646570300004</v>
      </c>
      <c r="AR35">
        <f t="shared" si="55"/>
        <v>290.14410509999999</v>
      </c>
      <c r="AS35">
        <f t="shared" si="55"/>
        <v>76.336005775000004</v>
      </c>
      <c r="AT35">
        <f t="shared" si="55"/>
        <v>52.177864652100006</v>
      </c>
      <c r="AU35">
        <f t="shared" si="55"/>
        <v>51.543044815899997</v>
      </c>
      <c r="AV35">
        <f t="shared" si="55"/>
        <v>95.857432846890205</v>
      </c>
      <c r="AW35">
        <f t="shared" si="55"/>
        <v>24.373882524115405</v>
      </c>
      <c r="AX35">
        <f t="shared" si="55"/>
        <v>56.092459133535563</v>
      </c>
      <c r="AY35">
        <f t="shared" si="1"/>
        <v>40.979471104340249</v>
      </c>
      <c r="BA35">
        <f t="shared" si="9"/>
        <v>22878.1</v>
      </c>
      <c r="BB35">
        <f t="shared" si="10"/>
        <v>4433.6014825052589</v>
      </c>
      <c r="BC35">
        <f t="shared" si="11"/>
        <v>2635.1121327665373</v>
      </c>
      <c r="BD35">
        <f t="shared" si="12"/>
        <v>7720.65671109708</v>
      </c>
      <c r="BE35">
        <f t="shared" si="13"/>
        <v>3168.3387743937783</v>
      </c>
      <c r="BF35">
        <f t="shared" si="14"/>
        <v>2356.5057190775105</v>
      </c>
      <c r="BG35">
        <f t="shared" si="15"/>
        <v>2432.1580757735278</v>
      </c>
      <c r="BH35">
        <f t="shared" si="16"/>
        <v>383.63271558002759</v>
      </c>
      <c r="BI35">
        <f t="shared" si="17"/>
        <v>100.76979846823068</v>
      </c>
      <c r="BJ35">
        <f t="shared" si="18"/>
        <v>68.314478138342551</v>
      </c>
      <c r="BK35">
        <f t="shared" si="19"/>
        <v>66.92529581092019</v>
      </c>
      <c r="BL35">
        <f t="shared" si="20"/>
        <v>95.857432846890205</v>
      </c>
      <c r="BM35">
        <f t="shared" si="21"/>
        <v>24.373882524115405</v>
      </c>
      <c r="BN35">
        <f t="shared" si="22"/>
        <v>56.092459133535563</v>
      </c>
      <c r="BO35">
        <f t="shared" si="23"/>
        <v>40.979471104340249</v>
      </c>
      <c r="BQ35" s="4">
        <f t="shared" si="3"/>
        <v>1995</v>
      </c>
      <c r="BR35" s="27">
        <f t="shared" si="4"/>
        <v>22719796.678542193</v>
      </c>
      <c r="BS35" s="27">
        <f t="shared" si="5"/>
        <v>23673810.35362288</v>
      </c>
      <c r="BT35">
        <f t="shared" si="24"/>
        <v>4.0298273105608962E-2</v>
      </c>
      <c r="BU35" s="20">
        <f t="shared" si="25"/>
        <v>0.27190624376265049</v>
      </c>
      <c r="BV35" s="20">
        <f t="shared" si="6"/>
        <v>0.25692480315447802</v>
      </c>
      <c r="BW35">
        <f>pm.rep!B94</f>
        <v>10904.9</v>
      </c>
      <c r="BX35">
        <f>pm.rep!C94</f>
        <v>6481.33</v>
      </c>
      <c r="BY35">
        <f>pm.rep!D94</f>
        <v>12108.4</v>
      </c>
      <c r="BZ35">
        <f>pm.rep!E94</f>
        <v>4276.8100000000004</v>
      </c>
      <c r="CA35">
        <f>pm.rep!F94</f>
        <v>3180.95</v>
      </c>
      <c r="CB35">
        <f>pm.rep!G94</f>
        <v>3283.07</v>
      </c>
      <c r="CC35">
        <f>pm.rep!H94</f>
        <v>517.85</v>
      </c>
      <c r="CD35">
        <f>pm.rep!I94</f>
        <v>136.02500000000001</v>
      </c>
      <c r="CE35">
        <f>pm.rep!J94</f>
        <v>92.2149</v>
      </c>
      <c r="CF35">
        <f>pm.rep!K94</f>
        <v>90.339699999999993</v>
      </c>
      <c r="CG35">
        <f>pm.rep!L94</f>
        <v>129.39400000000001</v>
      </c>
      <c r="CH35">
        <f>pm.rep!M94</f>
        <v>32.901299999999999</v>
      </c>
      <c r="CI35">
        <f>pm.rep!N94</f>
        <v>75.716899999999995</v>
      </c>
      <c r="CJ35">
        <f>pm.rep!O94</f>
        <v>15.017200000000001</v>
      </c>
      <c r="CK35">
        <f>pm.rep!P94</f>
        <v>40.299300000000002</v>
      </c>
    </row>
    <row r="36" spans="4:89" x14ac:dyDescent="0.15">
      <c r="D36">
        <f>pm.rep!A41</f>
        <v>1996</v>
      </c>
      <c r="E36">
        <f>pm.rep!B41</f>
        <v>0.40654000000000001</v>
      </c>
      <c r="F36">
        <f>pm.rep!C41</f>
        <v>0.63438000000000005</v>
      </c>
      <c r="G36">
        <f>pm.rep!D41</f>
        <v>0.72906300000000002</v>
      </c>
      <c r="H36">
        <f>pm.rep!E41</f>
        <v>0.72421100000000005</v>
      </c>
      <c r="I36">
        <f>pm.rep!F41</f>
        <v>0.68162500000000004</v>
      </c>
      <c r="J36">
        <f>pm.rep!G41</f>
        <v>0.57727200000000001</v>
      </c>
      <c r="K36">
        <f>pm.rep!H41</f>
        <v>0.49954300000000001</v>
      </c>
      <c r="L36">
        <f>pm.rep!I41</f>
        <v>0.503521</v>
      </c>
      <c r="M36">
        <f>pm.rep!J41</f>
        <v>0.52604099999999998</v>
      </c>
      <c r="N36">
        <f>pm.rep!K41</f>
        <v>0.54353600000000002</v>
      </c>
      <c r="O36">
        <f>pm.rep!L41</f>
        <v>0.54353600000000002</v>
      </c>
      <c r="P36">
        <f>pm.rep!M41</f>
        <v>0.54353600000000002</v>
      </c>
      <c r="Q36">
        <f>pm.rep!N41</f>
        <v>0.54353600000000002</v>
      </c>
      <c r="R36">
        <f>pm.rep!O41</f>
        <v>0.54353600000000002</v>
      </c>
      <c r="S36">
        <f>pm.rep!P41</f>
        <v>0.54353600000000002</v>
      </c>
      <c r="U36" s="27">
        <f>pm.rep!B95</f>
        <v>22878.1</v>
      </c>
      <c r="V36" s="27">
        <f>pm.rep!C95</f>
        <v>4433.28</v>
      </c>
      <c r="W36" s="27">
        <f>pm.rep!D95</f>
        <v>4118.8900000000003</v>
      </c>
      <c r="X36" s="27">
        <f>pm.rep!E95</f>
        <v>8860.85</v>
      </c>
      <c r="Y36" s="27">
        <f>pm.rep!F95</f>
        <v>3043.58</v>
      </c>
      <c r="Z36" s="27">
        <f>pm.rep!G95</f>
        <v>2033.87</v>
      </c>
      <c r="AA36" s="27">
        <f>pm.rep!H95</f>
        <v>1793.97</v>
      </c>
      <c r="AB36" s="27">
        <f>pm.rep!I95</f>
        <v>290.14400000000001</v>
      </c>
      <c r="AC36" s="27">
        <f>pm.rep!J95</f>
        <v>76.336200000000005</v>
      </c>
      <c r="AD36" s="27">
        <f>pm.rep!K95</f>
        <v>52.177900000000001</v>
      </c>
      <c r="AE36" s="27">
        <f>pm.rep!L95</f>
        <v>51.543100000000003</v>
      </c>
      <c r="AF36" s="27">
        <f>pm.rep!M95</f>
        <v>73.825100000000006</v>
      </c>
      <c r="AG36" s="27">
        <f>pm.rep!N95</f>
        <v>18.771799999999999</v>
      </c>
      <c r="AH36" s="27">
        <f>pm.rep!O95</f>
        <v>43.2</v>
      </c>
      <c r="AI36" s="27">
        <f>pm.rep!P95</f>
        <v>31.560700000000001</v>
      </c>
      <c r="AK36">
        <f t="shared" si="7"/>
        <v>31178.400000000001</v>
      </c>
      <c r="AL36">
        <f t="shared" ref="AL36:AX36" si="56">U36*EXP(-E$1-E91)</f>
        <v>9300.8627739999993</v>
      </c>
      <c r="AM36">
        <f t="shared" si="56"/>
        <v>1793.2553176719737</v>
      </c>
      <c r="AN36">
        <f t="shared" si="56"/>
        <v>2584.6460619187415</v>
      </c>
      <c r="AO36">
        <f t="shared" si="56"/>
        <v>6417.1250393500004</v>
      </c>
      <c r="AP36">
        <f t="shared" si="56"/>
        <v>2074.5802174999999</v>
      </c>
      <c r="AQ36">
        <f t="shared" si="56"/>
        <v>1174.09620264</v>
      </c>
      <c r="AR36">
        <f t="shared" si="56"/>
        <v>896.16515571000002</v>
      </c>
      <c r="AS36">
        <f t="shared" si="56"/>
        <v>146.09359702399999</v>
      </c>
      <c r="AT36">
        <f t="shared" si="56"/>
        <v>40.155970984200003</v>
      </c>
      <c r="AU36">
        <f t="shared" si="56"/>
        <v>28.360567054400001</v>
      </c>
      <c r="AV36">
        <f t="shared" si="56"/>
        <v>38.184067630419854</v>
      </c>
      <c r="AW36">
        <f t="shared" si="56"/>
        <v>54.690979223649897</v>
      </c>
      <c r="AX36">
        <f t="shared" si="56"/>
        <v>13.906491474993071</v>
      </c>
      <c r="AY36">
        <f t="shared" si="1"/>
        <v>55.384088750919702</v>
      </c>
      <c r="BA36">
        <f t="shared" si="9"/>
        <v>31178.400000000001</v>
      </c>
      <c r="BB36">
        <f t="shared" si="10"/>
        <v>9301.5413325114005</v>
      </c>
      <c r="BC36">
        <f t="shared" si="11"/>
        <v>1802.4371411348031</v>
      </c>
      <c r="BD36">
        <f t="shared" si="12"/>
        <v>2626.320217433406</v>
      </c>
      <c r="BE36">
        <f t="shared" si="13"/>
        <v>6564.2791307276002</v>
      </c>
      <c r="BF36">
        <f t="shared" si="14"/>
        <v>2254.7395201024628</v>
      </c>
      <c r="BG36">
        <f t="shared" si="15"/>
        <v>1506.7279544979256</v>
      </c>
      <c r="BH36">
        <f t="shared" si="16"/>
        <v>1329.0056633563815</v>
      </c>
      <c r="BI36">
        <f t="shared" si="17"/>
        <v>214.94396182147636</v>
      </c>
      <c r="BJ36">
        <f t="shared" si="18"/>
        <v>56.551247857603755</v>
      </c>
      <c r="BK36">
        <f t="shared" si="19"/>
        <v>38.65433903690861</v>
      </c>
      <c r="BL36">
        <f t="shared" si="20"/>
        <v>38.184067630419854</v>
      </c>
      <c r="BM36">
        <f t="shared" si="21"/>
        <v>54.690979223649897</v>
      </c>
      <c r="BN36">
        <f t="shared" si="22"/>
        <v>13.906491474993071</v>
      </c>
      <c r="BO36">
        <f t="shared" si="23"/>
        <v>55.384088750919702</v>
      </c>
      <c r="BQ36" s="4">
        <f t="shared" si="3"/>
        <v>1996</v>
      </c>
      <c r="BR36" s="27">
        <f t="shared" si="4"/>
        <v>19828614.199103724</v>
      </c>
      <c r="BS36" s="27">
        <f t="shared" si="5"/>
        <v>20652333.641076695</v>
      </c>
      <c r="BT36">
        <f t="shared" si="24"/>
        <v>3.9885053974463403E-2</v>
      </c>
      <c r="BU36" s="20">
        <f t="shared" si="25"/>
        <v>0.35805672948506007</v>
      </c>
      <c r="BV36" s="20">
        <f t="shared" si="6"/>
        <v>0.39235797974987929</v>
      </c>
      <c r="BW36">
        <f>pm.rep!B95</f>
        <v>22878.1</v>
      </c>
      <c r="BX36">
        <f>pm.rep!C95</f>
        <v>4433.28</v>
      </c>
      <c r="BY36">
        <f>pm.rep!D95</f>
        <v>4118.8900000000003</v>
      </c>
      <c r="BZ36">
        <f>pm.rep!E95</f>
        <v>8860.85</v>
      </c>
      <c r="CA36">
        <f>pm.rep!F95</f>
        <v>3043.58</v>
      </c>
      <c r="CB36">
        <f>pm.rep!G95</f>
        <v>2033.87</v>
      </c>
      <c r="CC36">
        <f>pm.rep!H95</f>
        <v>1793.97</v>
      </c>
      <c r="CD36">
        <f>pm.rep!I95</f>
        <v>290.14400000000001</v>
      </c>
      <c r="CE36">
        <f>pm.rep!J95</f>
        <v>76.336200000000005</v>
      </c>
      <c r="CF36">
        <f>pm.rep!K95</f>
        <v>52.177900000000001</v>
      </c>
      <c r="CG36">
        <f>pm.rep!L95</f>
        <v>51.543100000000003</v>
      </c>
      <c r="CH36">
        <f>pm.rep!M95</f>
        <v>73.825100000000006</v>
      </c>
      <c r="CI36">
        <f>pm.rep!N95</f>
        <v>18.771799999999999</v>
      </c>
      <c r="CJ36">
        <f>pm.rep!O95</f>
        <v>43.2</v>
      </c>
      <c r="CK36">
        <f>pm.rep!P95</f>
        <v>31.560700000000001</v>
      </c>
    </row>
    <row r="37" spans="4:89" x14ac:dyDescent="0.15">
      <c r="D37">
        <f>pm.rep!A42</f>
        <v>1997</v>
      </c>
      <c r="E37">
        <f>pm.rep!B42</f>
        <v>0.40654200000000001</v>
      </c>
      <c r="F37">
        <f>pm.rep!C42</f>
        <v>0.63318399999999997</v>
      </c>
      <c r="G37">
        <f>pm.rep!D42</f>
        <v>0.72685699999999998</v>
      </c>
      <c r="H37">
        <f>pm.rep!E42</f>
        <v>0.71251200000000003</v>
      </c>
      <c r="I37">
        <f>pm.rep!F42</f>
        <v>0.679338</v>
      </c>
      <c r="J37">
        <f>pm.rep!G42</f>
        <v>0.61925300000000005</v>
      </c>
      <c r="K37">
        <f>pm.rep!H42</f>
        <v>0.54788599999999998</v>
      </c>
      <c r="L37">
        <f>pm.rep!I42</f>
        <v>0.52380000000000004</v>
      </c>
      <c r="M37">
        <f>pm.rep!J42</f>
        <v>0.51407099999999994</v>
      </c>
      <c r="N37">
        <f>pm.rep!K42</f>
        <v>0.52573899999999996</v>
      </c>
      <c r="O37">
        <f>pm.rep!L42</f>
        <v>0.52573899999999996</v>
      </c>
      <c r="P37">
        <f>pm.rep!M42</f>
        <v>0.52573899999999996</v>
      </c>
      <c r="Q37">
        <f>pm.rep!N42</f>
        <v>0.52573899999999996</v>
      </c>
      <c r="R37">
        <f>pm.rep!O42</f>
        <v>0.52573899999999996</v>
      </c>
      <c r="S37">
        <f>pm.rep!P42</f>
        <v>0.52573899999999996</v>
      </c>
      <c r="U37" s="27">
        <f>pm.rep!B96</f>
        <v>31178.400000000001</v>
      </c>
      <c r="V37" s="27">
        <f>pm.rep!C96</f>
        <v>9300.86</v>
      </c>
      <c r="W37" s="27">
        <f>pm.rep!D96</f>
        <v>2812.38</v>
      </c>
      <c r="X37" s="27">
        <f>pm.rep!E96</f>
        <v>3002.93</v>
      </c>
      <c r="Y37" s="27">
        <f>pm.rep!F96</f>
        <v>6417.13</v>
      </c>
      <c r="Z37" s="27">
        <f>pm.rep!G96</f>
        <v>2074.58</v>
      </c>
      <c r="AA37" s="27">
        <f>pm.rep!H96</f>
        <v>1174.0899999999999</v>
      </c>
      <c r="AB37" s="27">
        <f>pm.rep!I96</f>
        <v>896.16200000000003</v>
      </c>
      <c r="AC37" s="27">
        <f>pm.rep!J96</f>
        <v>146.09399999999999</v>
      </c>
      <c r="AD37" s="27">
        <f>pm.rep!K96</f>
        <v>40.155999999999999</v>
      </c>
      <c r="AE37" s="27">
        <f>pm.rep!L96</f>
        <v>28.360499999999998</v>
      </c>
      <c r="AF37" s="27">
        <f>pm.rep!M96</f>
        <v>28.015499999999999</v>
      </c>
      <c r="AG37" s="27">
        <f>pm.rep!N96</f>
        <v>40.126600000000003</v>
      </c>
      <c r="AH37" s="27">
        <f>pm.rep!O96</f>
        <v>10.203099999999999</v>
      </c>
      <c r="AI37" s="27">
        <f>pm.rep!P96</f>
        <v>40.635100000000001</v>
      </c>
      <c r="AK37">
        <f t="shared" si="7"/>
        <v>15483</v>
      </c>
      <c r="AL37">
        <f t="shared" ref="AL37:AX37" si="57">U37*EXP(-E$1-E92)</f>
        <v>12675.329092800001</v>
      </c>
      <c r="AM37">
        <f t="shared" si="57"/>
        <v>3755.0914879867314</v>
      </c>
      <c r="AN37">
        <f t="shared" si="57"/>
        <v>1759.4576011632273</v>
      </c>
      <c r="AO37">
        <f t="shared" si="57"/>
        <v>2139.6236601599999</v>
      </c>
      <c r="AP37">
        <f t="shared" si="57"/>
        <v>4359.4002599400001</v>
      </c>
      <c r="AQ37">
        <f t="shared" si="57"/>
        <v>1284.68988874</v>
      </c>
      <c r="AR37">
        <f t="shared" si="57"/>
        <v>643.2674737399999</v>
      </c>
      <c r="AS37">
        <f t="shared" si="57"/>
        <v>469.40965560000006</v>
      </c>
      <c r="AT37">
        <f t="shared" si="57"/>
        <v>75.102688673999992</v>
      </c>
      <c r="AU37">
        <f t="shared" si="57"/>
        <v>21.111575283999997</v>
      </c>
      <c r="AV37">
        <f t="shared" si="57"/>
        <v>21.009975147643857</v>
      </c>
      <c r="AW37">
        <f t="shared" si="57"/>
        <v>20.754392861508666</v>
      </c>
      <c r="AX37">
        <f t="shared" si="57"/>
        <v>29.726516414007023</v>
      </c>
      <c r="AY37">
        <f t="shared" si="1"/>
        <v>37.661864866661311</v>
      </c>
      <c r="BA37">
        <f t="shared" si="9"/>
        <v>15483</v>
      </c>
      <c r="BB37">
        <f t="shared" si="10"/>
        <v>12676.191479256297</v>
      </c>
      <c r="BC37">
        <f t="shared" si="11"/>
        <v>3781.447485494949</v>
      </c>
      <c r="BD37">
        <f t="shared" si="12"/>
        <v>1793.252661058043</v>
      </c>
      <c r="BE37">
        <f t="shared" si="13"/>
        <v>2224.6252594317511</v>
      </c>
      <c r="BF37">
        <f t="shared" si="14"/>
        <v>4753.9268284832724</v>
      </c>
      <c r="BG37">
        <f t="shared" si="15"/>
        <v>1536.8866642618782</v>
      </c>
      <c r="BH37">
        <f t="shared" si="16"/>
        <v>869.7872647201981</v>
      </c>
      <c r="BI37">
        <f t="shared" si="17"/>
        <v>663.89313828256968</v>
      </c>
      <c r="BJ37">
        <f t="shared" si="18"/>
        <v>108.22909713227489</v>
      </c>
      <c r="BK37">
        <f t="shared" si="19"/>
        <v>29.748296469695063</v>
      </c>
      <c r="BL37">
        <f t="shared" si="20"/>
        <v>21.009975147643857</v>
      </c>
      <c r="BM37">
        <f t="shared" si="21"/>
        <v>20.754392861508666</v>
      </c>
      <c r="BN37">
        <f t="shared" si="22"/>
        <v>29.726516414007023</v>
      </c>
      <c r="BO37">
        <f t="shared" si="23"/>
        <v>37.661864866661311</v>
      </c>
      <c r="BQ37" s="4">
        <f t="shared" si="3"/>
        <v>1997</v>
      </c>
      <c r="BR37" s="27">
        <f t="shared" si="4"/>
        <v>14574150.574672211</v>
      </c>
      <c r="BS37" s="27">
        <f t="shared" si="5"/>
        <v>15468300.032388654</v>
      </c>
      <c r="BT37">
        <f t="shared" si="24"/>
        <v>5.7805282794114898E-2</v>
      </c>
      <c r="BU37" s="20">
        <f t="shared" si="25"/>
        <v>0.33916941691533153</v>
      </c>
      <c r="BV37" s="20">
        <f t="shared" si="6"/>
        <v>0.31799802591497073</v>
      </c>
      <c r="BW37">
        <f>pm.rep!B96</f>
        <v>31178.400000000001</v>
      </c>
      <c r="BX37">
        <f>pm.rep!C96</f>
        <v>9300.86</v>
      </c>
      <c r="BY37">
        <f>pm.rep!D96</f>
        <v>2812.38</v>
      </c>
      <c r="BZ37">
        <f>pm.rep!E96</f>
        <v>3002.93</v>
      </c>
      <c r="CA37">
        <f>pm.rep!F96</f>
        <v>6417.13</v>
      </c>
      <c r="CB37">
        <f>pm.rep!G96</f>
        <v>2074.58</v>
      </c>
      <c r="CC37">
        <f>pm.rep!H96</f>
        <v>1174.0899999999999</v>
      </c>
      <c r="CD37">
        <f>pm.rep!I96</f>
        <v>896.16200000000003</v>
      </c>
      <c r="CE37">
        <f>pm.rep!J96</f>
        <v>146.09399999999999</v>
      </c>
      <c r="CF37">
        <f>pm.rep!K96</f>
        <v>40.155999999999999</v>
      </c>
      <c r="CG37">
        <f>pm.rep!L96</f>
        <v>28.360499999999998</v>
      </c>
      <c r="CH37">
        <f>pm.rep!M96</f>
        <v>28.015499999999999</v>
      </c>
      <c r="CI37">
        <f>pm.rep!N96</f>
        <v>40.126600000000003</v>
      </c>
      <c r="CJ37">
        <f>pm.rep!O96</f>
        <v>10.203099999999999</v>
      </c>
      <c r="CK37">
        <f>pm.rep!P96</f>
        <v>40.635100000000001</v>
      </c>
    </row>
    <row r="38" spans="4:89" x14ac:dyDescent="0.15">
      <c r="D38">
        <f>pm.rep!A43</f>
        <v>1998</v>
      </c>
      <c r="E38">
        <f>pm.rep!B43</f>
        <v>0.40654800000000002</v>
      </c>
      <c r="F38">
        <f>pm.rep!C43</f>
        <v>0.63471699999999998</v>
      </c>
      <c r="G38">
        <f>pm.rep!D43</f>
        <v>0.72410799999999997</v>
      </c>
      <c r="H38">
        <f>pm.rep!E43</f>
        <v>0.70667400000000002</v>
      </c>
      <c r="I38">
        <f>pm.rep!F43</f>
        <v>0.67753099999999999</v>
      </c>
      <c r="J38">
        <f>pm.rep!G43</f>
        <v>0.61084899999999998</v>
      </c>
      <c r="K38">
        <f>pm.rep!H43</f>
        <v>0.60268200000000005</v>
      </c>
      <c r="L38">
        <f>pm.rep!I43</f>
        <v>0.558921</v>
      </c>
      <c r="M38">
        <f>pm.rep!J43</f>
        <v>0.54293800000000003</v>
      </c>
      <c r="N38">
        <f>pm.rep!K43</f>
        <v>0.55403500000000006</v>
      </c>
      <c r="O38">
        <f>pm.rep!L43</f>
        <v>0.55403500000000006</v>
      </c>
      <c r="P38">
        <f>pm.rep!M43</f>
        <v>0.55403500000000006</v>
      </c>
      <c r="Q38">
        <f>pm.rep!N43</f>
        <v>0.55403500000000006</v>
      </c>
      <c r="R38">
        <f>pm.rep!O43</f>
        <v>0.55403500000000006</v>
      </c>
      <c r="S38">
        <f>pm.rep!P43</f>
        <v>0.55403500000000006</v>
      </c>
      <c r="U38" s="27">
        <f>pm.rep!B97</f>
        <v>15483</v>
      </c>
      <c r="V38" s="27">
        <f>pm.rep!C97</f>
        <v>12675.3</v>
      </c>
      <c r="W38" s="27">
        <f>pm.rep!D97</f>
        <v>5889.16</v>
      </c>
      <c r="X38" s="27">
        <f>pm.rep!E97</f>
        <v>2044.2</v>
      </c>
      <c r="Y38" s="27">
        <f>pm.rep!F97</f>
        <v>2139.62</v>
      </c>
      <c r="Z38" s="27">
        <f>pm.rep!G97</f>
        <v>4359.3999999999996</v>
      </c>
      <c r="AA38" s="27">
        <f>pm.rep!H97</f>
        <v>1284.69</v>
      </c>
      <c r="AB38" s="27">
        <f>pm.rep!I97</f>
        <v>643.26900000000001</v>
      </c>
      <c r="AC38" s="27">
        <f>pm.rep!J97</f>
        <v>469.41</v>
      </c>
      <c r="AD38" s="27">
        <f>pm.rep!K97</f>
        <v>75.102400000000003</v>
      </c>
      <c r="AE38" s="27">
        <f>pm.rep!L97</f>
        <v>21.111599999999999</v>
      </c>
      <c r="AF38" s="27">
        <f>pm.rep!M97</f>
        <v>14.9102</v>
      </c>
      <c r="AG38" s="27">
        <f>pm.rep!N97</f>
        <v>14.7288</v>
      </c>
      <c r="AH38" s="27">
        <f>pm.rep!O97</f>
        <v>21.0961</v>
      </c>
      <c r="AI38" s="27">
        <f>pm.rep!P97</f>
        <v>26.727599999999999</v>
      </c>
      <c r="AK38">
        <f t="shared" si="7"/>
        <v>16827.099999999999</v>
      </c>
      <c r="AL38">
        <f t="shared" ref="AL38:AX38" si="58">U38*EXP(-E$1-E93)</f>
        <v>6294.582684</v>
      </c>
      <c r="AM38">
        <f t="shared" si="58"/>
        <v>5129.8641077544771</v>
      </c>
      <c r="AN38">
        <f t="shared" si="58"/>
        <v>3670.3926536595523</v>
      </c>
      <c r="AO38">
        <f t="shared" si="58"/>
        <v>1444.5829908000001</v>
      </c>
      <c r="AP38">
        <f t="shared" si="58"/>
        <v>1449.6588782199999</v>
      </c>
      <c r="AQ38">
        <f t="shared" si="58"/>
        <v>2662.9351305999999</v>
      </c>
      <c r="AR38">
        <f t="shared" si="58"/>
        <v>774.25953858000014</v>
      </c>
      <c r="AS38">
        <f t="shared" si="58"/>
        <v>359.53655274900001</v>
      </c>
      <c r="AT38">
        <f t="shared" si="58"/>
        <v>254.86052658000003</v>
      </c>
      <c r="AU38">
        <f t="shared" si="58"/>
        <v>41.609358184000008</v>
      </c>
      <c r="AV38">
        <f t="shared" si="58"/>
        <v>15.639857947744154</v>
      </c>
      <c r="AW38">
        <f t="shared" si="58"/>
        <v>11.04574783400855</v>
      </c>
      <c r="AX38">
        <f t="shared" si="58"/>
        <v>10.911363408776886</v>
      </c>
      <c r="AY38">
        <f t="shared" si="1"/>
        <v>35.428668340416273</v>
      </c>
      <c r="BA38">
        <f t="shared" si="9"/>
        <v>16827.099999999999</v>
      </c>
      <c r="BB38">
        <f t="shared" si="10"/>
        <v>6294.9180417636962</v>
      </c>
      <c r="BC38">
        <f t="shared" si="11"/>
        <v>5153.3924081100158</v>
      </c>
      <c r="BD38">
        <f t="shared" si="12"/>
        <v>3755.0942054048824</v>
      </c>
      <c r="BE38">
        <f t="shared" si="13"/>
        <v>1514.3806067175676</v>
      </c>
      <c r="BF38">
        <f t="shared" si="14"/>
        <v>1585.0694813350171</v>
      </c>
      <c r="BG38">
        <f t="shared" si="15"/>
        <v>3229.5229512398805</v>
      </c>
      <c r="BH38">
        <f t="shared" si="16"/>
        <v>951.72175992759617</v>
      </c>
      <c r="BI38">
        <f t="shared" si="17"/>
        <v>476.54539599970798</v>
      </c>
      <c r="BJ38">
        <f t="shared" si="18"/>
        <v>347.74748097020523</v>
      </c>
      <c r="BK38">
        <f t="shared" si="19"/>
        <v>55.637226336926652</v>
      </c>
      <c r="BL38">
        <f t="shared" si="20"/>
        <v>15.639857947744154</v>
      </c>
      <c r="BM38">
        <f t="shared" si="21"/>
        <v>11.04574783400855</v>
      </c>
      <c r="BN38">
        <f t="shared" si="22"/>
        <v>10.911363408776886</v>
      </c>
      <c r="BO38">
        <f t="shared" si="23"/>
        <v>35.428668340416273</v>
      </c>
      <c r="BQ38" s="4">
        <f t="shared" si="3"/>
        <v>1998</v>
      </c>
      <c r="BR38" s="27">
        <f t="shared" si="4"/>
        <v>13189870.070240373</v>
      </c>
      <c r="BS38" s="27">
        <f t="shared" si="5"/>
        <v>14024105.991567589</v>
      </c>
      <c r="BT38">
        <f t="shared" si="24"/>
        <v>5.9485853988042181E-2</v>
      </c>
      <c r="BU38" s="20">
        <f t="shared" si="25"/>
        <v>0.27235007188295196</v>
      </c>
      <c r="BV38" s="20">
        <f t="shared" si="6"/>
        <v>0.23003147396745804</v>
      </c>
      <c r="BW38">
        <f>pm.rep!B97</f>
        <v>15483</v>
      </c>
      <c r="BX38">
        <f>pm.rep!C97</f>
        <v>12675.3</v>
      </c>
      <c r="BY38">
        <f>pm.rep!D97</f>
        <v>5889.16</v>
      </c>
      <c r="BZ38">
        <f>pm.rep!E97</f>
        <v>2044.2</v>
      </c>
      <c r="CA38">
        <f>pm.rep!F97</f>
        <v>2139.62</v>
      </c>
      <c r="CB38">
        <f>pm.rep!G97</f>
        <v>4359.3999999999996</v>
      </c>
      <c r="CC38">
        <f>pm.rep!H97</f>
        <v>1284.69</v>
      </c>
      <c r="CD38">
        <f>pm.rep!I97</f>
        <v>643.26900000000001</v>
      </c>
      <c r="CE38">
        <f>pm.rep!J97</f>
        <v>469.41</v>
      </c>
      <c r="CF38">
        <f>pm.rep!K97</f>
        <v>75.102400000000003</v>
      </c>
      <c r="CG38">
        <f>pm.rep!L97</f>
        <v>21.111599999999999</v>
      </c>
      <c r="CH38">
        <f>pm.rep!M97</f>
        <v>14.9102</v>
      </c>
      <c r="CI38">
        <f>pm.rep!N97</f>
        <v>14.7288</v>
      </c>
      <c r="CJ38">
        <f>pm.rep!O97</f>
        <v>21.0961</v>
      </c>
      <c r="CK38">
        <f>pm.rep!P97</f>
        <v>26.727599999999999</v>
      </c>
    </row>
    <row r="39" spans="4:89" x14ac:dyDescent="0.15">
      <c r="D39">
        <f>pm.rep!A44</f>
        <v>1999</v>
      </c>
      <c r="E39">
        <f>pm.rep!B44</f>
        <v>0.406555</v>
      </c>
      <c r="F39">
        <f>pm.rep!C44</f>
        <v>0.63602099999999995</v>
      </c>
      <c r="G39">
        <f>pm.rep!D44</f>
        <v>0.71152199999999999</v>
      </c>
      <c r="H39">
        <f>pm.rep!E44</f>
        <v>0.696052</v>
      </c>
      <c r="I39">
        <f>pm.rep!F44</f>
        <v>0.67833200000000005</v>
      </c>
      <c r="J39">
        <f>pm.rep!G44</f>
        <v>0.649953</v>
      </c>
      <c r="K39">
        <f>pm.rep!H44</f>
        <v>0.59277199999999997</v>
      </c>
      <c r="L39">
        <f>pm.rep!I44</f>
        <v>0.598607</v>
      </c>
      <c r="M39">
        <f>pm.rep!J44</f>
        <v>0.60289800000000004</v>
      </c>
      <c r="N39">
        <f>pm.rep!K44</f>
        <v>0.60994599999999999</v>
      </c>
      <c r="O39">
        <f>pm.rep!L44</f>
        <v>0.60994599999999999</v>
      </c>
      <c r="P39">
        <f>pm.rep!M44</f>
        <v>0.60994599999999999</v>
      </c>
      <c r="Q39">
        <f>pm.rep!N44</f>
        <v>0.60994599999999999</v>
      </c>
      <c r="R39">
        <f>pm.rep!O44</f>
        <v>0.60994599999999999</v>
      </c>
      <c r="S39">
        <f>pm.rep!P44</f>
        <v>0.60994599999999999</v>
      </c>
      <c r="U39" s="27">
        <f>pm.rep!B98</f>
        <v>16827.099999999999</v>
      </c>
      <c r="V39" s="27">
        <f>pm.rep!C98</f>
        <v>6294.6</v>
      </c>
      <c r="W39" s="27">
        <f>pm.rep!D98</f>
        <v>8045.23</v>
      </c>
      <c r="X39" s="27">
        <f>pm.rep!E98</f>
        <v>4264.38</v>
      </c>
      <c r="Y39" s="27">
        <f>pm.rep!F98</f>
        <v>1444.58</v>
      </c>
      <c r="Z39" s="27">
        <f>pm.rep!G98</f>
        <v>1449.66</v>
      </c>
      <c r="AA39" s="27">
        <f>pm.rep!H98</f>
        <v>2662.93</v>
      </c>
      <c r="AB39" s="27">
        <f>pm.rep!I98</f>
        <v>774.25800000000004</v>
      </c>
      <c r="AC39" s="27">
        <f>pm.rep!J98</f>
        <v>359.53699999999998</v>
      </c>
      <c r="AD39" s="27">
        <f>pm.rep!K98</f>
        <v>254.86099999999999</v>
      </c>
      <c r="AE39" s="27">
        <f>pm.rep!L98</f>
        <v>41.609400000000001</v>
      </c>
      <c r="AF39" s="27">
        <f>pm.rep!M98</f>
        <v>11.6966</v>
      </c>
      <c r="AG39" s="27">
        <f>pm.rep!N98</f>
        <v>8.2607900000000001</v>
      </c>
      <c r="AH39" s="27">
        <f>pm.rep!O98</f>
        <v>8.1602899999999998</v>
      </c>
      <c r="AI39" s="27">
        <f>pm.rep!P98</f>
        <v>26.495999999999999</v>
      </c>
      <c r="AK39">
        <f t="shared" si="7"/>
        <v>25850.3</v>
      </c>
      <c r="AL39">
        <f t="shared" ref="AL39:AX39" si="59">U39*EXP(-E$1-E94)</f>
        <v>6841.1416404999991</v>
      </c>
      <c r="AM39">
        <f t="shared" si="59"/>
        <v>2552.742893691619</v>
      </c>
      <c r="AN39">
        <f t="shared" si="59"/>
        <v>4927.0007110633505</v>
      </c>
      <c r="AO39">
        <f t="shared" si="59"/>
        <v>2968.2302277600002</v>
      </c>
      <c r="AP39">
        <f t="shared" si="59"/>
        <v>979.90484056000003</v>
      </c>
      <c r="AQ39">
        <f t="shared" si="59"/>
        <v>942.21086598000011</v>
      </c>
      <c r="AR39">
        <f t="shared" si="59"/>
        <v>1578.5103419599998</v>
      </c>
      <c r="AS39">
        <f t="shared" si="59"/>
        <v>463.47625860600004</v>
      </c>
      <c r="AT39">
        <f t="shared" si="59"/>
        <v>216.764138226</v>
      </c>
      <c r="AU39">
        <f t="shared" si="59"/>
        <v>155.45144750599999</v>
      </c>
      <c r="AV39">
        <f t="shared" si="59"/>
        <v>30.825001671633874</v>
      </c>
      <c r="AW39">
        <f t="shared" si="59"/>
        <v>8.665054400025781</v>
      </c>
      <c r="AX39">
        <f t="shared" si="59"/>
        <v>6.1197437492253286</v>
      </c>
      <c r="AY39">
        <f t="shared" si="1"/>
        <v>25.674011093229613</v>
      </c>
      <c r="BA39">
        <f t="shared" si="9"/>
        <v>25850.3</v>
      </c>
      <c r="BB39">
        <f t="shared" si="10"/>
        <v>6841.3883214210346</v>
      </c>
      <c r="BC39">
        <f t="shared" si="11"/>
        <v>2559.1933802031754</v>
      </c>
      <c r="BD39">
        <f t="shared" si="12"/>
        <v>5129.8651342720395</v>
      </c>
      <c r="BE39">
        <f t="shared" si="13"/>
        <v>3159.130403910704</v>
      </c>
      <c r="BF39">
        <f t="shared" si="14"/>
        <v>1070.1711852323961</v>
      </c>
      <c r="BG39">
        <f t="shared" si="15"/>
        <v>1073.9345417934592</v>
      </c>
      <c r="BH39">
        <f t="shared" si="16"/>
        <v>1972.7470643999668</v>
      </c>
      <c r="BI39">
        <f t="shared" si="17"/>
        <v>573.58443390858554</v>
      </c>
      <c r="BJ39">
        <f t="shared" si="18"/>
        <v>266.35156060924277</v>
      </c>
      <c r="BK39">
        <f t="shared" si="19"/>
        <v>188.80567254116329</v>
      </c>
      <c r="BL39">
        <f t="shared" si="20"/>
        <v>30.825001671633874</v>
      </c>
      <c r="BM39">
        <f t="shared" si="21"/>
        <v>8.665054400025781</v>
      </c>
      <c r="BN39">
        <f t="shared" si="22"/>
        <v>6.1197437492253286</v>
      </c>
      <c r="BO39">
        <f t="shared" si="23"/>
        <v>25.674011093229613</v>
      </c>
      <c r="BQ39" s="4">
        <f t="shared" si="3"/>
        <v>1999</v>
      </c>
      <c r="BR39" s="27">
        <f t="shared" si="4"/>
        <v>14207698.234823095</v>
      </c>
      <c r="BS39" s="27">
        <f t="shared" si="5"/>
        <v>15006791.430479014</v>
      </c>
      <c r="BT39">
        <f t="shared" si="24"/>
        <v>5.3248770688779534E-2</v>
      </c>
      <c r="BU39" s="20">
        <f t="shared" si="25"/>
        <v>0.20912188259472791</v>
      </c>
      <c r="BV39" s="20">
        <f t="shared" si="6"/>
        <v>0.2216117155465982</v>
      </c>
      <c r="BW39">
        <f>pm.rep!B98</f>
        <v>16827.099999999999</v>
      </c>
      <c r="BX39">
        <f>pm.rep!C98</f>
        <v>6294.6</v>
      </c>
      <c r="BY39">
        <f>pm.rep!D98</f>
        <v>8045.23</v>
      </c>
      <c r="BZ39">
        <f>pm.rep!E98</f>
        <v>4264.38</v>
      </c>
      <c r="CA39">
        <f>pm.rep!F98</f>
        <v>1444.58</v>
      </c>
      <c r="CB39">
        <f>pm.rep!G98</f>
        <v>1449.66</v>
      </c>
      <c r="CC39">
        <f>pm.rep!H98</f>
        <v>2662.93</v>
      </c>
      <c r="CD39">
        <f>pm.rep!I98</f>
        <v>774.25800000000004</v>
      </c>
      <c r="CE39">
        <f>pm.rep!J98</f>
        <v>359.53699999999998</v>
      </c>
      <c r="CF39">
        <f>pm.rep!K98</f>
        <v>254.86099999999999</v>
      </c>
      <c r="CG39">
        <f>pm.rep!L98</f>
        <v>41.609400000000001</v>
      </c>
      <c r="CH39">
        <f>pm.rep!M98</f>
        <v>11.6966</v>
      </c>
      <c r="CI39">
        <f>pm.rep!N98</f>
        <v>8.2607900000000001</v>
      </c>
      <c r="CJ39">
        <f>pm.rep!O98</f>
        <v>8.1602899999999998</v>
      </c>
      <c r="CK39">
        <f>pm.rep!P98</f>
        <v>26.495999999999999</v>
      </c>
    </row>
    <row r="40" spans="4:89" x14ac:dyDescent="0.15">
      <c r="D40">
        <f>pm.rep!A45</f>
        <v>2000</v>
      </c>
      <c r="E40">
        <f>pm.rep!B45</f>
        <v>0.406555</v>
      </c>
      <c r="F40">
        <f>pm.rep!C45</f>
        <v>0.63607000000000002</v>
      </c>
      <c r="G40">
        <f>pm.rep!D45</f>
        <v>0.72317900000000002</v>
      </c>
      <c r="H40">
        <f>pm.rep!E45</f>
        <v>0.67771700000000001</v>
      </c>
      <c r="I40">
        <f>pm.rep!F45</f>
        <v>0.64172600000000002</v>
      </c>
      <c r="J40">
        <f>pm.rep!G45</f>
        <v>0.64244800000000002</v>
      </c>
      <c r="K40">
        <f>pm.rep!H45</f>
        <v>0.58919900000000003</v>
      </c>
      <c r="L40">
        <f>pm.rep!I45</f>
        <v>0.553261</v>
      </c>
      <c r="M40">
        <f>pm.rep!J45</f>
        <v>0.58669099999999996</v>
      </c>
      <c r="N40">
        <f>pm.rep!K45</f>
        <v>0.60261500000000001</v>
      </c>
      <c r="O40">
        <f>pm.rep!L45</f>
        <v>0.60261500000000001</v>
      </c>
      <c r="P40">
        <f>pm.rep!M45</f>
        <v>0.60261500000000001</v>
      </c>
      <c r="Q40">
        <f>pm.rep!N45</f>
        <v>0.60261500000000001</v>
      </c>
      <c r="R40">
        <f>pm.rep!O45</f>
        <v>0.60261500000000001</v>
      </c>
      <c r="S40">
        <f>pm.rep!P45</f>
        <v>0.60261500000000001</v>
      </c>
      <c r="U40" s="27">
        <f>pm.rep!B99</f>
        <v>25850.3</v>
      </c>
      <c r="V40" s="27">
        <f>pm.rep!C99</f>
        <v>6841.15</v>
      </c>
      <c r="W40" s="27">
        <f>pm.rep!D99</f>
        <v>4003.5</v>
      </c>
      <c r="X40" s="27">
        <f>pm.rep!E99</f>
        <v>5724.36</v>
      </c>
      <c r="Y40" s="27">
        <f>pm.rep!F99</f>
        <v>2968.23</v>
      </c>
      <c r="Z40" s="27">
        <f>pm.rep!G99</f>
        <v>979.90800000000002</v>
      </c>
      <c r="AA40" s="27">
        <f>pm.rep!H99</f>
        <v>942.21100000000001</v>
      </c>
      <c r="AB40" s="27">
        <f>pm.rep!I99</f>
        <v>1578.51</v>
      </c>
      <c r="AC40" s="27">
        <f>pm.rep!J99</f>
        <v>463.476</v>
      </c>
      <c r="AD40" s="27">
        <f>pm.rep!K99</f>
        <v>216.76400000000001</v>
      </c>
      <c r="AE40" s="27">
        <f>pm.rep!L99</f>
        <v>155.45099999999999</v>
      </c>
      <c r="AF40" s="27">
        <f>pm.rep!M99</f>
        <v>25.3795</v>
      </c>
      <c r="AG40" s="27">
        <f>pm.rep!N99</f>
        <v>7.1342699999999999</v>
      </c>
      <c r="AH40" s="27">
        <f>pm.rep!O99</f>
        <v>5.03864</v>
      </c>
      <c r="AI40" s="27">
        <f>pm.rep!P99</f>
        <v>21.138500000000001</v>
      </c>
      <c r="AK40">
        <f t="shared" si="7"/>
        <v>35963.4</v>
      </c>
      <c r="AL40">
        <f t="shared" ref="AL40:AX40" si="60">U40*EXP(-E$1-E95)</f>
        <v>10509.5687165</v>
      </c>
      <c r="AM40">
        <f t="shared" si="60"/>
        <v>2774.6071992292618</v>
      </c>
      <c r="AN40">
        <f t="shared" si="60"/>
        <v>2491.9622955002783</v>
      </c>
      <c r="AO40">
        <f t="shared" si="60"/>
        <v>3879.4960861199997</v>
      </c>
      <c r="AP40">
        <f t="shared" si="60"/>
        <v>1904.79036498</v>
      </c>
      <c r="AQ40">
        <f t="shared" si="60"/>
        <v>629.53993478400002</v>
      </c>
      <c r="AR40">
        <f t="shared" si="60"/>
        <v>555.14977898900008</v>
      </c>
      <c r="AS40">
        <f t="shared" si="60"/>
        <v>873.32802111000001</v>
      </c>
      <c r="AT40">
        <f t="shared" si="60"/>
        <v>271.91719791599996</v>
      </c>
      <c r="AU40">
        <f t="shared" si="60"/>
        <v>130.62523786</v>
      </c>
      <c r="AV40">
        <f t="shared" si="60"/>
        <v>115.16093322319372</v>
      </c>
      <c r="AW40">
        <f t="shared" si="60"/>
        <v>18.801596031791657</v>
      </c>
      <c r="AX40">
        <f t="shared" si="60"/>
        <v>5.2851972072629589</v>
      </c>
      <c r="AY40">
        <f t="shared" si="1"/>
        <v>19.392502277336227</v>
      </c>
      <c r="BA40">
        <f t="shared" si="9"/>
        <v>35963.4</v>
      </c>
      <c r="BB40">
        <f t="shared" si="10"/>
        <v>10509.947675192408</v>
      </c>
      <c r="BC40">
        <f t="shared" si="11"/>
        <v>2781.4040277343993</v>
      </c>
      <c r="BD40">
        <f t="shared" si="12"/>
        <v>2552.7443050177694</v>
      </c>
      <c r="BE40">
        <f t="shared" si="13"/>
        <v>4240.7101897415987</v>
      </c>
      <c r="BF40">
        <f t="shared" si="14"/>
        <v>2198.9188671740953</v>
      </c>
      <c r="BG40">
        <f t="shared" si="15"/>
        <v>725.93370099178082</v>
      </c>
      <c r="BH40">
        <f t="shared" si="16"/>
        <v>698.00707652674214</v>
      </c>
      <c r="BI40">
        <f t="shared" si="17"/>
        <v>1169.3889695282985</v>
      </c>
      <c r="BJ40">
        <f t="shared" si="18"/>
        <v>343.35146564867989</v>
      </c>
      <c r="BK40">
        <f t="shared" si="19"/>
        <v>160.58272078785191</v>
      </c>
      <c r="BL40">
        <f t="shared" si="20"/>
        <v>115.16093322319372</v>
      </c>
      <c r="BM40">
        <f t="shared" si="21"/>
        <v>18.801596031791657</v>
      </c>
      <c r="BN40">
        <f t="shared" si="22"/>
        <v>5.2851972072629589</v>
      </c>
      <c r="BO40">
        <f t="shared" si="23"/>
        <v>19.392502277336227</v>
      </c>
      <c r="BQ40" s="4">
        <f t="shared" si="3"/>
        <v>2000</v>
      </c>
      <c r="BR40" s="27">
        <f t="shared" si="4"/>
        <v>13093881.32467339</v>
      </c>
      <c r="BS40" s="27">
        <f t="shared" si="5"/>
        <v>14018767.412570894</v>
      </c>
      <c r="BT40">
        <f t="shared" si="24"/>
        <v>6.5974850760997739E-2</v>
      </c>
      <c r="BU40" s="20">
        <f t="shared" si="25"/>
        <v>0.2401626182537519</v>
      </c>
      <c r="BV40" s="20">
        <f t="shared" si="6"/>
        <v>0.27013861883360429</v>
      </c>
      <c r="BW40">
        <f>pm.rep!B99</f>
        <v>25850.3</v>
      </c>
      <c r="BX40">
        <f>pm.rep!C99</f>
        <v>6841.15</v>
      </c>
      <c r="BY40">
        <f>pm.rep!D99</f>
        <v>4003.5</v>
      </c>
      <c r="BZ40">
        <f>pm.rep!E99</f>
        <v>5724.36</v>
      </c>
      <c r="CA40">
        <f>pm.rep!F99</f>
        <v>2968.23</v>
      </c>
      <c r="CB40">
        <f>pm.rep!G99</f>
        <v>979.90800000000002</v>
      </c>
      <c r="CC40">
        <f>pm.rep!H99</f>
        <v>942.21100000000001</v>
      </c>
      <c r="CD40">
        <f>pm.rep!I99</f>
        <v>1578.51</v>
      </c>
      <c r="CE40">
        <f>pm.rep!J99</f>
        <v>463.476</v>
      </c>
      <c r="CF40">
        <f>pm.rep!K99</f>
        <v>216.76400000000001</v>
      </c>
      <c r="CG40">
        <f>pm.rep!L99</f>
        <v>155.45099999999999</v>
      </c>
      <c r="CH40">
        <f>pm.rep!M99</f>
        <v>25.3795</v>
      </c>
      <c r="CI40">
        <f>pm.rep!N99</f>
        <v>7.1342699999999999</v>
      </c>
      <c r="CJ40">
        <f>pm.rep!O99</f>
        <v>5.03864</v>
      </c>
      <c r="CK40">
        <f>pm.rep!P99</f>
        <v>21.138500000000001</v>
      </c>
    </row>
    <row r="41" spans="4:89" x14ac:dyDescent="0.15">
      <c r="D41">
        <f>pm.rep!A46</f>
        <v>2001</v>
      </c>
      <c r="E41">
        <f>pm.rep!B46</f>
        <v>0.40655400000000003</v>
      </c>
      <c r="F41">
        <f>pm.rep!C46</f>
        <v>0.63627500000000003</v>
      </c>
      <c r="G41">
        <f>pm.rep!D46</f>
        <v>0.72754700000000005</v>
      </c>
      <c r="H41">
        <f>pm.rep!E46</f>
        <v>0.68969899999999995</v>
      </c>
      <c r="I41">
        <f>pm.rep!F46</f>
        <v>0.60942099999999999</v>
      </c>
      <c r="J41">
        <f>pm.rep!G46</f>
        <v>0.556925</v>
      </c>
      <c r="K41">
        <f>pm.rep!H46</f>
        <v>0.55988400000000005</v>
      </c>
      <c r="L41">
        <f>pm.rep!I46</f>
        <v>0.56050299999999997</v>
      </c>
      <c r="M41">
        <f>pm.rep!J46</f>
        <v>0.57325000000000004</v>
      </c>
      <c r="N41">
        <f>pm.rep!K46</f>
        <v>0.58301400000000003</v>
      </c>
      <c r="O41">
        <f>pm.rep!L46</f>
        <v>0.58301400000000003</v>
      </c>
      <c r="P41">
        <f>pm.rep!M46</f>
        <v>0.58301400000000003</v>
      </c>
      <c r="Q41">
        <f>pm.rep!N46</f>
        <v>0.58301400000000003</v>
      </c>
      <c r="R41">
        <f>pm.rep!O46</f>
        <v>0.58301400000000003</v>
      </c>
      <c r="S41">
        <f>pm.rep!P46</f>
        <v>0.58301400000000003</v>
      </c>
      <c r="U41" s="27">
        <f>pm.rep!B100</f>
        <v>35963.4</v>
      </c>
      <c r="V41" s="27">
        <f>pm.rep!C100</f>
        <v>10509.6</v>
      </c>
      <c r="W41" s="27">
        <f>pm.rep!D100</f>
        <v>4351.45</v>
      </c>
      <c r="X41" s="27">
        <f>pm.rep!E100</f>
        <v>2895.25</v>
      </c>
      <c r="Y41" s="27">
        <f>pm.rep!F100</f>
        <v>3879.5</v>
      </c>
      <c r="Z41" s="27">
        <f>pm.rep!G100</f>
        <v>1904.79</v>
      </c>
      <c r="AA41" s="27">
        <f>pm.rep!H100</f>
        <v>629.54</v>
      </c>
      <c r="AB41" s="27">
        <f>pm.rep!I100</f>
        <v>555.15</v>
      </c>
      <c r="AC41" s="27">
        <f>pm.rep!J100</f>
        <v>873.32899999999995</v>
      </c>
      <c r="AD41" s="27">
        <f>pm.rep!K100</f>
        <v>271.91699999999997</v>
      </c>
      <c r="AE41" s="27">
        <f>pm.rep!L100</f>
        <v>130.625</v>
      </c>
      <c r="AF41" s="27">
        <f>pm.rep!M100</f>
        <v>93.677199999999999</v>
      </c>
      <c r="AG41" s="27">
        <f>pm.rep!N100</f>
        <v>15.294</v>
      </c>
      <c r="AH41" s="27">
        <f>pm.rep!O100</f>
        <v>4.29922</v>
      </c>
      <c r="AI41" s="27">
        <f>pm.rep!P100</f>
        <v>15.774699999999999</v>
      </c>
      <c r="AK41">
        <f t="shared" si="7"/>
        <v>23951.8</v>
      </c>
      <c r="AL41">
        <f t="shared" ref="AL41:AX41" si="61">U41*EXP(-E$1-E96)</f>
        <v>14621.064123600001</v>
      </c>
      <c r="AM41">
        <f t="shared" si="61"/>
        <v>4263.8167335988728</v>
      </c>
      <c r="AN41">
        <f t="shared" si="61"/>
        <v>2724.9019496238088</v>
      </c>
      <c r="AO41">
        <f t="shared" si="61"/>
        <v>1996.85102975</v>
      </c>
      <c r="AP41">
        <f t="shared" si="61"/>
        <v>2364.2487695</v>
      </c>
      <c r="AQ41">
        <f t="shared" si="61"/>
        <v>1060.8251707500001</v>
      </c>
      <c r="AR41">
        <f t="shared" si="61"/>
        <v>352.46937336000002</v>
      </c>
      <c r="AS41">
        <f t="shared" si="61"/>
        <v>311.16324044999999</v>
      </c>
      <c r="AT41">
        <f t="shared" si="61"/>
        <v>500.63584924999998</v>
      </c>
      <c r="AU41">
        <f t="shared" si="61"/>
        <v>158.53141783799998</v>
      </c>
      <c r="AV41">
        <f t="shared" si="61"/>
        <v>96.769380076549396</v>
      </c>
      <c r="AW41">
        <f t="shared" si="61"/>
        <v>69.39777662244542</v>
      </c>
      <c r="AX41">
        <f t="shared" si="61"/>
        <v>11.330073867106194</v>
      </c>
      <c r="AY41">
        <f t="shared" si="1"/>
        <v>14.871125696507148</v>
      </c>
      <c r="BA41">
        <f t="shared" si="9"/>
        <v>23951.8</v>
      </c>
      <c r="BB41">
        <f t="shared" si="10"/>
        <v>14621.627301115062</v>
      </c>
      <c r="BC41">
        <f t="shared" si="11"/>
        <v>4272.8844960098004</v>
      </c>
      <c r="BD41">
        <f t="shared" si="12"/>
        <v>2774.6070203745653</v>
      </c>
      <c r="BE41">
        <f t="shared" si="13"/>
        <v>2144.8539534287438</v>
      </c>
      <c r="BF41">
        <f t="shared" si="14"/>
        <v>2874.0042871347246</v>
      </c>
      <c r="BG41">
        <f t="shared" si="15"/>
        <v>1411.1031385723293</v>
      </c>
      <c r="BH41">
        <f t="shared" si="16"/>
        <v>466.37470264796866</v>
      </c>
      <c r="BI41">
        <f t="shared" si="17"/>
        <v>411.26523521145566</v>
      </c>
      <c r="BJ41">
        <f t="shared" si="18"/>
        <v>646.97803584974395</v>
      </c>
      <c r="BK41">
        <f t="shared" si="19"/>
        <v>201.44106811311065</v>
      </c>
      <c r="BL41">
        <f t="shared" si="20"/>
        <v>96.769380076549396</v>
      </c>
      <c r="BM41">
        <f t="shared" si="21"/>
        <v>69.39777662244542</v>
      </c>
      <c r="BN41">
        <f t="shared" si="22"/>
        <v>11.330073867106194</v>
      </c>
      <c r="BO41">
        <f t="shared" si="23"/>
        <v>14.871125696507148</v>
      </c>
      <c r="BQ41" s="4">
        <f t="shared" si="3"/>
        <v>2001</v>
      </c>
      <c r="BR41" s="27">
        <f t="shared" si="4"/>
        <v>11740213.838001993</v>
      </c>
      <c r="BS41" s="27">
        <f t="shared" si="5"/>
        <v>12671175.251819309</v>
      </c>
      <c r="BT41">
        <f t="shared" si="24"/>
        <v>7.3470802456437556E-2</v>
      </c>
      <c r="BU41" s="20">
        <f t="shared" si="25"/>
        <v>0.26373094503234518</v>
      </c>
      <c r="BV41" s="20">
        <f t="shared" si="6"/>
        <v>0.26171402080457756</v>
      </c>
      <c r="BW41">
        <f>pm.rep!B100</f>
        <v>35963.4</v>
      </c>
      <c r="BX41">
        <f>pm.rep!C100</f>
        <v>10509.6</v>
      </c>
      <c r="BY41">
        <f>pm.rep!D100</f>
        <v>4351.45</v>
      </c>
      <c r="BZ41">
        <f>pm.rep!E100</f>
        <v>2895.25</v>
      </c>
      <c r="CA41">
        <f>pm.rep!F100</f>
        <v>3879.5</v>
      </c>
      <c r="CB41">
        <f>pm.rep!G100</f>
        <v>1904.79</v>
      </c>
      <c r="CC41">
        <f>pm.rep!H100</f>
        <v>629.54</v>
      </c>
      <c r="CD41">
        <f>pm.rep!I100</f>
        <v>555.15</v>
      </c>
      <c r="CE41">
        <f>pm.rep!J100</f>
        <v>873.32899999999995</v>
      </c>
      <c r="CF41">
        <f>pm.rep!K100</f>
        <v>271.91699999999997</v>
      </c>
      <c r="CG41">
        <f>pm.rep!L100</f>
        <v>130.625</v>
      </c>
      <c r="CH41">
        <f>pm.rep!M100</f>
        <v>93.677199999999999</v>
      </c>
      <c r="CI41">
        <f>pm.rep!N100</f>
        <v>15.294</v>
      </c>
      <c r="CJ41">
        <f>pm.rep!O100</f>
        <v>4.29922</v>
      </c>
      <c r="CK41">
        <f>pm.rep!P100</f>
        <v>15.774699999999999</v>
      </c>
    </row>
    <row r="42" spans="4:89" x14ac:dyDescent="0.15">
      <c r="D42">
        <f>pm.rep!A47</f>
        <v>2002</v>
      </c>
      <c r="E42">
        <f>pm.rep!B47</f>
        <v>0.406553</v>
      </c>
      <c r="F42">
        <f>pm.rep!C47</f>
        <v>0.63534000000000002</v>
      </c>
      <c r="G42">
        <f>pm.rep!D47</f>
        <v>0.72492599999999996</v>
      </c>
      <c r="H42">
        <f>pm.rep!E47</f>
        <v>0.68228</v>
      </c>
      <c r="I42">
        <f>pm.rep!F47</f>
        <v>0.61619699999999999</v>
      </c>
      <c r="J42">
        <f>pm.rep!G47</f>
        <v>0.51772700000000005</v>
      </c>
      <c r="K42">
        <f>pm.rep!H47</f>
        <v>0.52032599999999996</v>
      </c>
      <c r="L42">
        <f>pm.rep!I47</f>
        <v>0.52299200000000001</v>
      </c>
      <c r="M42">
        <f>pm.rep!J47</f>
        <v>0.538991</v>
      </c>
      <c r="N42">
        <f>pm.rep!K47</f>
        <v>0.56635000000000002</v>
      </c>
      <c r="O42">
        <f>pm.rep!L47</f>
        <v>0.56635000000000002</v>
      </c>
      <c r="P42">
        <f>pm.rep!M47</f>
        <v>0.56635000000000002</v>
      </c>
      <c r="Q42">
        <f>pm.rep!N47</f>
        <v>0.56635000000000002</v>
      </c>
      <c r="R42">
        <f>pm.rep!O47</f>
        <v>0.56635000000000002</v>
      </c>
      <c r="S42">
        <f>pm.rep!P47</f>
        <v>0.56635000000000002</v>
      </c>
      <c r="U42" s="27">
        <f>pm.rep!B101</f>
        <v>23951.8</v>
      </c>
      <c r="V42" s="27">
        <f>pm.rep!C101</f>
        <v>14621.1</v>
      </c>
      <c r="W42" s="27">
        <f>pm.rep!D101</f>
        <v>6686.97</v>
      </c>
      <c r="X42" s="27">
        <f>pm.rep!E101</f>
        <v>3165.89</v>
      </c>
      <c r="Y42" s="27">
        <f>pm.rep!F101</f>
        <v>1996.85</v>
      </c>
      <c r="Z42" s="27">
        <f>pm.rep!G101</f>
        <v>2364.25</v>
      </c>
      <c r="AA42" s="27">
        <f>pm.rep!H101</f>
        <v>1060.83</v>
      </c>
      <c r="AB42" s="27">
        <f>pm.rep!I101</f>
        <v>352.46899999999999</v>
      </c>
      <c r="AC42" s="27">
        <f>pm.rep!J101</f>
        <v>311.16399999999999</v>
      </c>
      <c r="AD42" s="27">
        <f>pm.rep!K101</f>
        <v>500.63600000000002</v>
      </c>
      <c r="AE42" s="27">
        <f>pm.rep!L101</f>
        <v>158.53200000000001</v>
      </c>
      <c r="AF42" s="27">
        <f>pm.rep!M101</f>
        <v>76.156300000000002</v>
      </c>
      <c r="AG42" s="27">
        <f>pm.rep!N101</f>
        <v>54.615099999999998</v>
      </c>
      <c r="AH42" s="27">
        <f>pm.rep!O101</f>
        <v>8.9166500000000006</v>
      </c>
      <c r="AI42" s="27">
        <f>pm.rep!P101</f>
        <v>11.7034</v>
      </c>
      <c r="AK42">
        <f t="shared" si="7"/>
        <v>14625.5</v>
      </c>
      <c r="AL42">
        <f t="shared" ref="AL42:AX42" si="62">U42*EXP(-E$1-E97)</f>
        <v>9737.6761453999989</v>
      </c>
      <c r="AM42">
        <f t="shared" si="62"/>
        <v>5923.1636149639753</v>
      </c>
      <c r="AN42">
        <f t="shared" si="62"/>
        <v>4172.3321933055586</v>
      </c>
      <c r="AO42">
        <f t="shared" si="62"/>
        <v>2160.0234292</v>
      </c>
      <c r="AP42">
        <f t="shared" si="62"/>
        <v>1230.4529794499999</v>
      </c>
      <c r="AQ42">
        <f t="shared" si="62"/>
        <v>1224.03605975</v>
      </c>
      <c r="AR42">
        <f t="shared" si="62"/>
        <v>551.97743057999992</v>
      </c>
      <c r="AS42">
        <f t="shared" si="62"/>
        <v>184.338467248</v>
      </c>
      <c r="AT42">
        <f t="shared" si="62"/>
        <v>167.714595524</v>
      </c>
      <c r="AU42">
        <f t="shared" si="62"/>
        <v>283.5351986</v>
      </c>
      <c r="AV42">
        <f t="shared" si="62"/>
        <v>117.4433941611141</v>
      </c>
      <c r="AW42">
        <f t="shared" si="62"/>
        <v>56.417974659703113</v>
      </c>
      <c r="AX42">
        <f t="shared" si="62"/>
        <v>40.459861204354091</v>
      </c>
      <c r="AY42">
        <f t="shared" si="1"/>
        <v>15.275708751368057</v>
      </c>
      <c r="BA42">
        <f t="shared" si="9"/>
        <v>14625.5</v>
      </c>
      <c r="BB42">
        <f t="shared" si="10"/>
        <v>9738.0751761748816</v>
      </c>
      <c r="BC42">
        <f t="shared" si="11"/>
        <v>5944.4956520332735</v>
      </c>
      <c r="BD42">
        <f t="shared" si="12"/>
        <v>4263.8003210502502</v>
      </c>
      <c r="BE42">
        <f t="shared" si="13"/>
        <v>2345.3489966740435</v>
      </c>
      <c r="BF42">
        <f t="shared" si="14"/>
        <v>1479.3028639682882</v>
      </c>
      <c r="BG42">
        <f t="shared" si="15"/>
        <v>1751.4794782467516</v>
      </c>
      <c r="BH42">
        <f t="shared" si="16"/>
        <v>785.88219304578672</v>
      </c>
      <c r="BI42">
        <f t="shared" si="17"/>
        <v>261.1154574254644</v>
      </c>
      <c r="BJ42">
        <f t="shared" si="18"/>
        <v>230.51596082020606</v>
      </c>
      <c r="BK42">
        <f t="shared" si="19"/>
        <v>370.88027072921255</v>
      </c>
      <c r="BL42">
        <f t="shared" si="20"/>
        <v>117.4433941611141</v>
      </c>
      <c r="BM42">
        <f t="shared" si="21"/>
        <v>56.417974659703113</v>
      </c>
      <c r="BN42">
        <f t="shared" si="22"/>
        <v>40.459861204354091</v>
      </c>
      <c r="BO42">
        <f t="shared" si="23"/>
        <v>15.275708751368057</v>
      </c>
      <c r="BQ42" s="4">
        <f t="shared" si="3"/>
        <v>2002</v>
      </c>
      <c r="BR42" s="27">
        <f t="shared" si="4"/>
        <v>14459889.291188639</v>
      </c>
      <c r="BS42" s="27">
        <f t="shared" si="5"/>
        <v>15333045.723361075</v>
      </c>
      <c r="BT42">
        <f t="shared" si="24"/>
        <v>5.6946052853812046E-2</v>
      </c>
      <c r="BU42" s="20">
        <f t="shared" si="25"/>
        <v>0.32202206882533052</v>
      </c>
      <c r="BV42" s="20">
        <f t="shared" si="6"/>
        <v>0.33040287350981262</v>
      </c>
      <c r="BW42">
        <f>pm.rep!B101</f>
        <v>23951.8</v>
      </c>
      <c r="BX42">
        <f>pm.rep!C101</f>
        <v>14621.1</v>
      </c>
      <c r="BY42">
        <f>pm.rep!D101</f>
        <v>6686.97</v>
      </c>
      <c r="BZ42">
        <f>pm.rep!E101</f>
        <v>3165.89</v>
      </c>
      <c r="CA42">
        <f>pm.rep!F101</f>
        <v>1996.85</v>
      </c>
      <c r="CB42">
        <f>pm.rep!G101</f>
        <v>2364.25</v>
      </c>
      <c r="CC42">
        <f>pm.rep!H101</f>
        <v>1060.83</v>
      </c>
      <c r="CD42">
        <f>pm.rep!I101</f>
        <v>352.46899999999999</v>
      </c>
      <c r="CE42">
        <f>pm.rep!J101</f>
        <v>311.16399999999999</v>
      </c>
      <c r="CF42">
        <f>pm.rep!K101</f>
        <v>500.63600000000002</v>
      </c>
      <c r="CG42">
        <f>pm.rep!L101</f>
        <v>158.53200000000001</v>
      </c>
      <c r="CH42">
        <f>pm.rep!M101</f>
        <v>76.156300000000002</v>
      </c>
      <c r="CI42">
        <f>pm.rep!N101</f>
        <v>54.615099999999998</v>
      </c>
      <c r="CJ42">
        <f>pm.rep!O101</f>
        <v>8.9166500000000006</v>
      </c>
      <c r="CK42">
        <f>pm.rep!P101</f>
        <v>11.7034</v>
      </c>
    </row>
    <row r="43" spans="4:89" x14ac:dyDescent="0.15">
      <c r="D43">
        <f>pm.rep!A48</f>
        <v>2003</v>
      </c>
      <c r="E43">
        <f>pm.rep!B48</f>
        <v>0.406553</v>
      </c>
      <c r="F43">
        <f>pm.rep!C48</f>
        <v>0.63602599999999998</v>
      </c>
      <c r="G43">
        <f>pm.rep!D48</f>
        <v>0.70617200000000002</v>
      </c>
      <c r="H43">
        <f>pm.rep!E48</f>
        <v>0.681006</v>
      </c>
      <c r="I43">
        <f>pm.rep!F48</f>
        <v>0.59568699999999997</v>
      </c>
      <c r="J43">
        <f>pm.rep!G48</f>
        <v>0.53076500000000004</v>
      </c>
      <c r="K43">
        <f>pm.rep!H48</f>
        <v>0.50392899999999996</v>
      </c>
      <c r="L43">
        <f>pm.rep!I48</f>
        <v>0.50840399999999997</v>
      </c>
      <c r="M43">
        <f>pm.rep!J48</f>
        <v>0.53327199999999997</v>
      </c>
      <c r="N43">
        <f>pm.rep!K48</f>
        <v>0.56678899999999999</v>
      </c>
      <c r="O43">
        <f>pm.rep!L48</f>
        <v>0.56678899999999999</v>
      </c>
      <c r="P43">
        <f>pm.rep!M48</f>
        <v>0.56678899999999999</v>
      </c>
      <c r="Q43">
        <f>pm.rep!N48</f>
        <v>0.56678899999999999</v>
      </c>
      <c r="R43">
        <f>pm.rep!O48</f>
        <v>0.56678899999999999</v>
      </c>
      <c r="S43">
        <f>pm.rep!P48</f>
        <v>0.56678899999999999</v>
      </c>
      <c r="U43" s="27">
        <f>pm.rep!B102</f>
        <v>14625.5</v>
      </c>
      <c r="V43" s="27">
        <f>pm.rep!C102</f>
        <v>9737.66</v>
      </c>
      <c r="W43" s="27">
        <f>pm.rep!D102</f>
        <v>9289.35</v>
      </c>
      <c r="X43" s="27">
        <f>pm.rep!E102</f>
        <v>4847.5600000000004</v>
      </c>
      <c r="Y43" s="27">
        <f>pm.rep!F102</f>
        <v>2160.02</v>
      </c>
      <c r="Z43" s="27">
        <f>pm.rep!G102</f>
        <v>1230.45</v>
      </c>
      <c r="AA43" s="27">
        <f>pm.rep!H102</f>
        <v>1224.03</v>
      </c>
      <c r="AB43" s="27">
        <f>pm.rep!I102</f>
        <v>551.97500000000002</v>
      </c>
      <c r="AC43" s="27">
        <f>pm.rep!J102</f>
        <v>184.339</v>
      </c>
      <c r="AD43" s="27">
        <f>pm.rep!K102</f>
        <v>167.715</v>
      </c>
      <c r="AE43" s="27">
        <f>pm.rep!L102</f>
        <v>283.53500000000003</v>
      </c>
      <c r="AF43" s="27">
        <f>pm.rep!M102</f>
        <v>89.784400000000005</v>
      </c>
      <c r="AG43" s="27">
        <f>pm.rep!N102</f>
        <v>43.131100000000004</v>
      </c>
      <c r="AH43" s="27">
        <f>pm.rep!O102</f>
        <v>30.9313</v>
      </c>
      <c r="AI43" s="27">
        <f>pm.rep!P102</f>
        <v>11.6782</v>
      </c>
      <c r="AK43">
        <f t="shared" si="7"/>
        <v>6640.46</v>
      </c>
      <c r="AL43">
        <f t="shared" ref="AL43:AX43" si="63">U43*EXP(-E$1-E98)</f>
        <v>5946.0409014999996</v>
      </c>
      <c r="AM43">
        <f t="shared" si="63"/>
        <v>3949.0893436017523</v>
      </c>
      <c r="AN43">
        <f t="shared" si="63"/>
        <v>5646.140066241921</v>
      </c>
      <c r="AO43">
        <f t="shared" si="63"/>
        <v>3301.2174453600001</v>
      </c>
      <c r="AP43">
        <f t="shared" si="63"/>
        <v>1286.6958337399999</v>
      </c>
      <c r="AQ43">
        <f t="shared" si="63"/>
        <v>653.07979425000008</v>
      </c>
      <c r="AR43">
        <f t="shared" si="63"/>
        <v>616.82421386999999</v>
      </c>
      <c r="AS43">
        <f t="shared" si="63"/>
        <v>280.6262979</v>
      </c>
      <c r="AT43">
        <f t="shared" si="63"/>
        <v>98.302827207999997</v>
      </c>
      <c r="AU43">
        <f t="shared" si="63"/>
        <v>95.059017135000005</v>
      </c>
      <c r="AV43">
        <f t="shared" si="63"/>
        <v>210.0478942009909</v>
      </c>
      <c r="AW43">
        <f t="shared" si="63"/>
        <v>66.513919452975628</v>
      </c>
      <c r="AX43">
        <f t="shared" si="63"/>
        <v>31.952304758045244</v>
      </c>
      <c r="AY43">
        <f t="shared" si="1"/>
        <v>31.565893974137659</v>
      </c>
      <c r="BA43">
        <f t="shared" si="9"/>
        <v>6640.46</v>
      </c>
      <c r="BB43">
        <f t="shared" si="10"/>
        <v>5946.284558536132</v>
      </c>
      <c r="BC43">
        <f t="shared" si="11"/>
        <v>3959.0371128696424</v>
      </c>
      <c r="BD43">
        <f t="shared" si="12"/>
        <v>5923.1510702677206</v>
      </c>
      <c r="BE43">
        <f t="shared" si="13"/>
        <v>3591.1607738478688</v>
      </c>
      <c r="BF43">
        <f t="shared" si="14"/>
        <v>1600.1821730369243</v>
      </c>
      <c r="BG43">
        <f t="shared" si="15"/>
        <v>911.53977963781983</v>
      </c>
      <c r="BH43">
        <f t="shared" si="16"/>
        <v>906.78372666104315</v>
      </c>
      <c r="BI43">
        <f t="shared" si="17"/>
        <v>408.91313736079127</v>
      </c>
      <c r="BJ43">
        <f t="shared" si="18"/>
        <v>136.5616899822472</v>
      </c>
      <c r="BK43">
        <f t="shared" si="19"/>
        <v>124.24632788163431</v>
      </c>
      <c r="BL43">
        <f t="shared" si="20"/>
        <v>210.0478942009909</v>
      </c>
      <c r="BM43">
        <f t="shared" si="21"/>
        <v>66.513919452975628</v>
      </c>
      <c r="BN43">
        <f t="shared" si="22"/>
        <v>31.952304758045244</v>
      </c>
      <c r="BO43">
        <f t="shared" si="23"/>
        <v>31.565893974137659</v>
      </c>
      <c r="BQ43" s="4">
        <f t="shared" si="3"/>
        <v>2003</v>
      </c>
      <c r="BR43" s="27">
        <f t="shared" si="4"/>
        <v>18620654.741818134</v>
      </c>
      <c r="BS43" s="27">
        <f t="shared" si="5"/>
        <v>19747507.333486129</v>
      </c>
      <c r="BT43">
        <f t="shared" si="24"/>
        <v>5.7063029406105081E-2</v>
      </c>
      <c r="BU43" s="20">
        <f t="shared" si="25"/>
        <v>0.33957265257874336</v>
      </c>
      <c r="BV43" s="20">
        <f t="shared" si="6"/>
        <v>0.36326750645454836</v>
      </c>
      <c r="BW43">
        <f>pm.rep!B102</f>
        <v>14625.5</v>
      </c>
      <c r="BX43">
        <f>pm.rep!C102</f>
        <v>9737.66</v>
      </c>
      <c r="BY43">
        <f>pm.rep!D102</f>
        <v>9289.35</v>
      </c>
      <c r="BZ43">
        <f>pm.rep!E102</f>
        <v>4847.5600000000004</v>
      </c>
      <c r="CA43">
        <f>pm.rep!F102</f>
        <v>2160.02</v>
      </c>
      <c r="CB43">
        <f>pm.rep!G102</f>
        <v>1230.45</v>
      </c>
      <c r="CC43">
        <f>pm.rep!H102</f>
        <v>1224.03</v>
      </c>
      <c r="CD43">
        <f>pm.rep!I102</f>
        <v>551.97500000000002</v>
      </c>
      <c r="CE43">
        <f>pm.rep!J102</f>
        <v>184.339</v>
      </c>
      <c r="CF43">
        <f>pm.rep!K102</f>
        <v>167.715</v>
      </c>
      <c r="CG43">
        <f>pm.rep!L102</f>
        <v>283.53500000000003</v>
      </c>
      <c r="CH43">
        <f>pm.rep!M102</f>
        <v>89.784400000000005</v>
      </c>
      <c r="CI43">
        <f>pm.rep!N102</f>
        <v>43.131100000000004</v>
      </c>
      <c r="CJ43">
        <f>pm.rep!O102</f>
        <v>30.9313</v>
      </c>
      <c r="CK43">
        <f>pm.rep!P102</f>
        <v>11.6782</v>
      </c>
    </row>
    <row r="44" spans="4:89" x14ac:dyDescent="0.15">
      <c r="D44">
        <f>pm.rep!A49</f>
        <v>2004</v>
      </c>
      <c r="E44">
        <f>pm.rep!B49</f>
        <v>0.406555</v>
      </c>
      <c r="F44">
        <f>pm.rep!C49</f>
        <v>0.63649699999999998</v>
      </c>
      <c r="G44">
        <f>pm.rep!D49</f>
        <v>0.72576600000000002</v>
      </c>
      <c r="H44">
        <f>pm.rep!E49</f>
        <v>0.632467</v>
      </c>
      <c r="I44">
        <f>pm.rep!F49</f>
        <v>0.61189400000000005</v>
      </c>
      <c r="J44">
        <f>pm.rep!G49</f>
        <v>0.57329699999999995</v>
      </c>
      <c r="K44">
        <f>pm.rep!H49</f>
        <v>0.53002700000000003</v>
      </c>
      <c r="L44">
        <f>pm.rep!I49</f>
        <v>0.53479100000000002</v>
      </c>
      <c r="M44">
        <f>pm.rep!J49</f>
        <v>0.558141</v>
      </c>
      <c r="N44">
        <f>pm.rep!K49</f>
        <v>0.58396999999999999</v>
      </c>
      <c r="O44">
        <f>pm.rep!L49</f>
        <v>0.58396999999999999</v>
      </c>
      <c r="P44">
        <f>pm.rep!M49</f>
        <v>0.58396999999999999</v>
      </c>
      <c r="Q44">
        <f>pm.rep!N49</f>
        <v>0.58396999999999999</v>
      </c>
      <c r="R44">
        <f>pm.rep!O49</f>
        <v>0.58396999999999999</v>
      </c>
      <c r="S44">
        <f>pm.rep!P49</f>
        <v>0.58396999999999999</v>
      </c>
      <c r="U44" s="27">
        <f>pm.rep!B103</f>
        <v>6640.46</v>
      </c>
      <c r="V44" s="27">
        <f>pm.rep!C103</f>
        <v>5946.02</v>
      </c>
      <c r="W44" s="27">
        <f>pm.rep!D103</f>
        <v>6193.41</v>
      </c>
      <c r="X44" s="27">
        <f>pm.rep!E103</f>
        <v>6559.88</v>
      </c>
      <c r="Y44" s="27">
        <f>pm.rep!F103</f>
        <v>3301.22</v>
      </c>
      <c r="Z44" s="27">
        <f>pm.rep!G103</f>
        <v>1286.7</v>
      </c>
      <c r="AA44" s="27">
        <f>pm.rep!H103</f>
        <v>653.08100000000002</v>
      </c>
      <c r="AB44" s="27">
        <f>pm.rep!I103</f>
        <v>616.82600000000002</v>
      </c>
      <c r="AC44" s="27">
        <f>pm.rep!J103</f>
        <v>280.62599999999998</v>
      </c>
      <c r="AD44" s="27">
        <f>pm.rep!K103</f>
        <v>98.302499999999995</v>
      </c>
      <c r="AE44" s="27">
        <f>pm.rep!L103</f>
        <v>95.058800000000005</v>
      </c>
      <c r="AF44" s="27">
        <f>pm.rep!M103</f>
        <v>160.70500000000001</v>
      </c>
      <c r="AG44" s="27">
        <f>pm.rep!N103</f>
        <v>50.888800000000003</v>
      </c>
      <c r="AH44" s="27">
        <f>pm.rep!O103</f>
        <v>24.446300000000001</v>
      </c>
      <c r="AI44" s="27">
        <f>pm.rep!P103</f>
        <v>24.150600000000001</v>
      </c>
      <c r="AK44">
        <f t="shared" si="7"/>
        <v>4831.7</v>
      </c>
      <c r="AL44">
        <f t="shared" ref="AL44:AX44" si="64">U44*EXP(-E$1-E99)</f>
        <v>2699.7122153</v>
      </c>
      <c r="AM44">
        <f t="shared" si="64"/>
        <v>2413.1827368013037</v>
      </c>
      <c r="AN44">
        <f t="shared" si="64"/>
        <v>3868.8534360156855</v>
      </c>
      <c r="AO44">
        <f t="shared" si="64"/>
        <v>4148.9076239599999</v>
      </c>
      <c r="AP44">
        <f t="shared" si="64"/>
        <v>2019.99671068</v>
      </c>
      <c r="AQ44">
        <f t="shared" si="64"/>
        <v>737.66124989999992</v>
      </c>
      <c r="AR44">
        <f t="shared" si="64"/>
        <v>346.15056318700005</v>
      </c>
      <c r="AS44">
        <f t="shared" si="64"/>
        <v>329.872993366</v>
      </c>
      <c r="AT44">
        <f t="shared" si="64"/>
        <v>156.62887626599999</v>
      </c>
      <c r="AU44">
        <f t="shared" si="64"/>
        <v>57.405710924999994</v>
      </c>
      <c r="AV44">
        <f t="shared" si="64"/>
        <v>70.421291076139283</v>
      </c>
      <c r="AW44">
        <f t="shared" si="64"/>
        <v>119.05319215465548</v>
      </c>
      <c r="AX44">
        <f t="shared" si="64"/>
        <v>37.699350268627811</v>
      </c>
      <c r="AY44">
        <f t="shared" si="1"/>
        <v>36.001468988647375</v>
      </c>
      <c r="BA44">
        <f t="shared" si="9"/>
        <v>4831.7</v>
      </c>
      <c r="BB44">
        <f t="shared" si="10"/>
        <v>2699.8095627210587</v>
      </c>
      <c r="BC44">
        <f t="shared" si="11"/>
        <v>2417.4713282107973</v>
      </c>
      <c r="BD44">
        <f t="shared" si="12"/>
        <v>3949.0925705358072</v>
      </c>
      <c r="BE44">
        <f t="shared" si="13"/>
        <v>4859.6786294855874</v>
      </c>
      <c r="BF44">
        <f t="shared" si="14"/>
        <v>2445.6039264789006</v>
      </c>
      <c r="BG44">
        <f t="shared" si="15"/>
        <v>953.21080455116646</v>
      </c>
      <c r="BH44">
        <f t="shared" si="16"/>
        <v>483.814304381037</v>
      </c>
      <c r="BI44">
        <f t="shared" si="17"/>
        <v>456.95593979022135</v>
      </c>
      <c r="BJ44">
        <f t="shared" si="18"/>
        <v>207.89285399702774</v>
      </c>
      <c r="BK44">
        <f t="shared" si="19"/>
        <v>72.824283138564567</v>
      </c>
      <c r="BL44">
        <f t="shared" si="20"/>
        <v>70.421291076139283</v>
      </c>
      <c r="BM44">
        <f t="shared" si="21"/>
        <v>119.05319215465548</v>
      </c>
      <c r="BN44">
        <f t="shared" si="22"/>
        <v>37.699350268627811</v>
      </c>
      <c r="BO44">
        <f t="shared" si="23"/>
        <v>36.001468988647375</v>
      </c>
      <c r="BQ44" s="4">
        <f t="shared" si="3"/>
        <v>2004</v>
      </c>
      <c r="BR44" s="27">
        <f t="shared" si="4"/>
        <v>17690861.38980864</v>
      </c>
      <c r="BS44" s="27">
        <f t="shared" si="5"/>
        <v>19226036.419559017</v>
      </c>
      <c r="BT44">
        <f t="shared" si="24"/>
        <v>7.9848752818787672E-2</v>
      </c>
      <c r="BU44" s="20">
        <f t="shared" si="25"/>
        <v>0.29543898015993664</v>
      </c>
      <c r="BV44" s="20">
        <f t="shared" si="6"/>
        <v>0.31197322644776637</v>
      </c>
      <c r="BW44">
        <f>pm.rep!B103</f>
        <v>6640.46</v>
      </c>
      <c r="BX44">
        <f>pm.rep!C103</f>
        <v>5946.02</v>
      </c>
      <c r="BY44">
        <f>pm.rep!D103</f>
        <v>6193.41</v>
      </c>
      <c r="BZ44">
        <f>pm.rep!E103</f>
        <v>6559.88</v>
      </c>
      <c r="CA44">
        <f>pm.rep!F103</f>
        <v>3301.22</v>
      </c>
      <c r="CB44">
        <f>pm.rep!G103</f>
        <v>1286.7</v>
      </c>
      <c r="CC44">
        <f>pm.rep!H103</f>
        <v>653.08100000000002</v>
      </c>
      <c r="CD44">
        <f>pm.rep!I103</f>
        <v>616.82600000000002</v>
      </c>
      <c r="CE44">
        <f>pm.rep!J103</f>
        <v>280.62599999999998</v>
      </c>
      <c r="CF44">
        <f>pm.rep!K103</f>
        <v>98.302499999999995</v>
      </c>
      <c r="CG44">
        <f>pm.rep!L103</f>
        <v>95.058800000000005</v>
      </c>
      <c r="CH44">
        <f>pm.rep!M103</f>
        <v>160.70500000000001</v>
      </c>
      <c r="CI44">
        <f>pm.rep!N103</f>
        <v>50.888800000000003</v>
      </c>
      <c r="CJ44">
        <f>pm.rep!O103</f>
        <v>24.446300000000001</v>
      </c>
      <c r="CK44">
        <f>pm.rep!P103</f>
        <v>24.150600000000001</v>
      </c>
    </row>
    <row r="45" spans="4:89" x14ac:dyDescent="0.15">
      <c r="D45">
        <f>pm.rep!A50</f>
        <v>2005</v>
      </c>
      <c r="E45">
        <f>pm.rep!B50</f>
        <v>0.406557</v>
      </c>
      <c r="F45">
        <f>pm.rep!C50</f>
        <v>0.63644100000000003</v>
      </c>
      <c r="G45">
        <f>pm.rep!D50</f>
        <v>0.72620300000000004</v>
      </c>
      <c r="H45">
        <f>pm.rep!E50</f>
        <v>0.66537599999999997</v>
      </c>
      <c r="I45">
        <f>pm.rep!F50</f>
        <v>0.55974599999999997</v>
      </c>
      <c r="J45">
        <f>pm.rep!G50</f>
        <v>0.53944999999999999</v>
      </c>
      <c r="K45">
        <f>pm.rep!H50</f>
        <v>0.55677500000000002</v>
      </c>
      <c r="L45">
        <f>pm.rep!I50</f>
        <v>0.57045400000000002</v>
      </c>
      <c r="M45">
        <f>pm.rep!J50</f>
        <v>0.57920700000000003</v>
      </c>
      <c r="N45">
        <f>pm.rep!K50</f>
        <v>0.59870400000000001</v>
      </c>
      <c r="O45">
        <f>pm.rep!L50</f>
        <v>0.59870400000000001</v>
      </c>
      <c r="P45">
        <f>pm.rep!M50</f>
        <v>0.59870400000000001</v>
      </c>
      <c r="Q45">
        <f>pm.rep!N50</f>
        <v>0.59870400000000001</v>
      </c>
      <c r="R45">
        <f>pm.rep!O50</f>
        <v>0.59870400000000001</v>
      </c>
      <c r="S45">
        <f>pm.rep!P50</f>
        <v>0.59870400000000001</v>
      </c>
      <c r="U45" s="27">
        <f>pm.rep!B104</f>
        <v>4831.7</v>
      </c>
      <c r="V45" s="27">
        <f>pm.rep!C104</f>
        <v>2699.71</v>
      </c>
      <c r="W45" s="27">
        <f>pm.rep!D104</f>
        <v>3784.62</v>
      </c>
      <c r="X45" s="27">
        <f>pm.rep!E104</f>
        <v>4494.97</v>
      </c>
      <c r="Y45" s="27">
        <f>pm.rep!F104</f>
        <v>4148.91</v>
      </c>
      <c r="Z45" s="27">
        <f>pm.rep!G104</f>
        <v>2019.99</v>
      </c>
      <c r="AA45" s="27">
        <f>pm.rep!H104</f>
        <v>737.65899999999999</v>
      </c>
      <c r="AB45" s="27">
        <f>pm.rep!I104</f>
        <v>346.15100000000001</v>
      </c>
      <c r="AC45" s="27">
        <f>pm.rep!J104</f>
        <v>329.87299999999999</v>
      </c>
      <c r="AD45" s="27">
        <f>pm.rep!K104</f>
        <v>156.62899999999999</v>
      </c>
      <c r="AE45" s="27">
        <f>pm.rep!L104</f>
        <v>57.405700000000003</v>
      </c>
      <c r="AF45" s="27">
        <f>pm.rep!M104</f>
        <v>55.511400000000002</v>
      </c>
      <c r="AG45" s="27">
        <f>pm.rep!N104</f>
        <v>93.846699999999998</v>
      </c>
      <c r="AH45" s="27">
        <f>pm.rep!O104</f>
        <v>29.717500000000001</v>
      </c>
      <c r="AI45" s="27">
        <f>pm.rep!P104</f>
        <v>28.379100000000001</v>
      </c>
      <c r="AK45">
        <f t="shared" si="7"/>
        <v>12207.5</v>
      </c>
      <c r="AL45">
        <f t="shared" ref="AL45:AX45" si="65">U45*EXP(-E$1-E100)</f>
        <v>1964.3614568999999</v>
      </c>
      <c r="AM45">
        <f t="shared" si="65"/>
        <v>1095.5766001224956</v>
      </c>
      <c r="AN45">
        <f t="shared" si="65"/>
        <v>2365.5718662638574</v>
      </c>
      <c r="AO45">
        <f t="shared" si="65"/>
        <v>2990.8451587200002</v>
      </c>
      <c r="AP45">
        <f t="shared" si="65"/>
        <v>2322.3357768599999</v>
      </c>
      <c r="AQ45">
        <f t="shared" si="65"/>
        <v>1089.6836054999999</v>
      </c>
      <c r="AR45">
        <f t="shared" si="65"/>
        <v>410.71008972499999</v>
      </c>
      <c r="AS45">
        <f t="shared" si="65"/>
        <v>197.463222554</v>
      </c>
      <c r="AT45">
        <f t="shared" si="65"/>
        <v>191.06475071100002</v>
      </c>
      <c r="AU45">
        <f t="shared" si="65"/>
        <v>93.77440881599999</v>
      </c>
      <c r="AV45">
        <f t="shared" si="65"/>
        <v>42.527188530988496</v>
      </c>
      <c r="AW45">
        <f t="shared" si="65"/>
        <v>41.123856575551116</v>
      </c>
      <c r="AX45">
        <f t="shared" si="65"/>
        <v>69.523345310850971</v>
      </c>
      <c r="AY45">
        <f t="shared" si="1"/>
        <v>43.039019839657492</v>
      </c>
      <c r="BA45">
        <f t="shared" si="9"/>
        <v>12207.5</v>
      </c>
      <c r="BB45">
        <f t="shared" si="10"/>
        <v>1964.4226249686526</v>
      </c>
      <c r="BC45">
        <f t="shared" si="11"/>
        <v>1097.6201760982929</v>
      </c>
      <c r="BD45">
        <f t="shared" si="12"/>
        <v>2413.1802551907958</v>
      </c>
      <c r="BE45">
        <f t="shared" si="13"/>
        <v>3329.9556774177017</v>
      </c>
      <c r="BF45">
        <f t="shared" si="14"/>
        <v>3073.5881239685859</v>
      </c>
      <c r="BG45">
        <f t="shared" si="15"/>
        <v>1496.4453975948634</v>
      </c>
      <c r="BH45">
        <f t="shared" si="16"/>
        <v>546.47122784985527</v>
      </c>
      <c r="BI45">
        <f t="shared" si="17"/>
        <v>256.43496790719735</v>
      </c>
      <c r="BJ45">
        <f t="shared" si="18"/>
        <v>244.3759289109403</v>
      </c>
      <c r="BK45">
        <f t="shared" si="19"/>
        <v>116.03361708715678</v>
      </c>
      <c r="BL45">
        <f t="shared" si="20"/>
        <v>42.527188530988496</v>
      </c>
      <c r="BM45">
        <f t="shared" si="21"/>
        <v>41.123856575551116</v>
      </c>
      <c r="BN45">
        <f t="shared" si="22"/>
        <v>69.523345310850971</v>
      </c>
      <c r="BO45">
        <f t="shared" si="23"/>
        <v>43.039019839657492</v>
      </c>
      <c r="BQ45" s="4">
        <f t="shared" si="3"/>
        <v>2005</v>
      </c>
      <c r="BR45" s="27">
        <f t="shared" si="4"/>
        <v>11868772.984465545</v>
      </c>
      <c r="BS45" s="27">
        <f t="shared" si="5"/>
        <v>13393393.432723971</v>
      </c>
      <c r="BT45">
        <f t="shared" si="24"/>
        <v>0.11383376856035099</v>
      </c>
      <c r="BU45" s="20">
        <f t="shared" si="25"/>
        <v>0.25150003165761964</v>
      </c>
      <c r="BV45" s="20">
        <f t="shared" si="6"/>
        <v>0.26863688596338481</v>
      </c>
      <c r="BW45">
        <f>pm.rep!B104</f>
        <v>4831.7</v>
      </c>
      <c r="BX45">
        <f>pm.rep!C104</f>
        <v>2699.71</v>
      </c>
      <c r="BY45">
        <f>pm.rep!D104</f>
        <v>3784.62</v>
      </c>
      <c r="BZ45">
        <f>pm.rep!E104</f>
        <v>4494.97</v>
      </c>
      <c r="CA45">
        <f>pm.rep!F104</f>
        <v>4148.91</v>
      </c>
      <c r="CB45">
        <f>pm.rep!G104</f>
        <v>2019.99</v>
      </c>
      <c r="CC45">
        <f>pm.rep!H104</f>
        <v>737.65899999999999</v>
      </c>
      <c r="CD45">
        <f>pm.rep!I104</f>
        <v>346.15100000000001</v>
      </c>
      <c r="CE45">
        <f>pm.rep!J104</f>
        <v>329.87299999999999</v>
      </c>
      <c r="CF45">
        <f>pm.rep!K104</f>
        <v>156.62899999999999</v>
      </c>
      <c r="CG45">
        <f>pm.rep!L104</f>
        <v>57.405700000000003</v>
      </c>
      <c r="CH45">
        <f>pm.rep!M104</f>
        <v>55.511400000000002</v>
      </c>
      <c r="CI45">
        <f>pm.rep!N104</f>
        <v>93.846699999999998</v>
      </c>
      <c r="CJ45">
        <f>pm.rep!O104</f>
        <v>29.717500000000001</v>
      </c>
      <c r="CK45">
        <f>pm.rep!P104</f>
        <v>28.379100000000001</v>
      </c>
    </row>
    <row r="46" spans="4:89" x14ac:dyDescent="0.15">
      <c r="D46">
        <f>pm.rep!A51</f>
        <v>2006</v>
      </c>
      <c r="E46">
        <f>pm.rep!B51</f>
        <v>0.40655400000000003</v>
      </c>
      <c r="F46">
        <f>pm.rep!C51</f>
        <v>0.63577399999999995</v>
      </c>
      <c r="G46">
        <f>pm.rep!D51</f>
        <v>0.70772400000000002</v>
      </c>
      <c r="H46">
        <f>pm.rep!E51</f>
        <v>0.65214499999999997</v>
      </c>
      <c r="I46">
        <f>pm.rep!F51</f>
        <v>0.56570200000000004</v>
      </c>
      <c r="J46">
        <f>pm.rep!G51</f>
        <v>0.51262200000000002</v>
      </c>
      <c r="K46">
        <f>pm.rep!H51</f>
        <v>0.52166800000000002</v>
      </c>
      <c r="L46">
        <f>pm.rep!I51</f>
        <v>0.53060300000000005</v>
      </c>
      <c r="M46">
        <f>pm.rep!J51</f>
        <v>0.54839199999999999</v>
      </c>
      <c r="N46">
        <f>pm.rep!K51</f>
        <v>0.56490499999999999</v>
      </c>
      <c r="O46">
        <f>pm.rep!L51</f>
        <v>0.56490499999999999</v>
      </c>
      <c r="P46">
        <f>pm.rep!M51</f>
        <v>0.56490499999999999</v>
      </c>
      <c r="Q46">
        <f>pm.rep!N51</f>
        <v>0.56490499999999999</v>
      </c>
      <c r="R46">
        <f>pm.rep!O51</f>
        <v>0.56490499999999999</v>
      </c>
      <c r="S46">
        <f>pm.rep!P51</f>
        <v>0.56490499999999999</v>
      </c>
      <c r="U46" s="27">
        <f>pm.rep!B105</f>
        <v>12207.5</v>
      </c>
      <c r="V46" s="27">
        <f>pm.rep!C105</f>
        <v>1964.36</v>
      </c>
      <c r="W46" s="27">
        <f>pm.rep!D105</f>
        <v>1718.21</v>
      </c>
      <c r="X46" s="27">
        <f>pm.rep!E105</f>
        <v>2748.41</v>
      </c>
      <c r="Y46" s="27">
        <f>pm.rep!F105</f>
        <v>2990.84</v>
      </c>
      <c r="Z46" s="27">
        <f>pm.rep!G105</f>
        <v>2322.33</v>
      </c>
      <c r="AA46" s="27">
        <f>pm.rep!H105</f>
        <v>1089.69</v>
      </c>
      <c r="AB46" s="27">
        <f>pm.rep!I105</f>
        <v>410.71</v>
      </c>
      <c r="AC46" s="27">
        <f>pm.rep!J105</f>
        <v>197.46299999999999</v>
      </c>
      <c r="AD46" s="27">
        <f>pm.rep!K105</f>
        <v>191.065</v>
      </c>
      <c r="AE46" s="27">
        <f>pm.rep!L105</f>
        <v>93.774500000000003</v>
      </c>
      <c r="AF46" s="27">
        <f>pm.rep!M105</f>
        <v>34.369</v>
      </c>
      <c r="AG46" s="27">
        <f>pm.rep!N105</f>
        <v>33.234999999999999</v>
      </c>
      <c r="AH46" s="27">
        <f>pm.rep!O105</f>
        <v>56.186399999999999</v>
      </c>
      <c r="AI46" s="27">
        <f>pm.rep!P105</f>
        <v>34.782699999999998</v>
      </c>
      <c r="AK46">
        <f t="shared" si="7"/>
        <v>26390.5</v>
      </c>
      <c r="AL46">
        <f t="shared" ref="AL46:AX46" si="66">U46*EXP(-E$1-E101)</f>
        <v>4963.007955</v>
      </c>
      <c r="AM46">
        <f t="shared" si="66"/>
        <v>796.32679398564085</v>
      </c>
      <c r="AN46">
        <f t="shared" si="66"/>
        <v>1046.6367828722957</v>
      </c>
      <c r="AO46">
        <f t="shared" si="66"/>
        <v>1792.3618394499999</v>
      </c>
      <c r="AP46">
        <f t="shared" si="66"/>
        <v>1691.9241696800002</v>
      </c>
      <c r="AQ46">
        <f t="shared" si="66"/>
        <v>1190.47744926</v>
      </c>
      <c r="AR46">
        <f t="shared" si="66"/>
        <v>568.45640292000007</v>
      </c>
      <c r="AS46">
        <f t="shared" si="66"/>
        <v>217.92395813000002</v>
      </c>
      <c r="AT46">
        <f t="shared" si="66"/>
        <v>108.28712949599999</v>
      </c>
      <c r="AU46">
        <f t="shared" si="66"/>
        <v>107.933573825</v>
      </c>
      <c r="AV46">
        <f t="shared" si="66"/>
        <v>69.469858235317758</v>
      </c>
      <c r="AW46">
        <f t="shared" si="66"/>
        <v>25.461181426609961</v>
      </c>
      <c r="AX46">
        <f t="shared" si="66"/>
        <v>24.621093564356894</v>
      </c>
      <c r="AY46">
        <f t="shared" si="1"/>
        <v>67.391566799017255</v>
      </c>
      <c r="BA46">
        <f t="shared" si="9"/>
        <v>26390.5</v>
      </c>
      <c r="BB46">
        <f t="shared" si="10"/>
        <v>4963.1991212833636</v>
      </c>
      <c r="BC46">
        <f t="shared" si="11"/>
        <v>798.64917680804319</v>
      </c>
      <c r="BD46">
        <f t="shared" si="12"/>
        <v>1095.5790663980472</v>
      </c>
      <c r="BE46">
        <f t="shared" si="13"/>
        <v>2036.0722059038401</v>
      </c>
      <c r="BF46">
        <f t="shared" si="14"/>
        <v>2215.6687671437094</v>
      </c>
      <c r="BG46">
        <f t="shared" si="15"/>
        <v>1720.4243784357739</v>
      </c>
      <c r="BH46">
        <f t="shared" si="16"/>
        <v>807.26220689466118</v>
      </c>
      <c r="BI46">
        <f t="shared" si="17"/>
        <v>304.26145141618832</v>
      </c>
      <c r="BJ46">
        <f t="shared" si="18"/>
        <v>146.28418831047406</v>
      </c>
      <c r="BK46">
        <f t="shared" si="19"/>
        <v>141.54443333455242</v>
      </c>
      <c r="BL46">
        <f t="shared" si="20"/>
        <v>69.469858235317758</v>
      </c>
      <c r="BM46">
        <f t="shared" si="21"/>
        <v>25.461181426609961</v>
      </c>
      <c r="BN46">
        <f t="shared" si="22"/>
        <v>24.621093564356894</v>
      </c>
      <c r="BO46">
        <f t="shared" si="23"/>
        <v>67.391566799017255</v>
      </c>
      <c r="BQ46" s="4">
        <f t="shared" si="3"/>
        <v>2006</v>
      </c>
      <c r="BR46" s="27">
        <f t="shared" si="4"/>
        <v>5952025.6191845108</v>
      </c>
      <c r="BS46" s="27">
        <f t="shared" si="5"/>
        <v>7184663.9441078436</v>
      </c>
      <c r="BT46">
        <f t="shared" si="24"/>
        <v>0.17156520256374996</v>
      </c>
      <c r="BU46" s="20">
        <f t="shared" si="25"/>
        <v>0.31408192873624946</v>
      </c>
      <c r="BV46" s="20">
        <f t="shared" si="6"/>
        <v>0.34164554885236798</v>
      </c>
      <c r="BW46">
        <f>pm.rep!B105</f>
        <v>12207.5</v>
      </c>
      <c r="BX46">
        <f>pm.rep!C105</f>
        <v>1964.36</v>
      </c>
      <c r="BY46">
        <f>pm.rep!D105</f>
        <v>1718.21</v>
      </c>
      <c r="BZ46">
        <f>pm.rep!E105</f>
        <v>2748.41</v>
      </c>
      <c r="CA46">
        <f>pm.rep!F105</f>
        <v>2990.84</v>
      </c>
      <c r="CB46">
        <f>pm.rep!G105</f>
        <v>2322.33</v>
      </c>
      <c r="CC46">
        <f>pm.rep!H105</f>
        <v>1089.69</v>
      </c>
      <c r="CD46">
        <f>pm.rep!I105</f>
        <v>410.71</v>
      </c>
      <c r="CE46">
        <f>pm.rep!J105</f>
        <v>197.46299999999999</v>
      </c>
      <c r="CF46">
        <f>pm.rep!K105</f>
        <v>191.065</v>
      </c>
      <c r="CG46">
        <f>pm.rep!L105</f>
        <v>93.774500000000003</v>
      </c>
      <c r="CH46">
        <f>pm.rep!M105</f>
        <v>34.369</v>
      </c>
      <c r="CI46">
        <f>pm.rep!N105</f>
        <v>33.234999999999999</v>
      </c>
      <c r="CJ46">
        <f>pm.rep!O105</f>
        <v>56.186399999999999</v>
      </c>
      <c r="CK46">
        <f>pm.rep!P105</f>
        <v>34.782699999999998</v>
      </c>
    </row>
    <row r="47" spans="4:89" x14ac:dyDescent="0.15">
      <c r="D47">
        <f>pm.rep!A52</f>
        <v>2007</v>
      </c>
      <c r="E47">
        <f>pm.rep!B52</f>
        <v>0.40655400000000003</v>
      </c>
      <c r="F47">
        <f>pm.rep!C52</f>
        <v>0.63553899999999997</v>
      </c>
      <c r="G47">
        <f>pm.rep!D52</f>
        <v>0.70822399999999996</v>
      </c>
      <c r="H47">
        <f>pm.rep!E52</f>
        <v>0.65373899999999996</v>
      </c>
      <c r="I47">
        <f>pm.rep!F52</f>
        <v>0.56589100000000003</v>
      </c>
      <c r="J47">
        <f>pm.rep!G52</f>
        <v>0.491151</v>
      </c>
      <c r="K47">
        <f>pm.rep!H52</f>
        <v>0.51344100000000004</v>
      </c>
      <c r="L47">
        <f>pm.rep!I52</f>
        <v>0.53178700000000001</v>
      </c>
      <c r="M47">
        <f>pm.rep!J52</f>
        <v>0.54327599999999998</v>
      </c>
      <c r="N47">
        <f>pm.rep!K52</f>
        <v>0.55422199999999999</v>
      </c>
      <c r="O47">
        <f>pm.rep!L52</f>
        <v>0.55422199999999999</v>
      </c>
      <c r="P47">
        <f>pm.rep!M52</f>
        <v>0.55422199999999999</v>
      </c>
      <c r="Q47">
        <f>pm.rep!N52</f>
        <v>0.55422199999999999</v>
      </c>
      <c r="R47">
        <f>pm.rep!O52</f>
        <v>0.55422199999999999</v>
      </c>
      <c r="S47">
        <f>pm.rep!P52</f>
        <v>0.55422199999999999</v>
      </c>
      <c r="U47" s="27">
        <f>pm.rep!B106</f>
        <v>26390.5</v>
      </c>
      <c r="V47" s="27">
        <f>pm.rep!C106</f>
        <v>4963.0200000000004</v>
      </c>
      <c r="W47" s="27">
        <f>pm.rep!D106</f>
        <v>1248.8900000000001</v>
      </c>
      <c r="X47" s="27">
        <f>pm.rep!E106</f>
        <v>1216.02</v>
      </c>
      <c r="Y47" s="27">
        <f>pm.rep!F106</f>
        <v>1792.36</v>
      </c>
      <c r="Z47" s="27">
        <f>pm.rep!G106</f>
        <v>1691.93</v>
      </c>
      <c r="AA47" s="27">
        <f>pm.rep!H106</f>
        <v>1190.48</v>
      </c>
      <c r="AB47" s="27">
        <f>pm.rep!I106</f>
        <v>568.45500000000004</v>
      </c>
      <c r="AC47" s="27">
        <f>pm.rep!J106</f>
        <v>217.92400000000001</v>
      </c>
      <c r="AD47" s="27">
        <f>pm.rep!K106</f>
        <v>108.28700000000001</v>
      </c>
      <c r="AE47" s="27">
        <f>pm.rep!L106</f>
        <v>107.93300000000001</v>
      </c>
      <c r="AF47" s="27">
        <f>pm.rep!M106</f>
        <v>52.973700000000001</v>
      </c>
      <c r="AG47" s="27">
        <f>pm.rep!N106</f>
        <v>19.415199999999999</v>
      </c>
      <c r="AH47" s="27">
        <f>pm.rep!O106</f>
        <v>18.7746</v>
      </c>
      <c r="AI47" s="27">
        <f>pm.rep!P106</f>
        <v>51.3889</v>
      </c>
      <c r="AK47">
        <f t="shared" si="7"/>
        <v>14622.4</v>
      </c>
      <c r="AL47">
        <f t="shared" ref="AL47:AX47" si="67">U47*EXP(-E$1-E102)</f>
        <v>10729.163337</v>
      </c>
      <c r="AM47">
        <f t="shared" si="67"/>
        <v>2011.2021043783266</v>
      </c>
      <c r="AN47">
        <f t="shared" si="67"/>
        <v>761.29093017863102</v>
      </c>
      <c r="AO47">
        <f t="shared" si="67"/>
        <v>794.95969877999994</v>
      </c>
      <c r="AP47">
        <f t="shared" si="67"/>
        <v>1014.28039276</v>
      </c>
      <c r="AQ47">
        <f t="shared" si="67"/>
        <v>830.99311143</v>
      </c>
      <c r="AR47">
        <f t="shared" si="67"/>
        <v>611.24124168000003</v>
      </c>
      <c r="AS47">
        <f t="shared" si="67"/>
        <v>302.29697908500003</v>
      </c>
      <c r="AT47">
        <f t="shared" si="67"/>
        <v>118.392879024</v>
      </c>
      <c r="AU47">
        <f t="shared" si="67"/>
        <v>60.015037714000002</v>
      </c>
      <c r="AV47">
        <f t="shared" si="67"/>
        <v>79.958733012839858</v>
      </c>
      <c r="AW47">
        <f t="shared" si="67"/>
        <v>39.243882176927116</v>
      </c>
      <c r="AX47">
        <f t="shared" si="67"/>
        <v>14.383133918179688</v>
      </c>
      <c r="AY47">
        <f t="shared" si="1"/>
        <v>51.978399226801713</v>
      </c>
      <c r="BA47">
        <f t="shared" si="9"/>
        <v>14622.4</v>
      </c>
      <c r="BB47">
        <f t="shared" si="10"/>
        <v>10729.57660538428</v>
      </c>
      <c r="BC47">
        <f t="shared" si="11"/>
        <v>2017.8133526857885</v>
      </c>
      <c r="BD47">
        <f t="shared" si="12"/>
        <v>796.32742227891652</v>
      </c>
      <c r="BE47">
        <f t="shared" si="13"/>
        <v>900.84977271338255</v>
      </c>
      <c r="BF47">
        <f t="shared" si="14"/>
        <v>1327.8129460210837</v>
      </c>
      <c r="BG47">
        <f t="shared" si="15"/>
        <v>1253.4125721180189</v>
      </c>
      <c r="BH47">
        <f t="shared" si="16"/>
        <v>881.92927535717149</v>
      </c>
      <c r="BI47">
        <f t="shared" si="17"/>
        <v>421.12182163762594</v>
      </c>
      <c r="BJ47">
        <f t="shared" si="18"/>
        <v>161.44206992384269</v>
      </c>
      <c r="BK47">
        <f t="shared" si="19"/>
        <v>80.220982662961191</v>
      </c>
      <c r="BL47">
        <f t="shared" si="20"/>
        <v>79.958733012839858</v>
      </c>
      <c r="BM47">
        <f t="shared" si="21"/>
        <v>39.243882176927116</v>
      </c>
      <c r="BN47">
        <f t="shared" si="22"/>
        <v>14.383133918179688</v>
      </c>
      <c r="BO47">
        <f t="shared" si="23"/>
        <v>51.978399226801713</v>
      </c>
      <c r="BQ47" s="4">
        <f t="shared" si="3"/>
        <v>2007</v>
      </c>
      <c r="BR47" s="27">
        <f t="shared" si="4"/>
        <v>2926908.0011785571</v>
      </c>
      <c r="BS47" s="27">
        <f t="shared" si="5"/>
        <v>3588831.3369525573</v>
      </c>
      <c r="BT47">
        <f t="shared" si="24"/>
        <v>0.18443980048838682</v>
      </c>
      <c r="BU47" s="20">
        <f t="shared" si="25"/>
        <v>0.32461503777446665</v>
      </c>
      <c r="BV47" s="20">
        <f t="shared" si="6"/>
        <v>0.35481290954702965</v>
      </c>
      <c r="BW47">
        <f>pm.rep!B106</f>
        <v>26390.5</v>
      </c>
      <c r="BX47">
        <f>pm.rep!C106</f>
        <v>4963.0200000000004</v>
      </c>
      <c r="BY47">
        <f>pm.rep!D106</f>
        <v>1248.8900000000001</v>
      </c>
      <c r="BZ47">
        <f>pm.rep!E106</f>
        <v>1216.02</v>
      </c>
      <c r="CA47">
        <f>pm.rep!F106</f>
        <v>1792.36</v>
      </c>
      <c r="CB47">
        <f>pm.rep!G106</f>
        <v>1691.93</v>
      </c>
      <c r="CC47">
        <f>pm.rep!H106</f>
        <v>1190.48</v>
      </c>
      <c r="CD47">
        <f>pm.rep!I106</f>
        <v>568.45500000000004</v>
      </c>
      <c r="CE47">
        <f>pm.rep!J106</f>
        <v>217.92400000000001</v>
      </c>
      <c r="CF47">
        <f>pm.rep!K106</f>
        <v>108.28700000000001</v>
      </c>
      <c r="CG47">
        <f>pm.rep!L106</f>
        <v>107.93300000000001</v>
      </c>
      <c r="CH47">
        <f>pm.rep!M106</f>
        <v>52.973700000000001</v>
      </c>
      <c r="CI47">
        <f>pm.rep!N106</f>
        <v>19.415199999999999</v>
      </c>
      <c r="CJ47">
        <f>pm.rep!O106</f>
        <v>18.7746</v>
      </c>
      <c r="CK47">
        <f>pm.rep!P106</f>
        <v>51.3889</v>
      </c>
    </row>
    <row r="48" spans="4:89" x14ac:dyDescent="0.15">
      <c r="D48">
        <f>pm.rep!A53</f>
        <v>2008</v>
      </c>
      <c r="E48">
        <f>pm.rep!B53</f>
        <v>0.40655400000000003</v>
      </c>
      <c r="F48">
        <f>pm.rep!C53</f>
        <v>0.63583599999999996</v>
      </c>
      <c r="G48">
        <f>pm.rep!D53</f>
        <v>0.72226299999999999</v>
      </c>
      <c r="H48">
        <f>pm.rep!E53</f>
        <v>0.66068800000000005</v>
      </c>
      <c r="I48">
        <f>pm.rep!F53</f>
        <v>0.57703099999999996</v>
      </c>
      <c r="J48">
        <f>pm.rep!G53</f>
        <v>0.48191299999999998</v>
      </c>
      <c r="K48">
        <f>pm.rep!H53</f>
        <v>0.49467499999999998</v>
      </c>
      <c r="L48">
        <f>pm.rep!I53</f>
        <v>0.51713500000000001</v>
      </c>
      <c r="M48">
        <f>pm.rep!J53</f>
        <v>0.52016300000000004</v>
      </c>
      <c r="N48">
        <f>pm.rep!K53</f>
        <v>0.53698599999999996</v>
      </c>
      <c r="O48">
        <f>pm.rep!L53</f>
        <v>0.53698599999999996</v>
      </c>
      <c r="P48">
        <f>pm.rep!M53</f>
        <v>0.53698599999999996</v>
      </c>
      <c r="Q48">
        <f>pm.rep!N53</f>
        <v>0.53698599999999996</v>
      </c>
      <c r="R48">
        <f>pm.rep!O53</f>
        <v>0.53698599999999996</v>
      </c>
      <c r="S48">
        <f>pm.rep!P53</f>
        <v>0.53698599999999996</v>
      </c>
      <c r="U48" s="27">
        <f>pm.rep!B107</f>
        <v>14622.4</v>
      </c>
      <c r="V48" s="27">
        <f>pm.rep!C107</f>
        <v>10729.2</v>
      </c>
      <c r="W48" s="27">
        <f>pm.rep!D107</f>
        <v>3154.19</v>
      </c>
      <c r="X48" s="27">
        <f>pm.rep!E107</f>
        <v>884.49300000000005</v>
      </c>
      <c r="Y48" s="27">
        <f>pm.rep!F107</f>
        <v>794.95799999999997</v>
      </c>
      <c r="Z48" s="27">
        <f>pm.rep!G107</f>
        <v>1014.28</v>
      </c>
      <c r="AA48" s="27">
        <f>pm.rep!H107</f>
        <v>830.99199999999996</v>
      </c>
      <c r="AB48" s="27">
        <f>pm.rep!I107</f>
        <v>611.24099999999999</v>
      </c>
      <c r="AC48" s="27">
        <f>pm.rep!J107</f>
        <v>302.29700000000003</v>
      </c>
      <c r="AD48" s="27">
        <f>pm.rep!K107</f>
        <v>118.393</v>
      </c>
      <c r="AE48" s="27">
        <f>pm.rep!L107</f>
        <v>60.015099999999997</v>
      </c>
      <c r="AF48" s="27">
        <f>pm.rep!M107</f>
        <v>59.819099999999999</v>
      </c>
      <c r="AG48" s="27">
        <f>pm.rep!N107</f>
        <v>29.359200000000001</v>
      </c>
      <c r="AH48" s="27">
        <f>pm.rep!O107</f>
        <v>10.760400000000001</v>
      </c>
      <c r="AI48" s="27">
        <f>pm.rep!P107</f>
        <v>38.886200000000002</v>
      </c>
      <c r="AK48">
        <f t="shared" si="7"/>
        <v>56930.6</v>
      </c>
      <c r="AL48">
        <f t="shared" ref="AL48:AX48" si="68">U48*EXP(-E$1-E103)</f>
        <v>5944.7952095999999</v>
      </c>
      <c r="AM48">
        <f t="shared" si="68"/>
        <v>4349.9066539917321</v>
      </c>
      <c r="AN48">
        <f t="shared" si="68"/>
        <v>1960.8259493370686</v>
      </c>
      <c r="AO48">
        <f t="shared" si="68"/>
        <v>584.37391118400012</v>
      </c>
      <c r="AP48">
        <f t="shared" si="68"/>
        <v>458.71540969799997</v>
      </c>
      <c r="AQ48">
        <f t="shared" si="68"/>
        <v>488.79471763999999</v>
      </c>
      <c r="AR48">
        <f t="shared" si="68"/>
        <v>411.07096759999996</v>
      </c>
      <c r="AS48">
        <f t="shared" si="68"/>
        <v>316.09411453500002</v>
      </c>
      <c r="AT48">
        <f t="shared" si="68"/>
        <v>157.24371441100001</v>
      </c>
      <c r="AU48">
        <f t="shared" si="68"/>
        <v>63.575383497999994</v>
      </c>
      <c r="AV48">
        <f t="shared" si="68"/>
        <v>44.460279596035363</v>
      </c>
      <c r="AW48">
        <f t="shared" si="68"/>
        <v>44.315079224781748</v>
      </c>
      <c r="AX48">
        <f t="shared" si="68"/>
        <v>21.749830304638692</v>
      </c>
      <c r="AY48">
        <f t="shared" si="1"/>
        <v>36.779105874896977</v>
      </c>
      <c r="BA48">
        <f t="shared" si="9"/>
        <v>56930.6</v>
      </c>
      <c r="BB48">
        <f t="shared" si="10"/>
        <v>5945.0241925909359</v>
      </c>
      <c r="BC48">
        <f t="shared" si="11"/>
        <v>4362.1671932888366</v>
      </c>
      <c r="BD48">
        <f t="shared" si="12"/>
        <v>2011.2003395638812</v>
      </c>
      <c r="BE48">
        <f t="shared" si="13"/>
        <v>655.24853046543478</v>
      </c>
      <c r="BF48">
        <f t="shared" si="14"/>
        <v>588.91937107669708</v>
      </c>
      <c r="BG48">
        <f t="shared" si="15"/>
        <v>751.39710487305274</v>
      </c>
      <c r="BH48">
        <f t="shared" si="16"/>
        <v>615.61401484074213</v>
      </c>
      <c r="BI48">
        <f t="shared" si="17"/>
        <v>452.81847002771389</v>
      </c>
      <c r="BJ48">
        <f t="shared" si="18"/>
        <v>223.94712565742128</v>
      </c>
      <c r="BK48">
        <f t="shared" si="19"/>
        <v>87.707691601170623</v>
      </c>
      <c r="BL48">
        <f t="shared" si="20"/>
        <v>44.460279596035363</v>
      </c>
      <c r="BM48">
        <f t="shared" si="21"/>
        <v>44.315079224781748</v>
      </c>
      <c r="BN48">
        <f t="shared" si="22"/>
        <v>21.749830304638692</v>
      </c>
      <c r="BO48">
        <f t="shared" si="23"/>
        <v>36.779105874896977</v>
      </c>
      <c r="BQ48" s="4">
        <f t="shared" si="3"/>
        <v>2008</v>
      </c>
      <c r="BR48" s="27">
        <f t="shared" si="4"/>
        <v>3572451.9302992537</v>
      </c>
      <c r="BS48" s="27">
        <f t="shared" si="5"/>
        <v>3863790.0900746677</v>
      </c>
      <c r="BT48">
        <f t="shared" si="24"/>
        <v>7.5402170662377754E-2</v>
      </c>
      <c r="BU48" s="20">
        <f t="shared" si="25"/>
        <v>0.35967548124262017</v>
      </c>
      <c r="BV48" s="20">
        <f t="shared" si="6"/>
        <v>0.38160550455046538</v>
      </c>
      <c r="BW48">
        <f>pm.rep!B107</f>
        <v>14622.4</v>
      </c>
      <c r="BX48">
        <f>pm.rep!C107</f>
        <v>10729.2</v>
      </c>
      <c r="BY48">
        <f>pm.rep!D107</f>
        <v>3154.19</v>
      </c>
      <c r="BZ48">
        <f>pm.rep!E107</f>
        <v>884.49300000000005</v>
      </c>
      <c r="CA48">
        <f>pm.rep!F107</f>
        <v>794.95799999999997</v>
      </c>
      <c r="CB48">
        <f>pm.rep!G107</f>
        <v>1014.28</v>
      </c>
      <c r="CC48">
        <f>pm.rep!H107</f>
        <v>830.99199999999996</v>
      </c>
      <c r="CD48">
        <f>pm.rep!I107</f>
        <v>611.24099999999999</v>
      </c>
      <c r="CE48">
        <f>pm.rep!J107</f>
        <v>302.29700000000003</v>
      </c>
      <c r="CF48">
        <f>pm.rep!K107</f>
        <v>118.393</v>
      </c>
      <c r="CG48">
        <f>pm.rep!L107</f>
        <v>60.015099999999997</v>
      </c>
      <c r="CH48">
        <f>pm.rep!M107</f>
        <v>59.819099999999999</v>
      </c>
      <c r="CI48">
        <f>pm.rep!N107</f>
        <v>29.359200000000001</v>
      </c>
      <c r="CJ48">
        <f>pm.rep!O107</f>
        <v>10.760400000000001</v>
      </c>
      <c r="CK48">
        <f>pm.rep!P107</f>
        <v>38.886200000000002</v>
      </c>
    </row>
    <row r="49" spans="3:89" x14ac:dyDescent="0.15">
      <c r="D49">
        <f>pm.rep!A54</f>
        <v>2009</v>
      </c>
      <c r="E49">
        <f>pm.rep!B54</f>
        <v>0.40655599999999997</v>
      </c>
      <c r="F49">
        <f>pm.rep!C54</f>
        <v>0.63644800000000001</v>
      </c>
      <c r="G49">
        <f>pm.rep!D54</f>
        <v>0.72297500000000003</v>
      </c>
      <c r="H49">
        <f>pm.rep!E54</f>
        <v>0.66852</v>
      </c>
      <c r="I49">
        <f>pm.rep!F54</f>
        <v>0.62236499999999995</v>
      </c>
      <c r="J49">
        <f>pm.rep!G54</f>
        <v>0.545435</v>
      </c>
      <c r="K49">
        <f>pm.rep!H54</f>
        <v>0.52415900000000004</v>
      </c>
      <c r="L49">
        <f>pm.rep!I54</f>
        <v>0.52865600000000001</v>
      </c>
      <c r="M49">
        <f>pm.rep!J54</f>
        <v>0.52405800000000002</v>
      </c>
      <c r="N49">
        <f>pm.rep!K54</f>
        <v>0.52766999999999997</v>
      </c>
      <c r="O49">
        <f>pm.rep!L54</f>
        <v>0.52766999999999997</v>
      </c>
      <c r="P49">
        <f>pm.rep!M54</f>
        <v>0.52766999999999997</v>
      </c>
      <c r="Q49">
        <f>pm.rep!N54</f>
        <v>0.52766999999999997</v>
      </c>
      <c r="R49">
        <f>pm.rep!O54</f>
        <v>0.52766999999999997</v>
      </c>
      <c r="S49">
        <f>pm.rep!P54</f>
        <v>0.52766999999999997</v>
      </c>
      <c r="U49" s="27">
        <f>pm.rep!B108</f>
        <v>56930.6</v>
      </c>
      <c r="V49" s="27">
        <f>pm.rep!C108</f>
        <v>5944.81</v>
      </c>
      <c r="W49" s="27">
        <f>pm.rep!D108</f>
        <v>6821.99</v>
      </c>
      <c r="X49" s="27">
        <f>pm.rep!E108</f>
        <v>2278.16</v>
      </c>
      <c r="Y49" s="27">
        <f>pm.rep!F108</f>
        <v>584.37400000000002</v>
      </c>
      <c r="Z49" s="27">
        <f>pm.rep!G108</f>
        <v>458.71499999999997</v>
      </c>
      <c r="AA49" s="27">
        <f>pm.rep!H108</f>
        <v>488.79399999999998</v>
      </c>
      <c r="AB49" s="27">
        <f>pm.rep!I108</f>
        <v>411.07100000000003</v>
      </c>
      <c r="AC49" s="27">
        <f>pm.rep!J108</f>
        <v>316.09399999999999</v>
      </c>
      <c r="AD49" s="27">
        <f>pm.rep!K108</f>
        <v>157.244</v>
      </c>
      <c r="AE49" s="27">
        <f>pm.rep!L108</f>
        <v>63.575400000000002</v>
      </c>
      <c r="AF49" s="27">
        <f>pm.rep!M108</f>
        <v>32.2273</v>
      </c>
      <c r="AG49" s="27">
        <f>pm.rep!N108</f>
        <v>32.122</v>
      </c>
      <c r="AH49" s="27">
        <f>pm.rep!O108</f>
        <v>15.765499999999999</v>
      </c>
      <c r="AI49" s="27">
        <f>pm.rep!P108</f>
        <v>26.659500000000001</v>
      </c>
      <c r="AK49">
        <f>AK48</f>
        <v>56930.6</v>
      </c>
      <c r="AL49">
        <f t="shared" ref="AL49:AX49" si="69">U49*EXP(-E$1-E104)</f>
        <v>23145.477013599997</v>
      </c>
      <c r="AM49">
        <f t="shared" si="69"/>
        <v>2412.5059218981105</v>
      </c>
      <c r="AN49">
        <f t="shared" si="69"/>
        <v>4245.1220999202997</v>
      </c>
      <c r="AO49">
        <f t="shared" si="69"/>
        <v>1522.9955232</v>
      </c>
      <c r="AP49">
        <f t="shared" si="69"/>
        <v>363.69392450999999</v>
      </c>
      <c r="AQ49">
        <f t="shared" si="69"/>
        <v>250.199216025</v>
      </c>
      <c r="AR49">
        <f t="shared" si="69"/>
        <v>256.20577424600003</v>
      </c>
      <c r="AS49">
        <f t="shared" si="69"/>
        <v>217.31515057600001</v>
      </c>
      <c r="AT49">
        <f t="shared" si="69"/>
        <v>165.651589452</v>
      </c>
      <c r="AU49">
        <f t="shared" si="69"/>
        <v>82.972941479999989</v>
      </c>
      <c r="AV49">
        <f t="shared" si="69"/>
        <v>47.097814707128485</v>
      </c>
      <c r="AW49">
        <f t="shared" si="69"/>
        <v>23.874571043375926</v>
      </c>
      <c r="AX49">
        <f t="shared" si="69"/>
        <v>23.79656288473814</v>
      </c>
      <c r="AY49">
        <f t="shared" si="1"/>
        <v>31.429213012421879</v>
      </c>
      <c r="BA49">
        <f>BA48</f>
        <v>56930.6</v>
      </c>
      <c r="BB49">
        <f t="shared" si="10"/>
        <v>23146.254670828152</v>
      </c>
      <c r="BC49">
        <f t="shared" si="11"/>
        <v>2416.9793789225109</v>
      </c>
      <c r="BD49">
        <f t="shared" si="12"/>
        <v>4349.8928740822212</v>
      </c>
      <c r="BE49">
        <f t="shared" si="13"/>
        <v>1687.7024376282623</v>
      </c>
      <c r="BF49">
        <f t="shared" si="14"/>
        <v>432.91490689265822</v>
      </c>
      <c r="BG49">
        <f t="shared" si="15"/>
        <v>339.82443010001418</v>
      </c>
      <c r="BH49">
        <f t="shared" si="16"/>
        <v>362.10750135989957</v>
      </c>
      <c r="BI49">
        <f t="shared" si="17"/>
        <v>304.5288867938545</v>
      </c>
      <c r="BJ49">
        <f t="shared" si="18"/>
        <v>234.16819464816692</v>
      </c>
      <c r="BK49">
        <f t="shared" si="19"/>
        <v>116.48922029287604</v>
      </c>
      <c r="BL49">
        <f t="shared" si="20"/>
        <v>47.097814707128485</v>
      </c>
      <c r="BM49">
        <f t="shared" si="21"/>
        <v>23.874571043375926</v>
      </c>
      <c r="BN49">
        <f t="shared" si="22"/>
        <v>23.79656288473814</v>
      </c>
      <c r="BO49">
        <f t="shared" si="23"/>
        <v>31.429213012421879</v>
      </c>
      <c r="BQ49" s="4">
        <f t="shared" si="3"/>
        <v>2009</v>
      </c>
      <c r="BR49" s="27">
        <f t="shared" si="4"/>
        <v>6637344.4377535647</v>
      </c>
      <c r="BS49" s="27">
        <f t="shared" si="5"/>
        <v>6834624.2878702637</v>
      </c>
      <c r="BT49">
        <f t="shared" si="24"/>
        <v>2.8864768831085685E-2</v>
      </c>
      <c r="BU49" s="20">
        <f t="shared" si="25"/>
        <v>0.34220366305270711</v>
      </c>
      <c r="BV49" s="20">
        <f t="shared" si="6"/>
        <v>0.33848102718240547</v>
      </c>
      <c r="BW49">
        <f>pm.rep!B108</f>
        <v>56930.6</v>
      </c>
      <c r="BX49">
        <f>pm.rep!C108</f>
        <v>5944.81</v>
      </c>
      <c r="BY49">
        <f>pm.rep!D108</f>
        <v>6821.99</v>
      </c>
      <c r="BZ49">
        <f>pm.rep!E108</f>
        <v>2278.16</v>
      </c>
      <c r="CA49">
        <f>pm.rep!F108</f>
        <v>584.37400000000002</v>
      </c>
      <c r="CB49">
        <f>pm.rep!G108</f>
        <v>458.71499999999997</v>
      </c>
      <c r="CC49">
        <f>pm.rep!H108</f>
        <v>488.79399999999998</v>
      </c>
      <c r="CD49">
        <f>pm.rep!I108</f>
        <v>411.07100000000003</v>
      </c>
      <c r="CE49">
        <f>pm.rep!J108</f>
        <v>316.09399999999999</v>
      </c>
      <c r="CF49">
        <f>pm.rep!K108</f>
        <v>157.244</v>
      </c>
      <c r="CG49">
        <f>pm.rep!L108</f>
        <v>63.575400000000002</v>
      </c>
      <c r="CH49">
        <f>pm.rep!M108</f>
        <v>32.2273</v>
      </c>
      <c r="CI49">
        <f>pm.rep!N108</f>
        <v>32.122</v>
      </c>
      <c r="CJ49">
        <f>pm.rep!O108</f>
        <v>15.765499999999999</v>
      </c>
      <c r="CK49">
        <f>pm.rep!P108</f>
        <v>26.659500000000001</v>
      </c>
    </row>
    <row r="50" spans="3:89" x14ac:dyDescent="0.15">
      <c r="D50">
        <f>pm.rep!A55</f>
        <v>2010</v>
      </c>
      <c r="E50">
        <f>pm.rep!B55</f>
        <v>0.40655799999999997</v>
      </c>
      <c r="F50">
        <f>pm.rep!C55</f>
        <v>0.63658700000000001</v>
      </c>
      <c r="G50">
        <f>pm.rep!D55</f>
        <v>0.73165500000000006</v>
      </c>
      <c r="H50">
        <f>pm.rep!E55</f>
        <v>0.64491200000000004</v>
      </c>
      <c r="I50">
        <f>pm.rep!F55</f>
        <v>0.61480599999999996</v>
      </c>
      <c r="J50">
        <f>pm.rep!G55</f>
        <v>0.59518599999999999</v>
      </c>
      <c r="K50">
        <f>pm.rep!H55</f>
        <v>0.57005600000000001</v>
      </c>
      <c r="L50">
        <f>pm.rep!I55</f>
        <v>0.55675399999999997</v>
      </c>
      <c r="M50">
        <f>pm.rep!J55</f>
        <v>0.56025999999999998</v>
      </c>
      <c r="N50">
        <f>pm.rep!K55</f>
        <v>0.56362400000000001</v>
      </c>
      <c r="O50">
        <f>pm.rep!L55</f>
        <v>0.56362400000000001</v>
      </c>
      <c r="P50">
        <f>pm.rep!M55</f>
        <v>0.56362400000000001</v>
      </c>
      <c r="Q50">
        <f>pm.rep!N55</f>
        <v>0.56362400000000001</v>
      </c>
      <c r="R50">
        <f>pm.rep!O55</f>
        <v>0.56362400000000001</v>
      </c>
      <c r="S50">
        <f>pm.rep!P55</f>
        <v>0.56362400000000001</v>
      </c>
      <c r="U50" s="27">
        <f>pm.rep!B109</f>
        <v>22500.1</v>
      </c>
      <c r="V50" s="27">
        <f>pm.rep!C109</f>
        <v>23145.5</v>
      </c>
      <c r="W50" s="27">
        <f>pm.rep!D109</f>
        <v>3783.56</v>
      </c>
      <c r="X50" s="27">
        <f>pm.rep!E109</f>
        <v>4932.12</v>
      </c>
      <c r="Y50" s="27">
        <f>pm.rep!F109</f>
        <v>1522.99</v>
      </c>
      <c r="Z50" s="27">
        <f>pm.rep!G109</f>
        <v>363.69400000000002</v>
      </c>
      <c r="AA50" s="27">
        <f>pm.rep!H109</f>
        <v>250.19900000000001</v>
      </c>
      <c r="AB50" s="27">
        <f>pm.rep!I109</f>
        <v>256.20600000000002</v>
      </c>
      <c r="AC50" s="27">
        <f>pm.rep!J109</f>
        <v>217.315</v>
      </c>
      <c r="AD50" s="27">
        <f>pm.rep!K109</f>
        <v>165.65199999999999</v>
      </c>
      <c r="AE50" s="27">
        <f>pm.rep!L109</f>
        <v>82.972800000000007</v>
      </c>
      <c r="AF50" s="27">
        <f>pm.rep!M109</f>
        <v>33.546799999999998</v>
      </c>
      <c r="AG50" s="27">
        <f>pm.rep!N109</f>
        <v>17.005400000000002</v>
      </c>
      <c r="AH50" s="27">
        <f>pm.rep!O109</f>
        <v>16.9498</v>
      </c>
      <c r="AI50" s="27">
        <f>pm.rep!P109</f>
        <v>22.386399999999998</v>
      </c>
      <c r="AK50">
        <f>AK49</f>
        <v>56930.6</v>
      </c>
      <c r="AL50">
        <f t="shared" ref="AL50:AX50" si="70">U50*EXP(-E$1-E105)</f>
        <v>9147.595655799998</v>
      </c>
      <c r="AM50">
        <f t="shared" si="70"/>
        <v>9394.892512357108</v>
      </c>
      <c r="AN50">
        <f t="shared" si="70"/>
        <v>2382.6639721854112</v>
      </c>
      <c r="AO50">
        <f t="shared" si="70"/>
        <v>3180.7833734400001</v>
      </c>
      <c r="AP50">
        <f t="shared" si="70"/>
        <v>936.34338993999995</v>
      </c>
      <c r="AQ50">
        <f t="shared" si="70"/>
        <v>216.46557708400002</v>
      </c>
      <c r="AR50">
        <f t="shared" si="70"/>
        <v>142.62744114400002</v>
      </c>
      <c r="AS50">
        <f t="shared" si="70"/>
        <v>142.643715324</v>
      </c>
      <c r="AT50">
        <f t="shared" si="70"/>
        <v>121.7529019</v>
      </c>
      <c r="AU50">
        <f t="shared" si="70"/>
        <v>93.365442848000001</v>
      </c>
      <c r="AV50">
        <f t="shared" si="70"/>
        <v>61.467762060980043</v>
      </c>
      <c r="AW50">
        <f t="shared" si="70"/>
        <v>24.852080685565451</v>
      </c>
      <c r="AX50">
        <f t="shared" si="70"/>
        <v>12.597910169980887</v>
      </c>
      <c r="AY50">
        <f t="shared" si="1"/>
        <v>29.140973692380189</v>
      </c>
      <c r="BA50">
        <f>BA49</f>
        <v>56930.6</v>
      </c>
      <c r="BB50">
        <f t="shared" ref="BB50:BN50" si="71">U50*EXP(-E$1)</f>
        <v>9147.8580011294525</v>
      </c>
      <c r="BC50">
        <f t="shared" si="71"/>
        <v>9410.258059526037</v>
      </c>
      <c r="BD50">
        <f t="shared" si="71"/>
        <v>2412.5043693500766</v>
      </c>
      <c r="BE50">
        <f t="shared" si="71"/>
        <v>3653.8043625887144</v>
      </c>
      <c r="BF50">
        <f t="shared" si="71"/>
        <v>1128.2587419160495</v>
      </c>
      <c r="BG50">
        <f t="shared" si="71"/>
        <v>269.43114195261671</v>
      </c>
      <c r="BH50">
        <f t="shared" si="71"/>
        <v>185.35197799634514</v>
      </c>
      <c r="BI50">
        <f t="shared" si="71"/>
        <v>189.80207304798023</v>
      </c>
      <c r="BJ50">
        <f t="shared" si="71"/>
        <v>160.99091162744753</v>
      </c>
      <c r="BK50">
        <f t="shared" si="71"/>
        <v>122.71801989236792</v>
      </c>
      <c r="BL50">
        <f t="shared" si="71"/>
        <v>61.467762060980043</v>
      </c>
      <c r="BM50">
        <f t="shared" si="71"/>
        <v>24.852080685565451</v>
      </c>
      <c r="BN50">
        <f t="shared" si="71"/>
        <v>12.597910169980887</v>
      </c>
      <c r="BO50">
        <f>AH50*EXP(-R$1)+AI50*EXP(-S$1)</f>
        <v>29.140973692380189</v>
      </c>
      <c r="BQ50" s="4">
        <f>D105</f>
        <v>2010</v>
      </c>
      <c r="BR50" s="27">
        <f>SUMPRODUCT(AK50:AY50,BW50:CK50,$E$2:$S$2)</f>
        <v>12016474.751073431</v>
      </c>
      <c r="BS50" s="27">
        <f>SUMPRODUCT(BA50:BO50,BW50:CK50,$E$2:$S$2)</f>
        <v>12427788.505241092</v>
      </c>
      <c r="BT50">
        <f>1-BR50/BS50</f>
        <v>3.3096294967861817E-2</v>
      </c>
      <c r="BU50" s="20">
        <f>AVERAGE(K105:S105)</f>
        <v>0.27509367486006253</v>
      </c>
      <c r="BV50" s="20">
        <f t="shared" si="6"/>
        <v>0.26342979246646142</v>
      </c>
      <c r="BW50">
        <f>pm.rep!B109</f>
        <v>22500.1</v>
      </c>
      <c r="BX50">
        <f>pm.rep!C109</f>
        <v>23145.5</v>
      </c>
      <c r="BY50">
        <f>pm.rep!D109</f>
        <v>3783.56</v>
      </c>
      <c r="BZ50">
        <f>pm.rep!E109</f>
        <v>4932.12</v>
      </c>
      <c r="CA50">
        <f>pm.rep!F109</f>
        <v>1522.99</v>
      </c>
      <c r="CB50">
        <f>pm.rep!G109</f>
        <v>363.69400000000002</v>
      </c>
      <c r="CC50">
        <f>pm.rep!H109</f>
        <v>250.19900000000001</v>
      </c>
      <c r="CD50">
        <f>pm.rep!I109</f>
        <v>256.20600000000002</v>
      </c>
      <c r="CE50">
        <f>pm.rep!J109</f>
        <v>217.315</v>
      </c>
      <c r="CF50">
        <f>pm.rep!K109</f>
        <v>165.65199999999999</v>
      </c>
      <c r="CG50">
        <f>pm.rep!L109</f>
        <v>82.972800000000007</v>
      </c>
      <c r="CH50">
        <f>pm.rep!M109</f>
        <v>33.546799999999998</v>
      </c>
      <c r="CI50">
        <f>pm.rep!N109</f>
        <v>17.005400000000002</v>
      </c>
      <c r="CJ50">
        <f>pm.rep!O109</f>
        <v>16.9498</v>
      </c>
      <c r="CK50">
        <f>pm.rep!P109</f>
        <v>22.386399999999998</v>
      </c>
    </row>
    <row r="51" spans="3:89" x14ac:dyDescent="0.15">
      <c r="D51">
        <f>pm.rep!A56</f>
        <v>2011</v>
      </c>
      <c r="E51">
        <f>pm.rep!B56</f>
        <v>0.40655400000000003</v>
      </c>
      <c r="F51">
        <f>pm.rep!C56</f>
        <v>0.63615299999999997</v>
      </c>
      <c r="G51">
        <f>pm.rep!D56</f>
        <v>0.72894899999999996</v>
      </c>
      <c r="H51">
        <f>pm.rep!E56</f>
        <v>0.69646699999999995</v>
      </c>
      <c r="I51">
        <f>pm.rep!F56</f>
        <v>0.51508699999999996</v>
      </c>
      <c r="J51">
        <f>pm.rep!G56</f>
        <v>0.49061399999999999</v>
      </c>
      <c r="K51">
        <f>pm.rep!H56</f>
        <v>0.50325799999999998</v>
      </c>
      <c r="L51">
        <f>pm.rep!I56</f>
        <v>0.50959699999999997</v>
      </c>
      <c r="M51">
        <f>pm.rep!J56</f>
        <v>0.51574900000000001</v>
      </c>
      <c r="N51">
        <f>pm.rep!K56</f>
        <v>0.52287300000000003</v>
      </c>
      <c r="O51">
        <f>pm.rep!L56</f>
        <v>0.52287300000000003</v>
      </c>
      <c r="P51">
        <f>pm.rep!M56</f>
        <v>0.52287300000000003</v>
      </c>
      <c r="Q51">
        <f>pm.rep!N56</f>
        <v>0.52287300000000003</v>
      </c>
      <c r="R51">
        <f>pm.rep!O56</f>
        <v>0.52287300000000003</v>
      </c>
      <c r="S51">
        <f>pm.rep!P56</f>
        <v>0.52287300000000003</v>
      </c>
      <c r="U51" s="27">
        <f>pm.rep!B110</f>
        <v>13479.2</v>
      </c>
      <c r="V51" s="27">
        <f>pm.rep!C110</f>
        <v>9147.59</v>
      </c>
      <c r="W51" s="27">
        <f>pm.rep!D110</f>
        <v>14734.1</v>
      </c>
      <c r="X51" s="27">
        <f>pm.rep!E110</f>
        <v>2768.26</v>
      </c>
      <c r="Y51" s="27">
        <f>pm.rep!F110</f>
        <v>3180.79</v>
      </c>
      <c r="Z51" s="27">
        <f>pm.rep!G110</f>
        <v>936.346</v>
      </c>
      <c r="AA51" s="27">
        <f>pm.rep!H110</f>
        <v>216.465</v>
      </c>
      <c r="AB51" s="27">
        <f>pm.rep!I110</f>
        <v>142.62799999999999</v>
      </c>
      <c r="AC51" s="27">
        <f>pm.rep!J110</f>
        <v>142.64400000000001</v>
      </c>
      <c r="AD51" s="27">
        <f>pm.rep!K110</f>
        <v>121.753</v>
      </c>
      <c r="AE51" s="27">
        <f>pm.rep!L110</f>
        <v>93.365300000000005</v>
      </c>
      <c r="AF51" s="27">
        <f>pm.rep!M110</f>
        <v>46.7654</v>
      </c>
      <c r="AG51" s="27">
        <f>pm.rep!N110</f>
        <v>18.907800000000002</v>
      </c>
      <c r="AH51" s="27">
        <f>pm.rep!O110</f>
        <v>9.5846300000000006</v>
      </c>
      <c r="AI51" s="27">
        <f>pm.rep!P110</f>
        <v>22.1708</v>
      </c>
      <c r="AK51">
        <f>AK50</f>
        <v>56930.6</v>
      </c>
      <c r="AL51">
        <f t="shared" ref="AL51:AX51" si="72">U51*EXP(-E$1-E106)</f>
        <v>5480.0226768000002</v>
      </c>
      <c r="AM51">
        <f t="shared" si="72"/>
        <v>3710.5283470403019</v>
      </c>
      <c r="AN51">
        <f t="shared" si="72"/>
        <v>9244.3543716518325</v>
      </c>
      <c r="AO51">
        <f t="shared" si="72"/>
        <v>1928.0017374199999</v>
      </c>
      <c r="AP51">
        <f t="shared" si="72"/>
        <v>1638.38357873</v>
      </c>
      <c r="AQ51">
        <f t="shared" si="72"/>
        <v>459.38445644400002</v>
      </c>
      <c r="AR51">
        <f t="shared" si="72"/>
        <v>108.93774297</v>
      </c>
      <c r="AS51">
        <f t="shared" si="72"/>
        <v>72.682800915999991</v>
      </c>
      <c r="AT51">
        <f t="shared" si="72"/>
        <v>73.568500356000001</v>
      </c>
      <c r="AU51">
        <f t="shared" si="72"/>
        <v>63.661356369000003</v>
      </c>
      <c r="AV51">
        <f t="shared" si="72"/>
        <v>69.1667154194148</v>
      </c>
      <c r="AW51">
        <f t="shared" si="72"/>
        <v>34.644660417468806</v>
      </c>
      <c r="AX51">
        <f t="shared" si="72"/>
        <v>14.007242753005787</v>
      </c>
      <c r="AY51">
        <f t="shared" si="1"/>
        <v>23.525001149582845</v>
      </c>
      <c r="BA51">
        <f>BA50</f>
        <v>56930.6</v>
      </c>
      <c r="BB51">
        <f t="shared" ref="BB51:BN51" si="73">U51*EXP(-E$1)</f>
        <v>5480.2337575754837</v>
      </c>
      <c r="BC51">
        <f t="shared" si="73"/>
        <v>3719.1325537465073</v>
      </c>
      <c r="BD51">
        <f t="shared" si="73"/>
        <v>9394.8769488103699</v>
      </c>
      <c r="BE51">
        <f t="shared" si="73"/>
        <v>2050.7774475843726</v>
      </c>
      <c r="BF51">
        <f t="shared" si="73"/>
        <v>2356.3871881622013</v>
      </c>
      <c r="BG51">
        <f t="shared" si="73"/>
        <v>693.66217766244381</v>
      </c>
      <c r="BH51">
        <f t="shared" si="73"/>
        <v>160.36121613986805</v>
      </c>
      <c r="BI51">
        <f t="shared" si="73"/>
        <v>105.66142117939205</v>
      </c>
      <c r="BJ51">
        <f t="shared" si="73"/>
        <v>105.67327427092297</v>
      </c>
      <c r="BK51">
        <f t="shared" si="73"/>
        <v>90.196840822661201</v>
      </c>
      <c r="BL51">
        <f t="shared" si="73"/>
        <v>69.1667154194148</v>
      </c>
      <c r="BM51">
        <f t="shared" si="73"/>
        <v>34.644660417468806</v>
      </c>
      <c r="BN51">
        <f t="shared" si="73"/>
        <v>14.007242753005787</v>
      </c>
      <c r="BO51">
        <f>AH51*EXP(-R$1)+AI51*EXP(-S$1)</f>
        <v>23.525001149582845</v>
      </c>
      <c r="BQ51" s="4">
        <f>D106</f>
        <v>2011</v>
      </c>
      <c r="BR51" s="27">
        <f>SUMPRODUCT(AK51:AY51,BW51:CK51,$E$2:$S$2)</f>
        <v>19644600.861971635</v>
      </c>
      <c r="BS51" s="27">
        <f>SUMPRODUCT(BA51:BO51,BW51:CK51,$E$2:$S$2)</f>
        <v>20296775.72347394</v>
      </c>
      <c r="BT51">
        <f>1-BR51/BS51</f>
        <v>3.2131944028333637E-2</v>
      </c>
      <c r="BU51" s="20">
        <f>AVERAGE(K106:S106)</f>
        <v>0.36783477995456398</v>
      </c>
      <c r="BV51" s="20">
        <f t="shared" si="6"/>
        <v>0.33499413506068854</v>
      </c>
      <c r="BW51">
        <f>pm.rep!B110</f>
        <v>13479.2</v>
      </c>
      <c r="BX51">
        <f>pm.rep!C110</f>
        <v>9147.59</v>
      </c>
      <c r="BY51">
        <f>pm.rep!D110</f>
        <v>14734.1</v>
      </c>
      <c r="BZ51">
        <f>pm.rep!E110</f>
        <v>2768.26</v>
      </c>
      <c r="CA51">
        <f>pm.rep!F110</f>
        <v>3180.79</v>
      </c>
      <c r="CB51">
        <f>pm.rep!G110</f>
        <v>936.346</v>
      </c>
      <c r="CC51">
        <f>pm.rep!H110</f>
        <v>216.465</v>
      </c>
      <c r="CD51">
        <f>pm.rep!I110</f>
        <v>142.62799999999999</v>
      </c>
      <c r="CE51">
        <f>pm.rep!J110</f>
        <v>142.64400000000001</v>
      </c>
      <c r="CF51">
        <f>pm.rep!K110</f>
        <v>121.753</v>
      </c>
      <c r="CG51">
        <f>pm.rep!L110</f>
        <v>93.365300000000005</v>
      </c>
      <c r="CH51">
        <f>pm.rep!M110</f>
        <v>46.7654</v>
      </c>
      <c r="CI51">
        <f>pm.rep!N110</f>
        <v>18.907800000000002</v>
      </c>
      <c r="CJ51">
        <f>pm.rep!O110</f>
        <v>9.5846300000000006</v>
      </c>
      <c r="CK51">
        <f>pm.rep!P110</f>
        <v>22.1708</v>
      </c>
    </row>
    <row r="52" spans="3:89" x14ac:dyDescent="0.15">
      <c r="D52">
        <f>pm.rep!A57</f>
        <v>2012</v>
      </c>
      <c r="E52">
        <f>pm.rep!B57</f>
        <v>0.406555</v>
      </c>
      <c r="F52">
        <f>pm.rep!C57</f>
        <v>0.63568199999999997</v>
      </c>
      <c r="G52">
        <f>pm.rep!D57</f>
        <v>0.72382199999999997</v>
      </c>
      <c r="H52">
        <f>pm.rep!E57</f>
        <v>0.66571400000000003</v>
      </c>
      <c r="I52">
        <f>pm.rep!F57</f>
        <v>0.65565799999999996</v>
      </c>
      <c r="J52">
        <f>pm.rep!G57</f>
        <v>0.50361500000000003</v>
      </c>
      <c r="K52">
        <f>pm.rep!H57</f>
        <v>0.50121000000000004</v>
      </c>
      <c r="L52">
        <f>pm.rep!I57</f>
        <v>0.50317400000000001</v>
      </c>
      <c r="M52">
        <f>pm.rep!J57</f>
        <v>0.51396900000000001</v>
      </c>
      <c r="N52">
        <f>pm.rep!K57</f>
        <v>0.51915199999999995</v>
      </c>
      <c r="O52">
        <f>pm.rep!L57</f>
        <v>0.51915199999999995</v>
      </c>
      <c r="P52">
        <f>pm.rep!M57</f>
        <v>0.51915199999999995</v>
      </c>
      <c r="Q52">
        <f>pm.rep!N57</f>
        <v>0.51915199999999995</v>
      </c>
      <c r="R52">
        <f>pm.rep!O57</f>
        <v>0.51915199999999995</v>
      </c>
      <c r="S52">
        <f>pm.rep!P57</f>
        <v>0.51915199999999995</v>
      </c>
      <c r="U52" s="27">
        <f>pm.rep!B111</f>
        <v>11200.8</v>
      </c>
      <c r="V52" s="27">
        <f>pm.rep!C111</f>
        <v>5480.03</v>
      </c>
      <c r="W52" s="27">
        <f>pm.rep!D111</f>
        <v>5819.27</v>
      </c>
      <c r="X52" s="27">
        <f>pm.rep!E111</f>
        <v>10740.4</v>
      </c>
      <c r="Y52" s="27">
        <f>pm.rep!F111</f>
        <v>1928</v>
      </c>
      <c r="Z52" s="27">
        <f>pm.rep!G111</f>
        <v>1638.38</v>
      </c>
      <c r="AA52" s="27">
        <f>pm.rep!H111</f>
        <v>459.38400000000001</v>
      </c>
      <c r="AB52" s="27">
        <f>pm.rep!I111</f>
        <v>108.938</v>
      </c>
      <c r="AC52" s="27">
        <f>pm.rep!J111</f>
        <v>72.682699999999997</v>
      </c>
      <c r="AD52" s="27">
        <f>pm.rep!K111</f>
        <v>73.568299999999994</v>
      </c>
      <c r="AE52" s="27">
        <f>pm.rep!L111</f>
        <v>63.661499999999997</v>
      </c>
      <c r="AF52" s="27">
        <f>pm.rep!M111</f>
        <v>48.818199999999997</v>
      </c>
      <c r="AG52" s="27">
        <f>pm.rep!N111</f>
        <v>24.452400000000001</v>
      </c>
      <c r="AH52" s="27">
        <f>pm.rep!O111</f>
        <v>9.8863800000000008</v>
      </c>
      <c r="AI52" s="27">
        <f>pm.rep!P111</f>
        <v>16.604099999999999</v>
      </c>
      <c r="BQ52" s="4"/>
      <c r="BR52" s="27"/>
      <c r="BS52" s="27"/>
      <c r="BU52" s="20"/>
      <c r="BV52" s="20"/>
    </row>
    <row r="53" spans="3:89" x14ac:dyDescent="0.15">
      <c r="D53">
        <f>pm.rep!A58</f>
        <v>2013</v>
      </c>
      <c r="E53">
        <f>pm.rep!B58</f>
        <v>0.40655599999999997</v>
      </c>
      <c r="F53">
        <f>pm.rep!C58</f>
        <v>0.63633399999999996</v>
      </c>
      <c r="G53">
        <f>pm.rep!D58</f>
        <v>0.72402299999999997</v>
      </c>
      <c r="H53">
        <f>pm.rep!E58</f>
        <v>0.66950299999999996</v>
      </c>
      <c r="I53">
        <f>pm.rep!F58</f>
        <v>0.62480999999999998</v>
      </c>
      <c r="J53">
        <f>pm.rep!G58</f>
        <v>0.61294199999999999</v>
      </c>
      <c r="K53">
        <f>pm.rep!H58</f>
        <v>0.55628699999999998</v>
      </c>
      <c r="L53">
        <f>pm.rep!I58</f>
        <v>0.51414499999999996</v>
      </c>
      <c r="M53">
        <f>pm.rep!J58</f>
        <v>0.51603100000000002</v>
      </c>
      <c r="N53">
        <f>pm.rep!K58</f>
        <v>0.51660200000000001</v>
      </c>
      <c r="O53">
        <f>pm.rep!L58</f>
        <v>0.51660200000000001</v>
      </c>
      <c r="P53">
        <f>pm.rep!M58</f>
        <v>0.51660200000000001</v>
      </c>
      <c r="Q53">
        <f>pm.rep!N58</f>
        <v>0.51660200000000001</v>
      </c>
      <c r="R53">
        <f>pm.rep!O58</f>
        <v>0.51660200000000001</v>
      </c>
      <c r="S53">
        <f>pm.rep!P58</f>
        <v>0.51660200000000001</v>
      </c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BQ53" s="4"/>
      <c r="BR53" s="27"/>
      <c r="BS53" s="27"/>
      <c r="BU53" s="20"/>
      <c r="BV53" s="20"/>
    </row>
    <row r="54" spans="3:89" x14ac:dyDescent="0.15">
      <c r="D54">
        <f>pm.rep!A59</f>
        <v>2014</v>
      </c>
      <c r="E54">
        <f>pm.rep!B59</f>
        <v>0.40655799999999997</v>
      </c>
      <c r="F54">
        <f>pm.rep!C59</f>
        <v>0.63642900000000002</v>
      </c>
      <c r="G54">
        <f>pm.rep!D59</f>
        <v>0.72709500000000005</v>
      </c>
      <c r="H54">
        <f>pm.rep!E59</f>
        <v>0.67986800000000003</v>
      </c>
      <c r="I54">
        <f>pm.rep!F59</f>
        <v>0.61898900000000001</v>
      </c>
      <c r="J54">
        <f>pm.rep!G59</f>
        <v>0.59376399999999996</v>
      </c>
      <c r="K54">
        <f>pm.rep!H59</f>
        <v>0.54161899999999996</v>
      </c>
      <c r="L54">
        <f>pm.rep!I59</f>
        <v>0.55588400000000004</v>
      </c>
      <c r="M54">
        <f>pm.rep!J59</f>
        <v>0.55544700000000002</v>
      </c>
      <c r="N54">
        <f>pm.rep!K59</f>
        <v>0.53920599999999996</v>
      </c>
      <c r="O54">
        <f>pm.rep!L59</f>
        <v>0.53920599999999996</v>
      </c>
      <c r="P54">
        <f>pm.rep!M59</f>
        <v>0.53920599999999996</v>
      </c>
      <c r="Q54">
        <f>pm.rep!N59</f>
        <v>0.53920599999999996</v>
      </c>
      <c r="R54">
        <f>pm.rep!O59</f>
        <v>0.53920599999999996</v>
      </c>
      <c r="S54">
        <f>pm.rep!P59</f>
        <v>0.53920599999999996</v>
      </c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BQ54" s="4"/>
      <c r="BR54" s="27"/>
      <c r="BS54" s="27"/>
      <c r="BU54" s="20"/>
      <c r="BV54" s="20"/>
    </row>
    <row r="55" spans="3:89" x14ac:dyDescent="0.15">
      <c r="D55">
        <f>pm.rep!A60</f>
        <v>2015</v>
      </c>
      <c r="E55">
        <f>pm.rep!B60</f>
        <v>0.40655799999999997</v>
      </c>
      <c r="F55">
        <f>pm.rep!C60</f>
        <v>0.63656500000000005</v>
      </c>
      <c r="G55">
        <f>pm.rep!D60</f>
        <v>0.71158299999999997</v>
      </c>
      <c r="H55">
        <f>pm.rep!E60</f>
        <v>0.67152199999999995</v>
      </c>
      <c r="I55">
        <f>pm.rep!F60</f>
        <v>0.63537500000000002</v>
      </c>
      <c r="J55">
        <f>pm.rep!G60</f>
        <v>0.57464400000000004</v>
      </c>
      <c r="K55">
        <f>pm.rep!H60</f>
        <v>0.58513899999999996</v>
      </c>
      <c r="L55">
        <f>pm.rep!I60</f>
        <v>0.58176799999999995</v>
      </c>
      <c r="M55">
        <f>pm.rep!J60</f>
        <v>0.58430800000000005</v>
      </c>
      <c r="N55">
        <f>pm.rep!K60</f>
        <v>0.54269699999999998</v>
      </c>
      <c r="O55">
        <f>pm.rep!L60</f>
        <v>0.54269699999999998</v>
      </c>
      <c r="P55">
        <f>pm.rep!M60</f>
        <v>0.54269699999999998</v>
      </c>
      <c r="Q55">
        <f>pm.rep!N60</f>
        <v>0.54269699999999998</v>
      </c>
      <c r="R55">
        <f>pm.rep!O60</f>
        <v>0.54269699999999998</v>
      </c>
      <c r="S55">
        <f>pm.rep!P60</f>
        <v>0.54269699999999998</v>
      </c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BQ55" s="4"/>
      <c r="BR55" s="27"/>
      <c r="BS55" s="27"/>
      <c r="BU55" s="20"/>
      <c r="BV55" s="20"/>
    </row>
    <row r="56" spans="3:89" x14ac:dyDescent="0.15">
      <c r="BQ56" s="4"/>
      <c r="BR56" s="27"/>
      <c r="BS56" s="27"/>
      <c r="BU56" s="20"/>
      <c r="BV56" s="20"/>
    </row>
    <row r="57" spans="3:89" ht="23" x14ac:dyDescent="0.25">
      <c r="F57" s="266" t="s">
        <v>177</v>
      </c>
      <c r="G57" s="266"/>
      <c r="H57" s="266"/>
      <c r="I57" s="266"/>
      <c r="J57" s="266"/>
      <c r="K57" s="266"/>
      <c r="L57" s="266"/>
      <c r="M57" s="266"/>
      <c r="N57" s="266"/>
      <c r="O57" s="216"/>
      <c r="P57" s="216"/>
      <c r="Q57" s="216"/>
      <c r="R57" s="216"/>
      <c r="S57" s="216"/>
      <c r="BQ57" s="4"/>
      <c r="BR57" s="27"/>
      <c r="BS57" s="27"/>
      <c r="BU57" s="20"/>
      <c r="BV57" s="20"/>
    </row>
    <row r="58" spans="3:89" x14ac:dyDescent="0.15">
      <c r="D58" s="133"/>
      <c r="E58" s="133">
        <v>1</v>
      </c>
      <c r="F58" s="133">
        <v>2</v>
      </c>
      <c r="G58" s="133">
        <v>3</v>
      </c>
      <c r="H58" s="133">
        <v>4</v>
      </c>
      <c r="I58" s="133">
        <v>5</v>
      </c>
      <c r="J58" s="133">
        <v>6</v>
      </c>
      <c r="K58" s="133">
        <v>7</v>
      </c>
      <c r="L58" s="133">
        <v>8</v>
      </c>
      <c r="M58" s="133">
        <v>9</v>
      </c>
      <c r="N58" s="133">
        <v>10</v>
      </c>
      <c r="O58" s="133"/>
      <c r="P58" s="133"/>
      <c r="Q58" s="133"/>
      <c r="R58" s="133"/>
      <c r="S58" s="133"/>
      <c r="V58" t="s">
        <v>80</v>
      </c>
      <c r="W58" s="116" t="s">
        <v>850</v>
      </c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133"/>
      <c r="AR58" s="133"/>
      <c r="AS58" s="133"/>
      <c r="AT58" s="133"/>
      <c r="AU58" s="133"/>
      <c r="AV58" s="133"/>
      <c r="AW58" s="133"/>
      <c r="AX58" s="133"/>
      <c r="AY58" s="133"/>
      <c r="AZ58" s="133"/>
      <c r="BA58" s="133"/>
      <c r="BB58" s="133"/>
      <c r="BC58" s="133"/>
      <c r="BD58" s="133"/>
      <c r="BE58" s="133"/>
      <c r="BF58" s="133"/>
      <c r="BG58" s="133"/>
      <c r="BH58" s="133"/>
      <c r="BI58" s="133"/>
      <c r="BJ58" s="133"/>
      <c r="BK58" s="133"/>
      <c r="BL58" s="133"/>
      <c r="BM58" s="133"/>
      <c r="BN58" s="133"/>
      <c r="BO58" s="133"/>
      <c r="BP58" s="133"/>
      <c r="BQ58" s="133"/>
      <c r="BR58" s="133"/>
      <c r="BS58" s="133"/>
      <c r="BT58" s="133"/>
      <c r="BU58" s="133"/>
      <c r="BV58" s="133"/>
    </row>
    <row r="59" spans="3:89" x14ac:dyDescent="0.15">
      <c r="C59" s="265" t="s">
        <v>147</v>
      </c>
      <c r="D59" s="4">
        <f t="shared" ref="D59:D90" si="74">D4</f>
        <v>1964</v>
      </c>
      <c r="E59">
        <f t="shared" ref="E59:E90" si="75">-LN(E4)-E$1</f>
        <v>2.0821535068717978E-3</v>
      </c>
      <c r="F59" s="20">
        <f>-LN(F4)-G$1</f>
        <v>1.3425313885612911E-2</v>
      </c>
      <c r="G59" s="20">
        <f t="shared" ref="G59:N59" si="76">-LN(G4)-H$1</f>
        <v>4.5192548258271348E-2</v>
      </c>
      <c r="H59" s="20">
        <f t="shared" si="76"/>
        <v>0.16119137149473051</v>
      </c>
      <c r="I59" s="20">
        <f t="shared" si="76"/>
        <v>0.16288184942943085</v>
      </c>
      <c r="J59" s="20">
        <f t="shared" si="76"/>
        <v>0.16155620937592846</v>
      </c>
      <c r="K59" s="20">
        <f t="shared" si="76"/>
        <v>0.15564165786612977</v>
      </c>
      <c r="L59" s="20">
        <f t="shared" si="76"/>
        <v>0.14863516968148199</v>
      </c>
      <c r="M59" s="20">
        <f t="shared" si="76"/>
        <v>0.14259081731552525</v>
      </c>
      <c r="N59" s="20">
        <f t="shared" si="76"/>
        <v>0.13796092415538325</v>
      </c>
      <c r="O59" s="20"/>
      <c r="P59" s="20"/>
      <c r="Q59" s="20"/>
      <c r="R59" s="20"/>
      <c r="S59" s="20"/>
      <c r="U59">
        <v>1964</v>
      </c>
      <c r="V59">
        <f t="shared" ref="V59:V105" si="77">AVERAGE(G59:S59)</f>
        <v>0.13945631844711018</v>
      </c>
      <c r="W59" s="11">
        <f t="shared" ref="W59:W107" si="78">AVERAGE(G59:L59)</f>
        <v>0.1391831343509955</v>
      </c>
      <c r="X59" s="20">
        <f>Stdev!D693</f>
        <v>9.7247E-2</v>
      </c>
      <c r="Y59">
        <f>Stdev!E693</f>
        <v>2.1569000000000001E-2</v>
      </c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</row>
    <row r="60" spans="3:89" x14ac:dyDescent="0.15">
      <c r="C60" s="265"/>
      <c r="D60" s="4">
        <f t="shared" si="74"/>
        <v>1965</v>
      </c>
      <c r="E60">
        <f t="shared" si="75"/>
        <v>2.055041847500827E-3</v>
      </c>
      <c r="F60" s="20">
        <f t="shared" ref="F60:N60" si="79">-LN(F5)-G$1</f>
        <v>1.3833901220479561E-2</v>
      </c>
      <c r="G60" s="20">
        <f t="shared" si="79"/>
        <v>5.2621740704765219E-2</v>
      </c>
      <c r="H60" s="20">
        <f t="shared" si="79"/>
        <v>0.16849756393166615</v>
      </c>
      <c r="I60" s="20">
        <f t="shared" si="79"/>
        <v>0.16277382736105273</v>
      </c>
      <c r="J60" s="20">
        <f t="shared" si="79"/>
        <v>0.15523325034228558</v>
      </c>
      <c r="K60" s="20">
        <f t="shared" si="79"/>
        <v>0.14864300057797097</v>
      </c>
      <c r="L60" s="20">
        <f t="shared" si="79"/>
        <v>0.14314828387807632</v>
      </c>
      <c r="M60" s="20">
        <f t="shared" si="79"/>
        <v>0.13843209662406974</v>
      </c>
      <c r="N60" s="20">
        <f t="shared" si="79"/>
        <v>0.13461486402056638</v>
      </c>
      <c r="O60" s="20"/>
      <c r="P60" s="20"/>
      <c r="Q60" s="20"/>
      <c r="R60" s="20"/>
      <c r="S60" s="20"/>
      <c r="U60">
        <v>1965</v>
      </c>
      <c r="V60">
        <f t="shared" si="77"/>
        <v>0.13799557843005664</v>
      </c>
      <c r="W60" s="11">
        <f t="shared" si="78"/>
        <v>0.13848627779930281</v>
      </c>
      <c r="X60" s="20">
        <f>Stdev!D694</f>
        <v>0.10691000000000001</v>
      </c>
      <c r="Y60">
        <f>Stdev!E694</f>
        <v>2.2388000000000002E-2</v>
      </c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</row>
    <row r="61" spans="3:89" x14ac:dyDescent="0.15">
      <c r="C61" s="265"/>
      <c r="D61" s="4">
        <f t="shared" si="74"/>
        <v>1966</v>
      </c>
      <c r="E61">
        <f t="shared" si="75"/>
        <v>2.0624358635238371E-3</v>
      </c>
      <c r="F61" s="20">
        <f t="shared" ref="F61:N61" si="80">-LN(F6)-G$1</f>
        <v>1.4552911435312066E-2</v>
      </c>
      <c r="G61" s="20">
        <f t="shared" si="80"/>
        <v>5.6547809163557561E-2</v>
      </c>
      <c r="H61" s="20">
        <f t="shared" si="80"/>
        <v>0.1526494872407641</v>
      </c>
      <c r="I61" s="20">
        <f t="shared" si="80"/>
        <v>0.14868998724472976</v>
      </c>
      <c r="J61" s="20">
        <f t="shared" si="80"/>
        <v>0.14150169597311457</v>
      </c>
      <c r="K61" s="20">
        <f t="shared" si="80"/>
        <v>0.13646827794656141</v>
      </c>
      <c r="L61" s="20">
        <f t="shared" si="80"/>
        <v>0.131986717293539</v>
      </c>
      <c r="M61" s="20">
        <f t="shared" si="80"/>
        <v>0.12858379746579235</v>
      </c>
      <c r="N61" s="20">
        <f t="shared" si="80"/>
        <v>0.12598521272965485</v>
      </c>
      <c r="O61" s="20"/>
      <c r="P61" s="20"/>
      <c r="Q61" s="20"/>
      <c r="R61" s="20"/>
      <c r="S61" s="20"/>
      <c r="U61">
        <v>1966</v>
      </c>
      <c r="V61">
        <f t="shared" si="77"/>
        <v>0.12780162313221419</v>
      </c>
      <c r="W61" s="11">
        <f t="shared" si="78"/>
        <v>0.12797399581037772</v>
      </c>
      <c r="X61" s="20">
        <f>Stdev!D695</f>
        <v>9.3106999999999995E-2</v>
      </c>
      <c r="Y61">
        <f>Stdev!E695</f>
        <v>1.7646999999999999E-2</v>
      </c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</row>
    <row r="62" spans="3:89" x14ac:dyDescent="0.15">
      <c r="C62" s="265"/>
      <c r="D62" s="4">
        <f t="shared" si="74"/>
        <v>1967</v>
      </c>
      <c r="E62">
        <f t="shared" si="75"/>
        <v>3.8212993957584818E-3</v>
      </c>
      <c r="F62" s="20">
        <f t="shared" ref="F62:N62" si="81">-LN(F7)-G$1</f>
        <v>2.8177746500664735E-2</v>
      </c>
      <c r="G62" s="20">
        <f t="shared" si="81"/>
        <v>0.12407316918276323</v>
      </c>
      <c r="H62" s="20">
        <f t="shared" si="81"/>
        <v>0.2341198395690729</v>
      </c>
      <c r="I62" s="20">
        <f t="shared" si="81"/>
        <v>0.23571788128408455</v>
      </c>
      <c r="J62" s="20">
        <f t="shared" si="81"/>
        <v>0.23001693795211042</v>
      </c>
      <c r="K62" s="20">
        <f t="shared" si="81"/>
        <v>0.22696686213472539</v>
      </c>
      <c r="L62" s="20">
        <f t="shared" si="81"/>
        <v>0.22386864873794654</v>
      </c>
      <c r="M62" s="20">
        <f t="shared" si="81"/>
        <v>0.22092814953355056</v>
      </c>
      <c r="N62" s="20">
        <f t="shared" si="81"/>
        <v>0.21913673221195529</v>
      </c>
      <c r="O62" s="20"/>
      <c r="P62" s="20"/>
      <c r="Q62" s="20"/>
      <c r="R62" s="20"/>
      <c r="S62" s="20"/>
      <c r="U62">
        <v>1967</v>
      </c>
      <c r="V62">
        <f t="shared" si="77"/>
        <v>0.21435352757577614</v>
      </c>
      <c r="W62" s="11">
        <f t="shared" si="78"/>
        <v>0.21246055647678386</v>
      </c>
      <c r="X62" s="20">
        <f>Stdev!D696</f>
        <v>0.14330999999999999</v>
      </c>
      <c r="Y62">
        <f>Stdev!E696</f>
        <v>2.4865000000000002E-2</v>
      </c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</row>
    <row r="63" spans="3:89" x14ac:dyDescent="0.15">
      <c r="C63" s="265"/>
      <c r="D63" s="4">
        <f t="shared" si="74"/>
        <v>1968</v>
      </c>
      <c r="E63">
        <f t="shared" si="75"/>
        <v>4.3794536485166624E-3</v>
      </c>
      <c r="F63" s="20">
        <f t="shared" ref="F63:N63" si="82">-LN(F8)-G$1</f>
        <v>3.1605066425068884E-2</v>
      </c>
      <c r="G63" s="20">
        <f t="shared" si="82"/>
        <v>0.12572189852080101</v>
      </c>
      <c r="H63" s="20">
        <f t="shared" si="82"/>
        <v>0.23547015417899531</v>
      </c>
      <c r="I63" s="20">
        <f t="shared" si="82"/>
        <v>0.22907106410734079</v>
      </c>
      <c r="J63" s="20">
        <f t="shared" si="82"/>
        <v>0.22236191158432095</v>
      </c>
      <c r="K63" s="20">
        <f t="shared" si="82"/>
        <v>0.21976378370367666</v>
      </c>
      <c r="L63" s="20">
        <f t="shared" si="82"/>
        <v>0.21890988015297219</v>
      </c>
      <c r="M63" s="20">
        <f t="shared" si="82"/>
        <v>0.21858733472922875</v>
      </c>
      <c r="N63" s="20">
        <f t="shared" si="82"/>
        <v>0.21858061613905766</v>
      </c>
      <c r="O63" s="20"/>
      <c r="P63" s="20"/>
      <c r="Q63" s="20"/>
      <c r="R63" s="20"/>
      <c r="S63" s="20"/>
      <c r="U63">
        <v>1968</v>
      </c>
      <c r="V63">
        <f t="shared" si="77"/>
        <v>0.21105833038954919</v>
      </c>
      <c r="W63" s="11">
        <f t="shared" si="78"/>
        <v>0.20854978204135119</v>
      </c>
      <c r="X63" s="20">
        <f>Stdev!D697</f>
        <v>0.14979000000000001</v>
      </c>
      <c r="Y63">
        <f>Stdev!E697</f>
        <v>2.4442999999999999E-2</v>
      </c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</row>
    <row r="64" spans="3:89" x14ac:dyDescent="0.15">
      <c r="C64" s="265"/>
      <c r="D64" s="4">
        <f t="shared" si="74"/>
        <v>1969</v>
      </c>
      <c r="E64">
        <f t="shared" si="75"/>
        <v>5.2840284859078102E-3</v>
      </c>
      <c r="F64" s="20">
        <f t="shared" ref="F64:N64" si="83">-LN(F9)-G$1</f>
        <v>3.5785104222587294E-2</v>
      </c>
      <c r="G64" s="20">
        <f t="shared" si="83"/>
        <v>0.15535149791342107</v>
      </c>
      <c r="H64" s="20">
        <f t="shared" si="83"/>
        <v>0.22518489305324707</v>
      </c>
      <c r="I64" s="20">
        <f t="shared" si="83"/>
        <v>0.2200362449385016</v>
      </c>
      <c r="J64" s="20">
        <f t="shared" si="83"/>
        <v>0.2159369979439778</v>
      </c>
      <c r="K64" s="20">
        <f t="shared" si="83"/>
        <v>0.21567067542919038</v>
      </c>
      <c r="L64" s="20">
        <f t="shared" si="83"/>
        <v>0.22527619887879125</v>
      </c>
      <c r="M64" s="20">
        <f t="shared" si="83"/>
        <v>0.22919837382404507</v>
      </c>
      <c r="N64" s="20">
        <f t="shared" si="83"/>
        <v>0.23440136029469638</v>
      </c>
      <c r="O64" s="20"/>
      <c r="P64" s="20"/>
      <c r="Q64" s="20"/>
      <c r="R64" s="20"/>
      <c r="S64" s="20"/>
      <c r="U64">
        <v>1969</v>
      </c>
      <c r="V64">
        <f t="shared" si="77"/>
        <v>0.21513203028448383</v>
      </c>
      <c r="W64" s="11">
        <f t="shared" si="78"/>
        <v>0.20957608469285485</v>
      </c>
      <c r="X64" s="20">
        <f>Stdev!D698</f>
        <v>0.15242</v>
      </c>
      <c r="Y64">
        <f>Stdev!E698</f>
        <v>2.3057000000000001E-2</v>
      </c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</row>
    <row r="65" spans="3:74" x14ac:dyDescent="0.15">
      <c r="C65" s="265"/>
      <c r="D65" s="4">
        <f t="shared" si="74"/>
        <v>1970</v>
      </c>
      <c r="E65">
        <f t="shared" si="75"/>
        <v>9.1314210090943648E-3</v>
      </c>
      <c r="F65" s="20">
        <f t="shared" ref="F65:N65" si="84">-LN(F10)-G$1</f>
        <v>5.8752773605060205E-2</v>
      </c>
      <c r="G65" s="20">
        <f t="shared" si="84"/>
        <v>0.21546637541558522</v>
      </c>
      <c r="H65" s="20">
        <f t="shared" si="84"/>
        <v>0.25449541942538445</v>
      </c>
      <c r="I65" s="20">
        <f t="shared" si="84"/>
        <v>0.27947212667403609</v>
      </c>
      <c r="J65" s="20">
        <f t="shared" si="84"/>
        <v>0.27894744615495115</v>
      </c>
      <c r="K65" s="20">
        <f t="shared" si="84"/>
        <v>0.29401341090998923</v>
      </c>
      <c r="L65" s="20">
        <f t="shared" si="84"/>
        <v>0.32472994138415423</v>
      </c>
      <c r="M65" s="20">
        <f t="shared" si="84"/>
        <v>0.33916291009841371</v>
      </c>
      <c r="N65" s="20">
        <f t="shared" si="84"/>
        <v>0.36187140655644012</v>
      </c>
      <c r="O65" s="20"/>
      <c r="P65" s="20"/>
      <c r="Q65" s="20"/>
      <c r="R65" s="20"/>
      <c r="S65" s="20"/>
      <c r="U65">
        <v>1970</v>
      </c>
      <c r="V65">
        <f t="shared" si="77"/>
        <v>0.29351987957736925</v>
      </c>
      <c r="W65" s="11">
        <f t="shared" si="78"/>
        <v>0.27452078666068341</v>
      </c>
      <c r="X65" s="20">
        <f>Stdev!D699</f>
        <v>0.19228000000000001</v>
      </c>
      <c r="Y65">
        <f>Stdev!E699</f>
        <v>2.6096999999999999E-2</v>
      </c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</row>
    <row r="66" spans="3:74" x14ac:dyDescent="0.15">
      <c r="C66" s="265"/>
      <c r="D66" s="4">
        <f t="shared" si="74"/>
        <v>1971</v>
      </c>
      <c r="E66">
        <f t="shared" si="75"/>
        <v>1.2866600907461279E-2</v>
      </c>
      <c r="F66" s="20">
        <f t="shared" ref="F66:N66" si="85">-LN(F11)-G$1</f>
        <v>8.4056721556279912E-2</v>
      </c>
      <c r="G66" s="20">
        <f t="shared" si="85"/>
        <v>0.27692625324863474</v>
      </c>
      <c r="H66" s="20">
        <f t="shared" si="85"/>
        <v>0.33991356980428256</v>
      </c>
      <c r="I66" s="20">
        <f t="shared" si="85"/>
        <v>0.390829867604785</v>
      </c>
      <c r="J66" s="20">
        <f t="shared" si="85"/>
        <v>0.38486358447244207</v>
      </c>
      <c r="K66" s="20">
        <f t="shared" si="85"/>
        <v>0.3909436102054028</v>
      </c>
      <c r="L66" s="20">
        <f t="shared" si="85"/>
        <v>0.45499492508608363</v>
      </c>
      <c r="M66" s="20">
        <f t="shared" si="85"/>
        <v>0.48482835318354611</v>
      </c>
      <c r="N66" s="20">
        <f t="shared" si="85"/>
        <v>0.52772140245623633</v>
      </c>
      <c r="O66" s="20"/>
      <c r="P66" s="20"/>
      <c r="Q66" s="20"/>
      <c r="R66" s="20"/>
      <c r="S66" s="20"/>
      <c r="U66">
        <v>1971</v>
      </c>
      <c r="V66">
        <f t="shared" si="77"/>
        <v>0.40637769575767668</v>
      </c>
      <c r="W66" s="11">
        <f t="shared" si="78"/>
        <v>0.37307863507027178</v>
      </c>
      <c r="X66" s="20">
        <f>Stdev!D700</f>
        <v>0.25808999999999999</v>
      </c>
      <c r="Y66">
        <f>Stdev!E700</f>
        <v>3.1621000000000003E-2</v>
      </c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</row>
    <row r="67" spans="3:74" x14ac:dyDescent="0.15">
      <c r="C67" s="265"/>
      <c r="D67" s="4">
        <f t="shared" si="74"/>
        <v>1972</v>
      </c>
      <c r="E67">
        <f t="shared" si="75"/>
        <v>1.1554465711216655E-2</v>
      </c>
      <c r="F67" s="20">
        <f t="shared" ref="F67:N67" si="86">-LN(F12)-G$1</f>
        <v>0.11536629042718377</v>
      </c>
      <c r="G67" s="20">
        <f t="shared" si="86"/>
        <v>0.34997275517614901</v>
      </c>
      <c r="H67" s="20">
        <f t="shared" si="86"/>
        <v>0.41648336351708226</v>
      </c>
      <c r="I67" s="20">
        <f t="shared" si="86"/>
        <v>0.43291972594462902</v>
      </c>
      <c r="J67" s="20">
        <f t="shared" si="86"/>
        <v>0.43211672525866385</v>
      </c>
      <c r="K67" s="20">
        <f t="shared" si="86"/>
        <v>0.4364702167457799</v>
      </c>
      <c r="L67" s="20">
        <f t="shared" si="86"/>
        <v>0.50004888323660068</v>
      </c>
      <c r="M67" s="20">
        <f t="shared" si="86"/>
        <v>0.54086095511773802</v>
      </c>
      <c r="N67" s="20">
        <f t="shared" si="86"/>
        <v>0.57550393797343435</v>
      </c>
      <c r="O67" s="20"/>
      <c r="P67" s="20"/>
      <c r="Q67" s="20"/>
      <c r="R67" s="20"/>
      <c r="S67" s="20"/>
      <c r="U67">
        <v>1972</v>
      </c>
      <c r="V67">
        <f t="shared" si="77"/>
        <v>0.46054707037125969</v>
      </c>
      <c r="W67" s="11">
        <f t="shared" si="78"/>
        <v>0.42800194497981753</v>
      </c>
      <c r="X67" s="20">
        <f>Stdev!D701</f>
        <v>0.30501</v>
      </c>
      <c r="Y67">
        <f>Stdev!E701</f>
        <v>3.6715999999999999E-2</v>
      </c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</row>
    <row r="68" spans="3:74" x14ac:dyDescent="0.15">
      <c r="C68" s="265"/>
      <c r="D68" s="4">
        <f t="shared" si="74"/>
        <v>1973</v>
      </c>
      <c r="E68">
        <f t="shared" si="75"/>
        <v>1.0253989722874279E-2</v>
      </c>
      <c r="F68" s="20">
        <f t="shared" ref="F68:N68" si="87">-LN(F13)-G$1</f>
        <v>0.14603135918070737</v>
      </c>
      <c r="G68" s="20">
        <f t="shared" si="87"/>
        <v>0.42395490237696654</v>
      </c>
      <c r="H68" s="20">
        <f t="shared" si="87"/>
        <v>0.49675146152335137</v>
      </c>
      <c r="I68" s="20">
        <f t="shared" si="87"/>
        <v>0.51298081726227251</v>
      </c>
      <c r="J68" s="20">
        <f t="shared" si="87"/>
        <v>0.51491263553196509</v>
      </c>
      <c r="K68" s="20">
        <f t="shared" si="87"/>
        <v>0.51388758492347664</v>
      </c>
      <c r="L68" s="20">
        <f t="shared" si="87"/>
        <v>0.57169745757744739</v>
      </c>
      <c r="M68" s="20">
        <f t="shared" si="87"/>
        <v>0.61118876904878761</v>
      </c>
      <c r="N68" s="20">
        <f t="shared" si="87"/>
        <v>0.63171660116449591</v>
      </c>
      <c r="O68" s="20"/>
      <c r="P68" s="20"/>
      <c r="Q68" s="20"/>
      <c r="R68" s="20"/>
      <c r="S68" s="20"/>
      <c r="U68">
        <v>1973</v>
      </c>
      <c r="V68">
        <f t="shared" si="77"/>
        <v>0.53463627867609542</v>
      </c>
      <c r="W68" s="11">
        <f t="shared" si="78"/>
        <v>0.5056974765325799</v>
      </c>
      <c r="X68" s="20">
        <f>Stdev!D702</f>
        <v>0.35371999999999998</v>
      </c>
      <c r="Y68">
        <f>Stdev!E702</f>
        <v>4.5259000000000001E-2</v>
      </c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</row>
    <row r="69" spans="3:74" x14ac:dyDescent="0.15">
      <c r="C69" s="265"/>
      <c r="D69" s="4">
        <f t="shared" si="74"/>
        <v>1974</v>
      </c>
      <c r="E69">
        <f t="shared" si="75"/>
        <v>8.9254224801385007E-3</v>
      </c>
      <c r="F69" s="20">
        <f t="shared" ref="F69:N69" si="88">-LN(F14)-G$1</f>
        <v>0.18069082562669864</v>
      </c>
      <c r="G69" s="20">
        <f t="shared" si="88"/>
        <v>0.53957972199323601</v>
      </c>
      <c r="H69" s="20">
        <f t="shared" si="88"/>
        <v>0.54702123198570141</v>
      </c>
      <c r="I69" s="20">
        <f t="shared" si="88"/>
        <v>0.55049128728479446</v>
      </c>
      <c r="J69" s="20">
        <f t="shared" si="88"/>
        <v>0.54872788238143955</v>
      </c>
      <c r="K69" s="20">
        <f t="shared" si="88"/>
        <v>0.54836342790267523</v>
      </c>
      <c r="L69" s="20">
        <f t="shared" si="88"/>
        <v>0.59639497166007815</v>
      </c>
      <c r="M69" s="20">
        <f t="shared" si="88"/>
        <v>0.6423601042635142</v>
      </c>
      <c r="N69" s="20">
        <f t="shared" si="88"/>
        <v>0.64545953517517363</v>
      </c>
      <c r="O69" s="20"/>
      <c r="P69" s="20"/>
      <c r="Q69" s="20"/>
      <c r="R69" s="20"/>
      <c r="S69" s="20"/>
      <c r="U69">
        <v>1974</v>
      </c>
      <c r="V69">
        <f t="shared" si="77"/>
        <v>0.57729977033082658</v>
      </c>
      <c r="W69" s="11">
        <f t="shared" si="78"/>
        <v>0.55509642053465413</v>
      </c>
      <c r="X69" s="20">
        <f>Stdev!D703</f>
        <v>0.35247000000000001</v>
      </c>
      <c r="Y69">
        <f>Stdev!E703</f>
        <v>4.2228000000000002E-2</v>
      </c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</row>
    <row r="70" spans="3:74" x14ac:dyDescent="0.15">
      <c r="C70" s="265"/>
      <c r="D70" s="4">
        <f t="shared" si="74"/>
        <v>1975</v>
      </c>
      <c r="E70">
        <f t="shared" si="75"/>
        <v>5.9419655554550088E-3</v>
      </c>
      <c r="F70" s="20">
        <f t="shared" ref="F70:N70" si="89">-LN(F15)-G$1</f>
        <v>0.12191233149434472</v>
      </c>
      <c r="G70" s="20">
        <f t="shared" si="89"/>
        <v>0.49203093799356012</v>
      </c>
      <c r="H70" s="20">
        <f t="shared" si="89"/>
        <v>0.47475427791985092</v>
      </c>
      <c r="I70" s="20">
        <f t="shared" si="89"/>
        <v>0.46307834925292979</v>
      </c>
      <c r="J70" s="20">
        <f t="shared" si="89"/>
        <v>0.45760037200486492</v>
      </c>
      <c r="K70" s="20">
        <f t="shared" si="89"/>
        <v>0.45613596981919469</v>
      </c>
      <c r="L70" s="20">
        <f t="shared" si="89"/>
        <v>0.4790929436995589</v>
      </c>
      <c r="M70" s="20">
        <f t="shared" si="89"/>
        <v>0.52086464969586066</v>
      </c>
      <c r="N70" s="20">
        <f t="shared" si="89"/>
        <v>0.52796625903901007</v>
      </c>
      <c r="O70" s="20"/>
      <c r="P70" s="20"/>
      <c r="Q70" s="20"/>
      <c r="R70" s="20"/>
      <c r="S70" s="20"/>
      <c r="U70">
        <v>1975</v>
      </c>
      <c r="V70">
        <f t="shared" si="77"/>
        <v>0.48394046992810374</v>
      </c>
      <c r="W70" s="11">
        <f t="shared" si="78"/>
        <v>0.47044880844832654</v>
      </c>
      <c r="X70" s="20">
        <f>Stdev!D704</f>
        <v>0.32506000000000002</v>
      </c>
      <c r="Y70">
        <f>Stdev!E704</f>
        <v>3.3077000000000002E-2</v>
      </c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</row>
    <row r="71" spans="3:74" x14ac:dyDescent="0.15">
      <c r="C71" s="265"/>
      <c r="D71" s="4">
        <f t="shared" si="74"/>
        <v>1976</v>
      </c>
      <c r="E71">
        <f t="shared" si="75"/>
        <v>4.290523258720591E-3</v>
      </c>
      <c r="F71" s="20">
        <f t="shared" ref="F71:N71" si="90">-LN(F16)-G$1</f>
        <v>9.9007010539429119E-2</v>
      </c>
      <c r="G71" s="20">
        <f t="shared" si="90"/>
        <v>0.39673761847487299</v>
      </c>
      <c r="H71" s="20">
        <f t="shared" si="90"/>
        <v>0.44902570792178353</v>
      </c>
      <c r="I71" s="20">
        <f t="shared" si="90"/>
        <v>0.43232261473833478</v>
      </c>
      <c r="J71" s="20">
        <f t="shared" si="90"/>
        <v>0.42224031124332184</v>
      </c>
      <c r="K71" s="20">
        <f t="shared" si="90"/>
        <v>0.41817579959415996</v>
      </c>
      <c r="L71" s="20">
        <f t="shared" si="90"/>
        <v>0.424373692656838</v>
      </c>
      <c r="M71" s="20">
        <f t="shared" si="90"/>
        <v>0.46038373812666167</v>
      </c>
      <c r="N71" s="20">
        <f t="shared" si="90"/>
        <v>0.46670761033466612</v>
      </c>
      <c r="O71" s="20"/>
      <c r="P71" s="20"/>
      <c r="Q71" s="20"/>
      <c r="R71" s="20"/>
      <c r="S71" s="20"/>
      <c r="U71">
        <v>1976</v>
      </c>
      <c r="V71">
        <f t="shared" si="77"/>
        <v>0.43374588663632985</v>
      </c>
      <c r="W71" s="11">
        <f t="shared" si="78"/>
        <v>0.42381262410488513</v>
      </c>
      <c r="X71" s="20">
        <f>Stdev!D705</f>
        <v>0.29113</v>
      </c>
      <c r="Y71">
        <f>Stdev!E705</f>
        <v>2.7584999999999998E-2</v>
      </c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</row>
    <row r="72" spans="3:74" x14ac:dyDescent="0.15">
      <c r="C72" s="265"/>
      <c r="D72" s="4">
        <f t="shared" si="74"/>
        <v>1977</v>
      </c>
      <c r="E72">
        <f t="shared" si="75"/>
        <v>3.0858019886738086E-3</v>
      </c>
      <c r="F72" s="20">
        <f t="shared" ref="F72:N72" si="91">-LN(F17)-G$1</f>
        <v>8.7294521350214149E-2</v>
      </c>
      <c r="G72" s="20">
        <f t="shared" si="91"/>
        <v>0.3018121639854372</v>
      </c>
      <c r="H72" s="20">
        <f t="shared" si="91"/>
        <v>0.37069316932988994</v>
      </c>
      <c r="I72" s="20">
        <f t="shared" si="91"/>
        <v>0.38974896105379231</v>
      </c>
      <c r="J72" s="20">
        <f t="shared" si="91"/>
        <v>0.38272171507636243</v>
      </c>
      <c r="K72" s="20">
        <f t="shared" si="91"/>
        <v>0.37846154432950729</v>
      </c>
      <c r="L72" s="20">
        <f t="shared" si="91"/>
        <v>0.37767745615625403</v>
      </c>
      <c r="M72" s="20">
        <f t="shared" si="91"/>
        <v>0.40736375891922849</v>
      </c>
      <c r="N72" s="20">
        <f t="shared" si="91"/>
        <v>0.41720014776704994</v>
      </c>
      <c r="O72" s="20"/>
      <c r="P72" s="20"/>
      <c r="Q72" s="20"/>
      <c r="R72" s="20"/>
      <c r="S72" s="20"/>
      <c r="U72">
        <v>1977</v>
      </c>
      <c r="V72">
        <f t="shared" si="77"/>
        <v>0.37820986457719019</v>
      </c>
      <c r="W72" s="11">
        <f t="shared" si="78"/>
        <v>0.36685250165520716</v>
      </c>
      <c r="X72" s="20">
        <f>Stdev!D706</f>
        <v>0.24668999999999999</v>
      </c>
      <c r="Y72">
        <f>Stdev!E706</f>
        <v>2.3241999999999999E-2</v>
      </c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</row>
    <row r="73" spans="3:74" x14ac:dyDescent="0.15">
      <c r="C73" s="265"/>
      <c r="D73" s="4">
        <f t="shared" si="74"/>
        <v>1978</v>
      </c>
      <c r="E73">
        <f t="shared" si="75"/>
        <v>2.5702891097846292E-3</v>
      </c>
      <c r="F73" s="20">
        <f t="shared" ref="F73:N73" si="92">-LN(F18)-G$1</f>
        <v>7.960927039934923E-2</v>
      </c>
      <c r="G73" s="20">
        <f t="shared" si="92"/>
        <v>0.30320044927448286</v>
      </c>
      <c r="H73" s="20">
        <f t="shared" si="92"/>
        <v>0.37707700038245084</v>
      </c>
      <c r="I73" s="20">
        <f t="shared" si="92"/>
        <v>0.4230725099643643</v>
      </c>
      <c r="J73" s="20">
        <f t="shared" si="92"/>
        <v>0.41753004112842795</v>
      </c>
      <c r="K73" s="20">
        <f t="shared" si="92"/>
        <v>0.41718990437378245</v>
      </c>
      <c r="L73" s="20">
        <f t="shared" si="92"/>
        <v>0.41665124974793932</v>
      </c>
      <c r="M73" s="20">
        <f t="shared" si="92"/>
        <v>0.44721062405957901</v>
      </c>
      <c r="N73" s="20">
        <f t="shared" si="92"/>
        <v>0.45838781478790314</v>
      </c>
      <c r="O73" s="20"/>
      <c r="P73" s="20"/>
      <c r="Q73" s="20"/>
      <c r="R73" s="20"/>
      <c r="S73" s="20"/>
      <c r="U73">
        <v>1978</v>
      </c>
      <c r="V73">
        <f t="shared" si="77"/>
        <v>0.40753994921486625</v>
      </c>
      <c r="W73" s="11">
        <f t="shared" si="78"/>
        <v>0.39245352581190796</v>
      </c>
      <c r="X73" s="20">
        <f>Stdev!D707</f>
        <v>0.24895</v>
      </c>
      <c r="Y73">
        <f>Stdev!E707</f>
        <v>2.2710999999999999E-2</v>
      </c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</row>
    <row r="74" spans="3:74" x14ac:dyDescent="0.15">
      <c r="C74" s="265"/>
      <c r="D74" s="4">
        <f t="shared" si="74"/>
        <v>1979</v>
      </c>
      <c r="E74">
        <f t="shared" si="75"/>
        <v>2.0944772313972182E-3</v>
      </c>
      <c r="F74" s="20">
        <f t="shared" ref="F74:N74" si="93">-LN(F19)-G$1</f>
        <v>5.3260974673723205E-2</v>
      </c>
      <c r="G74" s="20">
        <f t="shared" si="93"/>
        <v>0.251451456971579</v>
      </c>
      <c r="H74" s="20">
        <f t="shared" si="93"/>
        <v>0.35302687216382778</v>
      </c>
      <c r="I74" s="20">
        <f t="shared" si="93"/>
        <v>0.44788640535179558</v>
      </c>
      <c r="J74" s="20">
        <f t="shared" si="93"/>
        <v>0.45981062441419884</v>
      </c>
      <c r="K74" s="20">
        <f t="shared" si="93"/>
        <v>0.45319871662139544</v>
      </c>
      <c r="L74" s="20">
        <f t="shared" si="93"/>
        <v>0.45283561573587783</v>
      </c>
      <c r="M74" s="20">
        <f t="shared" si="93"/>
        <v>0.47890988292287007</v>
      </c>
      <c r="N74" s="20">
        <f t="shared" si="93"/>
        <v>0.48005456295720017</v>
      </c>
      <c r="O74" s="20"/>
      <c r="P74" s="20"/>
      <c r="Q74" s="20"/>
      <c r="R74" s="20"/>
      <c r="S74" s="20"/>
      <c r="U74">
        <v>1979</v>
      </c>
      <c r="V74">
        <f t="shared" si="77"/>
        <v>0.42214676714234312</v>
      </c>
      <c r="W74" s="11">
        <f t="shared" si="78"/>
        <v>0.40303494854311239</v>
      </c>
      <c r="X74" s="20">
        <f>Stdev!D708</f>
        <v>0.21851000000000001</v>
      </c>
      <c r="Y74">
        <f>Stdev!E708</f>
        <v>1.8776000000000001E-2</v>
      </c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</row>
    <row r="75" spans="3:74" x14ac:dyDescent="0.15">
      <c r="C75" s="265"/>
      <c r="D75" s="4">
        <f t="shared" si="74"/>
        <v>1980</v>
      </c>
      <c r="E75">
        <f t="shared" si="75"/>
        <v>1.4834034720438982E-3</v>
      </c>
      <c r="F75" s="20">
        <f t="shared" ref="F75:N75" si="94">-LN(F20)-G$1</f>
        <v>2.7779382208190484E-2</v>
      </c>
      <c r="G75" s="20">
        <f t="shared" si="94"/>
        <v>0.16401201487018102</v>
      </c>
      <c r="H75" s="20">
        <f t="shared" si="94"/>
        <v>0.32468698425256337</v>
      </c>
      <c r="I75" s="20">
        <f t="shared" si="94"/>
        <v>0.4253026712807576</v>
      </c>
      <c r="J75" s="20">
        <f t="shared" si="94"/>
        <v>0.44966885598436113</v>
      </c>
      <c r="K75" s="20">
        <f t="shared" si="94"/>
        <v>0.44262528130348988</v>
      </c>
      <c r="L75" s="20">
        <f t="shared" si="94"/>
        <v>0.43859443847188262</v>
      </c>
      <c r="M75" s="20">
        <f t="shared" si="94"/>
        <v>0.44653107979235551</v>
      </c>
      <c r="N75" s="20">
        <f t="shared" si="94"/>
        <v>0.44632224436551415</v>
      </c>
      <c r="O75" s="20"/>
      <c r="P75" s="20"/>
      <c r="Q75" s="20"/>
      <c r="R75" s="20"/>
      <c r="S75" s="20"/>
      <c r="U75">
        <v>1980</v>
      </c>
      <c r="V75">
        <f t="shared" si="77"/>
        <v>0.39221794629013818</v>
      </c>
      <c r="W75" s="11">
        <f t="shared" si="78"/>
        <v>0.37414837436053922</v>
      </c>
      <c r="X75" s="20">
        <f>Stdev!D709</f>
        <v>0.15548000000000001</v>
      </c>
      <c r="Y75">
        <f>Stdev!E709</f>
        <v>1.1384999999999999E-2</v>
      </c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</row>
    <row r="76" spans="3:74" x14ac:dyDescent="0.15">
      <c r="C76" s="265"/>
      <c r="D76" s="4">
        <f t="shared" si="74"/>
        <v>1981</v>
      </c>
      <c r="E76">
        <f t="shared" si="75"/>
        <v>8.7516464938031113E-4</v>
      </c>
      <c r="F76" s="20">
        <f t="shared" ref="F76:N76" si="95">-LN(F21)-G$1</f>
        <v>1.4723195308488035E-2</v>
      </c>
      <c r="G76" s="20">
        <f t="shared" si="95"/>
        <v>8.3682090139555076E-2</v>
      </c>
      <c r="H76" s="20">
        <f t="shared" si="95"/>
        <v>0.21771261809589815</v>
      </c>
      <c r="I76" s="20">
        <f t="shared" si="95"/>
        <v>0.32709355776876503</v>
      </c>
      <c r="J76" s="20">
        <f t="shared" si="95"/>
        <v>0.33331157581798454</v>
      </c>
      <c r="K76" s="20">
        <f t="shared" si="95"/>
        <v>0.33148968058115325</v>
      </c>
      <c r="L76" s="20">
        <f t="shared" si="95"/>
        <v>0.33133549887206315</v>
      </c>
      <c r="M76" s="20">
        <f t="shared" si="95"/>
        <v>0.33558607003541374</v>
      </c>
      <c r="N76" s="20">
        <f t="shared" si="95"/>
        <v>0.33496884257505666</v>
      </c>
      <c r="O76" s="20"/>
      <c r="P76" s="20"/>
      <c r="Q76" s="20"/>
      <c r="R76" s="20"/>
      <c r="S76" s="20"/>
      <c r="U76">
        <v>1981</v>
      </c>
      <c r="V76">
        <f t="shared" si="77"/>
        <v>0.2868974917357362</v>
      </c>
      <c r="W76" s="11">
        <f t="shared" si="78"/>
        <v>0.27077083687923653</v>
      </c>
      <c r="X76" s="20">
        <f>Stdev!D710</f>
        <v>0.11650000000000001</v>
      </c>
      <c r="Y76">
        <f>Stdev!E710</f>
        <v>7.9261000000000002E-3</v>
      </c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</row>
    <row r="77" spans="3:74" x14ac:dyDescent="0.15">
      <c r="C77" s="265"/>
      <c r="D77" s="4">
        <f t="shared" si="74"/>
        <v>1982</v>
      </c>
      <c r="E77">
        <f t="shared" si="75"/>
        <v>4.9120434025162751E-4</v>
      </c>
      <c r="F77" s="20">
        <f t="shared" ref="F77:N77" si="96">-LN(F22)-G$1</f>
        <v>8.3786617755617354E-3</v>
      </c>
      <c r="G77" s="20">
        <f t="shared" si="96"/>
        <v>3.9475140828356015E-2</v>
      </c>
      <c r="H77" s="20">
        <f t="shared" si="96"/>
        <v>0.12928096765883279</v>
      </c>
      <c r="I77" s="20">
        <f t="shared" si="96"/>
        <v>0.20878437519878112</v>
      </c>
      <c r="J77" s="20">
        <f t="shared" si="96"/>
        <v>0.22492623847822579</v>
      </c>
      <c r="K77" s="20">
        <f t="shared" si="96"/>
        <v>0.22293025679596445</v>
      </c>
      <c r="L77" s="20">
        <f t="shared" si="96"/>
        <v>0.22614402027032598</v>
      </c>
      <c r="M77" s="20">
        <f t="shared" si="96"/>
        <v>0.2322229218740709</v>
      </c>
      <c r="N77" s="20">
        <f t="shared" si="96"/>
        <v>0.23194541814599379</v>
      </c>
      <c r="O77" s="20"/>
      <c r="P77" s="20"/>
      <c r="Q77" s="20"/>
      <c r="R77" s="20"/>
      <c r="S77" s="20"/>
      <c r="U77">
        <v>1982</v>
      </c>
      <c r="V77">
        <f t="shared" si="77"/>
        <v>0.18946366740631887</v>
      </c>
      <c r="W77" s="11">
        <f t="shared" si="78"/>
        <v>0.17525683320508101</v>
      </c>
      <c r="X77" s="20">
        <f>Stdev!D711</f>
        <v>0.10019</v>
      </c>
      <c r="Y77">
        <f>Stdev!E711</f>
        <v>6.6230999999999998E-3</v>
      </c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</row>
    <row r="78" spans="3:74" x14ac:dyDescent="0.15">
      <c r="C78" s="265"/>
      <c r="D78" s="4">
        <f t="shared" si="74"/>
        <v>1983</v>
      </c>
      <c r="E78">
        <f t="shared" si="75"/>
        <v>3.5586886184946209E-4</v>
      </c>
      <c r="F78" s="20">
        <f t="shared" ref="F78:N78" si="97">-LN(F23)-G$1</f>
        <v>7.5392335807664135E-3</v>
      </c>
      <c r="G78" s="20">
        <f t="shared" si="97"/>
        <v>2.9721474378474777E-2</v>
      </c>
      <c r="H78" s="20">
        <f t="shared" si="97"/>
        <v>9.1013536915859727E-2</v>
      </c>
      <c r="I78" s="20">
        <f t="shared" si="97"/>
        <v>0.15472888441412058</v>
      </c>
      <c r="J78" s="20">
        <f t="shared" si="97"/>
        <v>0.19336560752274307</v>
      </c>
      <c r="K78" s="20">
        <f t="shared" si="97"/>
        <v>0.19217562127094545</v>
      </c>
      <c r="L78" s="20">
        <f t="shared" si="97"/>
        <v>0.19377186920016315</v>
      </c>
      <c r="M78" s="20">
        <f t="shared" si="97"/>
        <v>0.20403870707701655</v>
      </c>
      <c r="N78" s="20">
        <f t="shared" si="97"/>
        <v>0.2080760739116847</v>
      </c>
      <c r="O78" s="20"/>
      <c r="P78" s="20"/>
      <c r="Q78" s="20"/>
      <c r="R78" s="20"/>
      <c r="S78" s="20"/>
      <c r="U78">
        <v>1983</v>
      </c>
      <c r="V78">
        <f t="shared" si="77"/>
        <v>0.15836147183637597</v>
      </c>
      <c r="W78" s="11">
        <f t="shared" si="78"/>
        <v>0.14246283228371778</v>
      </c>
      <c r="X78" s="20">
        <f>Stdev!D712</f>
        <v>9.7086000000000006E-2</v>
      </c>
      <c r="Y78">
        <f>Stdev!E712</f>
        <v>6.3010000000000002E-3</v>
      </c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</row>
    <row r="79" spans="3:74" x14ac:dyDescent="0.15">
      <c r="C79" s="265"/>
      <c r="D79" s="4">
        <f t="shared" si="74"/>
        <v>1984</v>
      </c>
      <c r="E79">
        <f t="shared" si="75"/>
        <v>3.0173979846581656E-4</v>
      </c>
      <c r="F79" s="20">
        <f t="shared" ref="F79:N79" si="98">-LN(F24)-G$1</f>
        <v>6.0391875086190372E-3</v>
      </c>
      <c r="G79" s="20">
        <f t="shared" si="98"/>
        <v>2.9095908742496956E-2</v>
      </c>
      <c r="H79" s="20">
        <f t="shared" si="98"/>
        <v>8.0554958205140081E-2</v>
      </c>
      <c r="I79" s="20">
        <f t="shared" si="98"/>
        <v>0.15792171045506143</v>
      </c>
      <c r="J79" s="20">
        <f t="shared" si="98"/>
        <v>0.18403277918326244</v>
      </c>
      <c r="K79" s="20">
        <f t="shared" si="98"/>
        <v>0.19272706194409545</v>
      </c>
      <c r="L79" s="20">
        <f t="shared" si="98"/>
        <v>0.19181579431111734</v>
      </c>
      <c r="M79" s="20">
        <f t="shared" si="98"/>
        <v>0.20224256383551664</v>
      </c>
      <c r="N79" s="20">
        <f t="shared" si="98"/>
        <v>0.20952313903428565</v>
      </c>
      <c r="O79" s="20"/>
      <c r="P79" s="20"/>
      <c r="Q79" s="20"/>
      <c r="R79" s="20"/>
      <c r="S79" s="20"/>
      <c r="U79">
        <v>1984</v>
      </c>
      <c r="V79">
        <f t="shared" si="77"/>
        <v>0.155989239463872</v>
      </c>
      <c r="W79" s="11">
        <f t="shared" si="78"/>
        <v>0.13935803547352896</v>
      </c>
      <c r="X79" s="20">
        <f>Stdev!D713</f>
        <v>0.1018</v>
      </c>
      <c r="Y79">
        <f>Stdev!E713</f>
        <v>6.3122999999999999E-3</v>
      </c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</row>
    <row r="80" spans="3:74" x14ac:dyDescent="0.15">
      <c r="C80" s="265"/>
      <c r="D80" s="4">
        <f t="shared" si="74"/>
        <v>1985</v>
      </c>
      <c r="E80">
        <f t="shared" si="75"/>
        <v>2.6237504713522153E-4</v>
      </c>
      <c r="F80" s="20">
        <f t="shared" ref="F80:N80" si="99">-LN(F25)-G$1</f>
        <v>6.264840107145675E-3</v>
      </c>
      <c r="G80" s="20">
        <f t="shared" si="99"/>
        <v>3.1635353224706841E-2</v>
      </c>
      <c r="H80" s="20">
        <f t="shared" si="99"/>
        <v>7.2393550782517413E-2</v>
      </c>
      <c r="I80" s="20">
        <f t="shared" si="99"/>
        <v>0.12671274893369555</v>
      </c>
      <c r="J80" s="20">
        <f t="shared" si="99"/>
        <v>0.19967799016392662</v>
      </c>
      <c r="K80" s="20">
        <f t="shared" si="99"/>
        <v>0.19697367321534776</v>
      </c>
      <c r="L80" s="20">
        <f t="shared" si="99"/>
        <v>0.19697202947745501</v>
      </c>
      <c r="M80" s="20">
        <f t="shared" si="99"/>
        <v>0.20537550269421145</v>
      </c>
      <c r="N80" s="20">
        <f t="shared" si="99"/>
        <v>0.2155919647436717</v>
      </c>
      <c r="O80" s="20"/>
      <c r="P80" s="20"/>
      <c r="Q80" s="20"/>
      <c r="R80" s="20"/>
      <c r="S80" s="20"/>
      <c r="U80">
        <v>1985</v>
      </c>
      <c r="V80">
        <f t="shared" si="77"/>
        <v>0.15566660165444154</v>
      </c>
      <c r="W80" s="11">
        <f t="shared" si="78"/>
        <v>0.13739422429960821</v>
      </c>
      <c r="X80" s="20">
        <f>Stdev!D714</f>
        <v>0.10125000000000001</v>
      </c>
      <c r="Y80">
        <f>Stdev!E714</f>
        <v>6.0765999999999997E-3</v>
      </c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</row>
    <row r="81" spans="3:74" x14ac:dyDescent="0.15">
      <c r="C81" s="265"/>
      <c r="D81" s="4">
        <f t="shared" si="74"/>
        <v>1986</v>
      </c>
      <c r="E81">
        <f t="shared" si="75"/>
        <v>2.1071116251625277E-4</v>
      </c>
      <c r="F81" s="20">
        <f t="shared" ref="F81:N81" si="100">-LN(F26)-G$1</f>
        <v>5.6321948004748879E-3</v>
      </c>
      <c r="G81" s="20">
        <f t="shared" si="100"/>
        <v>3.1587984026379912E-2</v>
      </c>
      <c r="H81" s="20">
        <f t="shared" si="100"/>
        <v>7.7679722100227722E-2</v>
      </c>
      <c r="I81" s="20">
        <f t="shared" si="100"/>
        <v>0.11360968531623966</v>
      </c>
      <c r="J81" s="20">
        <f t="shared" si="100"/>
        <v>0.17698474059727265</v>
      </c>
      <c r="K81" s="20">
        <f t="shared" si="100"/>
        <v>0.18428431456466271</v>
      </c>
      <c r="L81" s="20">
        <f t="shared" si="100"/>
        <v>0.17234396569793448</v>
      </c>
      <c r="M81" s="20">
        <f t="shared" si="100"/>
        <v>0.19561358246439153</v>
      </c>
      <c r="N81" s="20">
        <f t="shared" si="100"/>
        <v>0.20072018943043846</v>
      </c>
      <c r="O81" s="20"/>
      <c r="P81" s="20"/>
      <c r="Q81" s="20"/>
      <c r="R81" s="20"/>
      <c r="S81" s="20"/>
      <c r="U81">
        <v>1986</v>
      </c>
      <c r="V81">
        <f t="shared" si="77"/>
        <v>0.14410302302469341</v>
      </c>
      <c r="W81" s="11">
        <f t="shared" si="78"/>
        <v>0.1260817353837862</v>
      </c>
      <c r="X81" s="20">
        <f>Stdev!D715</f>
        <v>0.10192</v>
      </c>
      <c r="Y81">
        <f>Stdev!E715</f>
        <v>5.9588000000000002E-3</v>
      </c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</row>
    <row r="82" spans="3:74" x14ac:dyDescent="0.15">
      <c r="C82" s="265"/>
      <c r="D82" s="4">
        <f t="shared" si="74"/>
        <v>1987</v>
      </c>
      <c r="E82">
        <f t="shared" si="75"/>
        <v>1.3199037526778756E-4</v>
      </c>
      <c r="F82" s="20">
        <f t="shared" ref="F82:N82" si="101">-LN(F27)-G$1</f>
        <v>3.8374095943690678E-3</v>
      </c>
      <c r="G82" s="20">
        <f t="shared" si="101"/>
        <v>2.5443477579826235E-2</v>
      </c>
      <c r="H82" s="20">
        <f t="shared" si="101"/>
        <v>5.156516398582528E-2</v>
      </c>
      <c r="I82" s="20">
        <f t="shared" si="101"/>
        <v>8.2357653656397578E-2</v>
      </c>
      <c r="J82" s="20">
        <f t="shared" si="101"/>
        <v>0.11803072584471447</v>
      </c>
      <c r="K82" s="20">
        <f t="shared" si="101"/>
        <v>0.12307729616895557</v>
      </c>
      <c r="L82" s="20">
        <f t="shared" si="101"/>
        <v>0.14116430907032096</v>
      </c>
      <c r="M82" s="20">
        <f t="shared" si="101"/>
        <v>0.15041749597093068</v>
      </c>
      <c r="N82" s="20">
        <f t="shared" si="101"/>
        <v>0.14723599017985145</v>
      </c>
      <c r="O82" s="20"/>
      <c r="P82" s="20"/>
      <c r="Q82" s="20"/>
      <c r="R82" s="20"/>
      <c r="S82" s="20"/>
      <c r="U82">
        <v>1987</v>
      </c>
      <c r="V82">
        <f t="shared" si="77"/>
        <v>0.10491151405710278</v>
      </c>
      <c r="W82" s="11">
        <f t="shared" si="78"/>
        <v>9.0273104384340011E-2</v>
      </c>
      <c r="X82" s="20">
        <f>Stdev!D716</f>
        <v>7.9047999999999993E-2</v>
      </c>
      <c r="Y82">
        <f>Stdev!E716</f>
        <v>4.6058000000000002E-3</v>
      </c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</row>
    <row r="83" spans="3:74" x14ac:dyDescent="0.15">
      <c r="C83" s="265"/>
      <c r="D83" s="4">
        <f t="shared" si="74"/>
        <v>1988</v>
      </c>
      <c r="E83">
        <f t="shared" si="75"/>
        <v>1.5412997033548148E-4</v>
      </c>
      <c r="F83" s="20">
        <f t="shared" ref="F83:N83" si="102">-LN(F28)-G$1</f>
        <v>4.9337523931841099E-3</v>
      </c>
      <c r="G83" s="20">
        <f t="shared" si="102"/>
        <v>5.701785987053748E-2</v>
      </c>
      <c r="H83" s="20">
        <f t="shared" si="102"/>
        <v>7.4630905942750569E-2</v>
      </c>
      <c r="I83" s="20">
        <f t="shared" si="102"/>
        <v>0.1298141547240847</v>
      </c>
      <c r="J83" s="20">
        <f t="shared" si="102"/>
        <v>0.15271710586232923</v>
      </c>
      <c r="K83" s="20">
        <f t="shared" si="102"/>
        <v>0.18955838326503432</v>
      </c>
      <c r="L83" s="20">
        <f t="shared" si="102"/>
        <v>0.18120857079386848</v>
      </c>
      <c r="M83" s="20">
        <f t="shared" si="102"/>
        <v>0.1917274929351937</v>
      </c>
      <c r="N83" s="20">
        <f t="shared" si="102"/>
        <v>0.18704725010290918</v>
      </c>
      <c r="O83" s="20"/>
      <c r="P83" s="20"/>
      <c r="Q83" s="20"/>
      <c r="R83" s="20"/>
      <c r="S83" s="20"/>
      <c r="U83">
        <v>1988</v>
      </c>
      <c r="V83">
        <f t="shared" si="77"/>
        <v>0.14546521543708846</v>
      </c>
      <c r="W83" s="11">
        <f t="shared" si="78"/>
        <v>0.13082449674310079</v>
      </c>
      <c r="X83" s="20">
        <f>Stdev!D717</f>
        <v>0.12096999999999999</v>
      </c>
      <c r="Y83">
        <f>Stdev!E717</f>
        <v>6.7784000000000004E-3</v>
      </c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</row>
    <row r="84" spans="3:74" x14ac:dyDescent="0.15">
      <c r="C84" s="265"/>
      <c r="D84" s="4">
        <f t="shared" si="74"/>
        <v>1989</v>
      </c>
      <c r="E84">
        <f t="shared" si="75"/>
        <v>1.3199037526778756E-4</v>
      </c>
      <c r="F84" s="20">
        <f t="shared" ref="F84:N84" si="103">-LN(F29)-G$1</f>
        <v>4.7745820956014429E-3</v>
      </c>
      <c r="G84" s="20">
        <f t="shared" si="103"/>
        <v>4.1668111832210253E-2</v>
      </c>
      <c r="H84" s="20">
        <f t="shared" si="103"/>
        <v>8.9342774203117925E-2</v>
      </c>
      <c r="I84" s="20">
        <f t="shared" si="103"/>
        <v>0.13362387086252381</v>
      </c>
      <c r="J84" s="20">
        <f t="shared" si="103"/>
        <v>0.16517530438909472</v>
      </c>
      <c r="K84" s="20">
        <f t="shared" si="103"/>
        <v>0.20974121195307371</v>
      </c>
      <c r="L84" s="20">
        <f t="shared" si="103"/>
        <v>0.19707723414995448</v>
      </c>
      <c r="M84" s="20">
        <f t="shared" si="103"/>
        <v>0.18722466372206709</v>
      </c>
      <c r="N84" s="20">
        <f t="shared" si="103"/>
        <v>0.18537070018247415</v>
      </c>
      <c r="O84" s="20"/>
      <c r="P84" s="20"/>
      <c r="Q84" s="20"/>
      <c r="R84" s="20"/>
      <c r="S84" s="20"/>
      <c r="U84">
        <v>1989</v>
      </c>
      <c r="V84">
        <f t="shared" si="77"/>
        <v>0.15115298391181453</v>
      </c>
      <c r="W84" s="11">
        <f t="shared" si="78"/>
        <v>0.13943808456499582</v>
      </c>
      <c r="X84" s="20">
        <f>Stdev!D718</f>
        <v>0.14451</v>
      </c>
      <c r="Y84">
        <f>Stdev!E718</f>
        <v>8.1609000000000004E-3</v>
      </c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</row>
    <row r="85" spans="3:74" x14ac:dyDescent="0.15">
      <c r="C85" s="265"/>
      <c r="D85" s="4">
        <f t="shared" si="74"/>
        <v>1990</v>
      </c>
      <c r="E85">
        <f t="shared" si="75"/>
        <v>1.5904994691640084E-4</v>
      </c>
      <c r="F85" s="20">
        <f t="shared" ref="F85:N85" si="104">-LN(F30)-G$1</f>
        <v>6.706824878494666E-3</v>
      </c>
      <c r="G85" s="20">
        <f t="shared" si="104"/>
        <v>4.5808484062200339E-2</v>
      </c>
      <c r="H85" s="20">
        <f t="shared" si="104"/>
        <v>0.13895002245130317</v>
      </c>
      <c r="I85" s="20">
        <f t="shared" si="104"/>
        <v>0.22803451769864069</v>
      </c>
      <c r="J85" s="20">
        <f t="shared" si="104"/>
        <v>0.24969293270723092</v>
      </c>
      <c r="K85" s="20">
        <f t="shared" si="104"/>
        <v>0.28014712067293246</v>
      </c>
      <c r="L85" s="20">
        <f t="shared" si="104"/>
        <v>0.28533726712756224</v>
      </c>
      <c r="M85" s="20">
        <f t="shared" si="104"/>
        <v>0.27444723206331556</v>
      </c>
      <c r="N85" s="20">
        <f t="shared" si="104"/>
        <v>0.26362355832897699</v>
      </c>
      <c r="O85" s="20"/>
      <c r="P85" s="20"/>
      <c r="Q85" s="20"/>
      <c r="R85" s="20"/>
      <c r="S85" s="20"/>
      <c r="U85">
        <v>1990</v>
      </c>
      <c r="V85">
        <f t="shared" si="77"/>
        <v>0.22075514188902029</v>
      </c>
      <c r="W85" s="11">
        <f t="shared" si="78"/>
        <v>0.20466172411997829</v>
      </c>
      <c r="X85" s="20">
        <f>Stdev!D719</f>
        <v>0.20985999999999999</v>
      </c>
      <c r="Y85">
        <f>Stdev!E719</f>
        <v>1.1707E-2</v>
      </c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</row>
    <row r="86" spans="3:74" x14ac:dyDescent="0.15">
      <c r="C86" s="265"/>
      <c r="D86" s="4">
        <f t="shared" si="74"/>
        <v>1991</v>
      </c>
      <c r="E86">
        <f t="shared" si="75"/>
        <v>1.492100179606437E-4</v>
      </c>
      <c r="F86" s="20">
        <f t="shared" ref="F86:N86" si="105">-LN(F31)-G$1</f>
        <v>7.1189938167410816E-3</v>
      </c>
      <c r="G86" s="20">
        <f t="shared" si="105"/>
        <v>3.6525038015181976E-2</v>
      </c>
      <c r="H86" s="20">
        <f t="shared" si="105"/>
        <v>0.11632031323660263</v>
      </c>
      <c r="I86" s="20">
        <f t="shared" si="105"/>
        <v>0.20542025910743988</v>
      </c>
      <c r="J86" s="20">
        <f t="shared" si="105"/>
        <v>0.25295924197753494</v>
      </c>
      <c r="K86" s="20">
        <f t="shared" si="105"/>
        <v>0.32871241480477753</v>
      </c>
      <c r="L86" s="20">
        <f t="shared" si="105"/>
        <v>0.2934158792411401</v>
      </c>
      <c r="M86" s="20">
        <f t="shared" si="105"/>
        <v>0.33236633565285523</v>
      </c>
      <c r="N86" s="20">
        <f t="shared" si="105"/>
        <v>0.33092571672756699</v>
      </c>
      <c r="O86" s="20"/>
      <c r="P86" s="20"/>
      <c r="Q86" s="20"/>
      <c r="R86" s="20"/>
      <c r="S86" s="20"/>
      <c r="U86">
        <v>1991</v>
      </c>
      <c r="V86">
        <f t="shared" si="77"/>
        <v>0.2370806498453874</v>
      </c>
      <c r="W86" s="11">
        <f t="shared" si="78"/>
        <v>0.20555885773044616</v>
      </c>
      <c r="X86" s="20">
        <f>Stdev!D720</f>
        <v>0.18426000000000001</v>
      </c>
      <c r="Y86">
        <f>Stdev!E720</f>
        <v>1.0159E-2</v>
      </c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</row>
    <row r="87" spans="3:74" x14ac:dyDescent="0.15">
      <c r="C87" s="265"/>
      <c r="D87" s="4">
        <f t="shared" si="74"/>
        <v>1992</v>
      </c>
      <c r="E87">
        <f t="shared" si="75"/>
        <v>1.7134999427181885E-4</v>
      </c>
      <c r="F87" s="20">
        <f t="shared" ref="F87:N87" si="106">-LN(F32)-G$1</f>
        <v>8.4640668407666153E-3</v>
      </c>
      <c r="G87" s="20">
        <f t="shared" si="106"/>
        <v>6.5516775119026982E-2</v>
      </c>
      <c r="H87" s="20">
        <f t="shared" si="106"/>
        <v>0.11994037104261607</v>
      </c>
      <c r="I87" s="20">
        <f t="shared" si="106"/>
        <v>0.19960547241352722</v>
      </c>
      <c r="J87" s="20">
        <f t="shared" si="106"/>
        <v>0.32208871055791266</v>
      </c>
      <c r="K87" s="20">
        <f t="shared" si="106"/>
        <v>0.42473898795674281</v>
      </c>
      <c r="L87" s="20">
        <f t="shared" si="106"/>
        <v>0.45332615169339874</v>
      </c>
      <c r="M87" s="20">
        <f t="shared" si="106"/>
        <v>0.45726339088328261</v>
      </c>
      <c r="N87" s="20">
        <f t="shared" si="106"/>
        <v>0.45011337758061276</v>
      </c>
      <c r="O87" s="20"/>
      <c r="P87" s="20"/>
      <c r="Q87" s="20"/>
      <c r="R87" s="20"/>
      <c r="S87" s="20"/>
      <c r="U87">
        <v>1992</v>
      </c>
      <c r="V87">
        <f t="shared" si="77"/>
        <v>0.31157415465589</v>
      </c>
      <c r="W87" s="11">
        <f t="shared" si="78"/>
        <v>0.26420274479720413</v>
      </c>
      <c r="X87" s="20">
        <f>Stdev!D721</f>
        <v>0.16933999999999999</v>
      </c>
      <c r="Y87">
        <f>Stdev!E721</f>
        <v>8.7194999999999998E-3</v>
      </c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</row>
    <row r="88" spans="3:74" x14ac:dyDescent="0.15">
      <c r="C88" s="265"/>
      <c r="D88" s="4">
        <f t="shared" si="74"/>
        <v>1993</v>
      </c>
      <c r="E88">
        <f t="shared" si="75"/>
        <v>1.000118254923521E-4</v>
      </c>
      <c r="F88" s="20">
        <f t="shared" ref="F88:N88" si="107">-LN(F33)-G$1</f>
        <v>3.7177667595728048E-3</v>
      </c>
      <c r="G88" s="20">
        <f t="shared" si="107"/>
        <v>4.1113791992359872E-2</v>
      </c>
      <c r="H88" s="20">
        <f t="shared" si="107"/>
        <v>0.15206941300958327</v>
      </c>
      <c r="I88" s="20">
        <f t="shared" si="107"/>
        <v>0.13440330796321326</v>
      </c>
      <c r="J88" s="20">
        <f t="shared" si="107"/>
        <v>0.21619333753334502</v>
      </c>
      <c r="K88" s="20">
        <f t="shared" si="107"/>
        <v>0.302527986243744</v>
      </c>
      <c r="L88" s="20">
        <f t="shared" si="107"/>
        <v>0.3020714077618436</v>
      </c>
      <c r="M88" s="20">
        <f t="shared" si="107"/>
        <v>0.30147999203412135</v>
      </c>
      <c r="N88" s="20">
        <f t="shared" si="107"/>
        <v>0.28990310297798871</v>
      </c>
      <c r="O88" s="20"/>
      <c r="P88" s="20"/>
      <c r="Q88" s="20"/>
      <c r="R88" s="20"/>
      <c r="S88" s="20"/>
      <c r="U88">
        <v>1993</v>
      </c>
      <c r="V88">
        <f t="shared" si="77"/>
        <v>0.21747029243952487</v>
      </c>
      <c r="W88" s="11">
        <f t="shared" si="78"/>
        <v>0.19139654075068149</v>
      </c>
      <c r="X88" s="20">
        <f>Stdev!D722</f>
        <v>0.12346</v>
      </c>
      <c r="Y88">
        <f>Stdev!E722</f>
        <v>6.5379000000000001E-3</v>
      </c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</row>
    <row r="89" spans="3:74" x14ac:dyDescent="0.15">
      <c r="C89" s="265"/>
      <c r="D89" s="4">
        <f t="shared" si="74"/>
        <v>1994</v>
      </c>
      <c r="E89">
        <f t="shared" si="75"/>
        <v>8.5252839729599295E-5</v>
      </c>
      <c r="F89" s="20">
        <f t="shared" ref="F89:N89" si="108">-LN(F34)-G$1</f>
        <v>3.2314715404693772E-3</v>
      </c>
      <c r="G89" s="20">
        <f t="shared" si="108"/>
        <v>1.8821923893175885E-2</v>
      </c>
      <c r="H89" s="20">
        <f t="shared" si="108"/>
        <v>8.4952438833816035E-2</v>
      </c>
      <c r="I89" s="20">
        <f t="shared" si="108"/>
        <v>0.22507161778323082</v>
      </c>
      <c r="J89" s="20">
        <f t="shared" si="108"/>
        <v>0.21755488118395927</v>
      </c>
      <c r="K89" s="20">
        <f t="shared" si="108"/>
        <v>0.27792029796986184</v>
      </c>
      <c r="L89" s="20">
        <f t="shared" si="108"/>
        <v>0.27655774585072856</v>
      </c>
      <c r="M89" s="20">
        <f t="shared" si="108"/>
        <v>0.2732455019245229</v>
      </c>
      <c r="N89" s="20">
        <f t="shared" si="108"/>
        <v>0.26686877738693504</v>
      </c>
      <c r="O89" s="20"/>
      <c r="P89" s="20"/>
      <c r="Q89" s="20"/>
      <c r="R89" s="20"/>
      <c r="S89" s="20"/>
      <c r="U89">
        <v>1994</v>
      </c>
      <c r="V89">
        <f t="shared" si="77"/>
        <v>0.20512414810327878</v>
      </c>
      <c r="W89" s="11">
        <f t="shared" si="78"/>
        <v>0.18347981758579537</v>
      </c>
      <c r="X89" s="20">
        <f>Stdev!D723</f>
        <v>0.11292000000000001</v>
      </c>
      <c r="Y89">
        <f>Stdev!E723</f>
        <v>6.0101E-3</v>
      </c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</row>
    <row r="90" spans="3:74" x14ac:dyDescent="0.15">
      <c r="C90" s="265"/>
      <c r="D90" s="4">
        <f t="shared" si="74"/>
        <v>1995</v>
      </c>
      <c r="E90">
        <f t="shared" si="75"/>
        <v>7.2953851321111429E-5</v>
      </c>
      <c r="F90" s="20">
        <f t="shared" ref="F90:N90" si="109">-LN(F35)-G$1</f>
        <v>3.3416147897436521E-3</v>
      </c>
      <c r="G90" s="20">
        <f t="shared" si="109"/>
        <v>1.2257591897822162E-2</v>
      </c>
      <c r="H90" s="20">
        <f t="shared" si="109"/>
        <v>4.0173277029787513E-2</v>
      </c>
      <c r="I90" s="20">
        <f t="shared" si="109"/>
        <v>0.1472422461327817</v>
      </c>
      <c r="J90" s="20">
        <f t="shared" si="109"/>
        <v>0.30435089746339605</v>
      </c>
      <c r="K90" s="20">
        <f t="shared" si="109"/>
        <v>0.27930791133738264</v>
      </c>
      <c r="L90" s="20">
        <f t="shared" si="109"/>
        <v>0.27769396794586176</v>
      </c>
      <c r="M90" s="20">
        <f t="shared" si="109"/>
        <v>0.26946336656778092</v>
      </c>
      <c r="N90" s="20">
        <f t="shared" si="109"/>
        <v>0.26115972919957664</v>
      </c>
      <c r="O90" s="20"/>
      <c r="P90" s="20"/>
      <c r="Q90" s="20"/>
      <c r="R90" s="20"/>
      <c r="S90" s="20"/>
      <c r="U90">
        <v>1995</v>
      </c>
      <c r="V90">
        <f t="shared" si="77"/>
        <v>0.19895612344679867</v>
      </c>
      <c r="W90" s="11">
        <f t="shared" si="78"/>
        <v>0.17683764863450527</v>
      </c>
      <c r="X90" s="20">
        <f>Stdev!D724</f>
        <v>0.10832</v>
      </c>
      <c r="Y90">
        <f>Stdev!E724</f>
        <v>5.8104999999999997E-3</v>
      </c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</row>
    <row r="91" spans="3:74" x14ac:dyDescent="0.15">
      <c r="C91" s="265"/>
      <c r="D91" s="4">
        <f t="shared" ref="D91:D109" si="110">D36</f>
        <v>1996</v>
      </c>
      <c r="E91">
        <f t="shared" ref="E91:E107" si="111">-LN(E36)-E$1</f>
        <v>7.2953851321111429E-5</v>
      </c>
      <c r="F91" s="20">
        <f t="shared" ref="F91:N91" si="112">-LN(F36)-G$1</f>
        <v>5.1071350096468238E-3</v>
      </c>
      <c r="G91" s="20">
        <f t="shared" si="112"/>
        <v>1.5995130954364167E-2</v>
      </c>
      <c r="H91" s="20">
        <f t="shared" si="112"/>
        <v>2.2672492591689186E-2</v>
      </c>
      <c r="I91" s="20">
        <f t="shared" si="112"/>
        <v>8.3275625735911296E-2</v>
      </c>
      <c r="J91" s="20">
        <f t="shared" si="112"/>
        <v>0.24944171973708351</v>
      </c>
      <c r="K91" s="20">
        <f t="shared" si="112"/>
        <v>0.39406159851263711</v>
      </c>
      <c r="L91" s="20">
        <f t="shared" si="112"/>
        <v>0.38612985964958213</v>
      </c>
      <c r="M91" s="20">
        <f t="shared" si="112"/>
        <v>0.3423761225140578</v>
      </c>
      <c r="N91" s="20">
        <f t="shared" si="112"/>
        <v>0.30965933726396333</v>
      </c>
      <c r="O91" s="20"/>
      <c r="P91" s="20"/>
      <c r="Q91" s="20"/>
      <c r="R91" s="20"/>
      <c r="S91" s="20"/>
      <c r="U91">
        <v>1996</v>
      </c>
      <c r="V91">
        <f t="shared" si="77"/>
        <v>0.22545148586991107</v>
      </c>
      <c r="W91" s="11">
        <f t="shared" si="78"/>
        <v>0.19192940453021123</v>
      </c>
      <c r="X91" s="20">
        <f>Stdev!D725</f>
        <v>0.11022</v>
      </c>
      <c r="Y91">
        <f>Stdev!E725</f>
        <v>6.0025E-3</v>
      </c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</row>
    <row r="92" spans="3:74" x14ac:dyDescent="0.15">
      <c r="C92" s="265"/>
      <c r="D92" s="4">
        <f t="shared" si="110"/>
        <v>1997</v>
      </c>
      <c r="E92">
        <f t="shared" si="111"/>
        <v>6.8034298311703267E-5</v>
      </c>
      <c r="F92" s="20">
        <f t="shared" ref="F92:N92" si="113">-LN(F37)-G$1</f>
        <v>6.9942197721075683E-3</v>
      </c>
      <c r="G92" s="20">
        <f t="shared" si="113"/>
        <v>1.9025519558392101E-2</v>
      </c>
      <c r="H92" s="20">
        <f t="shared" si="113"/>
        <v>3.8958524875894851E-2</v>
      </c>
      <c r="I92" s="20">
        <f t="shared" si="113"/>
        <v>8.6636484411289127E-2</v>
      </c>
      <c r="J92" s="20">
        <f t="shared" si="113"/>
        <v>0.17924136605435848</v>
      </c>
      <c r="K92" s="20">
        <f t="shared" si="113"/>
        <v>0.30168804287227657</v>
      </c>
      <c r="L92" s="20">
        <f t="shared" si="113"/>
        <v>0.34664534690852544</v>
      </c>
      <c r="M92" s="20">
        <f t="shared" si="113"/>
        <v>0.36539389077063922</v>
      </c>
      <c r="N92" s="20">
        <f t="shared" si="113"/>
        <v>0.3429503871098849</v>
      </c>
      <c r="O92" s="20"/>
      <c r="P92" s="20"/>
      <c r="Q92" s="20"/>
      <c r="R92" s="20"/>
      <c r="S92" s="20"/>
      <c r="U92">
        <v>1997</v>
      </c>
      <c r="V92">
        <f t="shared" si="77"/>
        <v>0.21006744532015759</v>
      </c>
      <c r="W92" s="11">
        <f t="shared" si="78"/>
        <v>0.16203254744678944</v>
      </c>
      <c r="X92" s="20">
        <f>Stdev!D726</f>
        <v>0.12045</v>
      </c>
      <c r="Y92">
        <f>Stdev!E726</f>
        <v>6.5786000000000004E-3</v>
      </c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</row>
    <row r="93" spans="3:74" x14ac:dyDescent="0.15">
      <c r="C93" s="265"/>
      <c r="D93" s="4">
        <f t="shared" si="110"/>
        <v>1998</v>
      </c>
      <c r="E93">
        <f t="shared" si="111"/>
        <v>5.327578449376702E-5</v>
      </c>
      <c r="F93" s="20">
        <f t="shared" ref="F93:N93" si="114">-LN(F38)-G$1</f>
        <v>4.5760487208589273E-3</v>
      </c>
      <c r="G93" s="20">
        <f t="shared" si="114"/>
        <v>2.2814726450630096E-2</v>
      </c>
      <c r="H93" s="20">
        <f t="shared" si="114"/>
        <v>4.7185822679542355E-2</v>
      </c>
      <c r="I93" s="20">
        <f t="shared" si="114"/>
        <v>8.9299970817511232E-2</v>
      </c>
      <c r="J93" s="20">
        <f t="shared" si="114"/>
        <v>0.19290548619651698</v>
      </c>
      <c r="K93" s="20">
        <f t="shared" si="114"/>
        <v>0.20636558454390308</v>
      </c>
      <c r="L93" s="20">
        <f t="shared" si="114"/>
        <v>0.28174713960667253</v>
      </c>
      <c r="M93" s="20">
        <f t="shared" si="114"/>
        <v>0.31076014604611002</v>
      </c>
      <c r="N93" s="20">
        <f t="shared" si="114"/>
        <v>0.29052741733512222</v>
      </c>
      <c r="O93" s="20"/>
      <c r="P93" s="20"/>
      <c r="Q93" s="20"/>
      <c r="R93" s="20"/>
      <c r="S93" s="20"/>
      <c r="U93">
        <v>1998</v>
      </c>
      <c r="V93">
        <f t="shared" si="77"/>
        <v>0.18020078670950104</v>
      </c>
      <c r="W93" s="11">
        <f t="shared" si="78"/>
        <v>0.14005312171579604</v>
      </c>
      <c r="X93" s="20">
        <f>Stdev!D727</f>
        <v>0.1182</v>
      </c>
      <c r="Y93">
        <f>Stdev!E727</f>
        <v>6.3166000000000003E-3</v>
      </c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</row>
    <row r="94" spans="3:74" x14ac:dyDescent="0.15">
      <c r="C94" s="265"/>
      <c r="D94" s="4">
        <f t="shared" si="110"/>
        <v>1999</v>
      </c>
      <c r="E94">
        <f t="shared" si="111"/>
        <v>3.6057793660781989E-5</v>
      </c>
      <c r="F94" s="20">
        <f t="shared" ref="F94:N94" si="115">-LN(F39)-G$1</f>
        <v>2.5236973192012679E-3</v>
      </c>
      <c r="G94" s="20">
        <f t="shared" si="115"/>
        <v>4.0348941339959365E-2</v>
      </c>
      <c r="H94" s="20">
        <f t="shared" si="115"/>
        <v>6.2330908794889728E-2</v>
      </c>
      <c r="I94" s="20">
        <f t="shared" si="115"/>
        <v>8.8118435377448678E-2</v>
      </c>
      <c r="J94" s="20">
        <f t="shared" si="115"/>
        <v>0.13085522639908909</v>
      </c>
      <c r="K94" s="20">
        <f t="shared" si="115"/>
        <v>0.22294543958408142</v>
      </c>
      <c r="L94" s="20">
        <f t="shared" si="115"/>
        <v>0.21314998967935617</v>
      </c>
      <c r="M94" s="20">
        <f t="shared" si="115"/>
        <v>0.20600725079199733</v>
      </c>
      <c r="N94" s="20">
        <f t="shared" si="115"/>
        <v>0.1943848503234768</v>
      </c>
      <c r="O94" s="20"/>
      <c r="P94" s="20"/>
      <c r="Q94" s="20"/>
      <c r="R94" s="20"/>
      <c r="S94" s="20"/>
      <c r="U94">
        <v>1999</v>
      </c>
      <c r="V94">
        <f t="shared" si="77"/>
        <v>0.14476763028628734</v>
      </c>
      <c r="W94" s="11">
        <f t="shared" si="78"/>
        <v>0.12629149019580407</v>
      </c>
      <c r="X94" s="20">
        <f>Stdev!D728</f>
        <v>0.10513</v>
      </c>
      <c r="Y94">
        <f>Stdev!E728</f>
        <v>5.6305000000000001E-3</v>
      </c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</row>
    <row r="95" spans="3:74" x14ac:dyDescent="0.15">
      <c r="C95" s="265"/>
      <c r="D95" s="4">
        <f t="shared" si="110"/>
        <v>2000</v>
      </c>
      <c r="E95">
        <f t="shared" si="111"/>
        <v>3.6057793660781989E-5</v>
      </c>
      <c r="F95" s="20">
        <f t="shared" ref="F95:N95" si="116">-LN(F40)-G$1</f>
        <v>2.4466588054088967E-3</v>
      </c>
      <c r="G95" s="20">
        <f t="shared" si="116"/>
        <v>2.4098507936389291E-2</v>
      </c>
      <c r="H95" s="20">
        <f t="shared" si="116"/>
        <v>8.9025482308887238E-2</v>
      </c>
      <c r="I95" s="20">
        <f t="shared" si="116"/>
        <v>0.14359385767075328</v>
      </c>
      <c r="J95" s="20">
        <f t="shared" si="116"/>
        <v>0.14246939934022312</v>
      </c>
      <c r="K95" s="20">
        <f t="shared" si="116"/>
        <v>0.22899129161166687</v>
      </c>
      <c r="L95" s="20">
        <f t="shared" si="116"/>
        <v>0.29192541773620595</v>
      </c>
      <c r="M95" s="20">
        <f t="shared" si="116"/>
        <v>0.23325700320548026</v>
      </c>
      <c r="N95" s="20">
        <f t="shared" si="116"/>
        <v>0.20647676046165453</v>
      </c>
      <c r="O95" s="20"/>
      <c r="P95" s="20"/>
      <c r="Q95" s="20"/>
      <c r="R95" s="20"/>
      <c r="S95" s="20"/>
      <c r="U95">
        <v>2000</v>
      </c>
      <c r="V95">
        <f t="shared" si="77"/>
        <v>0.16997971503390757</v>
      </c>
      <c r="W95" s="11">
        <f t="shared" si="78"/>
        <v>0.15335065943402096</v>
      </c>
      <c r="X95" s="20">
        <f>Stdev!D729</f>
        <v>0.12414</v>
      </c>
      <c r="Y95">
        <f>Stdev!E729</f>
        <v>6.5109E-3</v>
      </c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</row>
    <row r="96" spans="3:74" x14ac:dyDescent="0.15">
      <c r="C96" s="265"/>
      <c r="D96" s="4">
        <f t="shared" si="110"/>
        <v>2001</v>
      </c>
      <c r="E96">
        <f t="shared" si="111"/>
        <v>3.8517488486378149E-5</v>
      </c>
      <c r="F96" s="20">
        <f t="shared" ref="F96:N96" si="117">-LN(F41)-G$1</f>
        <v>2.1244191584988137E-3</v>
      </c>
      <c r="G96" s="20">
        <f t="shared" si="117"/>
        <v>1.8076677212293724E-2</v>
      </c>
      <c r="H96" s="20">
        <f t="shared" si="117"/>
        <v>7.1500008451698738E-2</v>
      </c>
      <c r="I96" s="20">
        <f t="shared" si="117"/>
        <v>0.19524595289955199</v>
      </c>
      <c r="J96" s="20">
        <f t="shared" si="117"/>
        <v>0.28532469803119942</v>
      </c>
      <c r="K96" s="20">
        <f t="shared" si="117"/>
        <v>0.28002565956712966</v>
      </c>
      <c r="L96" s="20">
        <f t="shared" si="117"/>
        <v>0.27892068412028559</v>
      </c>
      <c r="M96" s="20">
        <f t="shared" si="117"/>
        <v>0.25643335724412308</v>
      </c>
      <c r="N96" s="20">
        <f t="shared" si="117"/>
        <v>0.23954407919784249</v>
      </c>
      <c r="O96" s="20"/>
      <c r="P96" s="20"/>
      <c r="Q96" s="20"/>
      <c r="R96" s="20"/>
      <c r="S96" s="20"/>
      <c r="U96">
        <v>2001</v>
      </c>
      <c r="V96">
        <f t="shared" si="77"/>
        <v>0.20313388959051559</v>
      </c>
      <c r="W96" s="11">
        <f t="shared" si="78"/>
        <v>0.18818228004702653</v>
      </c>
      <c r="X96" s="20">
        <f>Stdev!D730</f>
        <v>0.14976999999999999</v>
      </c>
      <c r="Y96">
        <f>Stdev!E730</f>
        <v>7.6905999999999997E-3</v>
      </c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</row>
    <row r="97" spans="3:74" x14ac:dyDescent="0.15">
      <c r="C97" s="265"/>
      <c r="D97" s="4">
        <f t="shared" si="110"/>
        <v>2002</v>
      </c>
      <c r="E97">
        <f t="shared" si="111"/>
        <v>4.0977189362134681E-5</v>
      </c>
      <c r="F97" s="20">
        <f t="shared" ref="F97:N97" si="118">-LN(F42)-G$1</f>
        <v>3.5949903117189486E-3</v>
      </c>
      <c r="G97" s="20">
        <f t="shared" si="118"/>
        <v>2.1685698302370882E-2</v>
      </c>
      <c r="H97" s="20">
        <f t="shared" si="118"/>
        <v>8.2315148209464784E-2</v>
      </c>
      <c r="I97" s="20">
        <f t="shared" si="118"/>
        <v>0.18418856138059325</v>
      </c>
      <c r="J97" s="20">
        <f t="shared" si="118"/>
        <v>0.35830720267723903</v>
      </c>
      <c r="K97" s="20">
        <f t="shared" si="118"/>
        <v>0.35329974076391801</v>
      </c>
      <c r="L97" s="20">
        <f t="shared" si="118"/>
        <v>0.34818911140131747</v>
      </c>
      <c r="M97" s="20">
        <f t="shared" si="118"/>
        <v>0.31805640580067229</v>
      </c>
      <c r="N97" s="20">
        <f t="shared" si="118"/>
        <v>0.26854301733541441</v>
      </c>
      <c r="O97" s="20"/>
      <c r="P97" s="20"/>
      <c r="Q97" s="20"/>
      <c r="R97" s="20"/>
      <c r="S97" s="20"/>
      <c r="U97">
        <v>2002</v>
      </c>
      <c r="V97">
        <f t="shared" si="77"/>
        <v>0.24182311073387375</v>
      </c>
      <c r="W97" s="11">
        <f t="shared" si="78"/>
        <v>0.22466424378915054</v>
      </c>
      <c r="X97" s="20">
        <f>Stdev!D731</f>
        <v>0.15193000000000001</v>
      </c>
      <c r="Y97">
        <f>Stdev!E731</f>
        <v>7.6134000000000002E-3</v>
      </c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</row>
    <row r="98" spans="3:74" x14ac:dyDescent="0.15">
      <c r="C98" s="265"/>
      <c r="D98" s="4">
        <f t="shared" si="110"/>
        <v>2003</v>
      </c>
      <c r="E98">
        <f t="shared" si="111"/>
        <v>4.0977189362134681E-5</v>
      </c>
      <c r="F98" s="20">
        <f t="shared" ref="F98:N98" si="119">-LN(F43)-G$1</f>
        <v>2.5158359744552605E-3</v>
      </c>
      <c r="G98" s="20">
        <f t="shared" si="119"/>
        <v>4.789644509858193E-2</v>
      </c>
      <c r="H98" s="20">
        <f t="shared" si="119"/>
        <v>8.4184162298750309E-2</v>
      </c>
      <c r="I98" s="20">
        <f t="shared" si="119"/>
        <v>0.21803991765092323</v>
      </c>
      <c r="J98" s="20">
        <f t="shared" si="119"/>
        <v>0.33343591690458441</v>
      </c>
      <c r="K98" s="20">
        <f t="shared" si="119"/>
        <v>0.38531989385017673</v>
      </c>
      <c r="L98" s="20">
        <f t="shared" si="119"/>
        <v>0.37647887187717555</v>
      </c>
      <c r="M98" s="20">
        <f t="shared" si="119"/>
        <v>0.32872366603538117</v>
      </c>
      <c r="N98" s="20">
        <f t="shared" si="119"/>
        <v>0.26776817855224</v>
      </c>
      <c r="O98" s="20"/>
      <c r="P98" s="20"/>
      <c r="Q98" s="20"/>
      <c r="R98" s="20"/>
      <c r="S98" s="20"/>
      <c r="U98">
        <v>2003</v>
      </c>
      <c r="V98">
        <f t="shared" si="77"/>
        <v>0.25523088153347667</v>
      </c>
      <c r="W98" s="11">
        <f t="shared" si="78"/>
        <v>0.24089253461336538</v>
      </c>
      <c r="X98" s="20">
        <f>Stdev!D732</f>
        <v>0.13858000000000001</v>
      </c>
      <c r="Y98">
        <f>Stdev!E732</f>
        <v>6.9236000000000002E-3</v>
      </c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</row>
    <row r="99" spans="3:74" x14ac:dyDescent="0.15">
      <c r="C99" s="265"/>
      <c r="D99" s="4">
        <f t="shared" si="110"/>
        <v>2004</v>
      </c>
      <c r="E99">
        <f t="shared" si="111"/>
        <v>3.6057793660781989E-5</v>
      </c>
      <c r="F99" s="20">
        <f t="shared" ref="F99:N99" si="120">-LN(F44)-G$1</f>
        <v>1.7755742715100387E-3</v>
      </c>
      <c r="G99" s="20">
        <f t="shared" si="120"/>
        <v>2.0527630161264965E-2</v>
      </c>
      <c r="H99" s="20">
        <f t="shared" si="120"/>
        <v>0.15812723365461112</v>
      </c>
      <c r="I99" s="20">
        <f t="shared" si="120"/>
        <v>0.19119621408549492</v>
      </c>
      <c r="J99" s="20">
        <f t="shared" si="120"/>
        <v>0.25635137194386726</v>
      </c>
      <c r="K99" s="20">
        <f t="shared" si="120"/>
        <v>0.33482733033731382</v>
      </c>
      <c r="L99" s="20">
        <f t="shared" si="120"/>
        <v>0.32587926261697053</v>
      </c>
      <c r="M99" s="20">
        <f t="shared" si="120"/>
        <v>0.28314366034906202</v>
      </c>
      <c r="N99" s="20">
        <f t="shared" si="120"/>
        <v>0.23790566733640028</v>
      </c>
      <c r="O99" s="20"/>
      <c r="P99" s="20"/>
      <c r="Q99" s="20"/>
      <c r="R99" s="20"/>
      <c r="S99" s="20"/>
      <c r="U99">
        <v>2004</v>
      </c>
      <c r="V99">
        <f t="shared" si="77"/>
        <v>0.22599479631062314</v>
      </c>
      <c r="W99" s="11">
        <f t="shared" si="78"/>
        <v>0.21448484046658711</v>
      </c>
      <c r="X99" s="20">
        <f>Stdev!D733</f>
        <v>0.14516000000000001</v>
      </c>
      <c r="Y99">
        <f>Stdev!E733</f>
        <v>7.2803E-3</v>
      </c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</row>
    <row r="100" spans="3:74" x14ac:dyDescent="0.15">
      <c r="C100" s="265"/>
      <c r="D100" s="4">
        <f t="shared" si="110"/>
        <v>2005</v>
      </c>
      <c r="E100">
        <f t="shared" si="111"/>
        <v>3.11384221596267E-5</v>
      </c>
      <c r="F100" s="20">
        <f t="shared" ref="F100:N100" si="121">-LN(F45)-G$1</f>
        <v>1.8635597036930074E-3</v>
      </c>
      <c r="G100" s="20">
        <f t="shared" si="121"/>
        <v>1.9925688917071749E-2</v>
      </c>
      <c r="H100" s="20">
        <f t="shared" si="121"/>
        <v>0.10740298457845315</v>
      </c>
      <c r="I100" s="20">
        <f t="shared" si="121"/>
        <v>0.28027216957614853</v>
      </c>
      <c r="J100" s="20">
        <f t="shared" si="121"/>
        <v>0.3172051769847879</v>
      </c>
      <c r="K100" s="20">
        <f t="shared" si="121"/>
        <v>0.28559407039522378</v>
      </c>
      <c r="L100" s="20">
        <f t="shared" si="121"/>
        <v>0.26132274395627886</v>
      </c>
      <c r="M100" s="20">
        <f t="shared" si="121"/>
        <v>0.24609535234830193</v>
      </c>
      <c r="N100" s="20">
        <f t="shared" si="121"/>
        <v>0.21298795993067399</v>
      </c>
      <c r="O100" s="20"/>
      <c r="P100" s="20"/>
      <c r="Q100" s="20"/>
      <c r="R100" s="20"/>
      <c r="S100" s="20"/>
      <c r="U100">
        <v>2005</v>
      </c>
      <c r="V100">
        <f t="shared" si="77"/>
        <v>0.21635076833586747</v>
      </c>
      <c r="W100" s="11">
        <f t="shared" si="78"/>
        <v>0.21195380573466063</v>
      </c>
      <c r="X100" s="20">
        <f>Stdev!D734</f>
        <v>0.17796000000000001</v>
      </c>
      <c r="Y100">
        <f>Stdev!E734</f>
        <v>8.8456999999999997E-3</v>
      </c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</row>
    <row r="101" spans="3:74" x14ac:dyDescent="0.15">
      <c r="C101" s="265"/>
      <c r="D101" s="4">
        <f t="shared" si="110"/>
        <v>2006</v>
      </c>
      <c r="E101">
        <f t="shared" si="111"/>
        <v>3.8517488486378149E-5</v>
      </c>
      <c r="F101" s="20">
        <f t="shared" ref="F101:N101" si="122">-LN(F46)-G$1</f>
        <v>2.9121247042838139E-3</v>
      </c>
      <c r="G101" s="20">
        <f t="shared" si="122"/>
        <v>4.5701091800557481E-2</v>
      </c>
      <c r="H101" s="20">
        <f t="shared" si="122"/>
        <v>0.1274883491430242</v>
      </c>
      <c r="I101" s="20">
        <f t="shared" si="122"/>
        <v>0.26968784119646239</v>
      </c>
      <c r="J101" s="20">
        <f t="shared" si="122"/>
        <v>0.3682165475182011</v>
      </c>
      <c r="K101" s="20">
        <f t="shared" si="122"/>
        <v>0.35072390876871629</v>
      </c>
      <c r="L101" s="20">
        <f t="shared" si="122"/>
        <v>0.33374118331785108</v>
      </c>
      <c r="M101" s="20">
        <f t="shared" si="122"/>
        <v>0.30076491929243165</v>
      </c>
      <c r="N101" s="20">
        <f t="shared" si="122"/>
        <v>0.27109770356599883</v>
      </c>
      <c r="O101" s="20"/>
      <c r="P101" s="20"/>
      <c r="Q101" s="20"/>
      <c r="R101" s="20"/>
      <c r="S101" s="20"/>
      <c r="U101">
        <v>2006</v>
      </c>
      <c r="V101">
        <f t="shared" si="77"/>
        <v>0.25842769307540536</v>
      </c>
      <c r="W101" s="11">
        <f t="shared" si="78"/>
        <v>0.24925982029080207</v>
      </c>
      <c r="X101" s="20">
        <f>Stdev!D735</f>
        <v>0.22767000000000001</v>
      </c>
      <c r="Y101">
        <f>Stdev!E735</f>
        <v>1.1164E-2</v>
      </c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</row>
    <row r="102" spans="3:74" x14ac:dyDescent="0.15">
      <c r="C102" s="265"/>
      <c r="D102" s="4">
        <f t="shared" si="110"/>
        <v>2007</v>
      </c>
      <c r="E102">
        <f t="shared" si="111"/>
        <v>3.8517488486378149E-5</v>
      </c>
      <c r="F102" s="20">
        <f t="shared" ref="F102:N102" si="123">-LN(F47)-G$1</f>
        <v>3.2818212348416642E-3</v>
      </c>
      <c r="G102" s="20">
        <f t="shared" si="123"/>
        <v>4.4994851146547166E-2</v>
      </c>
      <c r="H102" s="20">
        <f t="shared" si="123"/>
        <v>0.1250470897483873</v>
      </c>
      <c r="I102" s="20">
        <f t="shared" si="123"/>
        <v>0.26935379883006838</v>
      </c>
      <c r="J102" s="20">
        <f t="shared" si="123"/>
        <v>0.41100366282546086</v>
      </c>
      <c r="K102" s="20">
        <f t="shared" si="123"/>
        <v>0.36662015397524472</v>
      </c>
      <c r="L102" s="20">
        <f t="shared" si="123"/>
        <v>0.33151224575218885</v>
      </c>
      <c r="M102" s="20">
        <f t="shared" si="123"/>
        <v>0.31013780088961362</v>
      </c>
      <c r="N102" s="20">
        <f t="shared" si="123"/>
        <v>0.2901899504808193</v>
      </c>
      <c r="O102" s="20"/>
      <c r="P102" s="20"/>
      <c r="Q102" s="20"/>
      <c r="R102" s="20"/>
      <c r="S102" s="20"/>
      <c r="U102">
        <v>2007</v>
      </c>
      <c r="V102">
        <f t="shared" si="77"/>
        <v>0.26860744420604127</v>
      </c>
      <c r="W102" s="11">
        <f t="shared" si="78"/>
        <v>0.25808863371298291</v>
      </c>
      <c r="X102" s="20">
        <f>Stdev!D736</f>
        <v>0.24268000000000001</v>
      </c>
      <c r="Y102">
        <f>Stdev!E736</f>
        <v>1.2462000000000001E-2</v>
      </c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</row>
    <row r="103" spans="3:74" x14ac:dyDescent="0.15">
      <c r="C103" s="265"/>
      <c r="D103" s="4">
        <f t="shared" si="110"/>
        <v>2008</v>
      </c>
      <c r="E103">
        <f t="shared" si="111"/>
        <v>3.8517488486378149E-5</v>
      </c>
      <c r="F103" s="20">
        <f t="shared" ref="F103:N103" si="124">-LN(F48)-G$1</f>
        <v>2.814610529262962E-3</v>
      </c>
      <c r="G103" s="20">
        <f t="shared" si="124"/>
        <v>2.536594049005908E-2</v>
      </c>
      <c r="H103" s="20">
        <f t="shared" si="124"/>
        <v>0.11447356266610414</v>
      </c>
      <c r="I103" s="20">
        <f t="shared" si="124"/>
        <v>0.24985928774739241</v>
      </c>
      <c r="J103" s="20">
        <f t="shared" si="124"/>
        <v>0.42999167914855896</v>
      </c>
      <c r="K103" s="20">
        <f t="shared" si="124"/>
        <v>0.40385429770363335</v>
      </c>
      <c r="L103" s="20">
        <f t="shared" si="124"/>
        <v>0.35945131670321973</v>
      </c>
      <c r="M103" s="20">
        <f t="shared" si="124"/>
        <v>0.35361305498700613</v>
      </c>
      <c r="N103" s="20">
        <f t="shared" si="124"/>
        <v>0.32178325557662157</v>
      </c>
      <c r="O103" s="20"/>
      <c r="P103" s="20"/>
      <c r="Q103" s="20"/>
      <c r="R103" s="20"/>
      <c r="S103" s="20"/>
      <c r="U103">
        <v>2008</v>
      </c>
      <c r="V103">
        <f t="shared" si="77"/>
        <v>0.28229904937782441</v>
      </c>
      <c r="W103" s="11">
        <f t="shared" si="78"/>
        <v>0.26383268074316124</v>
      </c>
      <c r="X103" s="20">
        <f>Stdev!D737</f>
        <v>0.19861000000000001</v>
      </c>
      <c r="Y103">
        <f>Stdev!E737</f>
        <v>1.1036000000000001E-2</v>
      </c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</row>
    <row r="104" spans="3:74" x14ac:dyDescent="0.15">
      <c r="C104" s="265"/>
      <c r="D104" s="4">
        <f t="shared" si="110"/>
        <v>2009</v>
      </c>
      <c r="E104">
        <f t="shared" si="111"/>
        <v>3.359810488523518E-5</v>
      </c>
      <c r="F104" s="20">
        <f t="shared" ref="F104:N104" si="125">-LN(F49)-G$1</f>
        <v>1.8525611013010534E-3</v>
      </c>
      <c r="G104" s="20">
        <f t="shared" si="125"/>
        <v>2.4380635567821496E-2</v>
      </c>
      <c r="H104" s="20">
        <f t="shared" si="125"/>
        <v>0.10268896516141257</v>
      </c>
      <c r="I104" s="20">
        <f t="shared" si="125"/>
        <v>0.17422854163230411</v>
      </c>
      <c r="J104" s="20">
        <f t="shared" si="125"/>
        <v>0.306171637545678</v>
      </c>
      <c r="K104" s="20">
        <f t="shared" si="125"/>
        <v>0.34596020557371476</v>
      </c>
      <c r="L104" s="20">
        <f t="shared" si="125"/>
        <v>0.33741734220376929</v>
      </c>
      <c r="M104" s="20">
        <f t="shared" si="125"/>
        <v>0.34615291376355051</v>
      </c>
      <c r="N104" s="20">
        <f t="shared" si="125"/>
        <v>0.33928419066979398</v>
      </c>
      <c r="O104" s="20"/>
      <c r="P104" s="20"/>
      <c r="Q104" s="20"/>
      <c r="R104" s="20"/>
      <c r="S104" s="20"/>
      <c r="U104">
        <v>2009</v>
      </c>
      <c r="V104">
        <f t="shared" si="77"/>
        <v>0.24703555401475558</v>
      </c>
      <c r="W104" s="11">
        <f t="shared" si="78"/>
        <v>0.21514122128078336</v>
      </c>
      <c r="X104" s="20">
        <f>Stdev!D738</f>
        <v>0.13714999999999999</v>
      </c>
      <c r="Y104">
        <f>Stdev!E738</f>
        <v>8.5147999999999995E-3</v>
      </c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</row>
    <row r="105" spans="3:74" x14ac:dyDescent="0.15">
      <c r="C105" s="265"/>
      <c r="D105" s="4">
        <f t="shared" si="110"/>
        <v>2010</v>
      </c>
      <c r="E105">
        <f t="shared" si="111"/>
        <v>2.8678745484178592E-5</v>
      </c>
      <c r="F105" s="20">
        <f t="shared" ref="F105:N105" si="126">-LN(F50)-G$1</f>
        <v>1.6341853291464981E-3</v>
      </c>
      <c r="G105" s="20">
        <f t="shared" si="126"/>
        <v>1.2446187598399161E-2</v>
      </c>
      <c r="H105" s="20">
        <f t="shared" si="126"/>
        <v>0.13864140560287119</v>
      </c>
      <c r="I105" s="20">
        <f t="shared" si="126"/>
        <v>0.18644850809400992</v>
      </c>
      <c r="J105" s="20">
        <f t="shared" si="126"/>
        <v>0.21888131724526616</v>
      </c>
      <c r="K105" s="20">
        <f t="shared" si="126"/>
        <v>0.26202067736529033</v>
      </c>
      <c r="L105" s="20">
        <f t="shared" si="126"/>
        <v>0.28563178831725822</v>
      </c>
      <c r="M105" s="20">
        <f t="shared" si="126"/>
        <v>0.27935431728591964</v>
      </c>
      <c r="N105" s="20">
        <f t="shared" si="126"/>
        <v>0.27336791647178182</v>
      </c>
      <c r="O105" s="20"/>
      <c r="P105" s="20"/>
      <c r="Q105" s="20"/>
      <c r="R105" s="20"/>
      <c r="S105" s="20"/>
      <c r="U105">
        <v>2010</v>
      </c>
      <c r="V105">
        <f t="shared" si="77"/>
        <v>0.20709901474759956</v>
      </c>
      <c r="W105" s="11">
        <f t="shared" si="78"/>
        <v>0.18401164737051581</v>
      </c>
      <c r="X105" s="20">
        <f>Stdev!D739</f>
        <v>0.10970000000000001</v>
      </c>
      <c r="Y105">
        <f>Stdev!E739</f>
        <v>7.5797E-3</v>
      </c>
      <c r="AA105" s="7">
        <f t="shared" ref="AA105:AA110" si="127">AVERAGE(W101:W105)</f>
        <v>0.23406680067964908</v>
      </c>
    </row>
    <row r="106" spans="3:74" x14ac:dyDescent="0.15">
      <c r="C106" s="197"/>
      <c r="D106" s="4">
        <f t="shared" si="110"/>
        <v>2011</v>
      </c>
      <c r="E106">
        <f t="shared" si="111"/>
        <v>3.8517488486378149E-5</v>
      </c>
      <c r="F106" s="20">
        <f t="shared" ref="F106:N106" si="128">-LN(F51)-G$1</f>
        <v>2.3161785356485276E-3</v>
      </c>
      <c r="G106" s="20">
        <f t="shared" si="128"/>
        <v>1.6151508268449855E-2</v>
      </c>
      <c r="H106" s="20">
        <f t="shared" si="128"/>
        <v>6.173486664065525E-2</v>
      </c>
      <c r="I106" s="20">
        <f t="shared" si="128"/>
        <v>0.36341946054697605</v>
      </c>
      <c r="J106" s="20">
        <f t="shared" si="128"/>
        <v>0.41209761107897025</v>
      </c>
      <c r="K106" s="20">
        <f t="shared" si="128"/>
        <v>0.38665231791695254</v>
      </c>
      <c r="L106" s="20">
        <f t="shared" si="128"/>
        <v>0.37413506171168442</v>
      </c>
      <c r="M106" s="20">
        <f t="shared" si="128"/>
        <v>0.36213506595655276</v>
      </c>
      <c r="N106" s="20">
        <f t="shared" si="128"/>
        <v>0.34841667423306633</v>
      </c>
      <c r="O106" s="20"/>
      <c r="P106" s="20"/>
      <c r="Q106" s="20"/>
      <c r="R106" s="20"/>
      <c r="S106" s="20"/>
      <c r="U106">
        <v>2011</v>
      </c>
      <c r="V106">
        <f>AVERAGE(G106:S106)</f>
        <v>0.29059282079416343</v>
      </c>
      <c r="W106" s="11">
        <f t="shared" si="78"/>
        <v>0.26903180436061475</v>
      </c>
      <c r="X106" s="20">
        <f>Stdev!D740</f>
        <v>0.12723000000000001</v>
      </c>
      <c r="Y106">
        <f>Stdev!E740</f>
        <v>9.8372000000000008E-3</v>
      </c>
      <c r="AA106" s="7">
        <f t="shared" si="127"/>
        <v>0.23802119749361159</v>
      </c>
    </row>
    <row r="107" spans="3:74" x14ac:dyDescent="0.15">
      <c r="C107" s="215"/>
      <c r="D107" s="4">
        <f t="shared" si="110"/>
        <v>2012</v>
      </c>
      <c r="E107">
        <f t="shared" si="111"/>
        <v>3.6057793660781989E-5</v>
      </c>
      <c r="F107" s="20">
        <f t="shared" ref="F107:N107" si="129">-LN(F52)-G$1</f>
        <v>3.0568406836972151E-3</v>
      </c>
      <c r="G107" s="20">
        <f t="shared" si="129"/>
        <v>2.320977317763967E-2</v>
      </c>
      <c r="H107" s="20">
        <f t="shared" si="129"/>
        <v>0.10689513010240015</v>
      </c>
      <c r="I107" s="20">
        <f t="shared" si="129"/>
        <v>0.12211596744717484</v>
      </c>
      <c r="J107" s="20">
        <f t="shared" si="129"/>
        <v>0.38594319171144276</v>
      </c>
      <c r="K107" s="20">
        <f t="shared" si="129"/>
        <v>0.39073010404434028</v>
      </c>
      <c r="L107" s="20">
        <f t="shared" si="129"/>
        <v>0.3868192442471865</v>
      </c>
      <c r="M107" s="20">
        <f t="shared" si="129"/>
        <v>0.36559232662981722</v>
      </c>
      <c r="N107" s="20">
        <f t="shared" si="129"/>
        <v>0.35555856778897277</v>
      </c>
      <c r="O107" s="20"/>
      <c r="P107" s="20"/>
      <c r="Q107" s="20"/>
      <c r="R107" s="20"/>
      <c r="S107" s="20"/>
      <c r="U107">
        <v>2012</v>
      </c>
      <c r="V107">
        <f>AVERAGE(G107:S107)</f>
        <v>0.26710803814362183</v>
      </c>
      <c r="W107" s="11">
        <f t="shared" si="78"/>
        <v>0.23595223512169738</v>
      </c>
      <c r="X107" s="20">
        <f>Stdev!D741</f>
        <v>0.12953000000000001</v>
      </c>
      <c r="Y107">
        <f>Stdev!E741</f>
        <v>1.1206000000000001E-2</v>
      </c>
      <c r="AA107" s="7">
        <f t="shared" si="127"/>
        <v>0.23359391777535449</v>
      </c>
    </row>
    <row r="108" spans="3:74" x14ac:dyDescent="0.15">
      <c r="C108" s="217"/>
      <c r="D108" s="4">
        <f t="shared" si="110"/>
        <v>2013</v>
      </c>
      <c r="E108" t="e">
        <f>-LN(E56)-E$1</f>
        <v>#NUM!</v>
      </c>
      <c r="F108" s="20">
        <f t="shared" ref="F108:N108" si="130">-LN(F53)-G$1</f>
        <v>2.0316962561113816E-3</v>
      </c>
      <c r="G108" s="20">
        <f t="shared" si="130"/>
        <v>2.2932119145210372E-2</v>
      </c>
      <c r="H108" s="20">
        <f t="shared" si="130"/>
        <v>0.10121963290501207</v>
      </c>
      <c r="I108" s="20">
        <f t="shared" si="130"/>
        <v>0.17030767546310249</v>
      </c>
      <c r="J108" s="20">
        <f t="shared" si="130"/>
        <v>0.18948496416184019</v>
      </c>
      <c r="K108" s="20">
        <f t="shared" si="130"/>
        <v>0.28647093085990238</v>
      </c>
      <c r="L108" s="20">
        <f t="shared" si="130"/>
        <v>0.36524995214270939</v>
      </c>
      <c r="M108" s="20">
        <f t="shared" si="130"/>
        <v>0.36158843778577632</v>
      </c>
      <c r="N108" s="20">
        <f t="shared" si="130"/>
        <v>0.36048252686060489</v>
      </c>
      <c r="O108" s="20"/>
      <c r="P108" s="20"/>
      <c r="Q108" s="20"/>
      <c r="R108" s="20"/>
      <c r="S108" s="20"/>
      <c r="U108">
        <v>2013</v>
      </c>
      <c r="V108">
        <f>AVERAGE(G108:S108)</f>
        <v>0.23221702991551976</v>
      </c>
      <c r="W108" s="11">
        <f>AVERAGE(G108:L108)</f>
        <v>0.18927754577962949</v>
      </c>
      <c r="X108" s="20">
        <f>Stdev!D742</f>
        <v>0.13805999999999999</v>
      </c>
      <c r="Y108">
        <f>Stdev!E742</f>
        <v>1.3131E-2</v>
      </c>
      <c r="AA108" s="7">
        <f t="shared" si="127"/>
        <v>0.21868289078264813</v>
      </c>
    </row>
    <row r="109" spans="3:74" x14ac:dyDescent="0.15">
      <c r="C109" s="228"/>
      <c r="D109" s="4">
        <f t="shared" si="110"/>
        <v>2014</v>
      </c>
      <c r="E109" t="e">
        <f>-LN(E57)-E$1</f>
        <v>#NUM!</v>
      </c>
      <c r="F109" s="20">
        <f t="shared" ref="F109:N109" si="131">-LN(F54)-G$1</f>
        <v>1.8824147320939399E-3</v>
      </c>
      <c r="G109" s="20">
        <f t="shared" si="131"/>
        <v>1.8698135982970321E-2</v>
      </c>
      <c r="H109" s="20">
        <f t="shared" si="131"/>
        <v>8.5856617302312421E-2</v>
      </c>
      <c r="I109" s="20">
        <f t="shared" si="131"/>
        <v>0.1796677770531781</v>
      </c>
      <c r="J109" s="20">
        <f t="shared" si="131"/>
        <v>0.22127334496389672</v>
      </c>
      <c r="K109" s="20">
        <f t="shared" si="131"/>
        <v>0.31319247675863604</v>
      </c>
      <c r="L109" s="20">
        <f t="shared" si="131"/>
        <v>0.28719563959199113</v>
      </c>
      <c r="M109" s="20">
        <f t="shared" si="131"/>
        <v>0.2879820839951861</v>
      </c>
      <c r="N109" s="20">
        <f t="shared" si="131"/>
        <v>0.31765759184951192</v>
      </c>
      <c r="O109" s="20"/>
      <c r="P109" s="20"/>
      <c r="Q109" s="20"/>
      <c r="R109" s="20"/>
      <c r="S109" s="20"/>
      <c r="U109">
        <v>2014</v>
      </c>
      <c r="V109">
        <f>AVERAGE(G109:S109)</f>
        <v>0.21394045843721032</v>
      </c>
      <c r="W109" s="11">
        <f>AVERAGE(G109:L109)</f>
        <v>0.18431399860883077</v>
      </c>
      <c r="X109" s="20">
        <f>Stdev!D743</f>
        <v>0.13599</v>
      </c>
      <c r="Y109">
        <f>Stdev!E743</f>
        <v>1.3995E-2</v>
      </c>
      <c r="AA109" s="7">
        <f t="shared" si="127"/>
        <v>0.21251744624825766</v>
      </c>
    </row>
    <row r="110" spans="3:74" x14ac:dyDescent="0.15">
      <c r="C110" s="215"/>
      <c r="D110" s="4">
        <v>2015</v>
      </c>
      <c r="F110" s="20">
        <f t="shared" ref="F110:N110" si="132">-LN(F55)-G$1</f>
        <v>1.6687452245904844E-3</v>
      </c>
      <c r="G110" s="20">
        <f t="shared" si="132"/>
        <v>4.0263213301568235E-2</v>
      </c>
      <c r="H110" s="20">
        <f t="shared" si="132"/>
        <v>9.8208501083445421E-2</v>
      </c>
      <c r="I110" s="20">
        <f t="shared" si="132"/>
        <v>0.15353990321507038</v>
      </c>
      <c r="J110" s="20">
        <f t="shared" si="132"/>
        <v>0.25400456035996233</v>
      </c>
      <c r="K110" s="20">
        <f t="shared" si="132"/>
        <v>0.23590585313670764</v>
      </c>
      <c r="L110" s="20">
        <f t="shared" si="132"/>
        <v>0.2416835361524895</v>
      </c>
      <c r="M110" s="20">
        <f t="shared" si="132"/>
        <v>0.23732703791869214</v>
      </c>
      <c r="N110" s="20">
        <f t="shared" si="132"/>
        <v>0.31120412584403256</v>
      </c>
      <c r="O110" s="20"/>
      <c r="P110" s="20"/>
      <c r="Q110" s="20"/>
      <c r="R110" s="20"/>
      <c r="S110" s="20"/>
      <c r="U110">
        <v>2015</v>
      </c>
      <c r="V110">
        <f>AVERAGE(G110:S110)</f>
        <v>0.19651709137649603</v>
      </c>
      <c r="W110" s="11">
        <f>AVERAGE(G110:L110)</f>
        <v>0.17060092787487391</v>
      </c>
      <c r="X110" s="20">
        <f>Stdev!D744</f>
        <v>0.13106999999999999</v>
      </c>
      <c r="Y110">
        <f>Stdev!E744</f>
        <v>1.4744999999999999E-2</v>
      </c>
      <c r="AA110" s="7">
        <f t="shared" si="127"/>
        <v>0.20983530234912928</v>
      </c>
    </row>
    <row r="111" spans="3:74" x14ac:dyDescent="0.15">
      <c r="C111" s="239"/>
      <c r="D111" s="4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X111" s="20"/>
      <c r="AA111" s="7"/>
    </row>
    <row r="112" spans="3:74" x14ac:dyDescent="0.15">
      <c r="D112" s="4" t="s">
        <v>799</v>
      </c>
      <c r="F112" s="196">
        <f>AVERAGE(F106:F110)</f>
        <v>2.1911750864283099E-3</v>
      </c>
      <c r="G112" s="196">
        <f t="shared" ref="G112:N112" si="133">AVERAGE(G106:G110)</f>
        <v>2.425094997516769E-2</v>
      </c>
      <c r="H112" s="196">
        <f t="shared" si="133"/>
        <v>9.0782949606765057E-2</v>
      </c>
      <c r="I112" s="196">
        <f t="shared" si="133"/>
        <v>0.19781015674510036</v>
      </c>
      <c r="J112" s="196">
        <f t="shared" si="133"/>
        <v>0.29256073445522246</v>
      </c>
      <c r="K112" s="196">
        <f t="shared" si="133"/>
        <v>0.32259033654330782</v>
      </c>
      <c r="L112" s="196">
        <f t="shared" si="133"/>
        <v>0.33101668676921225</v>
      </c>
      <c r="M112" s="196">
        <f t="shared" si="133"/>
        <v>0.32292499045720485</v>
      </c>
      <c r="N112" s="196">
        <f t="shared" si="133"/>
        <v>0.33866389731523772</v>
      </c>
      <c r="O112" s="196"/>
      <c r="P112" s="196"/>
      <c r="Q112" s="196"/>
      <c r="R112" s="196"/>
      <c r="S112" s="196"/>
    </row>
    <row r="113" spans="4:36" x14ac:dyDescent="0.15">
      <c r="D113" s="4" t="s">
        <v>800</v>
      </c>
      <c r="F113" s="196">
        <f>MAX(F106:F110)</f>
        <v>3.0568406836972151E-3</v>
      </c>
      <c r="G113" s="196">
        <f t="shared" ref="G113:N113" si="134">MAX(G106:G110)</f>
        <v>4.0263213301568235E-2</v>
      </c>
      <c r="H113" s="196">
        <f t="shared" si="134"/>
        <v>0.10689513010240015</v>
      </c>
      <c r="I113" s="196">
        <f t="shared" si="134"/>
        <v>0.36341946054697605</v>
      </c>
      <c r="J113" s="196">
        <f t="shared" si="134"/>
        <v>0.41209761107897025</v>
      </c>
      <c r="K113" s="196">
        <f t="shared" si="134"/>
        <v>0.39073010404434028</v>
      </c>
      <c r="L113" s="196">
        <f t="shared" si="134"/>
        <v>0.3868192442471865</v>
      </c>
      <c r="M113" s="196">
        <f t="shared" si="134"/>
        <v>0.36559232662981722</v>
      </c>
      <c r="N113" s="196">
        <f t="shared" si="134"/>
        <v>0.36048252686060489</v>
      </c>
      <c r="O113" s="196"/>
      <c r="P113" s="196"/>
      <c r="Q113" s="196"/>
      <c r="R113" s="196"/>
      <c r="S113" s="196"/>
    </row>
    <row r="114" spans="4:36" x14ac:dyDescent="0.15">
      <c r="D114" s="4" t="s">
        <v>801</v>
      </c>
      <c r="F114" s="196">
        <f>MIN(F106:F110)</f>
        <v>1.6687452245904844E-3</v>
      </c>
      <c r="G114" s="196">
        <f t="shared" ref="G114:N114" si="135">MIN(G106:G110)</f>
        <v>1.6151508268449855E-2</v>
      </c>
      <c r="H114" s="196">
        <f t="shared" si="135"/>
        <v>6.173486664065525E-2</v>
      </c>
      <c r="I114" s="196">
        <f t="shared" si="135"/>
        <v>0.12211596744717484</v>
      </c>
      <c r="J114" s="196">
        <f t="shared" si="135"/>
        <v>0.18948496416184019</v>
      </c>
      <c r="K114" s="196">
        <f t="shared" si="135"/>
        <v>0.23590585313670764</v>
      </c>
      <c r="L114" s="196">
        <f t="shared" si="135"/>
        <v>0.2416835361524895</v>
      </c>
      <c r="M114" s="196">
        <f t="shared" si="135"/>
        <v>0.23732703791869214</v>
      </c>
      <c r="N114" s="196">
        <f t="shared" si="135"/>
        <v>0.31120412584403256</v>
      </c>
      <c r="O114" s="196"/>
      <c r="P114" s="196"/>
      <c r="Q114" s="196"/>
      <c r="R114" s="196"/>
      <c r="S114" s="196"/>
    </row>
    <row r="116" spans="4:36" x14ac:dyDescent="0.15">
      <c r="F116" s="196">
        <f>AVERAGE(F86:F110)</f>
        <v>3.3138892450148248E-3</v>
      </c>
      <c r="G116" s="196">
        <f t="shared" ref="G116:N116" si="136">AVERAGE(G86:G110)</f>
        <v>2.7950941733124322E-2</v>
      </c>
      <c r="H116" s="196">
        <f t="shared" si="136"/>
        <v>9.3576508078076465E-2</v>
      </c>
      <c r="I116" s="196">
        <f t="shared" si="136"/>
        <v>0.18440955416926233</v>
      </c>
      <c r="J116" s="196">
        <f t="shared" si="136"/>
        <v>0.27823012598177493</v>
      </c>
      <c r="K116" s="196">
        <f t="shared" si="136"/>
        <v>0.31793828705815896</v>
      </c>
      <c r="L116" s="196">
        <f t="shared" si="136"/>
        <v>0.32065163560742777</v>
      </c>
      <c r="M116" s="196">
        <f t="shared" si="136"/>
        <v>0.30914853602691733</v>
      </c>
      <c r="N116" s="196">
        <f t="shared" si="136"/>
        <v>0.29435043448242226</v>
      </c>
      <c r="O116" s="196"/>
      <c r="P116" s="196"/>
      <c r="Q116" s="196"/>
      <c r="R116" s="196"/>
      <c r="S116" s="196"/>
    </row>
    <row r="117" spans="4:36" x14ac:dyDescent="0.15">
      <c r="V117">
        <v>1</v>
      </c>
      <c r="W117">
        <v>2</v>
      </c>
      <c r="X117">
        <v>3</v>
      </c>
      <c r="Y117">
        <v>4</v>
      </c>
      <c r="Z117">
        <v>5</v>
      </c>
      <c r="AA117">
        <v>6</v>
      </c>
      <c r="AB117">
        <v>7</v>
      </c>
      <c r="AC117">
        <v>8</v>
      </c>
      <c r="AD117">
        <v>9</v>
      </c>
      <c r="AE117">
        <v>10</v>
      </c>
      <c r="AF117">
        <v>11</v>
      </c>
      <c r="AG117">
        <v>12</v>
      </c>
      <c r="AH117">
        <v>13</v>
      </c>
      <c r="AI117">
        <v>14</v>
      </c>
      <c r="AJ117">
        <v>15</v>
      </c>
    </row>
    <row r="118" spans="4:36" ht="28" x14ac:dyDescent="0.3">
      <c r="F118" s="164" t="s">
        <v>798</v>
      </c>
      <c r="U118" t="s">
        <v>997</v>
      </c>
      <c r="V118" s="31">
        <v>0</v>
      </c>
      <c r="W118" s="31">
        <v>8.0000000000000002E-3</v>
      </c>
      <c r="X118" s="31">
        <v>0.28899999999999998</v>
      </c>
      <c r="Y118" s="31">
        <v>0.64100000000000001</v>
      </c>
      <c r="Z118" s="31">
        <v>0.84199999999999997</v>
      </c>
      <c r="AA118" s="31">
        <v>0.90100000000000002</v>
      </c>
      <c r="AB118" s="31">
        <v>0.94699999999999995</v>
      </c>
      <c r="AC118" s="31">
        <v>0.96299999999999997</v>
      </c>
      <c r="AD118" s="31">
        <v>0.97</v>
      </c>
      <c r="AE118" s="31">
        <v>1</v>
      </c>
      <c r="AF118" s="31">
        <v>1</v>
      </c>
      <c r="AG118" s="31">
        <v>1</v>
      </c>
      <c r="AH118" s="31">
        <v>1</v>
      </c>
      <c r="AI118" s="31">
        <v>1</v>
      </c>
      <c r="AJ118" s="31">
        <v>1</v>
      </c>
    </row>
    <row r="119" spans="4:36" x14ac:dyDescent="0.15">
      <c r="D119">
        <f t="shared" ref="D119:D150" si="137">D59</f>
        <v>1964</v>
      </c>
      <c r="F119" s="20">
        <f>pm.rep!B526/pm.rep!B63</f>
        <v>1.372221372603701E-3</v>
      </c>
      <c r="G119" s="20">
        <f>pm.rep!C526/pm.rep!C63</f>
        <v>1.0743978903526644E-2</v>
      </c>
      <c r="H119" s="20">
        <f>pm.rep!D526/pm.rep!D63</f>
        <v>3.8217057375294371E-2</v>
      </c>
      <c r="I119" s="20">
        <f>pm.rep!E526/pm.rep!E63</f>
        <v>0.1291324874716584</v>
      </c>
      <c r="J119" s="20">
        <f>pm.rep!F526/pm.rep!F63</f>
        <v>0.13038617106927886</v>
      </c>
      <c r="K119" s="20">
        <f>pm.rep!G526/pm.rep!G63</f>
        <v>0.12940379970900245</v>
      </c>
      <c r="L119" s="20">
        <f>pm.rep!H526/pm.rep!H63</f>
        <v>0.12500762992675271</v>
      </c>
      <c r="M119" s="20">
        <f>pm.rep!I526/pm.rep!I63</f>
        <v>0.11976743397748574</v>
      </c>
      <c r="N119" s="20">
        <f>pm.rep!J526/pm.rep!J63</f>
        <v>0.11521930234733004</v>
      </c>
      <c r="O119" s="20">
        <f>pm.rep!K526/pm.rep!K63</f>
        <v>0.11171661547113157</v>
      </c>
      <c r="P119" s="20">
        <f>pm.rep!L526/pm.rep!L63</f>
        <v>0.11171673066490803</v>
      </c>
      <c r="Q119" s="20">
        <f>pm.rep!M526/pm.rep!M63</f>
        <v>0.11171643322080682</v>
      </c>
      <c r="R119" s="20">
        <f>pm.rep!N526/pm.rep!N63</f>
        <v>0.11171659435024629</v>
      </c>
      <c r="S119" s="20">
        <f>pm.rep!O526/pm.rep!O63</f>
        <v>0.11171666203416647</v>
      </c>
      <c r="T119" s="20">
        <f>pm.rep!P526/pm.rep!P63</f>
        <v>0.11171636955602086</v>
      </c>
      <c r="U119" s="27">
        <f>SUM(pm.rep!B526:P526)</f>
        <v>334.34702000000004</v>
      </c>
      <c r="V119" s="27">
        <f>SUMPRODUCT((pm.rep!B526:P526),(1-$V$118:$AJ$118))</f>
        <v>141.21997113</v>
      </c>
      <c r="W119" s="23">
        <f>SUMPRODUCT((pm.rep!B526:P526),(1-$V$118:$AJ$118))/U119</f>
        <v>0.42237544432129226</v>
      </c>
    </row>
    <row r="120" spans="4:36" x14ac:dyDescent="0.15">
      <c r="D120">
        <f t="shared" si="137"/>
        <v>1965</v>
      </c>
      <c r="F120" s="20">
        <f>pm.rep!B527/pm.rep!B64</f>
        <v>1.3535626056429594E-3</v>
      </c>
      <c r="G120" s="20">
        <f>pm.rep!C527/pm.rep!C64</f>
        <v>1.10685725266441E-2</v>
      </c>
      <c r="H120" s="20">
        <f>pm.rep!D527/pm.rep!D64</f>
        <v>4.4345215607965893E-2</v>
      </c>
      <c r="I120" s="20">
        <f>pm.rep!E527/pm.rep!E64</f>
        <v>0.13453180312173246</v>
      </c>
      <c r="J120" s="20">
        <f>pm.rep!F527/pm.rep!F64</f>
        <v>0.13030574948395326</v>
      </c>
      <c r="K120" s="20">
        <f>pm.rep!G527/pm.rep!G64</f>
        <v>0.12470250557683084</v>
      </c>
      <c r="L120" s="20">
        <f>pm.rep!H527/pm.rep!H64</f>
        <v>0.11977251954910126</v>
      </c>
      <c r="M120" s="20">
        <f>pm.rep!I527/pm.rep!I64</f>
        <v>0.11563963932988938</v>
      </c>
      <c r="N120" s="20">
        <f>pm.rep!J527/pm.rep!J64</f>
        <v>0.1120738670297905</v>
      </c>
      <c r="O120" s="20">
        <f>pm.rep!K527/pm.rep!K64</f>
        <v>0.10917682292749885</v>
      </c>
      <c r="P120" s="20">
        <f>pm.rep!L527/pm.rep!L64</f>
        <v>0.10917677813948901</v>
      </c>
      <c r="Q120" s="20">
        <f>pm.rep!M527/pm.rep!M64</f>
        <v>0.10917646671006981</v>
      </c>
      <c r="R120" s="20">
        <f>pm.rep!N527/pm.rep!N64</f>
        <v>0.10917667167605238</v>
      </c>
      <c r="S120" s="20">
        <f>pm.rep!O527/pm.rep!O64</f>
        <v>0.10917627697536811</v>
      </c>
      <c r="T120" s="20">
        <f>pm.rep!P527/pm.rep!P64</f>
        <v>0.10917658031088082</v>
      </c>
      <c r="U120" s="27">
        <f>SUM(pm.rep!B527:P527)</f>
        <v>494.12728000000004</v>
      </c>
      <c r="V120" s="27">
        <f>SUMPRODUCT((pm.rep!B527:P527),(1-$V$118:$AJ$118))</f>
        <v>215.77631110000002</v>
      </c>
      <c r="W120" s="23">
        <f>SUMPRODUCT((pm.rep!B527:P527),(1-$V$118:$AJ$118))/U120</f>
        <v>0.43668164020411904</v>
      </c>
    </row>
    <row r="121" spans="4:36" x14ac:dyDescent="0.15">
      <c r="D121">
        <f t="shared" si="137"/>
        <v>1966</v>
      </c>
      <c r="F121" s="20">
        <f>pm.rep!B528/pm.rep!B65</f>
        <v>1.3581964823632302E-3</v>
      </c>
      <c r="G121" s="20">
        <f>pm.rep!C528/pm.rep!C65</f>
        <v>1.1639934900691509E-2</v>
      </c>
      <c r="H121" s="20">
        <f>pm.rep!D528/pm.rep!D65</f>
        <v>4.7564904156921738E-2</v>
      </c>
      <c r="I121" s="20">
        <f>pm.rep!E528/pm.rep!E65</f>
        <v>0.12277317054442141</v>
      </c>
      <c r="J121" s="20">
        <f>pm.rep!F528/pm.rep!F65</f>
        <v>0.11980872144859692</v>
      </c>
      <c r="K121" s="20">
        <f>pm.rep!G528/pm.rep!G65</f>
        <v>0.11439640364021783</v>
      </c>
      <c r="L121" s="20">
        <f>pm.rep!H528/pm.rep!H65</f>
        <v>0.11058521198270625</v>
      </c>
      <c r="M121" s="20">
        <f>pm.rep!I528/pm.rep!I65</f>
        <v>0.10717571634815377</v>
      </c>
      <c r="N121" s="20">
        <f>pm.rep!J528/pm.rep!J65</f>
        <v>0.10457725830421336</v>
      </c>
      <c r="O121" s="20">
        <f>pm.rep!K528/pm.rep!K65</f>
        <v>0.10258879300766638</v>
      </c>
      <c r="P121" s="20">
        <f>pm.rep!L528/pm.rep!L65</f>
        <v>0.10258882629168299</v>
      </c>
      <c r="Q121" s="20">
        <f>pm.rep!M528/pm.rep!M65</f>
        <v>0.10258866396247135</v>
      </c>
      <c r="R121" s="20">
        <f>pm.rep!N528/pm.rep!N65</f>
        <v>0.10258808855628314</v>
      </c>
      <c r="S121" s="20">
        <f>pm.rep!O528/pm.rep!O65</f>
        <v>0.1025886913718789</v>
      </c>
      <c r="T121" s="20">
        <f>pm.rep!P528/pm.rep!P65</f>
        <v>0.10258858345361935</v>
      </c>
      <c r="U121" s="27">
        <f>SUM(pm.rep!B528:P528)</f>
        <v>584.72769000000005</v>
      </c>
      <c r="V121" s="27">
        <f>SUMPRODUCT((pm.rep!B528:P528),(1-$V$118:$AJ$118))</f>
        <v>270.63637229</v>
      </c>
      <c r="W121" s="23">
        <f>SUMPRODUCT((pm.rep!B528:P528),(1-$V$118:$AJ$118))/U121</f>
        <v>0.46284172430760029</v>
      </c>
    </row>
    <row r="122" spans="4:36" x14ac:dyDescent="0.15">
      <c r="D122">
        <f t="shared" si="137"/>
        <v>1967</v>
      </c>
      <c r="F122" s="20">
        <f>pm.rep!B529/pm.rep!B66</f>
        <v>2.5147503488913013E-3</v>
      </c>
      <c r="G122" s="20">
        <f>pm.rep!C529/pm.rep!C66</f>
        <v>2.2397925621259827E-2</v>
      </c>
      <c r="H122" s="20">
        <f>pm.rep!D529/pm.rep!D66</f>
        <v>0.10112116035361354</v>
      </c>
      <c r="I122" s="20">
        <f>pm.rep!E529/pm.rep!E66</f>
        <v>0.18138697465942571</v>
      </c>
      <c r="J122" s="20">
        <f>pm.rep!F529/pm.rep!F66</f>
        <v>0.18249179931979634</v>
      </c>
      <c r="K122" s="20">
        <f>pm.rep!G529/pm.rep!G66</f>
        <v>0.1785415382772518</v>
      </c>
      <c r="L122" s="20">
        <f>pm.rep!H529/pm.rep!H66</f>
        <v>0.17642024925912392</v>
      </c>
      <c r="M122" s="20">
        <f>pm.rep!I529/pm.rep!I66</f>
        <v>0.17425779900680824</v>
      </c>
      <c r="N122" s="20">
        <f>pm.rep!J529/pm.rep!J66</f>
        <v>0.17219934606650522</v>
      </c>
      <c r="O122" s="20">
        <f>pm.rep!K529/pm.rep!K66</f>
        <v>0.17094397402170336</v>
      </c>
      <c r="P122" s="20">
        <f>pm.rep!L529/pm.rep!L66</f>
        <v>0.17094306812167645</v>
      </c>
      <c r="Q122" s="20">
        <f>pm.rep!M529/pm.rep!M66</f>
        <v>0.17094451711894249</v>
      </c>
      <c r="R122" s="20">
        <f>pm.rep!N529/pm.rep!N66</f>
        <v>0.17094344390556815</v>
      </c>
      <c r="S122" s="20">
        <f>pm.rep!O529/pm.rep!O66</f>
        <v>0.17094335210554004</v>
      </c>
      <c r="T122" s="20">
        <f>pm.rep!P529/pm.rep!P66</f>
        <v>0.17094355408879963</v>
      </c>
      <c r="U122" s="27">
        <f>SUM(pm.rep!B529:P529)</f>
        <v>1343.7779100000005</v>
      </c>
      <c r="V122" s="27">
        <f>SUMPRODUCT((pm.rep!B529:P529),(1-$V$118:$AJ$118))</f>
        <v>718.2934194300002</v>
      </c>
      <c r="W122" s="23">
        <f>SUMPRODUCT((pm.rep!B529:P529),(1-$V$118:$AJ$118))/U122</f>
        <v>0.53453283766958182</v>
      </c>
    </row>
    <row r="123" spans="4:36" x14ac:dyDescent="0.15">
      <c r="D123">
        <f t="shared" si="137"/>
        <v>1968</v>
      </c>
      <c r="F123" s="20">
        <f>pm.rep!B530/pm.rep!B67</f>
        <v>2.8818978600357406E-3</v>
      </c>
      <c r="G123" s="20">
        <f>pm.rep!C530/pm.rep!C67</f>
        <v>2.5081978196575386E-2</v>
      </c>
      <c r="H123" s="20">
        <f>pm.rep!D530/pm.rep!D67</f>
        <v>0.10238553943789663</v>
      </c>
      <c r="I123" s="20">
        <f>pm.rep!E530/pm.rep!E67</f>
        <v>0.18232067263937479</v>
      </c>
      <c r="J123" s="20">
        <f>pm.rep!F530/pm.rep!F67</f>
        <v>0.17788405776349042</v>
      </c>
      <c r="K123" s="20">
        <f>pm.rep!G530/pm.rep!G67</f>
        <v>0.17320401903609156</v>
      </c>
      <c r="L123" s="20">
        <f>pm.rep!H530/pm.rep!H67</f>
        <v>0.17138377579383146</v>
      </c>
      <c r="M123" s="20">
        <f>pm.rep!I530/pm.rep!I67</f>
        <v>0.1707840661864409</v>
      </c>
      <c r="N123" s="20">
        <f>pm.rep!J530/pm.rep!J67</f>
        <v>0.17055720884434591</v>
      </c>
      <c r="O123" s="20">
        <f>pm.rep!K530/pm.rep!K67</f>
        <v>0.17055333460244937</v>
      </c>
      <c r="P123" s="20">
        <f>pm.rep!L530/pm.rep!L67</f>
        <v>0.1705533296490743</v>
      </c>
      <c r="Q123" s="20">
        <f>pm.rep!M530/pm.rep!M67</f>
        <v>0.17055286310727003</v>
      </c>
      <c r="R123" s="20">
        <f>pm.rep!N530/pm.rep!N67</f>
        <v>0.17055302746045731</v>
      </c>
      <c r="S123" s="20">
        <f>pm.rep!O530/pm.rep!O67</f>
        <v>0.17055251199728202</v>
      </c>
      <c r="T123" s="20">
        <f>pm.rep!P530/pm.rep!P67</f>
        <v>0.1705535363360916</v>
      </c>
      <c r="U123" s="27">
        <f>SUM(pm.rep!B530:P530)</f>
        <v>1710.2299099999998</v>
      </c>
      <c r="V123" s="27">
        <f>SUMPRODUCT((pm.rep!B530:P530),(1-$V$118:$AJ$118))</f>
        <v>875.56663009999988</v>
      </c>
      <c r="W123" s="23">
        <f>SUMPRODUCT((pm.rep!B530:P530),(1-$V$118:$AJ$118))/U123</f>
        <v>0.51195843610289804</v>
      </c>
    </row>
    <row r="124" spans="4:36" x14ac:dyDescent="0.15">
      <c r="D124">
        <f t="shared" si="137"/>
        <v>1969</v>
      </c>
      <c r="F124" s="20">
        <f>pm.rep!B531/pm.rep!B68</f>
        <v>3.4766019792587151E-3</v>
      </c>
      <c r="G124" s="20">
        <f>pm.rep!C531/pm.rep!C68</f>
        <v>2.8344671453338823E-2</v>
      </c>
      <c r="H124" s="20">
        <f>pm.rep!D531/pm.rep!D68</f>
        <v>0.12479053698137761</v>
      </c>
      <c r="I124" s="20">
        <f>pm.rep!E531/pm.rep!E68</f>
        <v>0.17517731335280923</v>
      </c>
      <c r="J124" s="20">
        <f>pm.rep!F531/pm.rep!F68</f>
        <v>0.1715741229383882</v>
      </c>
      <c r="K124" s="20">
        <f>pm.rep!G531/pm.rep!G68</f>
        <v>0.16869432703922538</v>
      </c>
      <c r="L124" s="20">
        <f>pm.rep!H531/pm.rep!H68</f>
        <v>0.16850592504985853</v>
      </c>
      <c r="M124" s="20">
        <f>pm.rep!I531/pm.rep!I68</f>
        <v>0.1752408013653291</v>
      </c>
      <c r="N124" s="20">
        <f>pm.rep!J531/pm.rep!J68</f>
        <v>0.17797320590967278</v>
      </c>
      <c r="O124" s="20">
        <f>pm.rep!K531/pm.rep!K68</f>
        <v>0.18158192745066021</v>
      </c>
      <c r="P124" s="20">
        <f>pm.rep!L531/pm.rep!L68</f>
        <v>0.18158190645200828</v>
      </c>
      <c r="Q124" s="20">
        <f>pm.rep!M531/pm.rep!M68</f>
        <v>0.18158206184370831</v>
      </c>
      <c r="R124" s="20">
        <f>pm.rep!N531/pm.rep!N68</f>
        <v>0.18158212528167123</v>
      </c>
      <c r="S124" s="20">
        <f>pm.rep!O531/pm.rep!O68</f>
        <v>0.18158214018984795</v>
      </c>
      <c r="T124" s="20">
        <f>pm.rep!P531/pm.rep!P68</f>
        <v>0.18158194634635003</v>
      </c>
      <c r="U124" s="27">
        <f>SUM(pm.rep!B531:P531)</f>
        <v>2150.2756680000002</v>
      </c>
      <c r="V124" s="27">
        <f>SUMPRODUCT((pm.rep!B531:P531),(1-$V$118:$AJ$118))</f>
        <v>1145.2222465</v>
      </c>
      <c r="W124" s="23">
        <f>SUMPRODUCT((pm.rep!B531:P531),(1-$V$118:$AJ$118))/U124</f>
        <v>0.53259322213564664</v>
      </c>
    </row>
    <row r="125" spans="4:36" x14ac:dyDescent="0.15">
      <c r="D125">
        <f t="shared" si="137"/>
        <v>1970</v>
      </c>
      <c r="F125" s="20">
        <f>pm.rep!B532/pm.rep!B69</f>
        <v>5.9969532044544492E-3</v>
      </c>
      <c r="G125" s="20">
        <f>pm.rep!C532/pm.rep!C69</f>
        <v>4.6049923383969273E-2</v>
      </c>
      <c r="H125" s="20">
        <f>pm.rep!D532/pm.rep!D69</f>
        <v>0.16836207595986549</v>
      </c>
      <c r="I125" s="20">
        <f>pm.rep!E532/pm.rep!E69</f>
        <v>0.19535380233384714</v>
      </c>
      <c r="J125" s="20">
        <f>pm.rep!F532/pm.rep!F69</f>
        <v>0.21211321308109696</v>
      </c>
      <c r="K125" s="20">
        <f>pm.rep!G532/pm.rep!G69</f>
        <v>0.21176564674269444</v>
      </c>
      <c r="L125" s="20">
        <f>pm.rep!H532/pm.rep!H69</f>
        <v>0.2216899355474396</v>
      </c>
      <c r="M125" s="20">
        <f>pm.rep!I532/pm.rep!I69</f>
        <v>0.24149234167536471</v>
      </c>
      <c r="N125" s="20">
        <f>pm.rep!J532/pm.rep!J69</f>
        <v>0.25060115281235967</v>
      </c>
      <c r="O125" s="20">
        <f>pm.rep!K532/pm.rep!K69</f>
        <v>0.2646845164782578</v>
      </c>
      <c r="P125" s="20">
        <f>pm.rep!L532/pm.rep!L69</f>
        <v>0.26468452273952903</v>
      </c>
      <c r="Q125" s="20">
        <f>pm.rep!M532/pm.rep!M69</f>
        <v>0.26468421770563366</v>
      </c>
      <c r="R125" s="20">
        <f>pm.rep!N532/pm.rep!N69</f>
        <v>0.26468538391478236</v>
      </c>
      <c r="S125" s="20">
        <f>pm.rep!O532/pm.rep!O69</f>
        <v>0.26468447743709428</v>
      </c>
      <c r="T125" s="20">
        <f>pm.rep!P532/pm.rep!P69</f>
        <v>0.26468419494604267</v>
      </c>
      <c r="U125" s="27">
        <f>SUM(pm.rep!B532:P532)</f>
        <v>3104.3890379999998</v>
      </c>
      <c r="V125" s="27">
        <f>SUMPRODUCT((pm.rep!B532:P532),(1-$V$118:$AJ$118))</f>
        <v>1657.1140943999999</v>
      </c>
      <c r="W125" s="23">
        <f>SUMPRODUCT((pm.rep!B532:P532),(1-$V$118:$AJ$118))/U125</f>
        <v>0.53379717365179025</v>
      </c>
    </row>
    <row r="126" spans="4:36" x14ac:dyDescent="0.15">
      <c r="D126">
        <f t="shared" si="137"/>
        <v>1971</v>
      </c>
      <c r="F126" s="20">
        <f>pm.rep!B533/pm.rep!B70</f>
        <v>8.4373349430317667E-3</v>
      </c>
      <c r="G126" s="20">
        <f>pm.rep!C533/pm.rep!C70</f>
        <v>6.5125517422031529E-2</v>
      </c>
      <c r="H126" s="20">
        <f>pm.rep!D533/pm.rep!D70</f>
        <v>0.210422153211064</v>
      </c>
      <c r="I126" s="20">
        <f>pm.rep!E533/pm.rep!E70</f>
        <v>0.25107173046733483</v>
      </c>
      <c r="J126" s="20">
        <f>pm.rep!F533/pm.rep!F70</f>
        <v>0.28221286549707603</v>
      </c>
      <c r="K126" s="20">
        <f>pm.rep!G533/pm.rep!G70</f>
        <v>0.27864073279913948</v>
      </c>
      <c r="L126" s="20">
        <f>pm.rep!H533/pm.rep!H70</f>
        <v>0.28228089400269391</v>
      </c>
      <c r="M126" s="20">
        <f>pm.rep!I533/pm.rep!I70</f>
        <v>0.31939587466169128</v>
      </c>
      <c r="N126" s="20">
        <f>pm.rep!J533/pm.rep!J70</f>
        <v>0.33593384473097221</v>
      </c>
      <c r="O126" s="20">
        <f>pm.rep!K533/pm.rep!K70</f>
        <v>0.35891816240549429</v>
      </c>
      <c r="P126" s="20">
        <f>pm.rep!L533/pm.rep!L70</f>
        <v>0.35891758730544926</v>
      </c>
      <c r="Q126" s="20">
        <f>pm.rep!M533/pm.rep!M70</f>
        <v>0.35891757974678257</v>
      </c>
      <c r="R126" s="20">
        <f>pm.rep!N533/pm.rep!N70</f>
        <v>0.35891960020448094</v>
      </c>
      <c r="S126" s="20">
        <f>pm.rep!O533/pm.rep!O70</f>
        <v>0.3589186098056637</v>
      </c>
      <c r="T126" s="20">
        <f>pm.rep!P533/pm.rep!P70</f>
        <v>0.35891756291532123</v>
      </c>
      <c r="U126" s="27">
        <f>SUM(pm.rep!B533:P533)</f>
        <v>4125.65254</v>
      </c>
      <c r="V126" s="27">
        <f>SUMPRODUCT((pm.rep!B533:P533),(1-$V$118:$AJ$118))</f>
        <v>2125.4288887999996</v>
      </c>
      <c r="W126" s="23">
        <f>SUMPRODUCT((pm.rep!B533:P533),(1-$V$118:$AJ$118))/U126</f>
        <v>0.51517399203957193</v>
      </c>
    </row>
    <row r="127" spans="4:36" x14ac:dyDescent="0.15">
      <c r="D127">
        <f t="shared" si="137"/>
        <v>1972</v>
      </c>
      <c r="F127" s="20">
        <f>pm.rep!B534/pm.rep!B71</f>
        <v>7.5812995219150144E-3</v>
      </c>
      <c r="G127" s="20">
        <f>pm.rep!C534/pm.rep!C71</f>
        <v>8.8120608889291449E-2</v>
      </c>
      <c r="H127" s="20">
        <f>pm.rep!D534/pm.rep!D71</f>
        <v>0.25734218359242683</v>
      </c>
      <c r="I127" s="20">
        <f>pm.rep!E534/pm.rep!E71</f>
        <v>0.29734756703912962</v>
      </c>
      <c r="J127" s="20">
        <f>pm.rep!F534/pm.rep!F71</f>
        <v>0.30685440472646497</v>
      </c>
      <c r="K127" s="20">
        <f>pm.rep!G534/pm.rep!G71</f>
        <v>0.30639453473076766</v>
      </c>
      <c r="L127" s="20">
        <f>pm.rep!H534/pm.rep!H71</f>
        <v>0.30888947631770247</v>
      </c>
      <c r="M127" s="20">
        <f>pm.rep!I534/pm.rep!I71</f>
        <v>0.34419428411973907</v>
      </c>
      <c r="N127" s="20">
        <f>pm.rep!J534/pm.rep!J71</f>
        <v>0.36577578199528044</v>
      </c>
      <c r="O127" s="20">
        <f>pm.rep!K534/pm.rep!K71</f>
        <v>0.38345769018250048</v>
      </c>
      <c r="P127" s="20">
        <f>pm.rep!L534/pm.rep!L71</f>
        <v>0.3834588948386628</v>
      </c>
      <c r="Q127" s="20">
        <f>pm.rep!M534/pm.rep!M71</f>
        <v>0.38345766556948113</v>
      </c>
      <c r="R127" s="20">
        <f>pm.rep!N534/pm.rep!N71</f>
        <v>0.38345830791984092</v>
      </c>
      <c r="S127" s="20">
        <f>pm.rep!O534/pm.rep!O71</f>
        <v>0.38345873759485982</v>
      </c>
      <c r="T127" s="20">
        <f>pm.rep!P534/pm.rep!P71</f>
        <v>0.38345747836486394</v>
      </c>
      <c r="U127" s="27">
        <f>SUM(pm.rep!B534:P534)</f>
        <v>4306.6426989999991</v>
      </c>
      <c r="V127" s="27">
        <f>SUMPRODUCT((pm.rep!B534:P534),(1-$V$118:$AJ$118))</f>
        <v>2131.3302770000005</v>
      </c>
      <c r="W127" s="23">
        <f>SUMPRODUCT((pm.rep!B534:P534),(1-$V$118:$AJ$118))/U127</f>
        <v>0.4948936853978842</v>
      </c>
    </row>
    <row r="128" spans="4:36" x14ac:dyDescent="0.15">
      <c r="D128">
        <f t="shared" si="137"/>
        <v>1973</v>
      </c>
      <c r="F128" s="20">
        <f>pm.rep!B535/pm.rep!B72</f>
        <v>6.731056523839608E-3</v>
      </c>
      <c r="G128" s="20">
        <f>pm.rep!C535/pm.rep!C72</f>
        <v>0.11000937924379588</v>
      </c>
      <c r="H128" s="20">
        <f>pm.rep!D535/pm.rep!D72</f>
        <v>0.30168690065093673</v>
      </c>
      <c r="I128" s="20">
        <f>pm.rep!E535/pm.rep!E72</f>
        <v>0.3424155306298533</v>
      </c>
      <c r="J128" s="20">
        <f>pm.rep!F535/pm.rep!F72</f>
        <v>0.35112283518752152</v>
      </c>
      <c r="K128" s="20">
        <f>pm.rep!G535/pm.rep!G72</f>
        <v>0.35215167462347635</v>
      </c>
      <c r="L128" s="20">
        <f>pm.rep!H535/pm.rep!H72</f>
        <v>0.35160714222688111</v>
      </c>
      <c r="M128" s="20">
        <f>pm.rep!I535/pm.rep!I72</f>
        <v>0.38154191210903798</v>
      </c>
      <c r="N128" s="20">
        <f>pm.rep!J535/pm.rep!J72</f>
        <v>0.4010849519946767</v>
      </c>
      <c r="O128" s="20">
        <f>pm.rep!K535/pm.rep!K72</f>
        <v>0.41096209318652221</v>
      </c>
      <c r="P128" s="20">
        <f>pm.rep!L535/pm.rep!L72</f>
        <v>0.41095946609930967</v>
      </c>
      <c r="Q128" s="20">
        <f>pm.rep!M535/pm.rep!M72</f>
        <v>0.41095818773919041</v>
      </c>
      <c r="R128" s="20">
        <f>pm.rep!N535/pm.rep!N72</f>
        <v>0.41095981928490605</v>
      </c>
      <c r="S128" s="20">
        <f>pm.rep!O535/pm.rep!O72</f>
        <v>0.41095887789663027</v>
      </c>
      <c r="T128" s="20">
        <f>pm.rep!P535/pm.rep!P72</f>
        <v>0.41095925232377833</v>
      </c>
      <c r="U128" s="27">
        <f>SUM(pm.rep!B535:P535)</f>
        <v>3981.4356859999994</v>
      </c>
      <c r="V128" s="27">
        <f>SUMPRODUCT((pm.rep!B535:P535),(1-$V$118:$AJ$118))</f>
        <v>1916.4701385000001</v>
      </c>
      <c r="W128" s="23">
        <f>SUMPRODUCT((pm.rep!B535:P535),(1-$V$118:$AJ$118))/U128</f>
        <v>0.48135152483786736</v>
      </c>
    </row>
    <row r="129" spans="4:23" x14ac:dyDescent="0.15">
      <c r="D129">
        <f t="shared" si="137"/>
        <v>1974</v>
      </c>
      <c r="F129" s="20">
        <f>pm.rep!B536/pm.rep!B73</f>
        <v>5.8623945833814698E-3</v>
      </c>
      <c r="G129" s="20">
        <f>pm.rep!C536/pm.rep!C73</f>
        <v>0.13401577275413712</v>
      </c>
      <c r="H129" s="20">
        <f>pm.rep!D536/pm.rep!D73</f>
        <v>0.36511049463096118</v>
      </c>
      <c r="I129" s="20">
        <f>pm.rep!E536/pm.rep!E73</f>
        <v>0.36896183746021505</v>
      </c>
      <c r="J129" s="20">
        <f>pm.rep!F536/pm.rep!F73</f>
        <v>0.37074806495326029</v>
      </c>
      <c r="K129" s="20">
        <f>pm.rep!G536/pm.rep!G73</f>
        <v>0.36984117543623746</v>
      </c>
      <c r="L129" s="20">
        <f>pm.rep!H536/pm.rep!H73</f>
        <v>0.36965245499247745</v>
      </c>
      <c r="M129" s="20">
        <f>pm.rep!I536/pm.rep!I73</f>
        <v>0.39384756913470115</v>
      </c>
      <c r="N129" s="20">
        <f>pm.rep!J536/pm.rep!J73</f>
        <v>0.41600586471553297</v>
      </c>
      <c r="O129" s="20">
        <f>pm.rep!K536/pm.rep!K73</f>
        <v>0.41746728057136645</v>
      </c>
      <c r="P129" s="20">
        <f>pm.rep!L536/pm.rep!L73</f>
        <v>0.41746751507651392</v>
      </c>
      <c r="Q129" s="20">
        <f>pm.rep!M536/pm.rep!M73</f>
        <v>0.41746773230499801</v>
      </c>
      <c r="R129" s="20">
        <f>pm.rep!N536/pm.rep!N73</f>
        <v>0.41746697834229868</v>
      </c>
      <c r="S129" s="20">
        <f>pm.rep!O536/pm.rep!O73</f>
        <v>0.41746704151772268</v>
      </c>
      <c r="T129" s="20">
        <f>pm.rep!P536/pm.rep!P73</f>
        <v>0.41746665668605548</v>
      </c>
      <c r="U129" s="27">
        <f>SUM(pm.rep!B536:P536)</f>
        <v>4209.6892059999982</v>
      </c>
      <c r="V129" s="27">
        <f>SUMPRODUCT((pm.rep!B536:P536),(1-$V$118:$AJ$118))</f>
        <v>2574.4377138999998</v>
      </c>
      <c r="W129" s="23">
        <f>SUMPRODUCT((pm.rep!B536:P536),(1-$V$118:$AJ$118))/U129</f>
        <v>0.61155054160071909</v>
      </c>
    </row>
    <row r="130" spans="4:23" x14ac:dyDescent="0.15">
      <c r="D130">
        <f t="shared" si="137"/>
        <v>1975</v>
      </c>
      <c r="F130" s="20">
        <f>pm.rep!B537/pm.rep!B74</f>
        <v>3.9083835943395677E-3</v>
      </c>
      <c r="G130" s="20">
        <f>pm.rep!C537/pm.rep!C74</f>
        <v>9.2845505957611776E-2</v>
      </c>
      <c r="H130" s="20">
        <f>pm.rep!D537/pm.rep!D74</f>
        <v>0.3398584848369175</v>
      </c>
      <c r="I130" s="20">
        <f>pm.rep!E537/pm.rep!E74</f>
        <v>0.33040104171218332</v>
      </c>
      <c r="J130" s="20">
        <f>pm.rep!F537/pm.rep!F74</f>
        <v>0.32392272757533747</v>
      </c>
      <c r="K130" s="20">
        <f>pm.rep!G537/pm.rep!G74</f>
        <v>0.32085842293906808</v>
      </c>
      <c r="L130" s="20">
        <f>pm.rep!H537/pm.rep!H74</f>
        <v>0.32003613325800534</v>
      </c>
      <c r="M130" s="20">
        <f>pm.rep!I537/pm.rep!I74</f>
        <v>0.33279016257402588</v>
      </c>
      <c r="N130" s="20">
        <f>pm.rep!J537/pm.rep!J74</f>
        <v>0.35530646105797387</v>
      </c>
      <c r="O130" s="20">
        <f>pm.rep!K537/pm.rep!K74</f>
        <v>0.35904709771270787</v>
      </c>
      <c r="P130" s="20">
        <f>pm.rep!L537/pm.rep!L74</f>
        <v>0.35904661051333236</v>
      </c>
      <c r="Q130" s="20">
        <f>pm.rep!M537/pm.rep!M74</f>
        <v>0.35904609993985825</v>
      </c>
      <c r="R130" s="20">
        <f>pm.rep!N537/pm.rep!N74</f>
        <v>0.35904717963425964</v>
      </c>
      <c r="S130" s="20">
        <f>pm.rep!O537/pm.rep!O74</f>
        <v>0.35904630727567405</v>
      </c>
      <c r="T130" s="20">
        <f>pm.rep!P537/pm.rep!P74</f>
        <v>0.35904515571072798</v>
      </c>
      <c r="U130" s="27">
        <f>SUM(pm.rep!B537:P537)</f>
        <v>3771.1048629999991</v>
      </c>
      <c r="V130" s="27">
        <f>SUMPRODUCT((pm.rep!B537:P537),(1-$V$118:$AJ$118))</f>
        <v>2395.8348482000001</v>
      </c>
      <c r="W130" s="23">
        <f>SUMPRODUCT((pm.rep!B537:P537),(1-$V$118:$AJ$118))/U130</f>
        <v>0.63531377016497481</v>
      </c>
    </row>
    <row r="131" spans="4:23" x14ac:dyDescent="0.15">
      <c r="D131">
        <f t="shared" si="137"/>
        <v>1976</v>
      </c>
      <c r="F131" s="20">
        <f>pm.rep!B538/pm.rep!B75</f>
        <v>2.8241840214346609E-3</v>
      </c>
      <c r="G131" s="20">
        <f>pm.rep!C538/pm.rep!C75</f>
        <v>7.6188635876770938E-2</v>
      </c>
      <c r="H131" s="20">
        <f>pm.rep!D538/pm.rep!D75</f>
        <v>0.28573005966971859</v>
      </c>
      <c r="I131" s="20">
        <f>pm.rep!E538/pm.rep!E75</f>
        <v>0.31602997287730428</v>
      </c>
      <c r="J131" s="20">
        <f>pm.rep!F538/pm.rep!F75</f>
        <v>0.30651184048579461</v>
      </c>
      <c r="K131" s="20">
        <f>pm.rep!G538/pm.rep!G75</f>
        <v>0.30069565163405187</v>
      </c>
      <c r="L131" s="20">
        <f>pm.rep!H538/pm.rep!H75</f>
        <v>0.29833323776210413</v>
      </c>
      <c r="M131" s="20">
        <f>pm.rep!I538/pm.rep!I75</f>
        <v>0.30192990810574277</v>
      </c>
      <c r="N131" s="20">
        <f>pm.rep!J538/pm.rep!J75</f>
        <v>0.32241754929230093</v>
      </c>
      <c r="O131" s="20">
        <f>pm.rep!K538/pm.rep!K75</f>
        <v>0.32594255195984717</v>
      </c>
      <c r="P131" s="20">
        <f>pm.rep!L538/pm.rep!L75</f>
        <v>0.325944460594986</v>
      </c>
      <c r="Q131" s="20">
        <f>pm.rep!M538/pm.rep!M75</f>
        <v>0.32594367217316211</v>
      </c>
      <c r="R131" s="20">
        <f>pm.rep!N538/pm.rep!N75</f>
        <v>0.32594283165041782</v>
      </c>
      <c r="S131" s="20">
        <f>pm.rep!O538/pm.rep!O75</f>
        <v>0.32594357796201429</v>
      </c>
      <c r="T131" s="20">
        <f>pm.rep!P538/pm.rep!P75</f>
        <v>0.3259429854548857</v>
      </c>
      <c r="U131" s="27">
        <f>SUM(pm.rep!B538:P538)</f>
        <v>3113.6885029999989</v>
      </c>
      <c r="V131" s="27">
        <f>SUMPRODUCT((pm.rep!B538:P538),(1-$V$118:$AJ$118))</f>
        <v>1817.0577461</v>
      </c>
      <c r="W131" s="23">
        <f>SUMPRODUCT((pm.rep!B538:P538),(1-$V$118:$AJ$118))/U131</f>
        <v>0.5835708178095812</v>
      </c>
    </row>
    <row r="132" spans="4:23" x14ac:dyDescent="0.15">
      <c r="D132">
        <f t="shared" si="137"/>
        <v>1977</v>
      </c>
      <c r="F132" s="20">
        <f>pm.rep!B539/pm.rep!B76</f>
        <v>2.0313551867280248E-3</v>
      </c>
      <c r="G132" s="20">
        <f>pm.rep!C539/pm.rep!C76</f>
        <v>6.7534836146485741E-2</v>
      </c>
      <c r="H132" s="20">
        <f>pm.rep!D539/pm.rep!D76</f>
        <v>0.22677188049032951</v>
      </c>
      <c r="I132" s="20">
        <f>pm.rep!E539/pm.rep!E76</f>
        <v>0.27007473338002325</v>
      </c>
      <c r="J132" s="20">
        <f>pm.rep!F539/pm.rep!F76</f>
        <v>0.28156775369657683</v>
      </c>
      <c r="K132" s="20">
        <f>pm.rep!G539/pm.rep!G76</f>
        <v>0.27735305022838258</v>
      </c>
      <c r="L132" s="20">
        <f>pm.rep!H539/pm.rep!H76</f>
        <v>0.27478492080739386</v>
      </c>
      <c r="M132" s="20">
        <f>pm.rep!I539/pm.rep!I76</f>
        <v>0.27431091251175921</v>
      </c>
      <c r="N132" s="20">
        <f>pm.rep!J539/pm.rep!J76</f>
        <v>0.29200986334984746</v>
      </c>
      <c r="O132" s="20">
        <f>pm.rep!K539/pm.rep!K76</f>
        <v>0.2977642693428218</v>
      </c>
      <c r="P132" s="20">
        <f>pm.rep!L539/pm.rep!L76</f>
        <v>0.29776605395082362</v>
      </c>
      <c r="Q132" s="20">
        <f>pm.rep!M539/pm.rep!M76</f>
        <v>0.2977660432010561</v>
      </c>
      <c r="R132" s="20">
        <f>pm.rep!N539/pm.rep!N76</f>
        <v>0.29776639721109488</v>
      </c>
      <c r="S132" s="20">
        <f>pm.rep!O539/pm.rep!O76</f>
        <v>0.29776544164148688</v>
      </c>
      <c r="T132" s="20">
        <f>pm.rep!P539/pm.rep!P76</f>
        <v>0.29776638000848404</v>
      </c>
      <c r="U132" s="27">
        <f>SUM(pm.rep!B539:P539)</f>
        <v>2439.5686890000002</v>
      </c>
      <c r="V132" s="27">
        <f>SUMPRODUCT((pm.rep!B539:P539),(1-$V$118:$AJ$118))</f>
        <v>1312.4121122000001</v>
      </c>
      <c r="W132" s="23">
        <f>SUMPRODUCT((pm.rep!B539:P539),(1-$V$118:$AJ$118))/U132</f>
        <v>0.53796891152016257</v>
      </c>
    </row>
    <row r="133" spans="4:23" x14ac:dyDescent="0.15">
      <c r="D133">
        <f t="shared" si="137"/>
        <v>1978</v>
      </c>
      <c r="F133" s="20">
        <f>pm.rep!B540/pm.rep!B77</f>
        <v>1.6932428221502584E-3</v>
      </c>
      <c r="G133" s="20">
        <f>pm.rep!C540/pm.rep!C77</f>
        <v>6.1805326369258583E-2</v>
      </c>
      <c r="H133" s="20">
        <f>pm.rep!D540/pm.rep!D77</f>
        <v>0.22767334251476967</v>
      </c>
      <c r="I133" s="20">
        <f>pm.rep!E540/pm.rep!E77</f>
        <v>0.27394797280604632</v>
      </c>
      <c r="J133" s="20">
        <f>pm.rep!F540/pm.rep!F77</f>
        <v>0.30117542019538324</v>
      </c>
      <c r="K133" s="20">
        <f>pm.rep!G540/pm.rep!G77</f>
        <v>0.29795841246463312</v>
      </c>
      <c r="L133" s="20">
        <f>pm.rep!H540/pm.rep!H77</f>
        <v>0.29775938793036144</v>
      </c>
      <c r="M133" s="20">
        <f>pm.rep!I540/pm.rep!I77</f>
        <v>0.29744658873324598</v>
      </c>
      <c r="N133" s="20">
        <f>pm.rep!J540/pm.rep!J77</f>
        <v>0.31500244696568536</v>
      </c>
      <c r="O133" s="20">
        <f>pm.rep!K540/pm.rep!K77</f>
        <v>0.32129946394418557</v>
      </c>
      <c r="P133" s="20">
        <f>pm.rep!L540/pm.rep!L77</f>
        <v>0.32129831450891377</v>
      </c>
      <c r="Q133" s="20">
        <f>pm.rep!M540/pm.rep!M77</f>
        <v>0.32129973786141869</v>
      </c>
      <c r="R133" s="20">
        <f>pm.rep!N540/pm.rep!N77</f>
        <v>0.32129818434901525</v>
      </c>
      <c r="S133" s="20">
        <f>pm.rep!O540/pm.rep!O77</f>
        <v>0.32129857897538805</v>
      </c>
      <c r="T133" s="20">
        <f>pm.rep!P540/pm.rep!P77</f>
        <v>0.321300433477826</v>
      </c>
      <c r="U133" s="27">
        <f>SUM(pm.rep!B540:P540)</f>
        <v>2330.6868020000002</v>
      </c>
      <c r="V133" s="27">
        <f>SUMPRODUCT((pm.rep!B540:P540),(1-$V$118:$AJ$118))</f>
        <v>1179.4523584999999</v>
      </c>
      <c r="W133" s="23">
        <f>SUMPRODUCT((pm.rep!B540:P540),(1-$V$118:$AJ$118))/U133</f>
        <v>0.50605356218943387</v>
      </c>
    </row>
    <row r="134" spans="4:23" x14ac:dyDescent="0.15">
      <c r="D134">
        <f t="shared" si="137"/>
        <v>1979</v>
      </c>
      <c r="F134" s="20">
        <f>pm.rep!B541/pm.rep!B78</f>
        <v>1.3795158743740172E-3</v>
      </c>
      <c r="G134" s="20">
        <f>pm.rep!C541/pm.rep!C78</f>
        <v>4.1850500924034625E-2</v>
      </c>
      <c r="H134" s="20">
        <f>pm.rep!D541/pm.rep!D78</f>
        <v>0.19328463684768438</v>
      </c>
      <c r="I134" s="20">
        <f>pm.rep!E541/pm.rep!E78</f>
        <v>0.25923592729839423</v>
      </c>
      <c r="J134" s="20">
        <f>pm.rep!F541/pm.rep!F78</f>
        <v>0.31538551580691349</v>
      </c>
      <c r="K134" s="20">
        <f>pm.rep!G541/pm.rep!G78</f>
        <v>0.32209493629054298</v>
      </c>
      <c r="L134" s="20">
        <f>pm.rep!H541/pm.rep!H78</f>
        <v>0.31838367190240741</v>
      </c>
      <c r="M134" s="20">
        <f>pm.rep!I541/pm.rep!I78</f>
        <v>0.31817949177265398</v>
      </c>
      <c r="N134" s="20">
        <f>pm.rep!J541/pm.rep!J78</f>
        <v>0.33269108251504392</v>
      </c>
      <c r="O134" s="20">
        <f>pm.rep!K541/pm.rep!K78</f>
        <v>0.33331921023642064</v>
      </c>
      <c r="P134" s="20">
        <f>pm.rep!L541/pm.rep!L78</f>
        <v>0.33331838152416449</v>
      </c>
      <c r="Q134" s="20">
        <f>pm.rep!M541/pm.rep!M78</f>
        <v>0.33331837800489938</v>
      </c>
      <c r="R134" s="20">
        <f>pm.rep!N541/pm.rep!N78</f>
        <v>0.33331871638100963</v>
      </c>
      <c r="S134" s="20">
        <f>pm.rep!O541/pm.rep!O78</f>
        <v>0.3333176933653953</v>
      </c>
      <c r="T134" s="20">
        <f>pm.rep!P541/pm.rep!P78</f>
        <v>0.33331927044163595</v>
      </c>
      <c r="U134" s="27">
        <f>SUM(pm.rep!B541:P541)</f>
        <v>2271.8250429999994</v>
      </c>
      <c r="V134" s="27">
        <f>SUMPRODUCT((pm.rep!B541:P541),(1-$V$118:$AJ$118))</f>
        <v>1201.0653548999999</v>
      </c>
      <c r="W134" s="23">
        <f>SUMPRODUCT((pm.rep!B541:P541),(1-$V$118:$AJ$118))/U134</f>
        <v>0.52867863157013373</v>
      </c>
    </row>
    <row r="135" spans="4:23" x14ac:dyDescent="0.15">
      <c r="D135">
        <f t="shared" si="137"/>
        <v>1980</v>
      </c>
      <c r="F135" s="20">
        <f>pm.rep!B542/pm.rep!B79</f>
        <v>9.7798713218388692E-4</v>
      </c>
      <c r="G135" s="20">
        <f>pm.rep!C542/pm.rep!C79</f>
        <v>2.2084333082649926E-2</v>
      </c>
      <c r="H135" s="20">
        <f>pm.rep!D542/pm.rep!D79</f>
        <v>0.13122208564478138</v>
      </c>
      <c r="I135" s="20">
        <f>pm.rep!E542/pm.rep!E79</f>
        <v>0.24146552954799003</v>
      </c>
      <c r="J135" s="20">
        <f>pm.rep!F542/pm.rep!F79</f>
        <v>0.30246742664567622</v>
      </c>
      <c r="K135" s="20">
        <f>pm.rep!G542/pm.rep!G79</f>
        <v>0.31639265992920146</v>
      </c>
      <c r="L135" s="20">
        <f>pm.rep!H542/pm.rep!H79</f>
        <v>0.31239970517809612</v>
      </c>
      <c r="M135" s="20">
        <f>pm.rep!I542/pm.rep!I79</f>
        <v>0.31010247975708499</v>
      </c>
      <c r="N135" s="20">
        <f>pm.rep!J542/pm.rep!J79</f>
        <v>0.31461716858571903</v>
      </c>
      <c r="O135" s="20">
        <f>pm.rep!K542/pm.rep!K79</f>
        <v>0.31449825200373205</v>
      </c>
      <c r="P135" s="20">
        <f>pm.rep!L542/pm.rep!L79</f>
        <v>0.31449983291027639</v>
      </c>
      <c r="Q135" s="20">
        <f>pm.rep!M542/pm.rep!M79</f>
        <v>0.31449852462965189</v>
      </c>
      <c r="R135" s="20">
        <f>pm.rep!N542/pm.rep!N79</f>
        <v>0.31449953018032129</v>
      </c>
      <c r="S135" s="20">
        <f>pm.rep!O542/pm.rep!O79</f>
        <v>0.31449864930734295</v>
      </c>
      <c r="T135" s="20">
        <f>pm.rep!P542/pm.rep!P79</f>
        <v>0.31449806963092447</v>
      </c>
      <c r="U135" s="27">
        <f>SUM(pm.rep!B542:P542)</f>
        <v>2437.8434820000002</v>
      </c>
      <c r="V135" s="27">
        <f>SUMPRODUCT((pm.rep!B542:P542),(1-$V$118:$AJ$118))</f>
        <v>1385.9991238000002</v>
      </c>
      <c r="W135" s="23">
        <f>SUMPRODUCT((pm.rep!B542:P542),(1-$V$118:$AJ$118))/U135</f>
        <v>0.56853490965832243</v>
      </c>
    </row>
    <row r="136" spans="4:23" x14ac:dyDescent="0.15">
      <c r="D136">
        <f t="shared" si="137"/>
        <v>1981</v>
      </c>
      <c r="F136" s="20">
        <f>pm.rep!B543/pm.rep!B80</f>
        <v>5.7664592151108888E-4</v>
      </c>
      <c r="G136" s="20">
        <f>pm.rep!C543/pm.rep!C80</f>
        <v>1.1776128599648418E-2</v>
      </c>
      <c r="H136" s="20">
        <f>pm.rep!D543/pm.rep!D80</f>
        <v>6.9499659938147246E-2</v>
      </c>
      <c r="I136" s="20">
        <f>pm.rep!E543/pm.rep!E80</f>
        <v>0.16994260476613299</v>
      </c>
      <c r="J136" s="20">
        <f>pm.rep!F543/pm.rep!F80</f>
        <v>0.24299426269169622</v>
      </c>
      <c r="K136" s="20">
        <f>pm.rep!G543/pm.rep!G80</f>
        <v>0.24692303203594559</v>
      </c>
      <c r="L136" s="20">
        <f>pm.rep!H543/pm.rep!H80</f>
        <v>0.24577377190404689</v>
      </c>
      <c r="M136" s="20">
        <f>pm.rep!I543/pm.rep!I80</f>
        <v>0.24567757571866525</v>
      </c>
      <c r="N136" s="20">
        <f>pm.rep!J543/pm.rep!J80</f>
        <v>0.24835491715373084</v>
      </c>
      <c r="O136" s="20">
        <f>pm.rep!K543/pm.rep!K80</f>
        <v>0.24796664684771161</v>
      </c>
      <c r="P136" s="20">
        <f>pm.rep!L543/pm.rep!L80</f>
        <v>0.24796655922022096</v>
      </c>
      <c r="Q136" s="20">
        <f>pm.rep!M543/pm.rep!M80</f>
        <v>0.24796640671865627</v>
      </c>
      <c r="R136" s="20">
        <f>pm.rep!N543/pm.rep!N80</f>
        <v>0.24796734629073447</v>
      </c>
      <c r="S136" s="20">
        <f>pm.rep!O543/pm.rep!O80</f>
        <v>0.24796706245981606</v>
      </c>
      <c r="T136" s="20">
        <f>pm.rep!P543/pm.rep!P80</f>
        <v>0.24796780870228832</v>
      </c>
      <c r="U136" s="27">
        <f>SUM(pm.rep!B543:P543)</f>
        <v>2364.4002969999992</v>
      </c>
      <c r="V136" s="27">
        <f>SUMPRODUCT((pm.rep!B543:P543),(1-$V$118:$AJ$118))</f>
        <v>1209.4369275000001</v>
      </c>
      <c r="W136" s="23">
        <f>SUMPRODUCT((pm.rep!B543:P543),(1-$V$118:$AJ$118))/U136</f>
        <v>0.51151952951222313</v>
      </c>
    </row>
    <row r="137" spans="4:23" x14ac:dyDescent="0.15">
      <c r="D137">
        <f t="shared" si="137"/>
        <v>1982</v>
      </c>
      <c r="F137" s="20">
        <f>pm.rep!B544/pm.rep!B81</f>
        <v>3.2377985207354617E-4</v>
      </c>
      <c r="G137" s="20">
        <f>pm.rep!C544/pm.rep!C81</f>
        <v>6.7214524835418291E-3</v>
      </c>
      <c r="H137" s="20">
        <f>pm.rep!D544/pm.rep!D81</f>
        <v>3.3472119666797424E-2</v>
      </c>
      <c r="I137" s="20">
        <f>pm.rep!E544/pm.rep!E81</f>
        <v>0.10510966089404941</v>
      </c>
      <c r="J137" s="20">
        <f>pm.rep!F544/pm.rep!F81</f>
        <v>0.16364065787778589</v>
      </c>
      <c r="K137" s="20">
        <f>pm.rep!G544/pm.rep!G81</f>
        <v>0.17499625631573401</v>
      </c>
      <c r="L137" s="20">
        <f>pm.rep!H544/pm.rep!H81</f>
        <v>0.1736018221712155</v>
      </c>
      <c r="M137" s="20">
        <f>pm.rep!I544/pm.rep!I81</f>
        <v>0.17584515464853981</v>
      </c>
      <c r="N137" s="20">
        <f>pm.rep!J544/pm.rep!J81</f>
        <v>0.1800735412828533</v>
      </c>
      <c r="O137" s="20">
        <f>pm.rep!K544/pm.rep!K81</f>
        <v>0.17988106018099298</v>
      </c>
      <c r="P137" s="20">
        <f>pm.rep!L544/pm.rep!L81</f>
        <v>0.17988066980627093</v>
      </c>
      <c r="Q137" s="20">
        <f>pm.rep!M544/pm.rep!M81</f>
        <v>0.17988081230174532</v>
      </c>
      <c r="R137" s="20">
        <f>pm.rep!N544/pm.rep!N81</f>
        <v>0.17988097528949662</v>
      </c>
      <c r="S137" s="20">
        <f>pm.rep!O544/pm.rep!O81</f>
        <v>0.17988086202764239</v>
      </c>
      <c r="T137" s="20">
        <f>pm.rep!P544/pm.rep!P81</f>
        <v>0.17988132754479141</v>
      </c>
      <c r="U137" s="27">
        <f>SUM(pm.rep!B544:P544)</f>
        <v>1997.7737930000003</v>
      </c>
      <c r="V137" s="27">
        <f>SUMPRODUCT((pm.rep!B544:P544),(1-$V$118:$AJ$118))</f>
        <v>727.14668189999998</v>
      </c>
      <c r="W137" s="23">
        <f>SUMPRODUCT((pm.rep!B544:P544),(1-$V$118:$AJ$118))/U137</f>
        <v>0.36397848667744531</v>
      </c>
    </row>
    <row r="138" spans="4:23" x14ac:dyDescent="0.15">
      <c r="D138">
        <f t="shared" si="137"/>
        <v>1983</v>
      </c>
      <c r="F138" s="20">
        <f>pm.rep!B545/pm.rep!B82</f>
        <v>2.3412694608941707E-4</v>
      </c>
      <c r="G138" s="20">
        <f>pm.rep!C545/pm.rep!C82</f>
        <v>6.049507924074971E-3</v>
      </c>
      <c r="H138" s="20">
        <f>pm.rep!D545/pm.rep!D82</f>
        <v>2.5317948360702457E-2</v>
      </c>
      <c r="I138" s="20">
        <f>pm.rep!E545/pm.rep!E82</f>
        <v>7.5329438329671219E-2</v>
      </c>
      <c r="J138" s="20">
        <f>pm.rep!F545/pm.rep!F82</f>
        <v>0.12432592339706544</v>
      </c>
      <c r="K138" s="20">
        <f>pm.rep!G545/pm.rep!G82</f>
        <v>0.15263056396777328</v>
      </c>
      <c r="L138" s="20">
        <f>pm.rep!H545/pm.rep!H82</f>
        <v>0.15177436391022556</v>
      </c>
      <c r="M138" s="20">
        <f>pm.rep!I545/pm.rep!I82</f>
        <v>0.1529229810623762</v>
      </c>
      <c r="N138" s="20">
        <f>pm.rep!J545/pm.rep!J82</f>
        <v>0.160269130795158</v>
      </c>
      <c r="O138" s="20">
        <f>pm.rep!K545/pm.rep!K82</f>
        <v>0.16313846390997727</v>
      </c>
      <c r="P138" s="20">
        <f>pm.rep!L545/pm.rep!L82</f>
        <v>0.16313843418725826</v>
      </c>
      <c r="Q138" s="20">
        <f>pm.rep!M545/pm.rep!M82</f>
        <v>0.16313837289835964</v>
      </c>
      <c r="R138" s="20">
        <f>pm.rep!N545/pm.rep!N82</f>
        <v>0.16313811355241611</v>
      </c>
      <c r="S138" s="20">
        <f>pm.rep!O545/pm.rep!O82</f>
        <v>0.16313827122432464</v>
      </c>
      <c r="T138" s="20">
        <f>pm.rep!P545/pm.rep!P82</f>
        <v>0.16313820608968213</v>
      </c>
      <c r="U138" s="27">
        <f>SUM(pm.rep!B545:P545)</f>
        <v>1790.629068</v>
      </c>
      <c r="V138" s="27">
        <f>SUMPRODUCT((pm.rep!B545:P545),(1-$V$118:$AJ$118))</f>
        <v>488.29478240000003</v>
      </c>
      <c r="W138" s="23">
        <f>SUMPRODUCT((pm.rep!B545:P545),(1-$V$118:$AJ$118))/U138</f>
        <v>0.27269454691997663</v>
      </c>
    </row>
    <row r="139" spans="4:23" x14ac:dyDescent="0.15">
      <c r="D139">
        <f t="shared" si="137"/>
        <v>1984</v>
      </c>
      <c r="F139" s="20">
        <f>pm.rep!B546/pm.rep!B83</f>
        <v>1.9887053518802313E-4</v>
      </c>
      <c r="G139" s="20">
        <f>pm.rep!C546/pm.rep!C83</f>
        <v>4.849977122749421E-3</v>
      </c>
      <c r="H139" s="20">
        <f>pm.rep!D546/pm.rep!D83</f>
        <v>2.4793236668892493E-2</v>
      </c>
      <c r="I139" s="20">
        <f>pm.rep!E546/pm.rep!E83</f>
        <v>6.6999436381569674E-2</v>
      </c>
      <c r="J139" s="20">
        <f>pm.rep!F546/pm.rep!F83</f>
        <v>0.12670477171403849</v>
      </c>
      <c r="K139" s="20">
        <f>pm.rep!G546/pm.rep!G83</f>
        <v>0.1458883063596991</v>
      </c>
      <c r="L139" s="20">
        <f>pm.rep!H546/pm.rep!H83</f>
        <v>0.15217081051235198</v>
      </c>
      <c r="M139" s="20">
        <f>pm.rep!I546/pm.rep!I83</f>
        <v>0.15151521347946997</v>
      </c>
      <c r="N139" s="20">
        <f>pm.rep!J546/pm.rep!J83</f>
        <v>0.15898840147451862</v>
      </c>
      <c r="O139" s="20">
        <f>pm.rep!K546/pm.rep!K83</f>
        <v>0.16416395570277939</v>
      </c>
      <c r="P139" s="20">
        <f>pm.rep!L546/pm.rep!L83</f>
        <v>0.16416407611109216</v>
      </c>
      <c r="Q139" s="20">
        <f>pm.rep!M546/pm.rep!M83</f>
        <v>0.16416390299105668</v>
      </c>
      <c r="R139" s="20">
        <f>pm.rep!N546/pm.rep!N83</f>
        <v>0.164163852546476</v>
      </c>
      <c r="S139" s="20">
        <f>pm.rep!O546/pm.rep!O83</f>
        <v>0.16416392405063293</v>
      </c>
      <c r="T139" s="20">
        <f>pm.rep!P546/pm.rep!P83</f>
        <v>0.16416407209134959</v>
      </c>
      <c r="U139" s="27">
        <f>SUM(pm.rep!B546:P546)</f>
        <v>1840.661822</v>
      </c>
      <c r="V139" s="27">
        <f>SUMPRODUCT((pm.rep!B546:P546),(1-$V$118:$AJ$118))</f>
        <v>453.7835725999999</v>
      </c>
      <c r="W139" s="23">
        <f>SUMPRODUCT((pm.rep!B546:P546),(1-$V$118:$AJ$118))/U139</f>
        <v>0.2465328324716021</v>
      </c>
    </row>
    <row r="140" spans="4:23" x14ac:dyDescent="0.15">
      <c r="D140">
        <f t="shared" si="137"/>
        <v>1985</v>
      </c>
      <c r="F140" s="20">
        <f>pm.rep!B547/pm.rep!B84</f>
        <v>1.725432332618193E-4</v>
      </c>
      <c r="G140" s="20">
        <f>pm.rep!C547/pm.rep!C84</f>
        <v>5.0298009643621067E-3</v>
      </c>
      <c r="H140" s="20">
        <f>pm.rep!D547/pm.rep!D84</f>
        <v>2.6924101693906105E-2</v>
      </c>
      <c r="I140" s="20">
        <f>pm.rep!E547/pm.rep!E84</f>
        <v>6.0442710749937026E-2</v>
      </c>
      <c r="J140" s="20">
        <f>pm.rep!F547/pm.rep!F84</f>
        <v>0.10314569621753675</v>
      </c>
      <c r="K140" s="20">
        <f>pm.rep!G547/pm.rep!G84</f>
        <v>0.15715732677016278</v>
      </c>
      <c r="L140" s="20">
        <f>pm.rep!H547/pm.rep!H84</f>
        <v>0.15522197605476998</v>
      </c>
      <c r="M140" s="20">
        <f>pm.rep!I547/pm.rep!I84</f>
        <v>0.15522084277924145</v>
      </c>
      <c r="N140" s="20">
        <f>pm.rep!J547/pm.rep!J84</f>
        <v>0.16122034408386415</v>
      </c>
      <c r="O140" s="20">
        <f>pm.rep!K547/pm.rep!K84</f>
        <v>0.16845007852635552</v>
      </c>
      <c r="P140" s="20">
        <f>pm.rep!L547/pm.rep!L84</f>
        <v>0.16845009071847622</v>
      </c>
      <c r="Q140" s="20">
        <f>pm.rep!M547/pm.rep!M84</f>
        <v>0.16844996943721838</v>
      </c>
      <c r="R140" s="20">
        <f>pm.rep!N547/pm.rep!N84</f>
        <v>0.16844981693223157</v>
      </c>
      <c r="S140" s="20">
        <f>pm.rep!O547/pm.rep!O84</f>
        <v>0.16844969826598424</v>
      </c>
      <c r="T140" s="20">
        <f>pm.rep!P547/pm.rep!P84</f>
        <v>0.16845025873504654</v>
      </c>
      <c r="U140" s="27">
        <f>SUM(pm.rep!B547:P547)</f>
        <v>1847.6907099999999</v>
      </c>
      <c r="V140" s="27">
        <f>SUMPRODUCT((pm.rep!B547:P547),(1-$V$118:$AJ$118))</f>
        <v>478.12095430000011</v>
      </c>
      <c r="W140" s="23">
        <f>SUMPRODUCT((pm.rep!B547:P547),(1-$V$118:$AJ$118))/U140</f>
        <v>0.25876676854645231</v>
      </c>
    </row>
    <row r="141" spans="4:23" x14ac:dyDescent="0.15">
      <c r="D141">
        <f t="shared" si="137"/>
        <v>1986</v>
      </c>
      <c r="F141" s="20">
        <f>pm.rep!B548/pm.rep!B85</f>
        <v>1.3890233338375018E-4</v>
      </c>
      <c r="G141" s="20">
        <f>pm.rep!C548/pm.rep!C85</f>
        <v>4.5239617521276448E-3</v>
      </c>
      <c r="H141" s="20">
        <f>pm.rep!D548/pm.rep!D85</f>
        <v>2.6884322487255332E-2</v>
      </c>
      <c r="I141" s="20">
        <f>pm.rep!E548/pm.rep!E85</f>
        <v>6.4695793735969176E-2</v>
      </c>
      <c r="J141" s="20">
        <f>pm.rep!F548/pm.rep!F85</f>
        <v>9.304533518021528E-2</v>
      </c>
      <c r="K141" s="20">
        <f>pm.rep!G548/pm.rep!G85</f>
        <v>0.14075589108598144</v>
      </c>
      <c r="L141" s="20">
        <f>pm.rep!H548/pm.rep!H85</f>
        <v>0.14607025563815929</v>
      </c>
      <c r="M141" s="20">
        <f>pm.rep!I548/pm.rep!I85</f>
        <v>0.13735948395882858</v>
      </c>
      <c r="N141" s="20">
        <f>pm.rep!J548/pm.rep!J85</f>
        <v>0.15424583379231122</v>
      </c>
      <c r="O141" s="20">
        <f>pm.rep!K548/pm.rep!K85</f>
        <v>0.1579025405526748</v>
      </c>
      <c r="P141" s="20">
        <f>pm.rep!L548/pm.rep!L85</f>
        <v>0.15790174652662167</v>
      </c>
      <c r="Q141" s="20">
        <f>pm.rep!M548/pm.rep!M85</f>
        <v>0.15790220372647309</v>
      </c>
      <c r="R141" s="20">
        <f>pm.rep!N548/pm.rep!N85</f>
        <v>0.15790175314140706</v>
      </c>
      <c r="S141" s="20">
        <f>pm.rep!O548/pm.rep!O85</f>
        <v>0.15790182737425029</v>
      </c>
      <c r="T141" s="20">
        <f>pm.rep!P548/pm.rep!P85</f>
        <v>0.15790207953780755</v>
      </c>
      <c r="U141" s="27">
        <f>SUM(pm.rep!B548:P548)</f>
        <v>1816.9254850000002</v>
      </c>
      <c r="V141" s="27">
        <f>SUMPRODUCT((pm.rep!B548:P548),(1-$V$118:$AJ$118))</f>
        <v>441.61055830000004</v>
      </c>
      <c r="W141" s="23">
        <f>SUMPRODUCT((pm.rep!B548:P548),(1-$V$118:$AJ$118))/U141</f>
        <v>0.24305375313726749</v>
      </c>
    </row>
    <row r="142" spans="4:23" x14ac:dyDescent="0.15">
      <c r="D142">
        <f t="shared" si="137"/>
        <v>1987</v>
      </c>
      <c r="F142" s="20">
        <f>pm.rep!B549/pm.rep!B86</f>
        <v>8.6775668669985818E-5</v>
      </c>
      <c r="G142" s="20">
        <f>pm.rep!C549/pm.rep!C86</f>
        <v>3.0840474994460881E-3</v>
      </c>
      <c r="H142" s="20">
        <f>pm.rep!D549/pm.rep!D86</f>
        <v>2.1718232155621936E-2</v>
      </c>
      <c r="I142" s="20">
        <f>pm.rep!E549/pm.rep!E86</f>
        <v>4.3475470991243763E-2</v>
      </c>
      <c r="J142" s="20">
        <f>pm.rep!F549/pm.rep!F86</f>
        <v>6.8440981235742257E-2</v>
      </c>
      <c r="K142" s="20">
        <f>pm.rep!G549/pm.rep!G86</f>
        <v>9.6466600721517498E-2</v>
      </c>
      <c r="L142" s="20">
        <f>pm.rep!H549/pm.rep!H86</f>
        <v>0.10035498667209537</v>
      </c>
      <c r="M142" s="20">
        <f>pm.rep!I549/pm.rep!I86</f>
        <v>0.11414101640494137</v>
      </c>
      <c r="N142" s="20">
        <f>pm.rep!J549/pm.rep!J86</f>
        <v>0.12110235759833078</v>
      </c>
      <c r="O142" s="20">
        <f>pm.rep!K549/pm.rep!K86</f>
        <v>0.11871638691278809</v>
      </c>
      <c r="P142" s="20">
        <f>pm.rep!L549/pm.rep!L86</f>
        <v>0.11871624865680513</v>
      </c>
      <c r="Q142" s="20">
        <f>pm.rep!M549/pm.rep!M86</f>
        <v>0.11871573480123411</v>
      </c>
      <c r="R142" s="20">
        <f>pm.rep!N549/pm.rep!N86</f>
        <v>0.11871610814184839</v>
      </c>
      <c r="S142" s="20">
        <f>pm.rep!O549/pm.rep!O86</f>
        <v>0.11871605035250682</v>
      </c>
      <c r="T142" s="20">
        <f>pm.rep!P549/pm.rep!P86</f>
        <v>0.11871614282045181</v>
      </c>
      <c r="U142" s="27">
        <f>SUM(pm.rep!B549:P549)</f>
        <v>1311.6321030000001</v>
      </c>
      <c r="V142" s="27">
        <f>SUMPRODUCT((pm.rep!B549:P549),(1-$V$118:$AJ$118))</f>
        <v>295.78533320000003</v>
      </c>
      <c r="W142" s="23">
        <f>SUMPRODUCT((pm.rep!B549:P549),(1-$V$118:$AJ$118))/U142</f>
        <v>0.22550937303491725</v>
      </c>
    </row>
    <row r="143" spans="4:23" x14ac:dyDescent="0.15">
      <c r="D143">
        <f t="shared" si="137"/>
        <v>1988</v>
      </c>
      <c r="F143" s="20">
        <f>pm.rep!B550/pm.rep!B87</f>
        <v>1.0101987607570675E-4</v>
      </c>
      <c r="G143" s="20">
        <f>pm.rep!C550/pm.rep!C87</f>
        <v>3.9634056367124099E-3</v>
      </c>
      <c r="H143" s="20">
        <f>pm.rep!D550/pm.rep!D87</f>
        <v>4.7949823327200151E-2</v>
      </c>
      <c r="I143" s="20">
        <f>pm.rep!E550/pm.rep!E87</f>
        <v>6.2244603512952509E-2</v>
      </c>
      <c r="J143" s="20">
        <f>pm.rep!F550/pm.rep!F87</f>
        <v>0.10551848369152686</v>
      </c>
      <c r="K143" s="20">
        <f>pm.rep!G550/pm.rep!G87</f>
        <v>0.12282449146115949</v>
      </c>
      <c r="L143" s="20">
        <f>pm.rep!H550/pm.rep!H87</f>
        <v>0.14988747584625126</v>
      </c>
      <c r="M143" s="20">
        <f>pm.rep!I550/pm.rep!I87</f>
        <v>0.14383613531074269</v>
      </c>
      <c r="N143" s="20">
        <f>pm.rep!J550/pm.rep!J87</f>
        <v>0.15145123926602541</v>
      </c>
      <c r="O143" s="20">
        <f>pm.rep!K550/pm.rep!K87</f>
        <v>0.14807308685489101</v>
      </c>
      <c r="P143" s="20">
        <f>pm.rep!L550/pm.rep!L87</f>
        <v>0.14807252571447041</v>
      </c>
      <c r="Q143" s="20">
        <f>pm.rep!M550/pm.rep!M87</f>
        <v>0.14807304479661307</v>
      </c>
      <c r="R143" s="20">
        <f>pm.rep!N550/pm.rep!N87</f>
        <v>0.14807335150052939</v>
      </c>
      <c r="S143" s="20">
        <f>pm.rep!O550/pm.rep!O87</f>
        <v>0.14807300993620937</v>
      </c>
      <c r="T143" s="20">
        <f>pm.rep!P550/pm.rep!P87</f>
        <v>0.14807308619473683</v>
      </c>
      <c r="U143" s="27">
        <f>SUM(pm.rep!B550:P550)</f>
        <v>1818.2332240000001</v>
      </c>
      <c r="V143" s="27">
        <f>SUMPRODUCT((pm.rep!B550:P550),(1-$V$118:$AJ$118))</f>
        <v>384.40760039999998</v>
      </c>
      <c r="W143" s="23">
        <f>SUMPRODUCT((pm.rep!B550:P550),(1-$V$118:$AJ$118))/U143</f>
        <v>0.21141820275086998</v>
      </c>
    </row>
    <row r="144" spans="4:23" x14ac:dyDescent="0.15">
      <c r="D144">
        <f t="shared" si="137"/>
        <v>1989</v>
      </c>
      <c r="F144" s="20">
        <f>pm.rep!B551/pm.rep!B88</f>
        <v>8.7012465324062403E-5</v>
      </c>
      <c r="G144" s="20">
        <f>pm.rep!C551/pm.rep!C88</f>
        <v>3.8366316050212758E-3</v>
      </c>
      <c r="H144" s="20">
        <f>pm.rep!D551/pm.rep!D88</f>
        <v>3.5296268623482785E-2</v>
      </c>
      <c r="I144" s="20">
        <f>pm.rep!E551/pm.rep!E88</f>
        <v>7.4004269455130764E-2</v>
      </c>
      <c r="J144" s="20">
        <f>pm.rep!F551/pm.rep!F88</f>
        <v>0.10842251811336676</v>
      </c>
      <c r="K144" s="20">
        <f>pm.rep!G551/pm.rep!G88</f>
        <v>0.13208107331597874</v>
      </c>
      <c r="L144" s="20">
        <f>pm.rep!H551/pm.rep!H88</f>
        <v>0.16431836646454362</v>
      </c>
      <c r="M144" s="20">
        <f>pm.rep!I551/pm.rep!I88</f>
        <v>0.15529556184058968</v>
      </c>
      <c r="N144" s="20">
        <f>pm.rep!J551/pm.rep!J88</f>
        <v>0.14820051292688907</v>
      </c>
      <c r="O144" s="20">
        <f>pm.rep!K551/pm.rep!K88</f>
        <v>0.14685866738755438</v>
      </c>
      <c r="P144" s="20">
        <f>pm.rep!L551/pm.rep!L88</f>
        <v>0.14685859116496661</v>
      </c>
      <c r="Q144" s="20">
        <f>pm.rep!M551/pm.rep!M88</f>
        <v>0.14685855405906534</v>
      </c>
      <c r="R144" s="20">
        <f>pm.rep!N551/pm.rep!N88</f>
        <v>0.14685863264973581</v>
      </c>
      <c r="S144" s="20">
        <f>pm.rep!O551/pm.rep!O88</f>
        <v>0.14685879662652032</v>
      </c>
      <c r="T144" s="20">
        <f>pm.rep!P551/pm.rep!P88</f>
        <v>0.14685887140785556</v>
      </c>
      <c r="U144" s="27">
        <f>SUM(pm.rep!B551:P551)</f>
        <v>1679.8542919999998</v>
      </c>
      <c r="V144" s="27">
        <f>SUMPRODUCT((pm.rep!B551:P551),(1-$V$118:$AJ$118))</f>
        <v>252.03885956000008</v>
      </c>
      <c r="W144" s="23">
        <f>SUMPRODUCT((pm.rep!B551:P551),(1-$V$118:$AJ$118))/U144</f>
        <v>0.1500361434680908</v>
      </c>
    </row>
    <row r="145" spans="4:23" x14ac:dyDescent="0.15">
      <c r="D145">
        <f t="shared" si="137"/>
        <v>1990</v>
      </c>
      <c r="F145" s="20">
        <f>pm.rep!B552/pm.rep!B89</f>
        <v>1.0566634116782434E-4</v>
      </c>
      <c r="G145" s="20">
        <f>pm.rep!C552/pm.rep!C89</f>
        <v>5.3840853449135364E-3</v>
      </c>
      <c r="H145" s="20">
        <f>pm.rep!D552/pm.rep!D89</f>
        <v>3.8726675820920493E-2</v>
      </c>
      <c r="I145" s="20">
        <f>pm.rep!E552/pm.rep!E89</f>
        <v>0.11246596614371165</v>
      </c>
      <c r="J145" s="20">
        <f>pm.rep!F552/pm.rep!F89</f>
        <v>0.17716264336182783</v>
      </c>
      <c r="K145" s="20">
        <f>pm.rep!G552/pm.rep!G89</f>
        <v>0.19208598781549174</v>
      </c>
      <c r="L145" s="20">
        <f>pm.rep!H552/pm.rep!H89</f>
        <v>0.21255966318287745</v>
      </c>
      <c r="M145" s="20">
        <f>pm.rep!I552/pm.rep!I89</f>
        <v>0.21599152443980033</v>
      </c>
      <c r="N145" s="20">
        <f>pm.rep!J552/pm.rep!J89</f>
        <v>0.20877224694928612</v>
      </c>
      <c r="O145" s="20">
        <f>pm.rep!K552/pm.rep!K89</f>
        <v>0.20152509292016155</v>
      </c>
      <c r="P145" s="20">
        <f>pm.rep!L552/pm.rep!L89</f>
        <v>0.20152528458557961</v>
      </c>
      <c r="Q145" s="20">
        <f>pm.rep!M552/pm.rep!M89</f>
        <v>0.2015254669239451</v>
      </c>
      <c r="R145" s="20">
        <f>pm.rep!N552/pm.rep!N89</f>
        <v>0.20152489899173348</v>
      </c>
      <c r="S145" s="20">
        <f>pm.rep!O552/pm.rep!O89</f>
        <v>0.2015251512859304</v>
      </c>
      <c r="T145" s="20">
        <f>pm.rep!P552/pm.rep!P89</f>
        <v>0.20152516466720183</v>
      </c>
      <c r="U145" s="27">
        <f>SUM(pm.rep!B552:P552)</f>
        <v>1890.1127100000003</v>
      </c>
      <c r="V145" s="27">
        <f>SUMPRODUCT((pm.rep!B552:P552),(1-$V$118:$AJ$118))</f>
        <v>255.2223596</v>
      </c>
      <c r="W145" s="23">
        <f>SUMPRODUCT((pm.rep!B552:P552),(1-$V$118:$AJ$118))/U145</f>
        <v>0.13503023298541808</v>
      </c>
    </row>
    <row r="146" spans="4:23" x14ac:dyDescent="0.15">
      <c r="D146">
        <f t="shared" si="137"/>
        <v>1991</v>
      </c>
      <c r="F146" s="20">
        <f>pm.rep!B553/pm.rep!B90</f>
        <v>9.9083705675630248E-5</v>
      </c>
      <c r="G146" s="20">
        <f>pm.rep!C553/pm.rep!C90</f>
        <v>5.7142569371002672E-3</v>
      </c>
      <c r="H146" s="20">
        <f>pm.rep!D553/pm.rep!D90</f>
        <v>3.1014111506789895E-2</v>
      </c>
      <c r="I146" s="20">
        <f>pm.rep!E553/pm.rep!E90</f>
        <v>9.5144891848232924E-2</v>
      </c>
      <c r="J146" s="20">
        <f>pm.rep!F553/pm.rep!F90</f>
        <v>0.1612513001524</v>
      </c>
      <c r="K146" s="20">
        <f>pm.rep!G553/pm.rep!G90</f>
        <v>0.19430979477167754</v>
      </c>
      <c r="L146" s="20">
        <f>pm.rep!H553/pm.rep!H90</f>
        <v>0.24401857883942574</v>
      </c>
      <c r="M146" s="20">
        <f>pm.rep!I553/pm.rep!I90</f>
        <v>0.22129840349265389</v>
      </c>
      <c r="N146" s="20">
        <f>pm.rep!J553/pm.rep!J90</f>
        <v>0.24632771423925418</v>
      </c>
      <c r="O146" s="20">
        <f>pm.rep!K553/pm.rep!K90</f>
        <v>0.2454175592246193</v>
      </c>
      <c r="P146" s="20">
        <f>pm.rep!L553/pm.rep!L90</f>
        <v>0.24541740451427904</v>
      </c>
      <c r="Q146" s="20">
        <f>pm.rep!M553/pm.rep!M90</f>
        <v>0.24541779594836693</v>
      </c>
      <c r="R146" s="20">
        <f>pm.rep!N553/pm.rep!N90</f>
        <v>0.24541771504115314</v>
      </c>
      <c r="S146" s="20">
        <f>pm.rep!O553/pm.rep!O90</f>
        <v>0.24541813076253116</v>
      </c>
      <c r="T146" s="20">
        <f>pm.rep!P553/pm.rep!P90</f>
        <v>0.24541808469776955</v>
      </c>
      <c r="U146" s="27">
        <f>SUM(pm.rep!B553:P553)</f>
        <v>1556.5575200000003</v>
      </c>
      <c r="V146" s="27">
        <f>SUMPRODUCT((pm.rep!B553:P553),(1-$V$118:$AJ$118))</f>
        <v>288.43320540000002</v>
      </c>
      <c r="W146" s="23">
        <f>SUMPRODUCT((pm.rep!B553:P553),(1-$V$118:$AJ$118))/U146</f>
        <v>0.18530198961102315</v>
      </c>
    </row>
    <row r="147" spans="4:23" x14ac:dyDescent="0.15">
      <c r="D147">
        <f t="shared" si="137"/>
        <v>1992</v>
      </c>
      <c r="F147" s="20">
        <f>pm.rep!B554/pm.rep!B91</f>
        <v>1.1257594114341902E-4</v>
      </c>
      <c r="G147" s="20">
        <f>pm.rep!C554/pm.rep!C91</f>
        <v>6.7892778151745353E-3</v>
      </c>
      <c r="H147" s="20">
        <f>pm.rep!D554/pm.rep!D91</f>
        <v>5.4877460923517488E-2</v>
      </c>
      <c r="I147" s="20">
        <f>pm.rep!E554/pm.rep!E91</f>
        <v>9.7941032422372412E-2</v>
      </c>
      <c r="J147" s="20">
        <f>pm.rep!F554/pm.rep!F91</f>
        <v>0.15710532486755416</v>
      </c>
      <c r="K147" s="20">
        <f>pm.rep!G554/pm.rep!G91</f>
        <v>0.23981107313396224</v>
      </c>
      <c r="L147" s="20">
        <f>pm.rep!H554/pm.rep!H91</f>
        <v>0.30214143220177636</v>
      </c>
      <c r="M147" s="20">
        <f>pm.rep!I554/pm.rep!I91</f>
        <v>0.31845627259441578</v>
      </c>
      <c r="N147" s="20">
        <f>pm.rep!J554/pm.rep!J91</f>
        <v>0.32066979254451239</v>
      </c>
      <c r="O147" s="20">
        <f>pm.rep!K554/pm.rep!K91</f>
        <v>0.31664420392636927</v>
      </c>
      <c r="P147" s="20">
        <f>pm.rep!L554/pm.rep!L91</f>
        <v>0.3166444108133773</v>
      </c>
      <c r="Q147" s="20">
        <f>pm.rep!M554/pm.rep!M91</f>
        <v>0.3166434381572612</v>
      </c>
      <c r="R147" s="20">
        <f>pm.rep!N554/pm.rep!N91</f>
        <v>0.31664370245285428</v>
      </c>
      <c r="S147" s="20">
        <f>pm.rep!O554/pm.rep!O91</f>
        <v>0.31664422573440615</v>
      </c>
      <c r="T147" s="20">
        <f>pm.rep!P554/pm.rep!P91</f>
        <v>0.31664522346465845</v>
      </c>
      <c r="U147" s="27">
        <f>SUM(pm.rep!B554:P554)</f>
        <v>2017.05756</v>
      </c>
      <c r="V147" s="27">
        <f>SUMPRODUCT((pm.rep!B554:P554),(1-$V$118:$AJ$118))</f>
        <v>687.02101240000002</v>
      </c>
      <c r="W147" s="23">
        <f>SUMPRODUCT((pm.rep!B554:P554),(1-$V$118:$AJ$118))/U147</f>
        <v>0.34060555634317152</v>
      </c>
    </row>
    <row r="148" spans="4:23" x14ac:dyDescent="0.15">
      <c r="D148">
        <f t="shared" si="137"/>
        <v>1993</v>
      </c>
      <c r="F148" s="20">
        <f>pm.rep!B555/pm.rep!B92</f>
        <v>6.6702017787944484E-5</v>
      </c>
      <c r="G148" s="20">
        <f>pm.rep!C555/pm.rep!C92</f>
        <v>2.9892121290656993E-3</v>
      </c>
      <c r="H148" s="20">
        <f>pm.rep!D555/pm.rep!D92</f>
        <v>3.4835630481138649E-2</v>
      </c>
      <c r="I148" s="20">
        <f>pm.rep!E555/pm.rep!E92</f>
        <v>0.12233938885334908</v>
      </c>
      <c r="J148" s="20">
        <f>pm.rep!F555/pm.rep!F92</f>
        <v>0.1090166439331261</v>
      </c>
      <c r="K148" s="20">
        <f>pm.rep!G555/pm.rep!G92</f>
        <v>0.16887437106763423</v>
      </c>
      <c r="L148" s="20">
        <f>pm.rep!H555/pm.rep!H92</f>
        <v>0.22723628213509081</v>
      </c>
      <c r="M148" s="20">
        <f>pm.rep!I555/pm.rep!I92</f>
        <v>0.22694018986692915</v>
      </c>
      <c r="N148" s="20">
        <f>pm.rep!J555/pm.rep!J92</f>
        <v>0.22655627579777904</v>
      </c>
      <c r="O148" s="20">
        <f>pm.rep!K555/pm.rep!K92</f>
        <v>0.21899631983941117</v>
      </c>
      <c r="P148" s="20">
        <f>pm.rep!L555/pm.rep!L92</f>
        <v>0.21899664801684715</v>
      </c>
      <c r="Q148" s="20">
        <f>pm.rep!M555/pm.rep!M92</f>
        <v>0.2189954219320033</v>
      </c>
      <c r="R148" s="20">
        <f>pm.rep!N555/pm.rep!N92</f>
        <v>0.21899618180680122</v>
      </c>
      <c r="S148" s="20">
        <f>pm.rep!O555/pm.rep!O92</f>
        <v>0.21899607378649294</v>
      </c>
      <c r="T148" s="20">
        <f>pm.rep!P555/pm.rep!P92</f>
        <v>0.2189964517193114</v>
      </c>
      <c r="U148" s="27">
        <f>SUM(pm.rep!B555:P555)</f>
        <v>1884.8195899999998</v>
      </c>
      <c r="V148" s="27">
        <f>SUMPRODUCT((pm.rep!B555:P555),(1-$V$118:$AJ$118))</f>
        <v>615.32572099999982</v>
      </c>
      <c r="W148" s="23">
        <f>SUMPRODUCT((pm.rep!B555:P555),(1-$V$118:$AJ$118))/U148</f>
        <v>0.32646398852422787</v>
      </c>
    </row>
    <row r="149" spans="4:23" x14ac:dyDescent="0.15">
      <c r="D149">
        <f t="shared" si="137"/>
        <v>1994</v>
      </c>
      <c r="F149" s="20">
        <f>pm.rep!B556/pm.rep!B93</f>
        <v>5.6017261710615448E-5</v>
      </c>
      <c r="G149" s="20">
        <f>pm.rep!C556/pm.rep!C93</f>
        <v>2.5983560090702949E-3</v>
      </c>
      <c r="H149" s="20">
        <f>pm.rep!D556/pm.rep!D93</f>
        <v>1.6116716926351148E-2</v>
      </c>
      <c r="I149" s="20">
        <f>pm.rep!E556/pm.rep!E93</f>
        <v>7.0511600047063347E-2</v>
      </c>
      <c r="J149" s="20">
        <f>pm.rep!F556/pm.rep!F93</f>
        <v>0.1750973821234888</v>
      </c>
      <c r="K149" s="20">
        <f>pm.rep!G556/pm.rep!G93</f>
        <v>0.16983212319788793</v>
      </c>
      <c r="L149" s="20">
        <f>pm.rep!H556/pm.rep!H93</f>
        <v>0.21108265069583651</v>
      </c>
      <c r="M149" s="20">
        <f>pm.rep!I556/pm.rep!I93</f>
        <v>0.2101777217256737</v>
      </c>
      <c r="N149" s="20">
        <f>pm.rep!J556/pm.rep!J93</f>
        <v>0.2079712224829032</v>
      </c>
      <c r="O149" s="20">
        <f>pm.rep!K556/pm.rep!K93</f>
        <v>0.20370560356355252</v>
      </c>
      <c r="P149" s="20">
        <f>pm.rep!L556/pm.rep!L93</f>
        <v>0.20370539601527679</v>
      </c>
      <c r="Q149" s="20">
        <f>pm.rep!M556/pm.rep!M93</f>
        <v>0.20370572942031484</v>
      </c>
      <c r="R149" s="20">
        <f>pm.rep!N556/pm.rep!N93</f>
        <v>0.2037059003524572</v>
      </c>
      <c r="S149" s="20">
        <f>pm.rep!O556/pm.rep!O93</f>
        <v>0.20370528081551018</v>
      </c>
      <c r="T149" s="20">
        <f>pm.rep!P556/pm.rep!P93</f>
        <v>0.20370521152299551</v>
      </c>
      <c r="U149" s="27">
        <f>SUM(pm.rep!B556:P556)</f>
        <v>1818.5588820000003</v>
      </c>
      <c r="V149" s="27">
        <f>SUMPRODUCT((pm.rep!B556:P556),(1-$V$118:$AJ$118))</f>
        <v>408.88865730000003</v>
      </c>
      <c r="W149" s="23">
        <f>SUMPRODUCT((pm.rep!B556:P556),(1-$V$118:$AJ$118))/U149</f>
        <v>0.2248421326068451</v>
      </c>
    </row>
    <row r="150" spans="4:23" x14ac:dyDescent="0.15">
      <c r="D150">
        <f t="shared" si="137"/>
        <v>1995</v>
      </c>
      <c r="F150" s="20">
        <f>pm.rep!B557/pm.rep!B94</f>
        <v>4.813285770616879E-5</v>
      </c>
      <c r="G150" s="20">
        <f>pm.rep!C557/pm.rep!C94</f>
        <v>2.6864856441501973E-3</v>
      </c>
      <c r="H150" s="20">
        <f>pm.rep!D557/pm.rep!D94</f>
        <v>1.0528641273826436E-2</v>
      </c>
      <c r="I150" s="20">
        <f>pm.rep!E557/pm.rep!E94</f>
        <v>3.4053418318793674E-2</v>
      </c>
      <c r="J150" s="20">
        <f>pm.rep!F557/pm.rep!F94</f>
        <v>0.11872176551030354</v>
      </c>
      <c r="K150" s="20">
        <f>pm.rep!G557/pm.rep!G94</f>
        <v>0.22841882749987052</v>
      </c>
      <c r="L150" s="20">
        <f>pm.rep!H557/pm.rep!H94</f>
        <v>0.21200347591001253</v>
      </c>
      <c r="M150" s="20">
        <f>pm.rep!I557/pm.rep!I94</f>
        <v>0.21093328432273478</v>
      </c>
      <c r="N150" s="20">
        <f>pm.rep!J557/pm.rep!J94</f>
        <v>0.20544402260372238</v>
      </c>
      <c r="O150" s="20">
        <f>pm.rep!K557/pm.rep!K94</f>
        <v>0.19986451139421543</v>
      </c>
      <c r="P150" s="20">
        <f>pm.rep!L557/pm.rep!L94</f>
        <v>0.19986398132834599</v>
      </c>
      <c r="Q150" s="20">
        <f>pm.rep!M557/pm.rep!M94</f>
        <v>0.19986474698568141</v>
      </c>
      <c r="R150" s="20">
        <f>pm.rep!N557/pm.rep!N94</f>
        <v>0.19986423110296384</v>
      </c>
      <c r="S150" s="20">
        <f>pm.rep!O557/pm.rep!O94</f>
        <v>0.19986415576805261</v>
      </c>
      <c r="T150" s="20">
        <f>pm.rep!P557/pm.rep!P94</f>
        <v>0.19986451377567349</v>
      </c>
      <c r="U150" s="27">
        <f>SUM(pm.rep!B557:P557)</f>
        <v>1652.7296940000001</v>
      </c>
      <c r="V150" s="27">
        <f>SUMPRODUCT((pm.rep!B557:P557),(1-$V$118:$AJ$118))</f>
        <v>302.08277140000001</v>
      </c>
      <c r="W150" s="23">
        <f>SUMPRODUCT((pm.rep!B557:P557),(1-$V$118:$AJ$118))/U150</f>
        <v>0.18277808675953999</v>
      </c>
    </row>
    <row r="151" spans="4:23" x14ac:dyDescent="0.15">
      <c r="D151">
        <f t="shared" ref="D151:D168" si="138">D91</f>
        <v>1996</v>
      </c>
      <c r="F151" s="20">
        <f>pm.rep!B558/pm.rep!B95</f>
        <v>4.8860700844912822E-5</v>
      </c>
      <c r="G151" s="20">
        <f>pm.rep!C558/pm.rep!C95</f>
        <v>4.1033952288147832E-3</v>
      </c>
      <c r="H151" s="20">
        <f>pm.rep!D558/pm.rep!D95</f>
        <v>1.371452017412458E-2</v>
      </c>
      <c r="I151" s="20">
        <f>pm.rep!E558/pm.rep!E95</f>
        <v>1.9377824926502536E-2</v>
      </c>
      <c r="J151" s="20">
        <f>pm.rep!F558/pm.rep!F95</f>
        <v>6.917445902522687E-2</v>
      </c>
      <c r="K151" s="20">
        <f>pm.rep!G558/pm.rep!G95</f>
        <v>0.1919139374689631</v>
      </c>
      <c r="L151" s="20">
        <f>pm.rep!H558/pm.rep!H95</f>
        <v>0.28413964559050597</v>
      </c>
      <c r="M151" s="20">
        <f>pm.rep!I558/pm.rep!I95</f>
        <v>0.27940057350832692</v>
      </c>
      <c r="N151" s="20">
        <f>pm.rep!J558/pm.rep!J95</f>
        <v>0.25261278397405162</v>
      </c>
      <c r="O151" s="20">
        <f>pm.rep!K558/pm.rep!K95</f>
        <v>0.23184911619670398</v>
      </c>
      <c r="P151" s="20">
        <f>pm.rep!L558/pm.rep!L95</f>
        <v>0.23184868585707882</v>
      </c>
      <c r="Q151" s="20">
        <f>pm.rep!M558/pm.rep!M95</f>
        <v>0.23184933037679595</v>
      </c>
      <c r="R151" s="20">
        <f>pm.rep!N558/pm.rep!N95</f>
        <v>0.23184830437145082</v>
      </c>
      <c r="S151" s="20">
        <f>pm.rep!O558/pm.rep!O95</f>
        <v>0.23184953703703703</v>
      </c>
      <c r="T151" s="20">
        <f>pm.rep!P558/pm.rep!P95</f>
        <v>0.23184846977411783</v>
      </c>
      <c r="U151" s="27">
        <f>SUM(pm.rep!B558:P558)</f>
        <v>1521.3051499999999</v>
      </c>
      <c r="V151" s="27">
        <f>SUMPRODUCT((pm.rep!B558:P558),(1-$V$118:$AJ$118))</f>
        <v>223.47049040000002</v>
      </c>
      <c r="W151" s="23">
        <f>SUMPRODUCT((pm.rep!B558:P558),(1-$V$118:$AJ$118))/U151</f>
        <v>0.14689392880843138</v>
      </c>
    </row>
    <row r="152" spans="4:23" x14ac:dyDescent="0.15">
      <c r="D152">
        <f t="shared" si="138"/>
        <v>1997</v>
      </c>
      <c r="F152" s="20">
        <f>pm.rep!B559/pm.rep!B96</f>
        <v>4.5156262027557535E-5</v>
      </c>
      <c r="G152" s="20">
        <f>pm.rep!C559/pm.rep!C96</f>
        <v>5.6137066894889282E-3</v>
      </c>
      <c r="H152" s="20">
        <f>pm.rep!D559/pm.rep!D96</f>
        <v>1.62888016555373E-2</v>
      </c>
      <c r="I152" s="20">
        <f>pm.rep!E559/pm.rep!E96</f>
        <v>3.3043027976010095E-2</v>
      </c>
      <c r="J152" s="20">
        <f>pm.rep!F559/pm.rep!F96</f>
        <v>7.1852681806352681E-2</v>
      </c>
      <c r="K152" s="20">
        <f>pm.rep!G559/pm.rep!G96</f>
        <v>0.1424032816280886</v>
      </c>
      <c r="L152" s="20">
        <f>pm.rep!H559/pm.rep!H96</f>
        <v>0.22669216158897529</v>
      </c>
      <c r="M152" s="20">
        <f>pm.rep!I559/pm.rep!I96</f>
        <v>0.25527527389021182</v>
      </c>
      <c r="N152" s="20">
        <f>pm.rep!J559/pm.rep!J96</f>
        <v>0.26684258080413981</v>
      </c>
      <c r="O152" s="20">
        <f>pm.rep!K559/pm.rep!K96</f>
        <v>0.25297091343759343</v>
      </c>
      <c r="P152" s="20">
        <f>pm.rep!L559/pm.rep!L96</f>
        <v>0.25297226776678833</v>
      </c>
      <c r="Q152" s="20">
        <f>pm.rep!M559/pm.rep!M96</f>
        <v>0.25297174778247755</v>
      </c>
      <c r="R152" s="20">
        <f>pm.rep!N559/pm.rep!N96</f>
        <v>0.25297184411338114</v>
      </c>
      <c r="S152" s="20">
        <f>pm.rep!O559/pm.rep!O96</f>
        <v>0.25297213591947548</v>
      </c>
      <c r="T152" s="20">
        <f>pm.rep!P559/pm.rep!P96</f>
        <v>0.25297095368289979</v>
      </c>
      <c r="U152" s="27">
        <f>SUM(pm.rep!B559:P559)</f>
        <v>1536.5118500000003</v>
      </c>
      <c r="V152" s="27">
        <f>SUMPRODUCT((pm.rep!B559:P559),(1-$V$118:$AJ$118))</f>
        <v>247.23516000000004</v>
      </c>
      <c r="W152" s="23">
        <f>SUMPRODUCT((pm.rep!B559:P559),(1-$V$118:$AJ$118))/U152</f>
        <v>0.1609067707483024</v>
      </c>
    </row>
    <row r="153" spans="4:23" x14ac:dyDescent="0.15">
      <c r="D153">
        <f t="shared" si="138"/>
        <v>1998</v>
      </c>
      <c r="F153" s="20">
        <f>pm.rep!B560/pm.rep!B97</f>
        <v>3.4675902602854745E-5</v>
      </c>
      <c r="G153" s="20">
        <f>pm.rep!C560/pm.rep!C97</f>
        <v>3.6777196594952391E-3</v>
      </c>
      <c r="H153" s="20">
        <f>pm.rep!D560/pm.rep!D97</f>
        <v>1.9498536293800814E-2</v>
      </c>
      <c r="I153" s="20">
        <f>pm.rep!E560/pm.rep!E97</f>
        <v>3.986542412679777E-2</v>
      </c>
      <c r="J153" s="20">
        <f>pm.rep!F560/pm.rep!F97</f>
        <v>7.3970144231218629E-2</v>
      </c>
      <c r="K153" s="20">
        <f>pm.rep!G560/pm.rep!G97</f>
        <v>0.1523003165573244</v>
      </c>
      <c r="L153" s="20">
        <f>pm.rep!H560/pm.rep!H97</f>
        <v>0.16192388825319726</v>
      </c>
      <c r="M153" s="20">
        <f>pm.rep!I560/pm.rep!I97</f>
        <v>0.21361980757661256</v>
      </c>
      <c r="N153" s="20">
        <f>pm.rep!J560/pm.rep!J97</f>
        <v>0.23255789182164846</v>
      </c>
      <c r="O153" s="20">
        <f>pm.rep!K560/pm.rep!K97</f>
        <v>0.21940577132022412</v>
      </c>
      <c r="P153" s="20">
        <f>pm.rep!L560/pm.rep!L97</f>
        <v>0.21940497167434017</v>
      </c>
      <c r="Q153" s="20">
        <f>pm.rep!M560/pm.rep!M97</f>
        <v>0.21940550763906588</v>
      </c>
      <c r="R153" s="20">
        <f>pm.rep!N560/pm.rep!N97</f>
        <v>0.21940551844006301</v>
      </c>
      <c r="S153" s="20">
        <f>pm.rep!O560/pm.rep!O97</f>
        <v>0.21940500850868169</v>
      </c>
      <c r="T153" s="20">
        <f>pm.rep!P560/pm.rep!P97</f>
        <v>0.21940540864125474</v>
      </c>
      <c r="U153" s="27">
        <f>SUM(pm.rep!B560:P560)</f>
        <v>1558.3896069999998</v>
      </c>
      <c r="V153" s="27">
        <f>SUMPRODUCT((pm.rep!B560:P560),(1-$V$118:$AJ$118))</f>
        <v>267.80091550000003</v>
      </c>
      <c r="W153" s="23">
        <f>SUMPRODUCT((pm.rep!B560:P560),(1-$V$118:$AJ$118))/U153</f>
        <v>0.17184464930790574</v>
      </c>
    </row>
    <row r="154" spans="4:23" x14ac:dyDescent="0.15">
      <c r="D154">
        <f t="shared" si="138"/>
        <v>1999</v>
      </c>
      <c r="F154" s="20">
        <f>pm.rep!B561/pm.rep!B98</f>
        <v>2.3576195541715448E-5</v>
      </c>
      <c r="G154" s="20">
        <f>pm.rep!C561/pm.rep!C98</f>
        <v>2.0293584977599845E-3</v>
      </c>
      <c r="H154" s="20">
        <f>pm.rep!D561/pm.rep!D98</f>
        <v>3.4199519466814494E-2</v>
      </c>
      <c r="I154" s="20">
        <f>pm.rep!E561/pm.rep!E98</f>
        <v>5.2287554111031379E-2</v>
      </c>
      <c r="J154" s="20">
        <f>pm.rep!F561/pm.rep!F98</f>
        <v>7.3032300045688031E-2</v>
      </c>
      <c r="K154" s="20">
        <f>pm.rep!G561/pm.rep!G98</f>
        <v>0.10631251465860959</v>
      </c>
      <c r="L154" s="20">
        <f>pm.rep!H561/pm.rep!H98</f>
        <v>0.17361214902381963</v>
      </c>
      <c r="M154" s="20">
        <f>pm.rep!I561/pm.rep!I98</f>
        <v>0.16672866150559632</v>
      </c>
      <c r="N154" s="20">
        <f>pm.rep!J561/pm.rep!J98</f>
        <v>0.16166959172491288</v>
      </c>
      <c r="O154" s="20">
        <f>pm.rep!K561/pm.rep!K98</f>
        <v>0.15336320582592081</v>
      </c>
      <c r="P154" s="20">
        <f>pm.rep!L561/pm.rep!L98</f>
        <v>0.15336342268814257</v>
      </c>
      <c r="Q154" s="20">
        <f>pm.rep!M561/pm.rep!M98</f>
        <v>0.15336251560282474</v>
      </c>
      <c r="R154" s="20">
        <f>pm.rep!N561/pm.rep!N98</f>
        <v>0.15336305607575063</v>
      </c>
      <c r="S154" s="20">
        <f>pm.rep!O561/pm.rep!O98</f>
        <v>0.15336342213328202</v>
      </c>
      <c r="T154" s="20">
        <f>pm.rep!P561/pm.rep!P98</f>
        <v>0.15336352657004831</v>
      </c>
      <c r="U154" s="27">
        <f>SUM(pm.rep!B561:P561)</f>
        <v>1474.2833089999999</v>
      </c>
      <c r="V154" s="27">
        <f>SUMPRODUCT((pm.rep!B561:P561),(1-$V$118:$AJ$118))</f>
        <v>351.69256100000001</v>
      </c>
      <c r="W154" s="23">
        <f>SUMPRODUCT((pm.rep!B561:P561),(1-$V$118:$AJ$118))/U154</f>
        <v>0.23855154491205058</v>
      </c>
    </row>
    <row r="155" spans="4:23" x14ac:dyDescent="0.15">
      <c r="D155">
        <f t="shared" si="138"/>
        <v>2000</v>
      </c>
      <c r="F155" s="20">
        <f>pm.rep!B562/pm.rep!B99</f>
        <v>2.3430791905703224E-5</v>
      </c>
      <c r="G155" s="20">
        <f>pm.rep!C562/pm.rep!C99</f>
        <v>1.9682948042361302E-3</v>
      </c>
      <c r="H155" s="20">
        <f>pm.rep!D562/pm.rep!D99</f>
        <v>2.0583189709004621E-2</v>
      </c>
      <c r="I155" s="20">
        <f>pm.rep!E562/pm.rep!E99</f>
        <v>7.3751825531587822E-2</v>
      </c>
      <c r="J155" s="20">
        <f>pm.rep!F562/pm.rep!F99</f>
        <v>0.11597585092799412</v>
      </c>
      <c r="K155" s="20">
        <f>pm.rep!G562/pm.rep!G99</f>
        <v>0.11512713438404421</v>
      </c>
      <c r="L155" s="20">
        <f>pm.rep!H562/pm.rep!H99</f>
        <v>0.17782853309927393</v>
      </c>
      <c r="M155" s="20">
        <f>pm.rep!I562/pm.rep!I99</f>
        <v>0.22032296279402727</v>
      </c>
      <c r="N155" s="20">
        <f>pm.rep!J562/pm.rep!J99</f>
        <v>0.18078951229405624</v>
      </c>
      <c r="O155" s="20">
        <f>pm.rep!K562/pm.rep!K99</f>
        <v>0.16200291561329372</v>
      </c>
      <c r="P155" s="20">
        <f>pm.rep!L562/pm.rep!L99</f>
        <v>0.1620034608976462</v>
      </c>
      <c r="Q155" s="20">
        <f>pm.rep!M562/pm.rep!M99</f>
        <v>0.16200279753344235</v>
      </c>
      <c r="R155" s="20">
        <f>pm.rep!N562/pm.rep!N99</f>
        <v>0.16200255947700326</v>
      </c>
      <c r="S155" s="20">
        <f>pm.rep!O562/pm.rep!O99</f>
        <v>0.16200284203674009</v>
      </c>
      <c r="T155" s="20">
        <f>pm.rep!P562/pm.rep!P99</f>
        <v>0.16200298034392221</v>
      </c>
      <c r="U155" s="27">
        <f>SUM(pm.rep!B562:P562)</f>
        <v>1644.6485870000004</v>
      </c>
      <c r="V155" s="27">
        <f>SUMPRODUCT((pm.rep!B562:P562),(1-$V$118:$AJ$118))</f>
        <v>313.93743860000006</v>
      </c>
      <c r="W155" s="23">
        <f>SUMPRODUCT((pm.rep!B562:P562),(1-$V$118:$AJ$118))/U155</f>
        <v>0.19088420534422651</v>
      </c>
    </row>
    <row r="156" spans="4:23" x14ac:dyDescent="0.15">
      <c r="D156">
        <f t="shared" si="138"/>
        <v>2001</v>
      </c>
      <c r="F156" s="20">
        <f>pm.rep!B563/pm.rep!B100</f>
        <v>2.476220268383968E-5</v>
      </c>
      <c r="G156" s="20">
        <f>pm.rep!C563/pm.rep!C100</f>
        <v>1.7096654487325873E-3</v>
      </c>
      <c r="H156" s="20">
        <f>pm.rep!D563/pm.rep!D100</f>
        <v>1.5483390593939952E-2</v>
      </c>
      <c r="I156" s="20">
        <f>pm.rep!E563/pm.rep!E100</f>
        <v>5.9721267593472065E-2</v>
      </c>
      <c r="J156" s="20">
        <f>pm.rep!F563/pm.rep!F100</f>
        <v>0.15398221420286121</v>
      </c>
      <c r="K156" s="20">
        <f>pm.rep!G563/pm.rep!G100</f>
        <v>0.21598338924500865</v>
      </c>
      <c r="L156" s="20">
        <f>pm.rep!H563/pm.rep!H100</f>
        <v>0.21247895288623442</v>
      </c>
      <c r="M156" s="20">
        <f>pm.rep!I563/pm.rep!I100</f>
        <v>0.21174637485364317</v>
      </c>
      <c r="N156" s="20">
        <f>pm.rep!J563/pm.rep!J100</f>
        <v>0.19666815140685814</v>
      </c>
      <c r="O156" s="20">
        <f>pm.rep!K563/pm.rep!K100</f>
        <v>0.18513149233038026</v>
      </c>
      <c r="P156" s="20">
        <f>pm.rep!L563/pm.rep!L100</f>
        <v>0.18513148325358852</v>
      </c>
      <c r="Q156" s="20">
        <f>pm.rep!M563/pm.rep!M100</f>
        <v>0.18513149410955923</v>
      </c>
      <c r="R156" s="20">
        <f>pm.rep!N563/pm.rep!N100</f>
        <v>0.18513207793906106</v>
      </c>
      <c r="S156" s="20">
        <f>pm.rep!O563/pm.rep!O100</f>
        <v>0.18513102376710194</v>
      </c>
      <c r="T156" s="20">
        <f>pm.rep!P563/pm.rep!P100</f>
        <v>0.18513125447710574</v>
      </c>
      <c r="U156" s="27">
        <f>SUM(pm.rep!B563:P563)</f>
        <v>1789.4031519999999</v>
      </c>
      <c r="V156" s="27">
        <f>SUMPRODUCT((pm.rep!B563:P563),(1-$V$118:$AJ$118))</f>
        <v>280.39797700000003</v>
      </c>
      <c r="W156" s="23">
        <f>SUMPRODUCT((pm.rep!B563:P563),(1-$V$118:$AJ$118))/U156</f>
        <v>0.15669916345380397</v>
      </c>
    </row>
    <row r="157" spans="4:23" x14ac:dyDescent="0.15">
      <c r="D157">
        <f t="shared" si="138"/>
        <v>2002</v>
      </c>
      <c r="F157" s="20">
        <f>pm.rep!B564/pm.rep!B101</f>
        <v>2.7583772409589258E-5</v>
      </c>
      <c r="G157" s="20">
        <f>pm.rep!C564/pm.rep!C101</f>
        <v>2.8897688956371274E-3</v>
      </c>
      <c r="H157" s="20">
        <f>pm.rep!D564/pm.rep!D101</f>
        <v>1.8543226603379408E-2</v>
      </c>
      <c r="I157" s="20">
        <f>pm.rep!E564/pm.rep!E101</f>
        <v>6.8407619974162087E-2</v>
      </c>
      <c r="J157" s="20">
        <f>pm.rep!F564/pm.rep!F101</f>
        <v>0.14600145228735259</v>
      </c>
      <c r="K157" s="20">
        <f>pm.rep!G564/pm.rep!G101</f>
        <v>0.26249339113883896</v>
      </c>
      <c r="L157" s="20">
        <f>pm.rep!H564/pm.rep!H101</f>
        <v>0.25940348594968093</v>
      </c>
      <c r="M157" s="20">
        <f>pm.rep!I564/pm.rep!I101</f>
        <v>0.2562361512643665</v>
      </c>
      <c r="N157" s="20">
        <f>pm.rep!J564/pm.rep!J101</f>
        <v>0.2372379195536759</v>
      </c>
      <c r="O157" s="20">
        <f>pm.rep!K564/pm.rep!K101</f>
        <v>0.20482745947155218</v>
      </c>
      <c r="P157" s="20">
        <f>pm.rep!L564/pm.rep!L101</f>
        <v>0.20482804733429213</v>
      </c>
      <c r="Q157" s="20">
        <f>pm.rep!M564/pm.rep!M101</f>
        <v>0.20482875349774082</v>
      </c>
      <c r="R157" s="20">
        <f>pm.rep!N564/pm.rep!N101</f>
        <v>0.20482796882180937</v>
      </c>
      <c r="S157" s="20">
        <f>pm.rep!O564/pm.rep!O101</f>
        <v>0.20482804640756336</v>
      </c>
      <c r="T157" s="20">
        <f>pm.rep!P564/pm.rep!P101</f>
        <v>0.20482851137276348</v>
      </c>
      <c r="U157" s="27">
        <f>SUM(pm.rep!B564:P564)</f>
        <v>1900.9675509999997</v>
      </c>
      <c r="V157" s="27">
        <f>SUMPRODUCT((pm.rep!B564:P564),(1-$V$118:$AJ$118))</f>
        <v>336.12999130000003</v>
      </c>
      <c r="W157" s="23">
        <f>SUMPRODUCT((pm.rep!B564:P564),(1-$V$118:$AJ$118))/U157</f>
        <v>0.17682047814187024</v>
      </c>
    </row>
    <row r="158" spans="4:23" x14ac:dyDescent="0.15">
      <c r="D158">
        <f t="shared" si="138"/>
        <v>2003</v>
      </c>
      <c r="F158" s="20">
        <f>pm.rep!B565/pm.rep!B102</f>
        <v>2.7539708044169429E-5</v>
      </c>
      <c r="G158" s="20">
        <f>pm.rep!C565/pm.rep!C102</f>
        <v>2.0232684238307764E-3</v>
      </c>
      <c r="H158" s="20">
        <f>pm.rep!D565/pm.rep!D102</f>
        <v>4.0452561266396465E-2</v>
      </c>
      <c r="I158" s="20">
        <f>pm.rep!E565/pm.rep!E102</f>
        <v>6.9899083250129945E-2</v>
      </c>
      <c r="J158" s="20">
        <f>pm.rep!F565/pm.rep!F102</f>
        <v>0.17017296136146887</v>
      </c>
      <c r="K158" s="20">
        <f>pm.rep!G565/pm.rep!G102</f>
        <v>0.24700231622577104</v>
      </c>
      <c r="L158" s="20">
        <f>pm.rep!H565/pm.rep!H102</f>
        <v>0.27891636642892736</v>
      </c>
      <c r="M158" s="20">
        <f>pm.rep!I565/pm.rep!I102</f>
        <v>0.2735866660627746</v>
      </c>
      <c r="N158" s="20">
        <f>pm.rep!J565/pm.rep!J102</f>
        <v>0.24402486722831304</v>
      </c>
      <c r="O158" s="20">
        <f>pm.rep!K565/pm.rep!K102</f>
        <v>0.20430790328831649</v>
      </c>
      <c r="P158" s="20">
        <f>pm.rep!L565/pm.rep!L102</f>
        <v>0.20430881549015112</v>
      </c>
      <c r="Q158" s="20">
        <f>pm.rep!M565/pm.rep!M102</f>
        <v>0.20430832082187994</v>
      </c>
      <c r="R158" s="20">
        <f>pm.rep!N565/pm.rep!N102</f>
        <v>0.20430872386746454</v>
      </c>
      <c r="S158" s="20">
        <f>pm.rep!O565/pm.rep!O102</f>
        <v>0.20430858062868357</v>
      </c>
      <c r="T158" s="20">
        <f>pm.rep!P565/pm.rep!P102</f>
        <v>0.20430802692195713</v>
      </c>
      <c r="U158" s="27">
        <f>SUM(pm.rep!B565:P565)</f>
        <v>2071.6774220000002</v>
      </c>
      <c r="V158" s="27">
        <f>SUMPRODUCT((pm.rep!B565:P565),(1-$V$118:$AJ$118))</f>
        <v>521.96571280000012</v>
      </c>
      <c r="W158" s="23">
        <f>SUMPRODUCT((pm.rep!B565:P565),(1-$V$118:$AJ$118))/U158</f>
        <v>0.25195317922425092</v>
      </c>
    </row>
    <row r="159" spans="4:23" x14ac:dyDescent="0.15">
      <c r="D159">
        <f t="shared" si="138"/>
        <v>2004</v>
      </c>
      <c r="F159" s="20">
        <f>pm.rep!B566/pm.rep!B103</f>
        <v>2.3217518063507649E-5</v>
      </c>
      <c r="G159" s="20">
        <f>pm.rep!C566/pm.rep!C103</f>
        <v>1.428099804575161E-3</v>
      </c>
      <c r="H159" s="20">
        <f>pm.rep!D566/pm.rep!D103</f>
        <v>1.7562538246297277E-2</v>
      </c>
      <c r="I159" s="20">
        <f>pm.rep!E566/pm.rep!E103</f>
        <v>0.12685826569998232</v>
      </c>
      <c r="J159" s="20">
        <f>pm.rep!F566/pm.rep!F103</f>
        <v>0.15106899873380145</v>
      </c>
      <c r="K159" s="20">
        <f>pm.rep!G566/pm.rep!G103</f>
        <v>0.19661226393098624</v>
      </c>
      <c r="L159" s="20">
        <f>pm.rep!H566/pm.rep!H103</f>
        <v>0.2478789001670543</v>
      </c>
      <c r="M159" s="20">
        <f>pm.rep!I566/pm.rep!I103</f>
        <v>0.24222227986498621</v>
      </c>
      <c r="N159" s="20">
        <f>pm.rep!J566/pm.rep!J103</f>
        <v>0.21454426888456524</v>
      </c>
      <c r="O159" s="20">
        <f>pm.rep!K566/pm.rep!K103</f>
        <v>0.1840024414435035</v>
      </c>
      <c r="P159" s="20">
        <f>pm.rep!L566/pm.rep!L103</f>
        <v>0.1840029539611272</v>
      </c>
      <c r="Q159" s="20">
        <f>pm.rep!M566/pm.rep!M103</f>
        <v>0.18400236458106467</v>
      </c>
      <c r="R159" s="20">
        <f>pm.rep!N566/pm.rep!N103</f>
        <v>0.18400296332395338</v>
      </c>
      <c r="S159" s="20">
        <f>pm.rep!O566/pm.rep!O103</f>
        <v>0.18400248708393496</v>
      </c>
      <c r="T159" s="20">
        <f>pm.rep!P566/pm.rep!P103</f>
        <v>0.1840024678475897</v>
      </c>
      <c r="U159" s="27">
        <f>SUM(pm.rep!B566:P566)</f>
        <v>2156.2411250000005</v>
      </c>
      <c r="V159" s="27">
        <f>SUMPRODUCT((pm.rep!B566:P566),(1-$V$118:$AJ$118))</f>
        <v>504.42132392000002</v>
      </c>
      <c r="W159" s="23">
        <f>SUMPRODUCT((pm.rep!B566:P566),(1-$V$118:$AJ$118))/U159</f>
        <v>0.23393548990027724</v>
      </c>
    </row>
    <row r="160" spans="4:23" x14ac:dyDescent="0.15">
      <c r="D160">
        <f t="shared" si="138"/>
        <v>2005</v>
      </c>
      <c r="F160" s="20">
        <f>pm.rep!B567/pm.rep!B104</f>
        <v>2.0997371525550016E-5</v>
      </c>
      <c r="G160" s="20">
        <f>pm.rep!C567/pm.rep!C104</f>
        <v>1.4994425327164772E-3</v>
      </c>
      <c r="H160" s="20">
        <f>pm.rep!D567/pm.rep!D104</f>
        <v>1.705241213120472E-2</v>
      </c>
      <c r="I160" s="20">
        <f>pm.rep!E567/pm.rep!E104</f>
        <v>8.8216384091551206E-2</v>
      </c>
      <c r="J160" s="20">
        <f>pm.rep!F567/pm.rep!F104</f>
        <v>0.21264259769433419</v>
      </c>
      <c r="K160" s="20">
        <f>pm.rep!G567/pm.rep!G104</f>
        <v>0.2366942410605993</v>
      </c>
      <c r="L160" s="20">
        <f>pm.rep!H567/pm.rep!H104</f>
        <v>0.21616085481231845</v>
      </c>
      <c r="M160" s="20">
        <f>pm.rep!I567/pm.rep!I104</f>
        <v>0.19997399978622044</v>
      </c>
      <c r="N160" s="20">
        <f>pm.rep!J567/pm.rep!J104</f>
        <v>0.18962903905442399</v>
      </c>
      <c r="O160" s="20">
        <f>pm.rep!K567/pm.rep!K104</f>
        <v>0.16661410083700975</v>
      </c>
      <c r="P160" s="20">
        <f>pm.rep!L567/pm.rep!L104</f>
        <v>0.16661376831917385</v>
      </c>
      <c r="Q160" s="20">
        <f>pm.rep!M567/pm.rep!M104</f>
        <v>0.16661406485874972</v>
      </c>
      <c r="R160" s="20">
        <f>pm.rep!N567/pm.rep!N104</f>
        <v>0.16661427626117914</v>
      </c>
      <c r="S160" s="20">
        <f>pm.rep!O567/pm.rep!O104</f>
        <v>0.16661394801043156</v>
      </c>
      <c r="T160" s="20">
        <f>pm.rep!P567/pm.rep!P104</f>
        <v>0.16661381086785695</v>
      </c>
      <c r="U160" s="27">
        <f>SUM(pm.rep!B567:P567)</f>
        <v>2187.0251729999995</v>
      </c>
      <c r="V160" s="27">
        <f>SUMPRODUCT((pm.rep!B567:P567),(1-$V$118:$AJ$118))</f>
        <v>391.97294281999996</v>
      </c>
      <c r="W160" s="23">
        <f>SUMPRODUCT((pm.rep!B567:P567),(1-$V$118:$AJ$118))/U160</f>
        <v>0.17922653459096699</v>
      </c>
    </row>
    <row r="161" spans="4:23" x14ac:dyDescent="0.15">
      <c r="D161">
        <f t="shared" si="138"/>
        <v>2006</v>
      </c>
      <c r="F161" s="20">
        <f>pm.rep!B568/pm.rep!B105</f>
        <v>2.5127257833299201E-5</v>
      </c>
      <c r="G161" s="20">
        <f>pm.rep!C568/pm.rep!C105</f>
        <v>2.342264147101346E-3</v>
      </c>
      <c r="H161" s="20">
        <f>pm.rep!D568/pm.rep!D105</f>
        <v>3.8638874177196039E-2</v>
      </c>
      <c r="I161" s="20">
        <f>pm.rep!E568/pm.rep!E105</f>
        <v>0.10373925287711805</v>
      </c>
      <c r="J161" s="20">
        <f>pm.rep!F568/pm.rep!F105</f>
        <v>0.20559508365542792</v>
      </c>
      <c r="K161" s="20">
        <f>pm.rep!G568/pm.rep!G105</f>
        <v>0.26856691340162681</v>
      </c>
      <c r="L161" s="20">
        <f>pm.rep!H568/pm.rep!H105</f>
        <v>0.25780818397892974</v>
      </c>
      <c r="M161" s="20">
        <f>pm.rep!I568/pm.rep!I105</f>
        <v>0.24719388376226537</v>
      </c>
      <c r="N161" s="20">
        <f>pm.rep!J568/pm.rep!J105</f>
        <v>0.22609197672475348</v>
      </c>
      <c r="O161" s="20">
        <f>pm.rep!K568/pm.rep!K105</f>
        <v>0.2065375657498757</v>
      </c>
      <c r="P161" s="20">
        <f>pm.rep!L568/pm.rep!L105</f>
        <v>0.20653802472953733</v>
      </c>
      <c r="Q161" s="20">
        <f>pm.rep!M568/pm.rep!M105</f>
        <v>0.20653786842794378</v>
      </c>
      <c r="R161" s="20">
        <f>pm.rep!N568/pm.rep!N105</f>
        <v>0.20653738528659546</v>
      </c>
      <c r="S161" s="20">
        <f>pm.rep!O568/pm.rep!O105</f>
        <v>0.20653752509504078</v>
      </c>
      <c r="T161" s="20">
        <f>pm.rep!P568/pm.rep!P105</f>
        <v>0.20653744533920601</v>
      </c>
      <c r="U161" s="27">
        <f>SUM(pm.rep!B568:P568)</f>
        <v>2113.7006910000005</v>
      </c>
      <c r="V161" s="27">
        <f>SUMPRODUCT((pm.rep!B568:P568),(1-$V$118:$AJ$118))</f>
        <v>333.31744829999997</v>
      </c>
      <c r="W161" s="23">
        <f>SUMPRODUCT((pm.rep!B568:P568),(1-$V$118:$AJ$118))/U161</f>
        <v>0.15769377836665519</v>
      </c>
    </row>
    <row r="162" spans="4:23" x14ac:dyDescent="0.15">
      <c r="D162">
        <f t="shared" si="138"/>
        <v>2007</v>
      </c>
      <c r="F162" s="20">
        <f>pm.rep!B569/pm.rep!B106</f>
        <v>2.5231124836588921E-5</v>
      </c>
      <c r="G162" s="20">
        <f>pm.rep!C569/pm.rep!C106</f>
        <v>2.6382928136497535E-3</v>
      </c>
      <c r="H162" s="20">
        <f>pm.rep!D569/pm.rep!D106</f>
        <v>3.8053471482676612E-2</v>
      </c>
      <c r="I162" s="20">
        <f>pm.rep!E569/pm.rep!E106</f>
        <v>0.10186756796763212</v>
      </c>
      <c r="J162" s="20">
        <f>pm.rep!F569/pm.rep!F106</f>
        <v>0.2053716887232476</v>
      </c>
      <c r="K162" s="20">
        <f>pm.rep!G569/pm.rep!G106</f>
        <v>0.29414455680790574</v>
      </c>
      <c r="L162" s="20">
        <f>pm.rep!H569/pm.rep!H106</f>
        <v>0.26759206370539612</v>
      </c>
      <c r="M162" s="20">
        <f>pm.rep!I569/pm.rep!I106</f>
        <v>0.24578726548275587</v>
      </c>
      <c r="N162" s="20">
        <f>pm.rep!J569/pm.rep!J106</f>
        <v>0.23215708228556742</v>
      </c>
      <c r="O162" s="20">
        <f>pm.rep!K569/pm.rep!K106</f>
        <v>0.21918420493688068</v>
      </c>
      <c r="P162" s="20">
        <f>pm.rep!L569/pm.rep!L106</f>
        <v>0.21918504998471272</v>
      </c>
      <c r="Q162" s="20">
        <f>pm.rep!M569/pm.rep!M106</f>
        <v>0.2191842367061391</v>
      </c>
      <c r="R162" s="20">
        <f>pm.rep!N569/pm.rep!N106</f>
        <v>0.21918496847830565</v>
      </c>
      <c r="S162" s="20">
        <f>pm.rep!O569/pm.rep!O106</f>
        <v>0.21918443002780352</v>
      </c>
      <c r="T162" s="20">
        <f>pm.rep!P569/pm.rep!P106</f>
        <v>0.2191835201765362</v>
      </c>
      <c r="U162" s="27">
        <f>SUM(pm.rep!B569:P569)</f>
        <v>1638.441282</v>
      </c>
      <c r="V162" s="27">
        <f>SUMPRODUCT((pm.rep!B569:P569),(1-$V$118:$AJ$118))</f>
        <v>222.9159564</v>
      </c>
      <c r="W162" s="23">
        <f>SUMPRODUCT((pm.rep!B569:P569),(1-$V$118:$AJ$118))/U162</f>
        <v>0.13605367421400213</v>
      </c>
    </row>
    <row r="163" spans="4:23" x14ac:dyDescent="0.15">
      <c r="D163">
        <f t="shared" si="138"/>
        <v>2008</v>
      </c>
      <c r="F163" s="20">
        <f>pm.rep!B570/pm.rep!B107</f>
        <v>2.4975653791443263E-5</v>
      </c>
      <c r="G163" s="20">
        <f>pm.rep!C570/pm.rep!C107</f>
        <v>2.2641949073556275E-3</v>
      </c>
      <c r="H163" s="20">
        <f>pm.rep!D570/pm.rep!D107</f>
        <v>2.1652722251988627E-2</v>
      </c>
      <c r="I163" s="20">
        <f>pm.rep!E570/pm.rep!E107</f>
        <v>9.3714252119575847E-2</v>
      </c>
      <c r="J163" s="20">
        <f>pm.rep!F570/pm.rep!F107</f>
        <v>0.19220009107399386</v>
      </c>
      <c r="K163" s="20">
        <f>pm.rep!G570/pm.rep!G107</f>
        <v>0.30517214181488345</v>
      </c>
      <c r="L163" s="20">
        <f>pm.rep!H570/pm.rep!H107</f>
        <v>0.28994262279299921</v>
      </c>
      <c r="M163" s="20">
        <f>pm.rep!I570/pm.rep!I107</f>
        <v>0.26319896734675846</v>
      </c>
      <c r="N163" s="20">
        <f>pm.rep!J570/pm.rep!J107</f>
        <v>0.25959834202787324</v>
      </c>
      <c r="O163" s="20">
        <f>pm.rep!K570/pm.rep!K107</f>
        <v>0.23961720709839263</v>
      </c>
      <c r="P163" s="20">
        <f>pm.rep!L570/pm.rep!L107</f>
        <v>0.23961802946258526</v>
      </c>
      <c r="Q163" s="20">
        <f>pm.rep!M570/pm.rep!M107</f>
        <v>0.23961744660150355</v>
      </c>
      <c r="R163" s="20">
        <f>pm.rep!N570/pm.rep!N107</f>
        <v>0.23961722390255866</v>
      </c>
      <c r="S163" s="20">
        <f>pm.rep!O570/pm.rep!O107</f>
        <v>0.23961655700531578</v>
      </c>
      <c r="T163" s="20">
        <f>pm.rep!P570/pm.rep!P107</f>
        <v>0.23961713924219902</v>
      </c>
      <c r="U163" s="27">
        <f>SUM(pm.rep!B570:P570)</f>
        <v>1194.4739439999996</v>
      </c>
      <c r="V163" s="27">
        <f>SUMPRODUCT((pm.rep!B570:P570),(1-$V$118:$AJ$118))</f>
        <v>178.64127920000001</v>
      </c>
      <c r="W163" s="23">
        <f>SUMPRODUCT((pm.rep!B570:P570),(1-$V$118:$AJ$118))/U163</f>
        <v>0.14955644708479307</v>
      </c>
    </row>
    <row r="164" spans="4:23" x14ac:dyDescent="0.15">
      <c r="D164">
        <f t="shared" si="138"/>
        <v>2009</v>
      </c>
      <c r="F164" s="20">
        <f>pm.rep!B571/pm.rep!B108</f>
        <v>2.224392505963401E-5</v>
      </c>
      <c r="G164" s="20">
        <f>pm.rep!C571/pm.rep!C108</f>
        <v>1.4908937375626807E-3</v>
      </c>
      <c r="H164" s="20">
        <f>pm.rep!D571/pm.rep!D108</f>
        <v>2.0821490503504111E-2</v>
      </c>
      <c r="I164" s="20">
        <f>pm.rep!E571/pm.rep!E108</f>
        <v>8.4530059346138997E-2</v>
      </c>
      <c r="J164" s="20">
        <f>pm.rep!F571/pm.rep!F108</f>
        <v>0.13874025880685997</v>
      </c>
      <c r="K164" s="20">
        <f>pm.rep!G571/pm.rep!G108</f>
        <v>0.22959571847443402</v>
      </c>
      <c r="L164" s="20">
        <f>pm.rep!H571/pm.rep!H108</f>
        <v>0.25484764542936289</v>
      </c>
      <c r="M164" s="20">
        <f>pm.rep!I571/pm.rep!I108</f>
        <v>0.24950677620167802</v>
      </c>
      <c r="N164" s="20">
        <f>pm.rep!J571/pm.rep!J108</f>
        <v>0.25496814238802384</v>
      </c>
      <c r="O164" s="20">
        <f>pm.rep!K571/pm.rep!K108</f>
        <v>0.25067665538907685</v>
      </c>
      <c r="P164" s="20">
        <f>pm.rep!L571/pm.rep!L108</f>
        <v>0.25067714870846269</v>
      </c>
      <c r="Q164" s="20">
        <f>pm.rep!M571/pm.rep!M108</f>
        <v>0.25067691056961022</v>
      </c>
      <c r="R164" s="20">
        <f>pm.rep!N571/pm.rep!N108</f>
        <v>0.250677417346367</v>
      </c>
      <c r="S164" s="20">
        <f>pm.rep!O571/pm.rep!O108</f>
        <v>0.25067647711775715</v>
      </c>
      <c r="T164" s="20">
        <f>pm.rep!P571/pm.rep!P108</f>
        <v>0.25067724450946188</v>
      </c>
      <c r="U164" s="27">
        <f>SUM(pm.rep!B571:P571)</f>
        <v>920.98870999999997</v>
      </c>
      <c r="V164" s="27">
        <f>SUMPRODUCT((pm.rep!B571:P571),(1-$V$118:$AJ$118))</f>
        <v>216.23697296000006</v>
      </c>
      <c r="W164" s="23">
        <f>SUMPRODUCT((pm.rep!B571:P571),(1-$V$118:$AJ$118))/U164</f>
        <v>0.23478786505428506</v>
      </c>
    </row>
    <row r="165" spans="4:23" x14ac:dyDescent="0.15">
      <c r="D165">
        <f t="shared" si="138"/>
        <v>2010</v>
      </c>
      <c r="F165" s="20">
        <f>pm.rep!B572/pm.rep!B109</f>
        <v>1.8712805720863465E-5</v>
      </c>
      <c r="G165" s="20">
        <f>pm.rep!C572/pm.rep!C109</f>
        <v>1.315594824047871E-3</v>
      </c>
      <c r="H165" s="20">
        <f>pm.rep!D572/pm.rep!D109</f>
        <v>1.0688980748289971E-2</v>
      </c>
      <c r="I165" s="20">
        <f>pm.rep!E572/pm.rep!E109</f>
        <v>0.11223287349050713</v>
      </c>
      <c r="J165" s="20">
        <f>pm.rep!F572/pm.rep!F109</f>
        <v>0.14763918344834831</v>
      </c>
      <c r="K165" s="20">
        <f>pm.rep!G572/pm.rep!G109</f>
        <v>0.1707644338372368</v>
      </c>
      <c r="L165" s="20">
        <f>pm.rep!H572/pm.rep!H109</f>
        <v>0.20044484590266148</v>
      </c>
      <c r="M165" s="20">
        <f>pm.rep!I572/pm.rep!I109</f>
        <v>0.21618541330023494</v>
      </c>
      <c r="N165" s="20">
        <f>pm.rep!J572/pm.rep!J109</f>
        <v>0.21203460414605527</v>
      </c>
      <c r="O165" s="20">
        <f>pm.rep!K572/pm.rep!K109</f>
        <v>0.20805302682732477</v>
      </c>
      <c r="P165" s="20">
        <f>pm.rep!L572/pm.rep!L109</f>
        <v>0.20805372362991242</v>
      </c>
      <c r="Q165" s="20">
        <f>pm.rep!M572/pm.rep!M109</f>
        <v>0.20805382331548763</v>
      </c>
      <c r="R165" s="20">
        <f>pm.rep!N572/pm.rep!N109</f>
        <v>0.20805332423818315</v>
      </c>
      <c r="S165" s="20">
        <f>pm.rep!O572/pm.rep!O109</f>
        <v>0.20805378234551442</v>
      </c>
      <c r="T165" s="20">
        <f>pm.rep!P572/pm.rep!P109</f>
        <v>0.20805355036986742</v>
      </c>
      <c r="U165" s="27">
        <f>SUM(pm.rep!B572:P572)</f>
        <v>1133.8647500000002</v>
      </c>
      <c r="V165" s="27">
        <f>SUMPRODUCT((pm.rep!B572:P572),(1-$V$118:$AJ$118))</f>
        <v>305.87008089999995</v>
      </c>
      <c r="W165" s="23">
        <f>SUMPRODUCT((pm.rep!B572:P572),(1-$V$118:$AJ$118))/U165</f>
        <v>0.26975887635628493</v>
      </c>
    </row>
    <row r="166" spans="4:23" x14ac:dyDescent="0.15">
      <c r="D166">
        <f t="shared" si="138"/>
        <v>2011</v>
      </c>
      <c r="F166" s="20">
        <f>pm.rep!B573/pm.rep!B110</f>
        <v>2.4608656300077156E-5</v>
      </c>
      <c r="G166" s="20">
        <f>pm.rep!C573/pm.rep!C110</f>
        <v>1.8627091944435638E-3</v>
      </c>
      <c r="H166" s="20">
        <f>pm.rep!D573/pm.rep!D110</f>
        <v>1.3846926517398415E-2</v>
      </c>
      <c r="I166" s="20">
        <f>pm.rep!E573/pm.rep!E110</f>
        <v>5.1802576347597398E-2</v>
      </c>
      <c r="J166" s="20">
        <f>pm.rep!F573/pm.rep!F110</f>
        <v>0.26563400916124613</v>
      </c>
      <c r="K166" s="20">
        <f>pm.rep!G573/pm.rep!G110</f>
        <v>0.29478739696650602</v>
      </c>
      <c r="L166" s="20">
        <f>pm.rep!H573/pm.rep!H110</f>
        <v>0.27971496546785851</v>
      </c>
      <c r="M166" s="20">
        <f>pm.rep!I573/pm.rep!I110</f>
        <v>0.2721660543511793</v>
      </c>
      <c r="N166" s="20">
        <f>pm.rep!J573/pm.rep!J110</f>
        <v>0.26484675135301866</v>
      </c>
      <c r="O166" s="20">
        <f>pm.rep!K573/pm.rep!K110</f>
        <v>0.25637725559123803</v>
      </c>
      <c r="P166" s="20">
        <f>pm.rep!L573/pm.rep!L110</f>
        <v>0.25637683379156923</v>
      </c>
      <c r="Q166" s="20">
        <f>pm.rep!M573/pm.rep!M110</f>
        <v>0.2563775782950643</v>
      </c>
      <c r="R166" s="20">
        <f>pm.rep!N573/pm.rep!N110</f>
        <v>0.25637673341160788</v>
      </c>
      <c r="S166" s="20">
        <f>pm.rep!O573/pm.rep!O110</f>
        <v>0.2563771371456175</v>
      </c>
      <c r="T166" s="20">
        <f>pm.rep!P573/pm.rep!P110</f>
        <v>0.25637730708860307</v>
      </c>
      <c r="U166" s="27">
        <f>SUM(pm.rep!B573:P573)</f>
        <v>1703.0206950000006</v>
      </c>
      <c r="V166" s="27">
        <f>SUMPRODUCT((pm.rep!B573:P573),(1-$V$118:$AJ$118))</f>
        <v>380.37931360000005</v>
      </c>
      <c r="W166" s="23">
        <f>SUMPRODUCT((pm.rep!B573:P573),(1-$V$118:$AJ$118))/U166</f>
        <v>0.22335566133563628</v>
      </c>
    </row>
    <row r="167" spans="4:23" x14ac:dyDescent="0.15">
      <c r="D167">
        <f t="shared" si="138"/>
        <v>2012</v>
      </c>
      <c r="F167" s="20">
        <f>pm.rep!B574/pm.rep!B111</f>
        <v>2.3815441754160417E-5</v>
      </c>
      <c r="G167" s="20">
        <f>pm.rep!C574/pm.rep!C111</f>
        <v>2.4576325312087709E-3</v>
      </c>
      <c r="H167" s="20">
        <f>pm.rep!D574/pm.rep!D111</f>
        <v>1.983204078862125E-2</v>
      </c>
      <c r="I167" s="20">
        <f>pm.rep!E574/pm.rep!E111</f>
        <v>8.7820379129268933E-2</v>
      </c>
      <c r="J167" s="20">
        <f>pm.rep!F574/pm.rep!F111</f>
        <v>9.9616701244813283E-2</v>
      </c>
      <c r="K167" s="20">
        <f>pm.rep!G574/pm.rep!G111</f>
        <v>0.27928868760604986</v>
      </c>
      <c r="L167" s="20">
        <f>pm.rep!H574/pm.rep!H111</f>
        <v>0.28215392786862403</v>
      </c>
      <c r="M167" s="20">
        <f>pm.rep!I574/pm.rep!I111</f>
        <v>0.27981328829242319</v>
      </c>
      <c r="N167" s="20">
        <f>pm.rep!J574/pm.rep!J111</f>
        <v>0.26696311501911735</v>
      </c>
      <c r="O167" s="20">
        <f>pm.rep!K574/pm.rep!K111</f>
        <v>0.26079982818686853</v>
      </c>
      <c r="P167" s="20">
        <f>pm.rep!L574/pm.rep!L111</f>
        <v>0.2607996984048444</v>
      </c>
      <c r="Q167" s="20">
        <f>pm.rep!M574/pm.rep!M111</f>
        <v>0.26079822689079074</v>
      </c>
      <c r="R167" s="20">
        <f>pm.rep!N574/pm.rep!N111</f>
        <v>0.2607993489391634</v>
      </c>
      <c r="S167" s="20">
        <f>pm.rep!O574/pm.rep!O111</f>
        <v>0.26079920051626576</v>
      </c>
      <c r="T167" s="20">
        <f>pm.rep!P574/pm.rep!P111</f>
        <v>0.26079883884100918</v>
      </c>
      <c r="U167" s="27">
        <f>SUM(pm.rep!B574:P574)</f>
        <v>1963.320612</v>
      </c>
      <c r="V167" s="27">
        <f>SUMPRODUCT((pm.rep!B574:P574),(1-$V$118:$AJ$118))</f>
        <v>518.52594189999991</v>
      </c>
      <c r="W167" s="23">
        <f>SUMPRODUCT((pm.rep!B574:P574),(1-$V$118:$AJ$118))/U167</f>
        <v>0.26410660527410584</v>
      </c>
    </row>
    <row r="168" spans="4:23" x14ac:dyDescent="0.15">
      <c r="D168">
        <f t="shared" si="138"/>
        <v>2013</v>
      </c>
      <c r="F168" s="20">
        <f>pm.rep!B575/pm.rep!B112</f>
        <v>2.15638120516296E-5</v>
      </c>
      <c r="G168" s="20">
        <f>pm.rep!C575/pm.rep!C112</f>
        <v>1.6341921896994335E-3</v>
      </c>
      <c r="H168" s="20">
        <f>pm.rep!D575/pm.rep!D112</f>
        <v>1.9597825213287557E-2</v>
      </c>
      <c r="I168" s="20">
        <f>pm.rep!E575/pm.rep!E112</f>
        <v>8.3377254209281784E-2</v>
      </c>
      <c r="J168" s="20">
        <f>pm.rep!F575/pm.rep!F112</f>
        <v>0.1358635755883883</v>
      </c>
      <c r="K168" s="20">
        <f>pm.rep!G575/pm.rep!G112</f>
        <v>0.14983427075175421</v>
      </c>
      <c r="L168" s="20">
        <f>pm.rep!H575/pm.rep!H112</f>
        <v>0.21673853552357614</v>
      </c>
      <c r="M168" s="20">
        <f>pm.rep!I575/pm.rep!I112</f>
        <v>0.2667536742990167</v>
      </c>
      <c r="N168" s="20">
        <f>pm.rep!J575/pm.rep!J112</f>
        <v>0.26451067959748098</v>
      </c>
      <c r="O168" s="20">
        <f>pm.rep!K575/pm.rep!K112</f>
        <v>0.26383165536570419</v>
      </c>
      <c r="P168" s="20">
        <f>pm.rep!L575/pm.rep!L112</f>
        <v>0.26383230522710849</v>
      </c>
      <c r="Q168" s="20">
        <f>pm.rep!M575/pm.rep!M112</f>
        <v>0.26383177004538583</v>
      </c>
      <c r="R168" s="20">
        <f>pm.rep!N575/pm.rep!N112</f>
        <v>0.26383142427626149</v>
      </c>
      <c r="S168" s="20">
        <f>pm.rep!O575/pm.rep!O112</f>
        <v>0.26383236834849738</v>
      </c>
      <c r="T168" s="20">
        <f>pm.rep!P575/pm.rep!P112</f>
        <v>0.26383156639471811</v>
      </c>
      <c r="U168" s="27">
        <f>SUM(pm.rep!B575:P575)</f>
        <v>1886.1825200000001</v>
      </c>
      <c r="V168" s="27">
        <f>SUMPRODUCT((pm.rep!B575:P575),(1-$V$118:$AJ$118))</f>
        <v>367.79395334000003</v>
      </c>
      <c r="W168" s="23">
        <f>SUMPRODUCT((pm.rep!B575:P575),(1-$V$118:$AJ$118))/U168</f>
        <v>0.19499382983360486</v>
      </c>
    </row>
    <row r="169" spans="4:23" x14ac:dyDescent="0.15">
      <c r="D169">
        <f>D109</f>
        <v>2014</v>
      </c>
      <c r="F169" s="20">
        <f>pm.rep!B576/pm.rep!B113</f>
        <v>1.9027920660410497E-5</v>
      </c>
      <c r="G169" s="20">
        <f>pm.rep!C576/pm.rep!C113</f>
        <v>1.514935024704552E-3</v>
      </c>
      <c r="H169" s="20">
        <f>pm.rep!D576/pm.rep!D113</f>
        <v>1.6011305557185208E-2</v>
      </c>
      <c r="I169" s="20">
        <f>pm.rep!E576/pm.rep!E113</f>
        <v>7.1232029434853975E-2</v>
      </c>
      <c r="J169" s="20">
        <f>pm.rep!F576/pm.rep!F113</f>
        <v>0.14271443920809351</v>
      </c>
      <c r="K169" s="20">
        <f>pm.rep!G576/pm.rep!G113</f>
        <v>0.17244175036542428</v>
      </c>
      <c r="L169" s="20">
        <f>pm.rep!H576/pm.rep!H113</f>
        <v>0.23412095102642397</v>
      </c>
      <c r="M169" s="20">
        <f>pm.rep!I576/pm.rep!I113</f>
        <v>0.21721525054466231</v>
      </c>
      <c r="N169" s="20">
        <f>pm.rep!J576/pm.rep!J113</f>
        <v>0.21773342005896218</v>
      </c>
      <c r="O169" s="20">
        <f>pm.rep!K576/pm.rep!K113</f>
        <v>0.23698459667469179</v>
      </c>
      <c r="P169" s="20">
        <f>pm.rep!L576/pm.rep!L113</f>
        <v>0.23698351175732957</v>
      </c>
      <c r="Q169" s="20">
        <f>pm.rep!M576/pm.rep!M113</f>
        <v>0.23698398941750676</v>
      </c>
      <c r="R169" s="20">
        <f>pm.rep!N576/pm.rep!N113</f>
        <v>0.2369843677703134</v>
      </c>
      <c r="S169" s="20">
        <f>pm.rep!O576/pm.rep!O113</f>
        <v>0.23698444946841013</v>
      </c>
      <c r="T169" s="20">
        <f>pm.rep!P576/pm.rep!P113</f>
        <v>0.23698490770424371</v>
      </c>
      <c r="U169" s="27">
        <f>SUM(pm.rep!B576:P576)</f>
        <v>1771.8327710000001</v>
      </c>
      <c r="V169" s="27">
        <f>SUMPRODUCT((pm.rep!B576:P576),(1-$V$118:$AJ$118))</f>
        <v>290.83408140000006</v>
      </c>
      <c r="W169" s="23">
        <f>SUMPRODUCT((pm.rep!B576:P576),(1-$V$118:$AJ$118))/U169</f>
        <v>0.16414307611877896</v>
      </c>
    </row>
    <row r="170" spans="4:23" x14ac:dyDescent="0.15">
      <c r="D170">
        <f>D110</f>
        <v>2015</v>
      </c>
      <c r="F170" s="20">
        <f>pm.rep!B577/pm.rep!B114</f>
        <v>1.8332352374927804E-5</v>
      </c>
      <c r="G170" s="20">
        <f>pm.rep!C577/pm.rep!C114</f>
        <v>1.3430460408566315E-3</v>
      </c>
      <c r="H170" s="20">
        <f>pm.rep!D577/pm.rep!D114</f>
        <v>3.4128097639922368E-2</v>
      </c>
      <c r="I170" s="20">
        <f>pm.rep!E577/pm.rep!E114</f>
        <v>8.1011438606483452E-2</v>
      </c>
      <c r="J170" s="20">
        <f>pm.rep!F577/pm.rep!F114</f>
        <v>0.1234389852748214</v>
      </c>
      <c r="K170" s="20">
        <f>pm.rep!G577/pm.rep!G114</f>
        <v>0.19502050917757055</v>
      </c>
      <c r="L170" s="20">
        <f>pm.rep!H577/pm.rep!H114</f>
        <v>0.18262151331340312</v>
      </c>
      <c r="M170" s="20">
        <f>pm.rep!I577/pm.rep!I114</f>
        <v>0.18660320259257493</v>
      </c>
      <c r="N170" s="20">
        <f>pm.rep!J577/pm.rep!J114</f>
        <v>0.18360304290400586</v>
      </c>
      <c r="O170" s="20">
        <f>pm.rep!K577/pm.rep!K114</f>
        <v>0.23284292106055582</v>
      </c>
      <c r="P170" s="20">
        <f>pm.rep!L577/pm.rep!L114</f>
        <v>0.23284356150013114</v>
      </c>
      <c r="Q170" s="20">
        <f>pm.rep!M577/pm.rep!M114</f>
        <v>0.23284290642808406</v>
      </c>
      <c r="R170" s="20">
        <f>pm.rep!N577/pm.rep!N114</f>
        <v>0.23284268110424949</v>
      </c>
      <c r="S170" s="20">
        <f>pm.rep!O577/pm.rep!O114</f>
        <v>0.23284315855332904</v>
      </c>
      <c r="T170" s="20">
        <f>pm.rep!P577/pm.rep!P114</f>
        <v>0.23284257661142188</v>
      </c>
      <c r="U170" s="27">
        <f>SUM(pm.rep!B577:P577)</f>
        <v>1940.2793930000005</v>
      </c>
      <c r="V170" s="27">
        <f>SUMPRODUCT((pm.rep!B577:P577),(1-$V$118:$AJ$118))</f>
        <v>574.81877050000014</v>
      </c>
      <c r="W170" s="23">
        <f>SUMPRODUCT((pm.rep!B577:P577),(1-$V$118:$AJ$118))/U170</f>
        <v>0.29625566945347648</v>
      </c>
    </row>
    <row r="171" spans="4:23" x14ac:dyDescent="0.15"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7">
        <f>SUM(U117:U170)</f>
        <v>104104.20707300001</v>
      </c>
      <c r="V171" s="27">
        <f>SUM(V117:V170)</f>
        <v>37180.274915950009</v>
      </c>
      <c r="W171" s="23">
        <f>V171/U171</f>
        <v>0.35714478752888856</v>
      </c>
    </row>
    <row r="172" spans="4:23" x14ac:dyDescent="0.15">
      <c r="D172" s="4" t="s">
        <v>799</v>
      </c>
      <c r="F172" s="196">
        <f>AVERAGE(F166:F170)</f>
        <v>2.1469636628241095E-5</v>
      </c>
      <c r="G172" s="196">
        <f t="shared" ref="G172:S172" si="139">AVERAGE(G166:G170)</f>
        <v>1.7625029961825904E-3</v>
      </c>
      <c r="H172" s="196">
        <f t="shared" si="139"/>
        <v>2.0683239143282961E-2</v>
      </c>
      <c r="I172" s="196">
        <f t="shared" si="139"/>
        <v>7.5048735545497097E-2</v>
      </c>
      <c r="J172" s="196">
        <f t="shared" si="139"/>
        <v>0.15345354209547252</v>
      </c>
      <c r="K172" s="196">
        <f t="shared" si="139"/>
        <v>0.21827452297346098</v>
      </c>
      <c r="L172" s="196">
        <f t="shared" si="139"/>
        <v>0.23906997863997717</v>
      </c>
      <c r="M172" s="196">
        <f t="shared" si="139"/>
        <v>0.2445102940159713</v>
      </c>
      <c r="N172" s="196">
        <f t="shared" si="139"/>
        <v>0.23953140178651702</v>
      </c>
      <c r="O172" s="196">
        <f t="shared" si="139"/>
        <v>0.25016725137581164</v>
      </c>
      <c r="P172" s="196">
        <f t="shared" si="139"/>
        <v>0.2501671821361966</v>
      </c>
      <c r="Q172" s="196">
        <f t="shared" si="139"/>
        <v>0.25016689421536636</v>
      </c>
      <c r="R172" s="196">
        <f t="shared" si="139"/>
        <v>0.25016691110031913</v>
      </c>
      <c r="S172" s="196">
        <f t="shared" si="139"/>
        <v>0.25016726280642393</v>
      </c>
      <c r="T172" s="196">
        <f>AVERAGE(T166:T170)</f>
        <v>0.25016703932799922</v>
      </c>
      <c r="V172">
        <v>1990</v>
      </c>
      <c r="W172" s="23">
        <f>W171</f>
        <v>0.35714478752888856</v>
      </c>
    </row>
    <row r="173" spans="4:23" x14ac:dyDescent="0.15">
      <c r="D173" s="4" t="s">
        <v>800</v>
      </c>
      <c r="F173" s="196">
        <f>MAX(F166:F170)</f>
        <v>2.4608656300077156E-5</v>
      </c>
      <c r="G173" s="196">
        <f t="shared" ref="G173:S173" si="140">MAX(G166:G170)</f>
        <v>2.4576325312087709E-3</v>
      </c>
      <c r="H173" s="196">
        <f t="shared" si="140"/>
        <v>3.4128097639922368E-2</v>
      </c>
      <c r="I173" s="196">
        <f t="shared" si="140"/>
        <v>8.7820379129268933E-2</v>
      </c>
      <c r="J173" s="196">
        <f t="shared" si="140"/>
        <v>0.26563400916124613</v>
      </c>
      <c r="K173" s="196">
        <f t="shared" si="140"/>
        <v>0.29478739696650602</v>
      </c>
      <c r="L173" s="196">
        <f t="shared" si="140"/>
        <v>0.28215392786862403</v>
      </c>
      <c r="M173" s="196">
        <f t="shared" si="140"/>
        <v>0.27981328829242319</v>
      </c>
      <c r="N173" s="196">
        <f t="shared" si="140"/>
        <v>0.26696311501911735</v>
      </c>
      <c r="O173" s="196">
        <f t="shared" si="140"/>
        <v>0.26383165536570419</v>
      </c>
      <c r="P173" s="196">
        <f t="shared" si="140"/>
        <v>0.26383230522710849</v>
      </c>
      <c r="Q173" s="196">
        <f t="shared" si="140"/>
        <v>0.26383177004538583</v>
      </c>
      <c r="R173" s="196">
        <f t="shared" si="140"/>
        <v>0.26383142427626149</v>
      </c>
      <c r="S173" s="196">
        <f t="shared" si="140"/>
        <v>0.26383236834849738</v>
      </c>
      <c r="T173" s="196">
        <f>MAX(T166:T170)</f>
        <v>0.26383156639471811</v>
      </c>
      <c r="V173">
        <v>2015</v>
      </c>
      <c r="W173" s="23">
        <f>W172</f>
        <v>0.35714478752888856</v>
      </c>
    </row>
    <row r="174" spans="4:23" x14ac:dyDescent="0.15">
      <c r="D174" s="4" t="s">
        <v>801</v>
      </c>
      <c r="F174" s="196">
        <f>MIN(F166:F170)</f>
        <v>1.8332352374927804E-5</v>
      </c>
      <c r="G174" s="196">
        <f t="shared" ref="G174:S174" si="141">MIN(G166:G170)</f>
        <v>1.3430460408566315E-3</v>
      </c>
      <c r="H174" s="196">
        <f t="shared" si="141"/>
        <v>1.3846926517398415E-2</v>
      </c>
      <c r="I174" s="196">
        <f t="shared" si="141"/>
        <v>5.1802576347597398E-2</v>
      </c>
      <c r="J174" s="196">
        <f t="shared" si="141"/>
        <v>9.9616701244813283E-2</v>
      </c>
      <c r="K174" s="196">
        <f t="shared" si="141"/>
        <v>0.14983427075175421</v>
      </c>
      <c r="L174" s="196">
        <f t="shared" si="141"/>
        <v>0.18262151331340312</v>
      </c>
      <c r="M174" s="196">
        <f t="shared" si="141"/>
        <v>0.18660320259257493</v>
      </c>
      <c r="N174" s="196">
        <f t="shared" si="141"/>
        <v>0.18360304290400586</v>
      </c>
      <c r="O174" s="196">
        <f t="shared" si="141"/>
        <v>0.23284292106055582</v>
      </c>
      <c r="P174" s="196">
        <f t="shared" si="141"/>
        <v>0.23284356150013114</v>
      </c>
      <c r="Q174" s="196">
        <f t="shared" si="141"/>
        <v>0.23284290642808406</v>
      </c>
      <c r="R174" s="196">
        <f t="shared" si="141"/>
        <v>0.23284268110424949</v>
      </c>
      <c r="S174" s="196">
        <f t="shared" si="141"/>
        <v>0.23284315855332904</v>
      </c>
      <c r="T174" s="196">
        <f>MIN(T166:T170)</f>
        <v>0.23284257661142188</v>
      </c>
    </row>
    <row r="176" spans="4:23" x14ac:dyDescent="0.15">
      <c r="D176" s="4" t="s">
        <v>855</v>
      </c>
      <c r="F176" s="196">
        <f>AVERAGE(F146:F170)</f>
        <v>3.6238046402248479E-5</v>
      </c>
      <c r="G176" s="196">
        <f t="shared" ref="G176:S176" si="142">AVERAGE(G146:G170)</f>
        <v>2.6633625572191366E-3</v>
      </c>
      <c r="H176" s="196">
        <f t="shared" si="142"/>
        <v>2.3760919685287738E-2</v>
      </c>
      <c r="I176" s="196">
        <f t="shared" si="142"/>
        <v>7.6909851691979877E-2</v>
      </c>
      <c r="J176" s="196">
        <f t="shared" si="142"/>
        <v>0.14463520372353647</v>
      </c>
      <c r="K176" s="196">
        <f t="shared" si="142"/>
        <v>0.20910821420690634</v>
      </c>
      <c r="L176" s="196">
        <f t="shared" si="142"/>
        <v>0.23606010450365461</v>
      </c>
      <c r="M176" s="196">
        <f t="shared" si="142"/>
        <v>0.2380536959713089</v>
      </c>
      <c r="N176" s="196">
        <f t="shared" si="142"/>
        <v>0.230642111636787</v>
      </c>
      <c r="O176" s="196">
        <f t="shared" si="142"/>
        <v>0.22096033738373103</v>
      </c>
      <c r="P176" s="196">
        <f t="shared" si="142"/>
        <v>0.22096054420506589</v>
      </c>
      <c r="Q176" s="196">
        <f t="shared" si="142"/>
        <v>0.22096035143778978</v>
      </c>
      <c r="R176" s="196">
        <f t="shared" si="142"/>
        <v>0.22096039592803812</v>
      </c>
      <c r="S176" s="196">
        <f t="shared" si="142"/>
        <v>0.22096039936093903</v>
      </c>
      <c r="T176" s="196">
        <f>AVERAGE(T146:T170)</f>
        <v>0.22096035967828762</v>
      </c>
    </row>
  </sheetData>
  <mergeCells count="2">
    <mergeCell ref="C59:C105"/>
    <mergeCell ref="F57:N57"/>
  </mergeCells>
  <phoneticPr fontId="7" type="noConversion"/>
  <conditionalFormatting sqref="F59:S11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9:BV104 X59:X11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:S11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9:T17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9:T17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2:T17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2:T17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6:T1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6:T1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2:S11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2:S1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S1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S1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4294967292" verticalDpi="429496729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 enableFormatConditionsCalculation="0"/>
  <dimension ref="B1:BP176"/>
  <sheetViews>
    <sheetView topLeftCell="A126" zoomScale="85" zoomScaleNormal="85" zoomScalePageLayoutView="85" workbookViewId="0">
      <selection activeCell="D163" sqref="D163"/>
    </sheetView>
  </sheetViews>
  <sheetFormatPr baseColWidth="10" defaultColWidth="7.6640625" defaultRowHeight="13" x14ac:dyDescent="0.15"/>
  <cols>
    <col min="21" max="21" width="23.5" customWidth="1"/>
    <col min="22" max="22" width="8.5" bestFit="1" customWidth="1"/>
    <col min="38" max="38" width="10" bestFit="1" customWidth="1"/>
    <col min="39" max="39" width="9.1640625" bestFit="1" customWidth="1"/>
  </cols>
  <sheetData>
    <row r="1" spans="3:39" x14ac:dyDescent="0.15">
      <c r="V1">
        <v>1</v>
      </c>
      <c r="W1">
        <v>2</v>
      </c>
      <c r="X1">
        <v>3</v>
      </c>
      <c r="Y1">
        <v>4</v>
      </c>
      <c r="Z1">
        <v>5</v>
      </c>
      <c r="AA1">
        <v>6</v>
      </c>
      <c r="AB1">
        <v>7</v>
      </c>
      <c r="AC1">
        <v>8</v>
      </c>
      <c r="AD1">
        <v>9</v>
      </c>
      <c r="AE1">
        <v>10</v>
      </c>
      <c r="AF1">
        <v>11</v>
      </c>
      <c r="AG1">
        <v>12</v>
      </c>
      <c r="AH1">
        <v>13</v>
      </c>
      <c r="AI1">
        <v>14</v>
      </c>
      <c r="AJ1">
        <v>15</v>
      </c>
    </row>
    <row r="2" spans="3:39" x14ac:dyDescent="0.15">
      <c r="U2" t="s">
        <v>769</v>
      </c>
      <c r="V2">
        <v>6.6044440000000001E-3</v>
      </c>
      <c r="W2">
        <v>0.20934226</v>
      </c>
      <c r="X2">
        <v>0.36681399999999997</v>
      </c>
      <c r="Y2">
        <v>0.51470190000000005</v>
      </c>
      <c r="Z2">
        <v>0.64321510000000004</v>
      </c>
      <c r="AA2">
        <v>0.75989280000000003</v>
      </c>
      <c r="AB2">
        <v>0.87258729999999995</v>
      </c>
      <c r="AC2">
        <v>0.9659681</v>
      </c>
      <c r="AD2">
        <v>1.0728393000000001</v>
      </c>
      <c r="AE2">
        <v>1.1655329999999999</v>
      </c>
      <c r="AF2">
        <v>1.2598050000000001</v>
      </c>
      <c r="AG2">
        <v>1.3534390000000001</v>
      </c>
      <c r="AH2">
        <v>1.4024049999999999</v>
      </c>
      <c r="AI2">
        <v>1.4153789999999999</v>
      </c>
      <c r="AJ2">
        <v>1.5220629999999999</v>
      </c>
    </row>
    <row r="3" spans="3:39" x14ac:dyDescent="0.15">
      <c r="U3" t="s">
        <v>767</v>
      </c>
      <c r="V3">
        <v>1.0921658888888889E-2</v>
      </c>
      <c r="W3">
        <v>0.19985625999999995</v>
      </c>
      <c r="X3">
        <v>0.36401110000000003</v>
      </c>
      <c r="Y3">
        <v>0.51580239999999988</v>
      </c>
      <c r="Z3">
        <v>0.65164414999999987</v>
      </c>
      <c r="AA3">
        <v>0.79737490000000011</v>
      </c>
      <c r="AB3">
        <v>0.9343769999999999</v>
      </c>
      <c r="AC3">
        <v>1.0361458000000001</v>
      </c>
      <c r="AD3">
        <v>1.1466864999999999</v>
      </c>
      <c r="AE3">
        <v>1.2445834999999998</v>
      </c>
      <c r="AF3">
        <v>1.3371765</v>
      </c>
      <c r="AG3">
        <v>1.4283765000000002</v>
      </c>
      <c r="AH3">
        <v>1.5301804999999997</v>
      </c>
      <c r="AI3">
        <v>1.5572859999999999</v>
      </c>
      <c r="AJ3">
        <v>1.6653894999999999</v>
      </c>
    </row>
    <row r="4" spans="3:39" x14ac:dyDescent="0.15">
      <c r="U4" t="s">
        <v>768</v>
      </c>
      <c r="V4">
        <v>6.6044444444444449E-3</v>
      </c>
      <c r="W4">
        <v>0.135797</v>
      </c>
      <c r="X4">
        <v>0.34501500000000002</v>
      </c>
      <c r="Y4">
        <v>0.54806699999999997</v>
      </c>
      <c r="Z4">
        <v>0.68665299999999996</v>
      </c>
      <c r="AA4">
        <v>0.89198599999999995</v>
      </c>
      <c r="AB4">
        <v>1.0199100000000001</v>
      </c>
      <c r="AC4">
        <v>1.1527700000000001</v>
      </c>
      <c r="AD4">
        <v>1.40716</v>
      </c>
      <c r="AE4">
        <v>1.48603</v>
      </c>
      <c r="AF4">
        <v>1.6355200000000001</v>
      </c>
      <c r="AG4">
        <v>1.6374299999999999</v>
      </c>
      <c r="AH4">
        <v>1.8168299999999999</v>
      </c>
      <c r="AI4">
        <v>2.1764399999999999</v>
      </c>
      <c r="AJ4">
        <v>2.2922600000000002</v>
      </c>
    </row>
    <row r="5" spans="3:39" x14ac:dyDescent="0.15">
      <c r="D5">
        <v>1</v>
      </c>
      <c r="E5">
        <v>2</v>
      </c>
      <c r="F5">
        <v>3</v>
      </c>
      <c r="G5">
        <v>4</v>
      </c>
      <c r="H5">
        <v>5</v>
      </c>
      <c r="I5">
        <v>6</v>
      </c>
      <c r="J5">
        <v>7</v>
      </c>
      <c r="K5">
        <v>8</v>
      </c>
      <c r="L5">
        <v>9</v>
      </c>
      <c r="M5">
        <v>10</v>
      </c>
      <c r="N5">
        <v>11</v>
      </c>
      <c r="O5">
        <v>12</v>
      </c>
      <c r="P5">
        <v>13</v>
      </c>
      <c r="Q5">
        <v>14</v>
      </c>
      <c r="R5">
        <v>15</v>
      </c>
      <c r="V5">
        <v>1</v>
      </c>
      <c r="W5">
        <v>2</v>
      </c>
      <c r="X5">
        <v>3</v>
      </c>
      <c r="Y5">
        <v>4</v>
      </c>
      <c r="Z5">
        <v>5</v>
      </c>
      <c r="AA5">
        <v>6</v>
      </c>
      <c r="AB5">
        <v>7</v>
      </c>
      <c r="AC5">
        <v>8</v>
      </c>
      <c r="AD5">
        <v>9</v>
      </c>
      <c r="AE5">
        <v>10</v>
      </c>
      <c r="AF5">
        <v>11</v>
      </c>
      <c r="AG5">
        <v>12</v>
      </c>
      <c r="AH5">
        <v>13</v>
      </c>
      <c r="AI5">
        <v>14</v>
      </c>
      <c r="AJ5">
        <v>15</v>
      </c>
    </row>
    <row r="6" spans="3:39" ht="14" x14ac:dyDescent="0.15">
      <c r="C6" t="s">
        <v>247</v>
      </c>
      <c r="D6" t="e">
        <f>#REF!</f>
        <v>#REF!</v>
      </c>
      <c r="E6" t="e">
        <f>#REF!</f>
        <v>#REF!</v>
      </c>
      <c r="F6" t="e">
        <f>#REF!</f>
        <v>#REF!</v>
      </c>
      <c r="G6" t="e">
        <f>#REF!</f>
        <v>#REF!</v>
      </c>
      <c r="H6" t="e">
        <f>#REF!</f>
        <v>#REF!</v>
      </c>
      <c r="I6" t="e">
        <f>#REF!</f>
        <v>#REF!</v>
      </c>
      <c r="J6" t="e">
        <f>#REF!</f>
        <v>#REF!</v>
      </c>
      <c r="K6" t="e">
        <f>#REF!</f>
        <v>#REF!</v>
      </c>
      <c r="L6" t="e">
        <f>#REF!</f>
        <v>#REF!</v>
      </c>
      <c r="M6" t="e">
        <f>#REF!</f>
        <v>#REF!</v>
      </c>
      <c r="N6" t="e">
        <f>#REF!</f>
        <v>#REF!</v>
      </c>
      <c r="O6" t="e">
        <f>#REF!</f>
        <v>#REF!</v>
      </c>
      <c r="P6" t="e">
        <f>#REF!</f>
        <v>#REF!</v>
      </c>
      <c r="Q6" t="e">
        <f>#REF!</f>
        <v>#REF!</v>
      </c>
      <c r="R6" t="e">
        <f>#REF!</f>
        <v>#REF!</v>
      </c>
      <c r="U6" s="4" t="s">
        <v>761</v>
      </c>
      <c r="V6" s="27">
        <v>29419.7</v>
      </c>
      <c r="W6" s="27">
        <v>3909.41</v>
      </c>
      <c r="X6" s="27">
        <v>6314.9</v>
      </c>
      <c r="Y6" s="27">
        <v>1580.72</v>
      </c>
      <c r="Z6" s="27">
        <v>397.07799999999997</v>
      </c>
      <c r="AA6" s="27">
        <v>344.13099999999997</v>
      </c>
      <c r="AB6" s="27">
        <v>354.00299999999999</v>
      </c>
      <c r="AC6" s="27">
        <v>283.01600000000002</v>
      </c>
      <c r="AD6" s="27">
        <v>225.51900000000001</v>
      </c>
      <c r="AE6" s="27">
        <v>114.032</v>
      </c>
      <c r="AF6" s="27">
        <v>44.009</v>
      </c>
      <c r="AG6" s="27">
        <v>21.8903</v>
      </c>
      <c r="AH6" s="27">
        <v>22.585699999999999</v>
      </c>
      <c r="AI6" s="27">
        <v>11.063599999999999</v>
      </c>
      <c r="AJ6" s="27">
        <v>16.507200000000001</v>
      </c>
      <c r="AL6" s="168">
        <v>1110000</v>
      </c>
    </row>
    <row r="7" spans="3:39" ht="14" x14ac:dyDescent="0.15">
      <c r="C7" t="s">
        <v>746</v>
      </c>
      <c r="D7" t="str">
        <f>pm.rep!B854</f>
        <v>Fmsy</v>
      </c>
      <c r="E7">
        <f>pm.rep!C854</f>
        <v>0</v>
      </c>
      <c r="F7">
        <f>pm.rep!D854</f>
        <v>0</v>
      </c>
      <c r="G7">
        <f>pm.rep!E854</f>
        <v>0</v>
      </c>
      <c r="H7">
        <f>pm.rep!F854</f>
        <v>0</v>
      </c>
      <c r="I7">
        <f>pm.rep!G854</f>
        <v>0</v>
      </c>
      <c r="J7">
        <f>pm.rep!H854</f>
        <v>0</v>
      </c>
      <c r="K7">
        <f>pm.rep!I854</f>
        <v>0</v>
      </c>
      <c r="L7">
        <f>pm.rep!J854</f>
        <v>0</v>
      </c>
      <c r="M7">
        <f>pm.rep!K854</f>
        <v>0</v>
      </c>
      <c r="N7">
        <f>pm.rep!L854</f>
        <v>0</v>
      </c>
      <c r="O7">
        <f>pm.rep!M854</f>
        <v>0</v>
      </c>
      <c r="P7">
        <f>pm.rep!N854</f>
        <v>0</v>
      </c>
      <c r="Q7">
        <f>pm.rep!O854</f>
        <v>0</v>
      </c>
      <c r="R7">
        <f>pm.rep!P854</f>
        <v>0</v>
      </c>
      <c r="U7" t="s">
        <v>758</v>
      </c>
      <c r="V7" s="27">
        <v>21729.1</v>
      </c>
      <c r="W7" s="27">
        <v>11959.5</v>
      </c>
      <c r="X7" s="27">
        <v>2482.08</v>
      </c>
      <c r="Y7" s="27">
        <v>4476</v>
      </c>
      <c r="Z7" s="27">
        <v>943.99199999999996</v>
      </c>
      <c r="AA7" s="27">
        <v>194.977</v>
      </c>
      <c r="AB7" s="27">
        <v>141.94499999999999</v>
      </c>
      <c r="AC7" s="27">
        <v>148.39099999999999</v>
      </c>
      <c r="AD7" s="27">
        <v>120.768</v>
      </c>
      <c r="AE7" s="27">
        <v>97.598299999999995</v>
      </c>
      <c r="AF7" s="27">
        <v>50.148200000000003</v>
      </c>
      <c r="AG7" s="27">
        <v>19.353999999999999</v>
      </c>
      <c r="AH7" s="27">
        <v>9.6267899999999997</v>
      </c>
      <c r="AI7" s="27">
        <v>9.93262</v>
      </c>
      <c r="AJ7" s="27">
        <v>12.1249</v>
      </c>
      <c r="AL7" s="167">
        <v>0.25800000000000001</v>
      </c>
      <c r="AM7" s="27">
        <f>AL6/AL7</f>
        <v>4302325.5813953485</v>
      </c>
    </row>
    <row r="8" spans="3:39" x14ac:dyDescent="0.15">
      <c r="C8" t="s">
        <v>691</v>
      </c>
      <c r="D8">
        <v>0.9</v>
      </c>
      <c r="E8">
        <v>0.45</v>
      </c>
      <c r="F8">
        <v>0.30000000000000004</v>
      </c>
      <c r="G8">
        <v>0.30000000000000004</v>
      </c>
      <c r="H8">
        <v>0.30000000000000004</v>
      </c>
      <c r="I8">
        <v>0.30000000000000004</v>
      </c>
      <c r="J8">
        <v>0.30000000000000004</v>
      </c>
      <c r="K8">
        <v>0.30000000000000004</v>
      </c>
      <c r="L8">
        <v>0.30000000000000004</v>
      </c>
      <c r="M8">
        <v>0.30000000000000004</v>
      </c>
      <c r="N8">
        <v>0.30000000000000004</v>
      </c>
      <c r="O8">
        <v>0.30000000000000004</v>
      </c>
      <c r="P8">
        <v>0.30000000000000004</v>
      </c>
      <c r="Q8">
        <v>0.30000000000000004</v>
      </c>
      <c r="R8">
        <v>0.30000000000000004</v>
      </c>
      <c r="U8" t="s">
        <v>786</v>
      </c>
      <c r="V8" s="27">
        <v>22918</v>
      </c>
      <c r="W8" s="27">
        <v>8833.09</v>
      </c>
      <c r="X8" s="27">
        <v>7590.98</v>
      </c>
      <c r="Y8" s="27">
        <v>1743.13</v>
      </c>
      <c r="Z8" s="27">
        <v>2638.91</v>
      </c>
      <c r="AA8" s="27">
        <v>451.36200000000002</v>
      </c>
      <c r="AB8" s="27">
        <v>78.210700000000003</v>
      </c>
      <c r="AC8" s="27">
        <v>57.3705</v>
      </c>
      <c r="AD8" s="27">
        <v>62.110999999999997</v>
      </c>
      <c r="AE8" s="27">
        <v>52.085799999999999</v>
      </c>
      <c r="AF8" s="27">
        <v>43.613900000000001</v>
      </c>
      <c r="AG8" s="27">
        <v>22.409800000000001</v>
      </c>
      <c r="AH8" s="27">
        <v>8.6487599999999993</v>
      </c>
      <c r="AI8" s="27">
        <v>4.3019400000000001</v>
      </c>
      <c r="AJ8" s="27">
        <v>9.8568899999999999</v>
      </c>
    </row>
    <row r="9" spans="3:39" x14ac:dyDescent="0.15">
      <c r="C9" t="s">
        <v>747</v>
      </c>
      <c r="D9">
        <f>EXP(-D8)</f>
        <v>0.40656965974059911</v>
      </c>
      <c r="E9">
        <f t="shared" ref="E9:R9" si="0">EXP(-E8)</f>
        <v>0.63762815162177333</v>
      </c>
      <c r="F9">
        <f t="shared" si="0"/>
        <v>0.74081822068171788</v>
      </c>
      <c r="G9">
        <f t="shared" si="0"/>
        <v>0.74081822068171788</v>
      </c>
      <c r="H9">
        <f t="shared" si="0"/>
        <v>0.74081822068171788</v>
      </c>
      <c r="I9">
        <f t="shared" si="0"/>
        <v>0.74081822068171788</v>
      </c>
      <c r="J9">
        <f t="shared" si="0"/>
        <v>0.74081822068171788</v>
      </c>
      <c r="K9">
        <f t="shared" si="0"/>
        <v>0.74081822068171788</v>
      </c>
      <c r="L9">
        <f t="shared" si="0"/>
        <v>0.74081822068171788</v>
      </c>
      <c r="M9">
        <f t="shared" si="0"/>
        <v>0.74081822068171788</v>
      </c>
      <c r="N9">
        <f t="shared" si="0"/>
        <v>0.74081822068171788</v>
      </c>
      <c r="O9">
        <f t="shared" si="0"/>
        <v>0.74081822068171788</v>
      </c>
      <c r="P9">
        <f t="shared" si="0"/>
        <v>0.74081822068171788</v>
      </c>
      <c r="Q9">
        <f t="shared" si="0"/>
        <v>0.74081822068171788</v>
      </c>
      <c r="R9">
        <f t="shared" si="0"/>
        <v>0.74081822068171788</v>
      </c>
    </row>
    <row r="10" spans="3:39" x14ac:dyDescent="0.15">
      <c r="D10">
        <f>Summary!D43</f>
        <v>0</v>
      </c>
      <c r="E10">
        <f>Summary!E43</f>
        <v>4.0000000000000001E-3</v>
      </c>
      <c r="F10">
        <f>Summary!F43</f>
        <v>0.14449999999999999</v>
      </c>
      <c r="G10">
        <f>Summary!G43</f>
        <v>0.32050000000000001</v>
      </c>
      <c r="H10">
        <f>Summary!H43</f>
        <v>0.42099999999999999</v>
      </c>
      <c r="I10">
        <f>Summary!I43</f>
        <v>0.45050000000000001</v>
      </c>
      <c r="J10">
        <f>Summary!J43</f>
        <v>0.47349999999999998</v>
      </c>
      <c r="K10">
        <f>Summary!K43</f>
        <v>0.48149999999999998</v>
      </c>
      <c r="L10">
        <f>Summary!L43</f>
        <v>0.48499999999999999</v>
      </c>
      <c r="M10">
        <f>Summary!M43</f>
        <v>0.5</v>
      </c>
      <c r="N10">
        <f>Summary!N43</f>
        <v>0.5</v>
      </c>
      <c r="O10">
        <f>Summary!O43</f>
        <v>0.5</v>
      </c>
      <c r="P10">
        <f>Summary!P43</f>
        <v>0.5</v>
      </c>
      <c r="Q10">
        <f>Summary!Q43</f>
        <v>0.5</v>
      </c>
      <c r="R10">
        <f>Summary!R43</f>
        <v>0.5</v>
      </c>
      <c r="U10" t="s">
        <v>760</v>
      </c>
      <c r="V10" s="27">
        <f>pm.rep!B108</f>
        <v>56930.6</v>
      </c>
      <c r="W10" s="27">
        <f>pm.rep!C108</f>
        <v>5944.81</v>
      </c>
      <c r="X10" s="27">
        <f>pm.rep!D108</f>
        <v>6821.99</v>
      </c>
      <c r="Y10" s="27">
        <f>pm.rep!E108</f>
        <v>2278.16</v>
      </c>
      <c r="Z10" s="27">
        <f>pm.rep!F108</f>
        <v>584.37400000000002</v>
      </c>
      <c r="AA10" s="27">
        <f>pm.rep!G108</f>
        <v>458.71499999999997</v>
      </c>
      <c r="AB10" s="27">
        <f>pm.rep!H108</f>
        <v>488.79399999999998</v>
      </c>
      <c r="AC10" s="27">
        <f>pm.rep!I108</f>
        <v>411.07100000000003</v>
      </c>
      <c r="AD10" s="27">
        <f>pm.rep!J108</f>
        <v>316.09399999999999</v>
      </c>
      <c r="AE10" s="27">
        <f>pm.rep!K108</f>
        <v>157.244</v>
      </c>
      <c r="AF10" s="27">
        <f>pm.rep!L108</f>
        <v>63.575400000000002</v>
      </c>
      <c r="AG10" s="27">
        <f>pm.rep!M108</f>
        <v>32.2273</v>
      </c>
      <c r="AH10" s="27">
        <f>pm.rep!N108</f>
        <v>32.122</v>
      </c>
      <c r="AI10" s="27">
        <f>pm.rep!O108</f>
        <v>15.765499999999999</v>
      </c>
      <c r="AJ10" s="27">
        <f>pm.rep!P108</f>
        <v>26.659500000000001</v>
      </c>
    </row>
    <row r="11" spans="3:39" x14ac:dyDescent="0.15">
      <c r="C11">
        <v>1</v>
      </c>
      <c r="U11" t="s">
        <v>759</v>
      </c>
      <c r="V11" s="27">
        <f>pm.rep!B109</f>
        <v>22500.1</v>
      </c>
      <c r="W11" s="27">
        <f>pm.rep!C109</f>
        <v>23145.5</v>
      </c>
      <c r="X11" s="27">
        <f>pm.rep!D109</f>
        <v>3783.56</v>
      </c>
      <c r="Y11" s="27">
        <f>pm.rep!E109</f>
        <v>4932.12</v>
      </c>
      <c r="Z11" s="27">
        <f>pm.rep!F109</f>
        <v>1522.99</v>
      </c>
      <c r="AA11" s="27">
        <f>pm.rep!G109</f>
        <v>363.69400000000002</v>
      </c>
      <c r="AB11" s="27">
        <f>pm.rep!H109</f>
        <v>250.19900000000001</v>
      </c>
      <c r="AC11" s="27">
        <f>pm.rep!I109</f>
        <v>256.20600000000002</v>
      </c>
      <c r="AD11" s="27">
        <f>pm.rep!J109</f>
        <v>217.315</v>
      </c>
      <c r="AE11" s="27">
        <f>pm.rep!K109</f>
        <v>165.65199999999999</v>
      </c>
      <c r="AF11" s="27">
        <f>pm.rep!L109</f>
        <v>82.972800000000007</v>
      </c>
      <c r="AG11" s="27">
        <f>pm.rep!M109</f>
        <v>33.546799999999998</v>
      </c>
      <c r="AH11" s="27">
        <f>pm.rep!N109</f>
        <v>17.005400000000002</v>
      </c>
      <c r="AI11" s="27">
        <f>pm.rep!O109</f>
        <v>16.9498</v>
      </c>
      <c r="AJ11" s="27">
        <f>pm.rep!P109</f>
        <v>22.386399999999998</v>
      </c>
    </row>
    <row r="12" spans="3:39" x14ac:dyDescent="0.15">
      <c r="C12">
        <v>2013</v>
      </c>
      <c r="D12" s="27">
        <f>pm.rep!B858</f>
        <v>24938.400000000001</v>
      </c>
      <c r="E12" s="27">
        <f>pm.rep!C858</f>
        <v>10791.8</v>
      </c>
      <c r="F12" s="27">
        <f>pm.rep!D858</f>
        <v>4909.34</v>
      </c>
      <c r="G12" s="27">
        <f>pm.rep!E858</f>
        <v>3454.93</v>
      </c>
      <c r="H12" s="27">
        <f>pm.rep!F858</f>
        <v>4242.72</v>
      </c>
      <c r="I12" s="27">
        <f>pm.rep!G858</f>
        <v>5544.84</v>
      </c>
      <c r="J12" s="27">
        <f>pm.rep!H858</f>
        <v>621.30100000000004</v>
      </c>
      <c r="K12" s="27">
        <f>pm.rep!I858</f>
        <v>429.36500000000001</v>
      </c>
      <c r="L12" s="27">
        <f>pm.rep!J858</f>
        <v>395.33699999999999</v>
      </c>
      <c r="M12" s="27">
        <f>pm.rep!K858</f>
        <v>612.30899999999997</v>
      </c>
      <c r="N12" s="27">
        <f>pm.rep!L858</f>
        <v>95.632400000000004</v>
      </c>
      <c r="O12" s="27">
        <f>pm.rep!M858</f>
        <v>54.9041</v>
      </c>
      <c r="P12" s="27">
        <f>pm.rep!N858</f>
        <v>13.1416</v>
      </c>
      <c r="Q12" s="27">
        <f>pm.rep!O858</f>
        <v>3.04826</v>
      </c>
      <c r="R12" s="27">
        <f>pm.rep!P858</f>
        <v>8.9292400000000001</v>
      </c>
      <c r="U12" t="s">
        <v>787</v>
      </c>
      <c r="V12" s="27">
        <f>D19</f>
        <v>24938.400000000001</v>
      </c>
      <c r="W12" s="27">
        <f t="shared" ref="W12:AJ12" si="1">E19</f>
        <v>10791.8</v>
      </c>
      <c r="X12" s="27">
        <f t="shared" si="1"/>
        <v>4909.34</v>
      </c>
      <c r="Y12" s="27">
        <f t="shared" si="1"/>
        <v>3454.93</v>
      </c>
      <c r="Z12" s="27">
        <f t="shared" si="1"/>
        <v>4242.72</v>
      </c>
      <c r="AA12" s="27">
        <f t="shared" si="1"/>
        <v>5544.84</v>
      </c>
      <c r="AB12" s="27">
        <f t="shared" si="1"/>
        <v>621.30100000000004</v>
      </c>
      <c r="AC12" s="27">
        <f t="shared" si="1"/>
        <v>429.36500000000001</v>
      </c>
      <c r="AD12" s="27">
        <f t="shared" si="1"/>
        <v>395.33699999999999</v>
      </c>
      <c r="AE12" s="27">
        <f t="shared" si="1"/>
        <v>612.30899999999997</v>
      </c>
      <c r="AF12" s="27">
        <f t="shared" si="1"/>
        <v>95.632400000000004</v>
      </c>
      <c r="AG12" s="27">
        <f t="shared" si="1"/>
        <v>54.9041</v>
      </c>
      <c r="AH12" s="27">
        <f t="shared" si="1"/>
        <v>13.1416</v>
      </c>
      <c r="AI12" s="27">
        <f t="shared" si="1"/>
        <v>3.04826</v>
      </c>
      <c r="AJ12" s="27">
        <f t="shared" si="1"/>
        <v>8.9292400000000001</v>
      </c>
    </row>
    <row r="13" spans="3:39" x14ac:dyDescent="0.15">
      <c r="C13">
        <v>2014</v>
      </c>
      <c r="D13" s="27">
        <f>pm.rep!B859</f>
        <v>24058.6</v>
      </c>
      <c r="E13" s="27">
        <f>pm.rep!C859</f>
        <v>10139.1</v>
      </c>
      <c r="F13" s="27">
        <f>pm.rep!D859</f>
        <v>6876.52</v>
      </c>
      <c r="G13" s="27">
        <f>pm.rep!E859</f>
        <v>3604.67</v>
      </c>
      <c r="H13" s="27">
        <f>pm.rep!F859</f>
        <v>2484.04</v>
      </c>
      <c r="I13" s="27">
        <f>pm.rep!G859</f>
        <v>2959.67</v>
      </c>
      <c r="J13" s="27">
        <f>pm.rep!H859</f>
        <v>3749.35</v>
      </c>
      <c r="K13" s="27">
        <f>pm.rep!I859</f>
        <v>416.71100000000001</v>
      </c>
      <c r="L13" s="27">
        <f>pm.rep!J859</f>
        <v>287.33100000000002</v>
      </c>
      <c r="M13" s="27">
        <f>pm.rep!K859</f>
        <v>265.12400000000002</v>
      </c>
      <c r="N13" s="27">
        <f>pm.rep!L859</f>
        <v>406.93200000000002</v>
      </c>
      <c r="O13" s="27">
        <f>pm.rep!M859</f>
        <v>63.555900000000001</v>
      </c>
      <c r="P13" s="27">
        <f>pm.rep!N859</f>
        <v>36.488500000000002</v>
      </c>
      <c r="Q13" s="27">
        <f>pm.rep!O859</f>
        <v>8.7337000000000007</v>
      </c>
      <c r="R13" s="27">
        <f>pm.rep!P859</f>
        <v>7.96007</v>
      </c>
      <c r="V13">
        <v>1</v>
      </c>
      <c r="W13">
        <v>2</v>
      </c>
      <c r="X13">
        <v>3</v>
      </c>
      <c r="Y13">
        <v>4</v>
      </c>
      <c r="Z13">
        <v>5</v>
      </c>
      <c r="AA13">
        <v>6</v>
      </c>
      <c r="AB13">
        <v>7</v>
      </c>
      <c r="AC13">
        <v>8</v>
      </c>
      <c r="AD13">
        <v>9</v>
      </c>
      <c r="AE13">
        <v>10</v>
      </c>
      <c r="AF13">
        <v>11</v>
      </c>
      <c r="AG13">
        <v>12</v>
      </c>
      <c r="AH13">
        <v>13</v>
      </c>
      <c r="AI13">
        <v>14</v>
      </c>
      <c r="AJ13">
        <v>15</v>
      </c>
    </row>
    <row r="14" spans="3:39" x14ac:dyDescent="0.15">
      <c r="C14">
        <v>2015</v>
      </c>
      <c r="D14" s="27">
        <f>pm.rep!B860</f>
        <v>23755.7</v>
      </c>
      <c r="E14" s="27">
        <f>pm.rep!C860</f>
        <v>9781.4</v>
      </c>
      <c r="F14" s="27">
        <f>pm.rep!D860</f>
        <v>6460.61</v>
      </c>
      <c r="G14" s="27">
        <f>pm.rep!E860</f>
        <v>5049.0600000000004</v>
      </c>
      <c r="H14" s="27">
        <f>pm.rep!F860</f>
        <v>2591.6999999999998</v>
      </c>
      <c r="I14" s="27">
        <f>pm.rep!G860</f>
        <v>1732.84</v>
      </c>
      <c r="J14" s="27">
        <f>pm.rep!H860</f>
        <v>2001.3</v>
      </c>
      <c r="K14" s="27">
        <f>pm.rep!I860</f>
        <v>2514.7199999999998</v>
      </c>
      <c r="L14" s="27">
        <f>pm.rep!J860</f>
        <v>278.863</v>
      </c>
      <c r="M14" s="27">
        <f>pm.rep!K860</f>
        <v>192.69200000000001</v>
      </c>
      <c r="N14" s="27">
        <f>pm.rep!L860</f>
        <v>176.19800000000001</v>
      </c>
      <c r="O14" s="27">
        <f>pm.rep!M860</f>
        <v>270.44099999999997</v>
      </c>
      <c r="P14" s="27">
        <f>pm.rep!N860</f>
        <v>42.238399999999999</v>
      </c>
      <c r="Q14" s="27">
        <f>pm.rep!O860</f>
        <v>24.249700000000001</v>
      </c>
      <c r="R14" s="27">
        <f>pm.rep!P860</f>
        <v>11.0944</v>
      </c>
      <c r="U14" t="s">
        <v>809</v>
      </c>
      <c r="V14">
        <v>6.6048888888888893E-3</v>
      </c>
      <c r="W14">
        <v>0.20414146</v>
      </c>
      <c r="X14">
        <v>0.36129400000000006</v>
      </c>
      <c r="Y14">
        <v>0.51928779999999986</v>
      </c>
      <c r="Z14">
        <v>0.64808699999999997</v>
      </c>
      <c r="AA14">
        <v>0.77898420000000002</v>
      </c>
      <c r="AB14">
        <v>0.90191149999999998</v>
      </c>
      <c r="AC14">
        <v>0.99112669999999992</v>
      </c>
      <c r="AD14">
        <v>1.1096182999999999</v>
      </c>
      <c r="AE14">
        <v>1.1869049999999999</v>
      </c>
      <c r="AF14">
        <v>1.302629</v>
      </c>
      <c r="AG14">
        <v>1.3756460000000001</v>
      </c>
      <c r="AH14">
        <v>1.4676730000000002</v>
      </c>
      <c r="AI14">
        <v>1.518907</v>
      </c>
      <c r="AJ14">
        <v>1.6194009999999999</v>
      </c>
    </row>
    <row r="15" spans="3:39" x14ac:dyDescent="0.15">
      <c r="C15">
        <v>2016</v>
      </c>
      <c r="D15" s="27">
        <f>pm.rep!B861</f>
        <v>23474</v>
      </c>
      <c r="E15" s="27">
        <f>pm.rep!C861</f>
        <v>9658.26</v>
      </c>
      <c r="F15" s="27">
        <f>pm.rep!D861</f>
        <v>6232.69</v>
      </c>
      <c r="G15" s="27">
        <f>pm.rep!E861</f>
        <v>4743.68</v>
      </c>
      <c r="H15" s="27">
        <f>pm.rep!F861</f>
        <v>3630.19</v>
      </c>
      <c r="I15" s="27">
        <f>pm.rep!G861</f>
        <v>1807.94</v>
      </c>
      <c r="J15" s="27">
        <f>pm.rep!H861</f>
        <v>1171.72</v>
      </c>
      <c r="K15" s="27">
        <f>pm.rep!I861</f>
        <v>1342.28</v>
      </c>
      <c r="L15" s="27">
        <f>pm.rep!J861</f>
        <v>1682.85</v>
      </c>
      <c r="M15" s="27">
        <f>pm.rep!K861</f>
        <v>187.01300000000001</v>
      </c>
      <c r="N15" s="27">
        <f>pm.rep!L861</f>
        <v>128.06</v>
      </c>
      <c r="O15" s="27">
        <f>pm.rep!M861</f>
        <v>117.099</v>
      </c>
      <c r="P15" s="27">
        <f>pm.rep!N861</f>
        <v>179.73099999999999</v>
      </c>
      <c r="Q15" s="27">
        <f>pm.rep!O861</f>
        <v>28.071000000000002</v>
      </c>
      <c r="R15" s="27">
        <f>pm.rep!P861</f>
        <v>23.4892</v>
      </c>
      <c r="U15" t="s">
        <v>811</v>
      </c>
      <c r="V15" t="e">
        <v>#REF!</v>
      </c>
      <c r="W15" t="e">
        <v>#REF!</v>
      </c>
      <c r="X15" t="e">
        <v>#REF!</v>
      </c>
      <c r="Y15" t="e">
        <v>#REF!</v>
      </c>
      <c r="Z15" t="e">
        <v>#REF!</v>
      </c>
      <c r="AA15" t="e">
        <v>#REF!</v>
      </c>
      <c r="AB15" t="e">
        <v>#REF!</v>
      </c>
      <c r="AC15" t="e">
        <v>#REF!</v>
      </c>
      <c r="AD15" t="e">
        <v>#REF!</v>
      </c>
      <c r="AE15" t="e">
        <v>#REF!</v>
      </c>
      <c r="AF15" t="e">
        <v>#REF!</v>
      </c>
      <c r="AG15" t="e">
        <v>#REF!</v>
      </c>
      <c r="AH15" t="e">
        <v>#REF!</v>
      </c>
      <c r="AI15" t="e">
        <v>#REF!</v>
      </c>
      <c r="AJ15" t="e">
        <v>#REF!</v>
      </c>
    </row>
    <row r="16" spans="3:39" x14ac:dyDescent="0.15">
      <c r="C16">
        <v>2017</v>
      </c>
      <c r="D16" s="27" t="str">
        <f>pm.rep!B862</f>
        <v>MSY,</v>
      </c>
      <c r="E16" s="27" t="str">
        <f>pm.rep!C862</f>
        <v>Steepness,</v>
      </c>
      <c r="F16" s="27" t="str">
        <f>pm.rep!D862</f>
        <v>Rzero,</v>
      </c>
      <c r="G16" s="27" t="str">
        <f>pm.rep!E862</f>
        <v>Bzero,</v>
      </c>
      <c r="H16" s="27" t="str">
        <f>pm.rep!F862</f>
        <v>PhiZero,</v>
      </c>
      <c r="I16" s="27" t="str">
        <f>pm.rep!G862</f>
        <v>Alpha,</v>
      </c>
      <c r="J16" s="27" t="str">
        <f>pm.rep!H862</f>
        <v>Beta,</v>
      </c>
      <c r="K16" s="27" t="str">
        <f>pm.rep!I862</f>
        <v>SPB0,</v>
      </c>
      <c r="L16" s="27" t="str">
        <f>pm.rep!J862</f>
        <v>SPRBF40,</v>
      </c>
      <c r="M16" s="27" t="str">
        <f>pm.rep!K862</f>
        <v>Fmsy2,</v>
      </c>
      <c r="N16" s="27" t="str">
        <f>pm.rep!L862</f>
        <v>Bmsy2</v>
      </c>
      <c r="O16" s="27">
        <f>pm.rep!M862</f>
        <v>0</v>
      </c>
      <c r="P16" s="27">
        <f>pm.rep!N862</f>
        <v>0</v>
      </c>
      <c r="Q16" s="27">
        <f>pm.rep!O862</f>
        <v>0</v>
      </c>
      <c r="R16" s="27">
        <f>pm.rep!P862</f>
        <v>0</v>
      </c>
      <c r="T16" t="s">
        <v>811</v>
      </c>
      <c r="U16" t="s">
        <v>810</v>
      </c>
      <c r="V16" t="e">
        <v>#REF!</v>
      </c>
      <c r="W16" t="e">
        <v>#REF!</v>
      </c>
      <c r="X16" t="e">
        <v>#REF!</v>
      </c>
      <c r="Y16" t="e">
        <v>#REF!</v>
      </c>
      <c r="Z16" t="e">
        <v>#REF!</v>
      </c>
      <c r="AA16" t="e">
        <v>#REF!</v>
      </c>
      <c r="AB16" t="e">
        <v>#REF!</v>
      </c>
      <c r="AC16" t="e">
        <v>#REF!</v>
      </c>
      <c r="AD16" t="e">
        <v>#REF!</v>
      </c>
      <c r="AE16" t="e">
        <v>#REF!</v>
      </c>
      <c r="AF16" t="e">
        <v>#REF!</v>
      </c>
      <c r="AG16" t="e">
        <v>#REF!</v>
      </c>
      <c r="AH16" t="e">
        <v>#REF!</v>
      </c>
      <c r="AI16" t="e">
        <v>#REF!</v>
      </c>
      <c r="AJ16" t="e">
        <v>#REF!</v>
      </c>
    </row>
    <row r="17" spans="2:68" x14ac:dyDescent="0.15">
      <c r="V17">
        <v>1</v>
      </c>
      <c r="W17">
        <v>2</v>
      </c>
      <c r="X17">
        <v>3</v>
      </c>
      <c r="Y17">
        <v>4</v>
      </c>
      <c r="Z17">
        <v>5</v>
      </c>
      <c r="AA17">
        <v>6</v>
      </c>
      <c r="AB17">
        <v>7</v>
      </c>
      <c r="AC17">
        <v>8</v>
      </c>
      <c r="AD17">
        <v>9</v>
      </c>
      <c r="AE17">
        <v>10</v>
      </c>
      <c r="AF17">
        <v>11</v>
      </c>
      <c r="AG17">
        <v>12</v>
      </c>
      <c r="AH17">
        <v>13</v>
      </c>
      <c r="AI17">
        <v>14</v>
      </c>
      <c r="AJ17">
        <v>15</v>
      </c>
    </row>
    <row r="18" spans="2:68" ht="30" x14ac:dyDescent="0.3">
      <c r="C18" s="156" t="s">
        <v>270</v>
      </c>
      <c r="U18" t="s">
        <v>792</v>
      </c>
      <c r="V18">
        <v>2.3953605314348478E-4</v>
      </c>
      <c r="W18">
        <v>7.441212666569625E-3</v>
      </c>
      <c r="X18">
        <v>8.7068109939260799E-2</v>
      </c>
      <c r="Y18">
        <v>0.37224655612751267</v>
      </c>
      <c r="Z18">
        <v>0.71371858831002133</v>
      </c>
      <c r="AA18">
        <v>1</v>
      </c>
      <c r="AB18">
        <v>0.98767351691831307</v>
      </c>
      <c r="AC18">
        <v>0.93065278090222192</v>
      </c>
      <c r="AD18">
        <v>0.88183646733448895</v>
      </c>
      <c r="AE18">
        <v>0.82396882319469633</v>
      </c>
      <c r="AF18">
        <v>0.82396882319469633</v>
      </c>
      <c r="AG18">
        <v>0.82396882319469633</v>
      </c>
      <c r="AH18">
        <v>0.82396882319469633</v>
      </c>
      <c r="AI18">
        <v>0.82396882319469633</v>
      </c>
      <c r="AJ18">
        <v>0.82396882319469633</v>
      </c>
      <c r="AL18">
        <v>1.5113799999999999</v>
      </c>
    </row>
    <row r="19" spans="2:68" x14ac:dyDescent="0.15">
      <c r="C19">
        <f t="shared" ref="C19:R19" si="2">C12</f>
        <v>2013</v>
      </c>
      <c r="D19" s="27">
        <f t="shared" si="2"/>
        <v>24938.400000000001</v>
      </c>
      <c r="E19" s="27">
        <f t="shared" si="2"/>
        <v>10791.8</v>
      </c>
      <c r="F19" s="27">
        <f t="shared" si="2"/>
        <v>4909.34</v>
      </c>
      <c r="G19" s="27">
        <f t="shared" si="2"/>
        <v>3454.93</v>
      </c>
      <c r="H19" s="27">
        <f t="shared" si="2"/>
        <v>4242.72</v>
      </c>
      <c r="I19" s="27">
        <f t="shared" si="2"/>
        <v>5544.84</v>
      </c>
      <c r="J19" s="27">
        <f t="shared" si="2"/>
        <v>621.30100000000004</v>
      </c>
      <c r="K19" s="27">
        <f t="shared" si="2"/>
        <v>429.36500000000001</v>
      </c>
      <c r="L19" s="27">
        <f t="shared" si="2"/>
        <v>395.33699999999999</v>
      </c>
      <c r="M19" s="27">
        <f t="shared" si="2"/>
        <v>612.30899999999997</v>
      </c>
      <c r="N19" s="27">
        <f t="shared" si="2"/>
        <v>95.632400000000004</v>
      </c>
      <c r="O19" s="27">
        <f t="shared" si="2"/>
        <v>54.9041</v>
      </c>
      <c r="P19" s="27">
        <f t="shared" si="2"/>
        <v>13.1416</v>
      </c>
      <c r="Q19" s="27">
        <f t="shared" si="2"/>
        <v>3.04826</v>
      </c>
      <c r="R19" s="27">
        <f t="shared" si="2"/>
        <v>8.9292400000000001</v>
      </c>
      <c r="U19" t="s">
        <v>791</v>
      </c>
      <c r="V19">
        <f>pm.rep!B162/$AL$19</f>
        <v>9.7459342401381448E-5</v>
      </c>
      <c r="W19">
        <f>pm.rep!C162/$AL$19</f>
        <v>5.3531726373299742E-3</v>
      </c>
      <c r="X19">
        <f>pm.rep!D162/$AL$19</f>
        <v>7.0434105674371209E-2</v>
      </c>
      <c r="Y19">
        <f>pm.rep!E162/$AL$19</f>
        <v>0.29665963680627311</v>
      </c>
      <c r="Z19">
        <f>pm.rep!F162/$AL$19</f>
        <v>0.50332903992866351</v>
      </c>
      <c r="AA19">
        <f>pm.rep!G162/$AL$19</f>
        <v>0.88450269635249323</v>
      </c>
      <c r="AB19">
        <f>pm.rep!H162/$AL$19</f>
        <v>0.99944799082815527</v>
      </c>
      <c r="AC19">
        <f>pm.rep!I162/$AL$19</f>
        <v>0.97477035003043133</v>
      </c>
      <c r="AD19">
        <f>pm.rep!J162/$AL$19</f>
        <v>1</v>
      </c>
      <c r="AE19">
        <f>pm.rep!K162/$AL$19</f>
        <v>0.98016305501691414</v>
      </c>
      <c r="AF19">
        <f>pm.rep!L162/$AL$19</f>
        <v>0.98016305501691414</v>
      </c>
      <c r="AG19">
        <f>pm.rep!M162/$AL$19</f>
        <v>0.98016305501691414</v>
      </c>
      <c r="AH19">
        <f>pm.rep!N162/$AL$19</f>
        <v>0.98016305501691414</v>
      </c>
      <c r="AI19">
        <f>pm.rep!O162/$AL$19</f>
        <v>0.98016305501691414</v>
      </c>
      <c r="AJ19">
        <f>pm.rep!P162/$AL$19</f>
        <v>0.98016305501691414</v>
      </c>
      <c r="AL19">
        <f>MAX(pm.rep!B162:'pm.rep'!P162)</f>
        <v>1.4130199999999999</v>
      </c>
    </row>
    <row r="20" spans="2:68" x14ac:dyDescent="0.15">
      <c r="C20">
        <f t="shared" ref="C20:D23" si="3">C13</f>
        <v>2014</v>
      </c>
      <c r="D20" s="27">
        <f t="shared" si="3"/>
        <v>24058.6</v>
      </c>
      <c r="E20" s="27" t="e">
        <f t="shared" ref="E20:Q23" si="4">D19*BB21</f>
        <v>#VALUE!</v>
      </c>
      <c r="F20" s="27">
        <f t="shared" si="4"/>
        <v>6881.1554866718534</v>
      </c>
      <c r="G20" s="27">
        <f t="shared" si="4"/>
        <v>3636.9285235215848</v>
      </c>
      <c r="H20" s="27">
        <f t="shared" si="4"/>
        <v>2559.4750951798874</v>
      </c>
      <c r="I20" s="27">
        <f t="shared" si="4"/>
        <v>3143.0842812507381</v>
      </c>
      <c r="J20" s="27">
        <f t="shared" si="4"/>
        <v>4107.7185027648165</v>
      </c>
      <c r="K20" s="27">
        <f t="shared" si="4"/>
        <v>460.27110132777204</v>
      </c>
      <c r="L20" s="27">
        <f t="shared" si="4"/>
        <v>318.08141532300579</v>
      </c>
      <c r="M20" s="27">
        <f t="shared" si="4"/>
        <v>292.87285290964832</v>
      </c>
      <c r="N20" s="27">
        <f t="shared" si="4"/>
        <v>453.60966388740195</v>
      </c>
      <c r="O20" s="27">
        <f t="shared" si="4"/>
        <v>70.846224407522314</v>
      </c>
      <c r="P20" s="27">
        <f t="shared" si="4"/>
        <v>40.673957670131109</v>
      </c>
      <c r="Q20" s="27">
        <f t="shared" si="4"/>
        <v>9.7355367289108639</v>
      </c>
      <c r="R20" s="27">
        <f>Q19*BO21+R19*BP21</f>
        <v>8.8731502382152758</v>
      </c>
      <c r="S20" s="27"/>
      <c r="T20" t="s">
        <v>148</v>
      </c>
      <c r="AK20" t="s">
        <v>748</v>
      </c>
      <c r="BB20" t="s">
        <v>749</v>
      </c>
    </row>
    <row r="21" spans="2:68" x14ac:dyDescent="0.15">
      <c r="C21">
        <f t="shared" si="3"/>
        <v>2015</v>
      </c>
      <c r="D21" s="27">
        <f t="shared" si="3"/>
        <v>23755.7</v>
      </c>
      <c r="E21" s="27" t="e">
        <f t="shared" si="4"/>
        <v>#VALUE!</v>
      </c>
      <c r="F21" s="27" t="e">
        <f t="shared" si="4"/>
        <v>#VALUE!</v>
      </c>
      <c r="G21" s="27">
        <f t="shared" si="4"/>
        <v>5097.6853638704824</v>
      </c>
      <c r="H21" s="27">
        <f t="shared" si="4"/>
        <v>2694.3029175418478</v>
      </c>
      <c r="I21" s="27">
        <f t="shared" si="4"/>
        <v>1896.1057858903346</v>
      </c>
      <c r="J21" s="27">
        <f t="shared" si="4"/>
        <v>2328.454104688848</v>
      </c>
      <c r="K21" s="27">
        <f t="shared" si="4"/>
        <v>3043.0727122796015</v>
      </c>
      <c r="L21" s="27">
        <f t="shared" si="4"/>
        <v>340.97721831685476</v>
      </c>
      <c r="M21" s="27">
        <f t="shared" si="4"/>
        <v>235.64050813151167</v>
      </c>
      <c r="N21" s="27">
        <f t="shared" si="4"/>
        <v>216.96554577850415</v>
      </c>
      <c r="O21" s="27">
        <f t="shared" si="4"/>
        <v>336.04230408509721</v>
      </c>
      <c r="P21" s="27">
        <f t="shared" si="4"/>
        <v>52.484173907598375</v>
      </c>
      <c r="Q21" s="27">
        <f t="shared" si="4"/>
        <v>30.132008949270041</v>
      </c>
      <c r="R21" s="27">
        <f>Q20*BO22+R20*BP22</f>
        <v>13.78565436820946</v>
      </c>
      <c r="S21" s="27"/>
      <c r="T21">
        <f>C19</f>
        <v>2013</v>
      </c>
      <c r="U21" s="31" t="e">
        <f t="shared" ref="U21:AI25" si="5">$B100*D$7</f>
        <v>#VALUE!</v>
      </c>
      <c r="V21" s="31">
        <f t="shared" si="5"/>
        <v>0</v>
      </c>
      <c r="W21" s="31">
        <f t="shared" si="5"/>
        <v>0</v>
      </c>
      <c r="X21" s="31">
        <f t="shared" si="5"/>
        <v>0</v>
      </c>
      <c r="Y21" s="31">
        <f t="shared" si="5"/>
        <v>0</v>
      </c>
      <c r="Z21" s="31">
        <f t="shared" si="5"/>
        <v>0</v>
      </c>
      <c r="AA21" s="31">
        <f t="shared" si="5"/>
        <v>0</v>
      </c>
      <c r="AB21" s="31">
        <f t="shared" si="5"/>
        <v>0</v>
      </c>
      <c r="AC21" s="31">
        <f t="shared" si="5"/>
        <v>0</v>
      </c>
      <c r="AD21" s="31">
        <f t="shared" si="5"/>
        <v>0</v>
      </c>
      <c r="AE21" s="31">
        <f t="shared" si="5"/>
        <v>0</v>
      </c>
      <c r="AF21" s="31">
        <f t="shared" si="5"/>
        <v>0</v>
      </c>
      <c r="AG21" s="31">
        <f t="shared" si="5"/>
        <v>0</v>
      </c>
      <c r="AH21" s="31">
        <f t="shared" si="5"/>
        <v>0</v>
      </c>
      <c r="AI21" s="31">
        <f t="shared" si="5"/>
        <v>0</v>
      </c>
      <c r="AK21">
        <f>T21</f>
        <v>2013</v>
      </c>
      <c r="AL21" t="e">
        <f t="shared" ref="AL21:AZ25" si="6">U21+D$8</f>
        <v>#VALUE!</v>
      </c>
      <c r="AM21">
        <f t="shared" si="6"/>
        <v>0.45</v>
      </c>
      <c r="AN21">
        <f t="shared" si="6"/>
        <v>0.30000000000000004</v>
      </c>
      <c r="AO21">
        <f t="shared" si="6"/>
        <v>0.30000000000000004</v>
      </c>
      <c r="AP21">
        <f t="shared" si="6"/>
        <v>0.30000000000000004</v>
      </c>
      <c r="AQ21">
        <f t="shared" si="6"/>
        <v>0.30000000000000004</v>
      </c>
      <c r="AR21">
        <f t="shared" si="6"/>
        <v>0.30000000000000004</v>
      </c>
      <c r="AS21">
        <f t="shared" si="6"/>
        <v>0.30000000000000004</v>
      </c>
      <c r="AT21">
        <f t="shared" si="6"/>
        <v>0.30000000000000004</v>
      </c>
      <c r="AU21">
        <f t="shared" si="6"/>
        <v>0.30000000000000004</v>
      </c>
      <c r="AV21">
        <f t="shared" si="6"/>
        <v>0.30000000000000004</v>
      </c>
      <c r="AW21">
        <f t="shared" si="6"/>
        <v>0.30000000000000004</v>
      </c>
      <c r="AX21">
        <f t="shared" si="6"/>
        <v>0.30000000000000004</v>
      </c>
      <c r="AY21">
        <f t="shared" si="6"/>
        <v>0.30000000000000004</v>
      </c>
      <c r="AZ21">
        <f t="shared" si="6"/>
        <v>0.30000000000000004</v>
      </c>
      <c r="BB21" t="e">
        <f>EXP(-AL21)</f>
        <v>#VALUE!</v>
      </c>
      <c r="BC21">
        <f t="shared" ref="BC21:BP21" si="7">EXP(-AM21)</f>
        <v>0.63762815162177333</v>
      </c>
      <c r="BD21">
        <f t="shared" si="7"/>
        <v>0.74081822068171788</v>
      </c>
      <c r="BE21">
        <f t="shared" si="7"/>
        <v>0.74081822068171788</v>
      </c>
      <c r="BF21">
        <f t="shared" si="7"/>
        <v>0.74081822068171788</v>
      </c>
      <c r="BG21">
        <f t="shared" si="7"/>
        <v>0.74081822068171788</v>
      </c>
      <c r="BH21">
        <f t="shared" si="7"/>
        <v>0.74081822068171788</v>
      </c>
      <c r="BI21">
        <f t="shared" si="7"/>
        <v>0.74081822068171788</v>
      </c>
      <c r="BJ21">
        <f t="shared" si="7"/>
        <v>0.74081822068171788</v>
      </c>
      <c r="BK21">
        <f t="shared" si="7"/>
        <v>0.74081822068171788</v>
      </c>
      <c r="BL21">
        <f t="shared" si="7"/>
        <v>0.74081822068171788</v>
      </c>
      <c r="BM21">
        <f t="shared" si="7"/>
        <v>0.74081822068171788</v>
      </c>
      <c r="BN21">
        <f t="shared" si="7"/>
        <v>0.74081822068171788</v>
      </c>
      <c r="BO21">
        <f t="shared" si="7"/>
        <v>0.74081822068171788</v>
      </c>
      <c r="BP21">
        <f t="shared" si="7"/>
        <v>0.74081822068171788</v>
      </c>
    </row>
    <row r="22" spans="2:68" x14ac:dyDescent="0.15">
      <c r="C22">
        <f t="shared" si="3"/>
        <v>2016</v>
      </c>
      <c r="D22" s="27">
        <f t="shared" si="3"/>
        <v>23474</v>
      </c>
      <c r="E22" s="27" t="e">
        <f t="shared" si="4"/>
        <v>#VALUE!</v>
      </c>
      <c r="F22" s="27" t="e">
        <f t="shared" si="4"/>
        <v>#VALUE!</v>
      </c>
      <c r="G22" s="27" t="e">
        <f t="shared" si="4"/>
        <v>#VALUE!</v>
      </c>
      <c r="H22" s="27">
        <f t="shared" si="4"/>
        <v>3776.4582008577663</v>
      </c>
      <c r="I22" s="27">
        <f t="shared" si="4"/>
        <v>1995.9886933509129</v>
      </c>
      <c r="J22" s="27">
        <f t="shared" si="4"/>
        <v>1404.669714527588</v>
      </c>
      <c r="K22" s="27">
        <f t="shared" si="4"/>
        <v>1724.9612267746347</v>
      </c>
      <c r="L22" s="27">
        <f t="shared" si="4"/>
        <v>2254.3637121160637</v>
      </c>
      <c r="M22" s="27">
        <f t="shared" si="4"/>
        <v>252.60213616649401</v>
      </c>
      <c r="N22" s="27">
        <f t="shared" si="4"/>
        <v>174.56678195452236</v>
      </c>
      <c r="O22" s="27">
        <f t="shared" si="4"/>
        <v>160.73202957286924</v>
      </c>
      <c r="P22" s="27">
        <f t="shared" si="4"/>
        <v>248.9462617861065</v>
      </c>
      <c r="Q22" s="27">
        <f t="shared" si="4"/>
        <v>38.881232328176871</v>
      </c>
      <c r="R22" s="27">
        <f>Q21*BO23+R21*BP23</f>
        <v>32.535005195353918</v>
      </c>
      <c r="S22" s="27"/>
      <c r="T22">
        <f>C20</f>
        <v>2014</v>
      </c>
      <c r="U22" s="31" t="e">
        <f t="shared" si="5"/>
        <v>#VALUE!</v>
      </c>
      <c r="V22" s="31">
        <f t="shared" si="5"/>
        <v>0</v>
      </c>
      <c r="W22" s="31">
        <f t="shared" si="5"/>
        <v>0</v>
      </c>
      <c r="X22" s="31">
        <f t="shared" si="5"/>
        <v>0</v>
      </c>
      <c r="Y22" s="31">
        <f t="shared" si="5"/>
        <v>0</v>
      </c>
      <c r="Z22" s="31">
        <f t="shared" si="5"/>
        <v>0</v>
      </c>
      <c r="AA22" s="31">
        <f t="shared" si="5"/>
        <v>0</v>
      </c>
      <c r="AB22" s="31">
        <f t="shared" si="5"/>
        <v>0</v>
      </c>
      <c r="AC22" s="31">
        <f t="shared" si="5"/>
        <v>0</v>
      </c>
      <c r="AD22" s="31">
        <f t="shared" si="5"/>
        <v>0</v>
      </c>
      <c r="AE22" s="31">
        <f t="shared" si="5"/>
        <v>0</v>
      </c>
      <c r="AF22" s="31">
        <f t="shared" si="5"/>
        <v>0</v>
      </c>
      <c r="AG22" s="31">
        <f t="shared" si="5"/>
        <v>0</v>
      </c>
      <c r="AH22" s="31">
        <f t="shared" si="5"/>
        <v>0</v>
      </c>
      <c r="AI22" s="31">
        <f t="shared" si="5"/>
        <v>0</v>
      </c>
      <c r="AK22">
        <f>T22</f>
        <v>2014</v>
      </c>
      <c r="AL22" t="e">
        <f t="shared" si="6"/>
        <v>#VALUE!</v>
      </c>
      <c r="AM22">
        <f t="shared" si="6"/>
        <v>0.45</v>
      </c>
      <c r="AN22">
        <f t="shared" si="6"/>
        <v>0.30000000000000004</v>
      </c>
      <c r="AO22">
        <f t="shared" si="6"/>
        <v>0.30000000000000004</v>
      </c>
      <c r="AP22">
        <f t="shared" si="6"/>
        <v>0.30000000000000004</v>
      </c>
      <c r="AQ22">
        <f t="shared" si="6"/>
        <v>0.30000000000000004</v>
      </c>
      <c r="AR22">
        <f t="shared" si="6"/>
        <v>0.30000000000000004</v>
      </c>
      <c r="AS22">
        <f t="shared" si="6"/>
        <v>0.30000000000000004</v>
      </c>
      <c r="AT22">
        <f t="shared" si="6"/>
        <v>0.30000000000000004</v>
      </c>
      <c r="AU22">
        <f t="shared" si="6"/>
        <v>0.30000000000000004</v>
      </c>
      <c r="AV22">
        <f t="shared" si="6"/>
        <v>0.30000000000000004</v>
      </c>
      <c r="AW22">
        <f t="shared" si="6"/>
        <v>0.30000000000000004</v>
      </c>
      <c r="AX22">
        <f t="shared" si="6"/>
        <v>0.30000000000000004</v>
      </c>
      <c r="AY22">
        <f t="shared" si="6"/>
        <v>0.30000000000000004</v>
      </c>
      <c r="AZ22">
        <f t="shared" si="6"/>
        <v>0.30000000000000004</v>
      </c>
      <c r="BB22" t="e">
        <f>EXP(-AL22)</f>
        <v>#VALUE!</v>
      </c>
      <c r="BC22">
        <f t="shared" ref="BC22:BP25" si="8">EXP(-AM22)</f>
        <v>0.63762815162177333</v>
      </c>
      <c r="BD22">
        <f t="shared" si="8"/>
        <v>0.74081822068171788</v>
      </c>
      <c r="BE22">
        <f t="shared" si="8"/>
        <v>0.74081822068171788</v>
      </c>
      <c r="BF22">
        <f t="shared" si="8"/>
        <v>0.74081822068171788</v>
      </c>
      <c r="BG22">
        <f t="shared" si="8"/>
        <v>0.74081822068171788</v>
      </c>
      <c r="BH22">
        <f t="shared" si="8"/>
        <v>0.74081822068171788</v>
      </c>
      <c r="BI22">
        <f t="shared" si="8"/>
        <v>0.74081822068171788</v>
      </c>
      <c r="BJ22">
        <f t="shared" si="8"/>
        <v>0.74081822068171788</v>
      </c>
      <c r="BK22">
        <f t="shared" si="8"/>
        <v>0.74081822068171788</v>
      </c>
      <c r="BL22">
        <f t="shared" si="8"/>
        <v>0.74081822068171788</v>
      </c>
      <c r="BM22">
        <f t="shared" si="8"/>
        <v>0.74081822068171788</v>
      </c>
      <c r="BN22">
        <f t="shared" si="8"/>
        <v>0.74081822068171788</v>
      </c>
      <c r="BO22">
        <f t="shared" si="8"/>
        <v>0.74081822068171788</v>
      </c>
      <c r="BP22">
        <f t="shared" si="8"/>
        <v>0.74081822068171788</v>
      </c>
    </row>
    <row r="23" spans="2:68" x14ac:dyDescent="0.15">
      <c r="C23">
        <f t="shared" si="3"/>
        <v>2017</v>
      </c>
      <c r="D23" s="27" t="str">
        <f t="shared" si="3"/>
        <v>MSY,</v>
      </c>
      <c r="E23" s="27" t="e">
        <f t="shared" si="4"/>
        <v>#VALUE!</v>
      </c>
      <c r="F23" s="27" t="e">
        <f t="shared" si="4"/>
        <v>#VALUE!</v>
      </c>
      <c r="G23" s="27" t="e">
        <f t="shared" si="4"/>
        <v>#VALUE!</v>
      </c>
      <c r="H23" s="27" t="e">
        <f t="shared" si="4"/>
        <v>#VALUE!</v>
      </c>
      <c r="I23" s="27">
        <f t="shared" si="4"/>
        <v>2797.669044838332</v>
      </c>
      <c r="J23" s="27">
        <f t="shared" si="4"/>
        <v>1478.6647923090502</v>
      </c>
      <c r="K23" s="27">
        <f t="shared" si="4"/>
        <v>1040.6049185618244</v>
      </c>
      <c r="L23" s="27">
        <f t="shared" si="4"/>
        <v>1277.8827067641382</v>
      </c>
      <c r="M23" s="27">
        <f t="shared" si="4"/>
        <v>1670.0737139792548</v>
      </c>
      <c r="N23" s="27">
        <f t="shared" si="4"/>
        <v>187.1322650552631</v>
      </c>
      <c r="O23" s="27">
        <f t="shared" si="4"/>
        <v>129.32225279768267</v>
      </c>
      <c r="P23" s="27">
        <f t="shared" si="4"/>
        <v>119.07321615473424</v>
      </c>
      <c r="Q23" s="27">
        <f t="shared" si="4"/>
        <v>184.42392670174857</v>
      </c>
      <c r="R23" s="27">
        <f>Q22*BO24+R22*BP24</f>
        <v>52.906450009965013</v>
      </c>
      <c r="S23" s="27"/>
      <c r="T23">
        <f>C21</f>
        <v>2015</v>
      </c>
      <c r="U23" s="31" t="e">
        <f t="shared" si="5"/>
        <v>#VALUE!</v>
      </c>
      <c r="V23" s="31">
        <f t="shared" si="5"/>
        <v>0</v>
      </c>
      <c r="W23" s="31">
        <f t="shared" si="5"/>
        <v>0</v>
      </c>
      <c r="X23" s="31">
        <f t="shared" si="5"/>
        <v>0</v>
      </c>
      <c r="Y23" s="31">
        <f t="shared" si="5"/>
        <v>0</v>
      </c>
      <c r="Z23" s="31">
        <f t="shared" si="5"/>
        <v>0</v>
      </c>
      <c r="AA23" s="31">
        <f t="shared" si="5"/>
        <v>0</v>
      </c>
      <c r="AB23" s="31">
        <f t="shared" si="5"/>
        <v>0</v>
      </c>
      <c r="AC23" s="31">
        <f t="shared" si="5"/>
        <v>0</v>
      </c>
      <c r="AD23" s="31">
        <f t="shared" si="5"/>
        <v>0</v>
      </c>
      <c r="AE23" s="31">
        <f t="shared" si="5"/>
        <v>0</v>
      </c>
      <c r="AF23" s="31">
        <f t="shared" si="5"/>
        <v>0</v>
      </c>
      <c r="AG23" s="31">
        <f t="shared" si="5"/>
        <v>0</v>
      </c>
      <c r="AH23" s="31">
        <f t="shared" si="5"/>
        <v>0</v>
      </c>
      <c r="AI23" s="31">
        <f t="shared" si="5"/>
        <v>0</v>
      </c>
      <c r="AK23">
        <f>T23</f>
        <v>2015</v>
      </c>
      <c r="AL23" t="e">
        <f t="shared" si="6"/>
        <v>#VALUE!</v>
      </c>
      <c r="AM23">
        <f t="shared" si="6"/>
        <v>0.45</v>
      </c>
      <c r="AN23">
        <f t="shared" si="6"/>
        <v>0.30000000000000004</v>
      </c>
      <c r="AO23">
        <f t="shared" si="6"/>
        <v>0.30000000000000004</v>
      </c>
      <c r="AP23">
        <f t="shared" si="6"/>
        <v>0.30000000000000004</v>
      </c>
      <c r="AQ23">
        <f t="shared" si="6"/>
        <v>0.30000000000000004</v>
      </c>
      <c r="AR23">
        <f t="shared" si="6"/>
        <v>0.30000000000000004</v>
      </c>
      <c r="AS23">
        <f t="shared" si="6"/>
        <v>0.30000000000000004</v>
      </c>
      <c r="AT23">
        <f t="shared" si="6"/>
        <v>0.30000000000000004</v>
      </c>
      <c r="AU23">
        <f t="shared" si="6"/>
        <v>0.30000000000000004</v>
      </c>
      <c r="AV23">
        <f t="shared" si="6"/>
        <v>0.30000000000000004</v>
      </c>
      <c r="AW23">
        <f t="shared" si="6"/>
        <v>0.30000000000000004</v>
      </c>
      <c r="AX23">
        <f t="shared" si="6"/>
        <v>0.30000000000000004</v>
      </c>
      <c r="AY23">
        <f t="shared" si="6"/>
        <v>0.30000000000000004</v>
      </c>
      <c r="AZ23">
        <f t="shared" si="6"/>
        <v>0.30000000000000004</v>
      </c>
      <c r="BB23" t="e">
        <f>EXP(-AL23)</f>
        <v>#VALUE!</v>
      </c>
      <c r="BC23">
        <f t="shared" si="8"/>
        <v>0.63762815162177333</v>
      </c>
      <c r="BD23">
        <f t="shared" si="8"/>
        <v>0.74081822068171788</v>
      </c>
      <c r="BE23">
        <f t="shared" si="8"/>
        <v>0.74081822068171788</v>
      </c>
      <c r="BF23">
        <f t="shared" si="8"/>
        <v>0.74081822068171788</v>
      </c>
      <c r="BG23">
        <f t="shared" si="8"/>
        <v>0.74081822068171788</v>
      </c>
      <c r="BH23">
        <f t="shared" si="8"/>
        <v>0.74081822068171788</v>
      </c>
      <c r="BI23">
        <f t="shared" si="8"/>
        <v>0.74081822068171788</v>
      </c>
      <c r="BJ23">
        <f t="shared" si="8"/>
        <v>0.74081822068171788</v>
      </c>
      <c r="BK23">
        <f t="shared" si="8"/>
        <v>0.74081822068171788</v>
      </c>
      <c r="BL23">
        <f t="shared" si="8"/>
        <v>0.74081822068171788</v>
      </c>
      <c r="BM23">
        <f t="shared" si="8"/>
        <v>0.74081822068171788</v>
      </c>
      <c r="BN23">
        <f t="shared" si="8"/>
        <v>0.74081822068171788</v>
      </c>
      <c r="BO23">
        <f t="shared" si="8"/>
        <v>0.74081822068171788</v>
      </c>
      <c r="BP23">
        <f t="shared" si="8"/>
        <v>0.74081822068171788</v>
      </c>
    </row>
    <row r="24" spans="2:68" x14ac:dyDescent="0.15"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>
        <f>C22</f>
        <v>2016</v>
      </c>
      <c r="U24" s="31" t="e">
        <f t="shared" si="5"/>
        <v>#VALUE!</v>
      </c>
      <c r="V24" s="31">
        <f t="shared" si="5"/>
        <v>0</v>
      </c>
      <c r="W24" s="31">
        <f t="shared" si="5"/>
        <v>0</v>
      </c>
      <c r="X24" s="31">
        <f t="shared" si="5"/>
        <v>0</v>
      </c>
      <c r="Y24" s="31">
        <f t="shared" si="5"/>
        <v>0</v>
      </c>
      <c r="Z24" s="31">
        <f t="shared" si="5"/>
        <v>0</v>
      </c>
      <c r="AA24" s="31">
        <f t="shared" si="5"/>
        <v>0</v>
      </c>
      <c r="AB24" s="31">
        <f t="shared" si="5"/>
        <v>0</v>
      </c>
      <c r="AC24" s="31">
        <f t="shared" si="5"/>
        <v>0</v>
      </c>
      <c r="AD24" s="31">
        <f t="shared" si="5"/>
        <v>0</v>
      </c>
      <c r="AE24" s="31">
        <f t="shared" si="5"/>
        <v>0</v>
      </c>
      <c r="AF24" s="31">
        <f t="shared" si="5"/>
        <v>0</v>
      </c>
      <c r="AG24" s="31">
        <f t="shared" si="5"/>
        <v>0</v>
      </c>
      <c r="AH24" s="31">
        <f t="shared" si="5"/>
        <v>0</v>
      </c>
      <c r="AI24" s="31">
        <f t="shared" si="5"/>
        <v>0</v>
      </c>
      <c r="AK24">
        <f>T24</f>
        <v>2016</v>
      </c>
      <c r="AL24" t="e">
        <f t="shared" si="6"/>
        <v>#VALUE!</v>
      </c>
      <c r="AM24">
        <f t="shared" si="6"/>
        <v>0.45</v>
      </c>
      <c r="AN24">
        <f t="shared" si="6"/>
        <v>0.30000000000000004</v>
      </c>
      <c r="AO24">
        <f t="shared" si="6"/>
        <v>0.30000000000000004</v>
      </c>
      <c r="AP24">
        <f t="shared" si="6"/>
        <v>0.30000000000000004</v>
      </c>
      <c r="AQ24">
        <f t="shared" si="6"/>
        <v>0.30000000000000004</v>
      </c>
      <c r="AR24">
        <f t="shared" si="6"/>
        <v>0.30000000000000004</v>
      </c>
      <c r="AS24">
        <f t="shared" si="6"/>
        <v>0.30000000000000004</v>
      </c>
      <c r="AT24">
        <f t="shared" si="6"/>
        <v>0.30000000000000004</v>
      </c>
      <c r="AU24">
        <f t="shared" si="6"/>
        <v>0.30000000000000004</v>
      </c>
      <c r="AV24">
        <f t="shared" si="6"/>
        <v>0.30000000000000004</v>
      </c>
      <c r="AW24">
        <f t="shared" si="6"/>
        <v>0.30000000000000004</v>
      </c>
      <c r="AX24">
        <f t="shared" si="6"/>
        <v>0.30000000000000004</v>
      </c>
      <c r="AY24">
        <f t="shared" si="6"/>
        <v>0.30000000000000004</v>
      </c>
      <c r="AZ24">
        <f t="shared" si="6"/>
        <v>0.30000000000000004</v>
      </c>
      <c r="BB24" t="e">
        <f>EXP(-AL24)</f>
        <v>#VALUE!</v>
      </c>
      <c r="BC24">
        <f t="shared" si="8"/>
        <v>0.63762815162177333</v>
      </c>
      <c r="BD24">
        <f t="shared" si="8"/>
        <v>0.74081822068171788</v>
      </c>
      <c r="BE24">
        <f t="shared" si="8"/>
        <v>0.74081822068171788</v>
      </c>
      <c r="BF24">
        <f t="shared" si="8"/>
        <v>0.74081822068171788</v>
      </c>
      <c r="BG24">
        <f t="shared" si="8"/>
        <v>0.74081822068171788</v>
      </c>
      <c r="BH24">
        <f t="shared" si="8"/>
        <v>0.74081822068171788</v>
      </c>
      <c r="BI24">
        <f t="shared" si="8"/>
        <v>0.74081822068171788</v>
      </c>
      <c r="BJ24">
        <f t="shared" si="8"/>
        <v>0.74081822068171788</v>
      </c>
      <c r="BK24">
        <f t="shared" si="8"/>
        <v>0.74081822068171788</v>
      </c>
      <c r="BL24">
        <f t="shared" si="8"/>
        <v>0.74081822068171788</v>
      </c>
      <c r="BM24">
        <f t="shared" si="8"/>
        <v>0.74081822068171788</v>
      </c>
      <c r="BN24">
        <f t="shared" si="8"/>
        <v>0.74081822068171788</v>
      </c>
      <c r="BO24">
        <f t="shared" si="8"/>
        <v>0.74081822068171788</v>
      </c>
      <c r="BP24">
        <f t="shared" si="8"/>
        <v>0.74081822068171788</v>
      </c>
    </row>
    <row r="25" spans="2:68" x14ac:dyDescent="0.15">
      <c r="C25" s="4" t="s">
        <v>753</v>
      </c>
      <c r="D25" s="27">
        <v>1</v>
      </c>
      <c r="E25" s="27">
        <v>2</v>
      </c>
      <c r="F25" s="27">
        <v>3</v>
      </c>
      <c r="G25" s="27">
        <v>4</v>
      </c>
      <c r="H25" s="27">
        <v>5</v>
      </c>
      <c r="I25" s="27">
        <v>6</v>
      </c>
      <c r="J25" s="27">
        <v>7</v>
      </c>
      <c r="K25" s="27">
        <v>8</v>
      </c>
      <c r="L25" s="27">
        <v>9</v>
      </c>
      <c r="M25" s="27">
        <v>10</v>
      </c>
      <c r="N25" s="27">
        <v>11</v>
      </c>
      <c r="O25" s="27">
        <v>12</v>
      </c>
      <c r="P25" s="27">
        <v>13</v>
      </c>
      <c r="Q25" s="27">
        <v>14</v>
      </c>
      <c r="R25" s="27">
        <v>15</v>
      </c>
      <c r="S25" s="27"/>
      <c r="T25">
        <f>C23</f>
        <v>2017</v>
      </c>
      <c r="U25" s="31" t="e">
        <f t="shared" si="5"/>
        <v>#VALUE!</v>
      </c>
      <c r="V25" s="31">
        <f t="shared" si="5"/>
        <v>0</v>
      </c>
      <c r="W25" s="31">
        <f t="shared" si="5"/>
        <v>0</v>
      </c>
      <c r="X25" s="31">
        <f t="shared" si="5"/>
        <v>0</v>
      </c>
      <c r="Y25" s="31">
        <f t="shared" si="5"/>
        <v>0</v>
      </c>
      <c r="Z25" s="31">
        <f t="shared" si="5"/>
        <v>0</v>
      </c>
      <c r="AA25" s="31">
        <f t="shared" si="5"/>
        <v>0</v>
      </c>
      <c r="AB25" s="31">
        <f t="shared" si="5"/>
        <v>0</v>
      </c>
      <c r="AC25" s="31">
        <f t="shared" si="5"/>
        <v>0</v>
      </c>
      <c r="AD25" s="31">
        <f t="shared" si="5"/>
        <v>0</v>
      </c>
      <c r="AE25" s="31">
        <f t="shared" si="5"/>
        <v>0</v>
      </c>
      <c r="AF25" s="31">
        <f t="shared" si="5"/>
        <v>0</v>
      </c>
      <c r="AG25" s="31">
        <f t="shared" si="5"/>
        <v>0</v>
      </c>
      <c r="AH25" s="31">
        <f t="shared" si="5"/>
        <v>0</v>
      </c>
      <c r="AI25" s="31">
        <f t="shared" si="5"/>
        <v>0</v>
      </c>
      <c r="AK25">
        <f>T25</f>
        <v>2017</v>
      </c>
      <c r="AL25" t="e">
        <f t="shared" si="6"/>
        <v>#VALUE!</v>
      </c>
      <c r="AM25">
        <f t="shared" si="6"/>
        <v>0.45</v>
      </c>
      <c r="AN25">
        <f t="shared" si="6"/>
        <v>0.30000000000000004</v>
      </c>
      <c r="AO25">
        <f t="shared" si="6"/>
        <v>0.30000000000000004</v>
      </c>
      <c r="AP25">
        <f t="shared" si="6"/>
        <v>0.30000000000000004</v>
      </c>
      <c r="AQ25">
        <f t="shared" si="6"/>
        <v>0.30000000000000004</v>
      </c>
      <c r="AR25">
        <f t="shared" si="6"/>
        <v>0.30000000000000004</v>
      </c>
      <c r="AS25">
        <f t="shared" si="6"/>
        <v>0.30000000000000004</v>
      </c>
      <c r="AT25">
        <f t="shared" si="6"/>
        <v>0.30000000000000004</v>
      </c>
      <c r="AU25">
        <f t="shared" si="6"/>
        <v>0.30000000000000004</v>
      </c>
      <c r="AV25">
        <f t="shared" si="6"/>
        <v>0.30000000000000004</v>
      </c>
      <c r="AW25">
        <f t="shared" si="6"/>
        <v>0.30000000000000004</v>
      </c>
      <c r="AX25">
        <f t="shared" si="6"/>
        <v>0.30000000000000004</v>
      </c>
      <c r="AY25">
        <f t="shared" si="6"/>
        <v>0.30000000000000004</v>
      </c>
      <c r="AZ25">
        <f t="shared" si="6"/>
        <v>0.30000000000000004</v>
      </c>
      <c r="BB25" t="e">
        <f>EXP(-AL25)</f>
        <v>#VALUE!</v>
      </c>
      <c r="BC25">
        <f t="shared" si="8"/>
        <v>0.63762815162177333</v>
      </c>
      <c r="BD25">
        <f t="shared" si="8"/>
        <v>0.74081822068171788</v>
      </c>
      <c r="BE25">
        <f t="shared" si="8"/>
        <v>0.74081822068171788</v>
      </c>
      <c r="BF25">
        <f t="shared" si="8"/>
        <v>0.74081822068171788</v>
      </c>
      <c r="BG25">
        <f t="shared" si="8"/>
        <v>0.74081822068171788</v>
      </c>
      <c r="BH25">
        <f t="shared" si="8"/>
        <v>0.74081822068171788</v>
      </c>
      <c r="BI25">
        <f t="shared" si="8"/>
        <v>0.74081822068171788</v>
      </c>
      <c r="BJ25">
        <f t="shared" si="8"/>
        <v>0.74081822068171788</v>
      </c>
      <c r="BK25">
        <f t="shared" si="8"/>
        <v>0.74081822068171788</v>
      </c>
      <c r="BL25">
        <f t="shared" si="8"/>
        <v>0.74081822068171788</v>
      </c>
      <c r="BM25">
        <f t="shared" si="8"/>
        <v>0.74081822068171788</v>
      </c>
      <c r="BN25">
        <f t="shared" si="8"/>
        <v>0.74081822068171788</v>
      </c>
      <c r="BO25">
        <f t="shared" si="8"/>
        <v>0.74081822068171788</v>
      </c>
      <c r="BP25">
        <f t="shared" si="8"/>
        <v>0.74081822068171788</v>
      </c>
    </row>
    <row r="26" spans="2:68" x14ac:dyDescent="0.15">
      <c r="B26" s="27">
        <f>SUM(D19:R19)</f>
        <v>56115.997600000002</v>
      </c>
      <c r="C26">
        <f>C19</f>
        <v>2013</v>
      </c>
      <c r="D26" s="23">
        <f>D19/$B26</f>
        <v>0.4444080309818817</v>
      </c>
      <c r="E26" s="23">
        <f t="shared" ref="E26:R26" si="9">E19/$B26</f>
        <v>0.19231236120802742</v>
      </c>
      <c r="F26" s="23">
        <f t="shared" si="9"/>
        <v>8.7485569355716136E-2</v>
      </c>
      <c r="G26" s="23">
        <f t="shared" si="9"/>
        <v>6.1567648224434307E-2</v>
      </c>
      <c r="H26" s="23">
        <f t="shared" si="9"/>
        <v>7.5606247441995039E-2</v>
      </c>
      <c r="I26" s="23">
        <f t="shared" si="9"/>
        <v>9.8810325702915064E-2</v>
      </c>
      <c r="J26" s="23">
        <f t="shared" si="9"/>
        <v>1.1071726897358055E-2</v>
      </c>
      <c r="K26" s="23">
        <f t="shared" si="9"/>
        <v>7.6513831770496756E-3</v>
      </c>
      <c r="L26" s="23">
        <f t="shared" si="9"/>
        <v>7.0449963808537899E-3</v>
      </c>
      <c r="M26" s="23">
        <f t="shared" si="9"/>
        <v>1.091148738662003E-2</v>
      </c>
      <c r="N26" s="23">
        <f t="shared" si="9"/>
        <v>1.7041913908699719E-3</v>
      </c>
      <c r="O26" s="23">
        <f t="shared" si="9"/>
        <v>9.7840370568409891E-4</v>
      </c>
      <c r="P26" s="23">
        <f t="shared" si="9"/>
        <v>2.3418633833571908E-4</v>
      </c>
      <c r="Q26" s="23">
        <f t="shared" si="9"/>
        <v>5.4320695173741327E-5</v>
      </c>
      <c r="R26" s="23">
        <f t="shared" si="9"/>
        <v>1.591211130852283E-4</v>
      </c>
      <c r="S26" s="27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</row>
    <row r="27" spans="2:68" x14ac:dyDescent="0.15">
      <c r="B27" s="27" t="e">
        <f>SUM(D20:R20)</f>
        <v>#VALUE!</v>
      </c>
      <c r="C27">
        <f>C20</f>
        <v>2014</v>
      </c>
      <c r="D27" s="23" t="e">
        <f t="shared" ref="D27:R27" si="10">D20/$B27</f>
        <v>#VALUE!</v>
      </c>
      <c r="E27" s="23" t="e">
        <f t="shared" si="10"/>
        <v>#VALUE!</v>
      </c>
      <c r="F27" s="23" t="e">
        <f t="shared" si="10"/>
        <v>#VALUE!</v>
      </c>
      <c r="G27" s="23" t="e">
        <f t="shared" si="10"/>
        <v>#VALUE!</v>
      </c>
      <c r="H27" s="23" t="e">
        <f t="shared" si="10"/>
        <v>#VALUE!</v>
      </c>
      <c r="I27" s="23" t="e">
        <f t="shared" si="10"/>
        <v>#VALUE!</v>
      </c>
      <c r="J27" s="23" t="e">
        <f t="shared" si="10"/>
        <v>#VALUE!</v>
      </c>
      <c r="K27" s="23" t="e">
        <f t="shared" si="10"/>
        <v>#VALUE!</v>
      </c>
      <c r="L27" s="23" t="e">
        <f t="shared" si="10"/>
        <v>#VALUE!</v>
      </c>
      <c r="M27" s="23" t="e">
        <f t="shared" si="10"/>
        <v>#VALUE!</v>
      </c>
      <c r="N27" s="23" t="e">
        <f t="shared" si="10"/>
        <v>#VALUE!</v>
      </c>
      <c r="O27" s="23" t="e">
        <f t="shared" si="10"/>
        <v>#VALUE!</v>
      </c>
      <c r="P27" s="23" t="e">
        <f t="shared" si="10"/>
        <v>#VALUE!</v>
      </c>
      <c r="Q27" s="23" t="e">
        <f t="shared" si="10"/>
        <v>#VALUE!</v>
      </c>
      <c r="R27" s="23" t="e">
        <f t="shared" si="10"/>
        <v>#VALUE!</v>
      </c>
      <c r="S27" s="27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</row>
    <row r="28" spans="2:68" x14ac:dyDescent="0.15">
      <c r="B28" s="27" t="e">
        <f>SUM(D21:R21)</f>
        <v>#VALUE!</v>
      </c>
      <c r="C28">
        <f>C21</f>
        <v>2015</v>
      </c>
      <c r="D28" s="23" t="e">
        <f t="shared" ref="D28:R28" si="11">D21/$B28</f>
        <v>#VALUE!</v>
      </c>
      <c r="E28" s="23" t="e">
        <f t="shared" si="11"/>
        <v>#VALUE!</v>
      </c>
      <c r="F28" s="23" t="e">
        <f t="shared" si="11"/>
        <v>#VALUE!</v>
      </c>
      <c r="G28" s="23" t="e">
        <f t="shared" si="11"/>
        <v>#VALUE!</v>
      </c>
      <c r="H28" s="23" t="e">
        <f t="shared" si="11"/>
        <v>#VALUE!</v>
      </c>
      <c r="I28" s="23" t="e">
        <f t="shared" si="11"/>
        <v>#VALUE!</v>
      </c>
      <c r="J28" s="23" t="e">
        <f t="shared" si="11"/>
        <v>#VALUE!</v>
      </c>
      <c r="K28" s="23" t="e">
        <f t="shared" si="11"/>
        <v>#VALUE!</v>
      </c>
      <c r="L28" s="23" t="e">
        <f t="shared" si="11"/>
        <v>#VALUE!</v>
      </c>
      <c r="M28" s="23" t="e">
        <f t="shared" si="11"/>
        <v>#VALUE!</v>
      </c>
      <c r="N28" s="23" t="e">
        <f t="shared" si="11"/>
        <v>#VALUE!</v>
      </c>
      <c r="O28" s="23" t="e">
        <f t="shared" si="11"/>
        <v>#VALUE!</v>
      </c>
      <c r="P28" s="23" t="e">
        <f t="shared" si="11"/>
        <v>#VALUE!</v>
      </c>
      <c r="Q28" s="23" t="e">
        <f t="shared" si="11"/>
        <v>#VALUE!</v>
      </c>
      <c r="R28" s="23" t="e">
        <f t="shared" si="11"/>
        <v>#VALUE!</v>
      </c>
      <c r="S28" s="27"/>
      <c r="U28" s="31"/>
      <c r="V28" s="31">
        <v>1</v>
      </c>
      <c r="W28" s="31">
        <v>2</v>
      </c>
      <c r="X28" s="31">
        <v>3</v>
      </c>
      <c r="Y28" s="31">
        <v>4</v>
      </c>
      <c r="Z28" s="31">
        <v>5</v>
      </c>
      <c r="AA28" s="31">
        <v>6</v>
      </c>
      <c r="AB28" s="31">
        <v>7</v>
      </c>
      <c r="AC28" s="31">
        <v>8</v>
      </c>
      <c r="AD28" s="31">
        <v>9</v>
      </c>
      <c r="AE28" s="31">
        <v>10</v>
      </c>
      <c r="AF28" s="31">
        <v>11</v>
      </c>
      <c r="AG28" s="31">
        <v>12</v>
      </c>
      <c r="AH28" s="31">
        <v>13</v>
      </c>
      <c r="AI28" s="31">
        <v>14</v>
      </c>
      <c r="AJ28" s="31">
        <v>15</v>
      </c>
    </row>
    <row r="29" spans="2:68" x14ac:dyDescent="0.15">
      <c r="B29" s="27" t="e">
        <f>SUM(D22:R22)</f>
        <v>#VALUE!</v>
      </c>
      <c r="C29">
        <f>C22</f>
        <v>2016</v>
      </c>
      <c r="D29" s="23" t="e">
        <f t="shared" ref="D29:R29" si="12">D22/$B29</f>
        <v>#VALUE!</v>
      </c>
      <c r="E29" s="23" t="e">
        <f t="shared" si="12"/>
        <v>#VALUE!</v>
      </c>
      <c r="F29" s="23" t="e">
        <f t="shared" si="12"/>
        <v>#VALUE!</v>
      </c>
      <c r="G29" s="23" t="e">
        <f t="shared" si="12"/>
        <v>#VALUE!</v>
      </c>
      <c r="H29" s="23" t="e">
        <f t="shared" si="12"/>
        <v>#VALUE!</v>
      </c>
      <c r="I29" s="23" t="e">
        <f t="shared" si="12"/>
        <v>#VALUE!</v>
      </c>
      <c r="J29" s="23" t="e">
        <f t="shared" si="12"/>
        <v>#VALUE!</v>
      </c>
      <c r="K29" s="23" t="e">
        <f t="shared" si="12"/>
        <v>#VALUE!</v>
      </c>
      <c r="L29" s="23" t="e">
        <f t="shared" si="12"/>
        <v>#VALUE!</v>
      </c>
      <c r="M29" s="23" t="e">
        <f t="shared" si="12"/>
        <v>#VALUE!</v>
      </c>
      <c r="N29" s="23" t="e">
        <f t="shared" si="12"/>
        <v>#VALUE!</v>
      </c>
      <c r="O29" s="23" t="e">
        <f t="shared" si="12"/>
        <v>#VALUE!</v>
      </c>
      <c r="P29" s="23" t="e">
        <f t="shared" si="12"/>
        <v>#VALUE!</v>
      </c>
      <c r="Q29" s="23" t="e">
        <f t="shared" si="12"/>
        <v>#VALUE!</v>
      </c>
      <c r="R29" s="23" t="e">
        <f t="shared" si="12"/>
        <v>#VALUE!</v>
      </c>
      <c r="S29" s="27"/>
      <c r="U29" s="31" t="s">
        <v>764</v>
      </c>
      <c r="V29" s="27">
        <f>V7*V14*D$10</f>
        <v>0</v>
      </c>
      <c r="W29" s="27">
        <f t="shared" ref="W29:AJ29" si="13">W7*W14*E$10+V29</f>
        <v>9.76571916348</v>
      </c>
      <c r="X29" s="27">
        <f t="shared" si="13"/>
        <v>139.34762752812003</v>
      </c>
      <c r="Y29" s="27">
        <f t="shared" si="13"/>
        <v>884.29609532051995</v>
      </c>
      <c r="Z29" s="27">
        <f t="shared" si="13"/>
        <v>1141.8592404515039</v>
      </c>
      <c r="AA29" s="27">
        <f t="shared" si="13"/>
        <v>1210.2829835162156</v>
      </c>
      <c r="AB29" s="27">
        <f t="shared" si="13"/>
        <v>1270.9013190114767</v>
      </c>
      <c r="AC29" s="27">
        <f t="shared" si="13"/>
        <v>1341.7175858617422</v>
      </c>
      <c r="AD29" s="27">
        <f t="shared" si="13"/>
        <v>1406.7106815461261</v>
      </c>
      <c r="AE29" s="27">
        <f t="shared" si="13"/>
        <v>1464.6306366768761</v>
      </c>
      <c r="AF29" s="27">
        <f t="shared" si="13"/>
        <v>1497.2928864857761</v>
      </c>
      <c r="AG29" s="27">
        <f t="shared" si="13"/>
        <v>1510.6050128277761</v>
      </c>
      <c r="AH29" s="27">
        <f t="shared" si="13"/>
        <v>1517.6695027076112</v>
      </c>
      <c r="AI29" s="27">
        <f t="shared" si="13"/>
        <v>1525.2128657307812</v>
      </c>
      <c r="AJ29" s="27">
        <f t="shared" si="13"/>
        <v>1535.0304033232312</v>
      </c>
      <c r="AK29" s="27">
        <f>AJ29</f>
        <v>1535.0304033232312</v>
      </c>
    </row>
    <row r="30" spans="2:68" x14ac:dyDescent="0.15">
      <c r="B30" s="27" t="e">
        <f>SUM(D23:R23)</f>
        <v>#VALUE!</v>
      </c>
      <c r="C30">
        <f>C23</f>
        <v>2017</v>
      </c>
      <c r="D30" s="23" t="e">
        <f t="shared" ref="D30:R30" si="14">D23/$B30</f>
        <v>#VALUE!</v>
      </c>
      <c r="E30" s="23" t="e">
        <f t="shared" si="14"/>
        <v>#VALUE!</v>
      </c>
      <c r="F30" s="23" t="e">
        <f t="shared" si="14"/>
        <v>#VALUE!</v>
      </c>
      <c r="G30" s="23" t="e">
        <f t="shared" si="14"/>
        <v>#VALUE!</v>
      </c>
      <c r="H30" s="23" t="e">
        <f t="shared" si="14"/>
        <v>#VALUE!</v>
      </c>
      <c r="I30" s="23" t="e">
        <f t="shared" si="14"/>
        <v>#VALUE!</v>
      </c>
      <c r="J30" s="23" t="e">
        <f t="shared" si="14"/>
        <v>#VALUE!</v>
      </c>
      <c r="K30" s="23" t="e">
        <f t="shared" si="14"/>
        <v>#VALUE!</v>
      </c>
      <c r="L30" s="23" t="e">
        <f t="shared" si="14"/>
        <v>#VALUE!</v>
      </c>
      <c r="M30" s="23" t="e">
        <f t="shared" si="14"/>
        <v>#VALUE!</v>
      </c>
      <c r="N30" s="23" t="e">
        <f t="shared" si="14"/>
        <v>#VALUE!</v>
      </c>
      <c r="O30" s="23" t="e">
        <f t="shared" si="14"/>
        <v>#VALUE!</v>
      </c>
      <c r="P30" s="23" t="e">
        <f t="shared" si="14"/>
        <v>#VALUE!</v>
      </c>
      <c r="Q30" s="23" t="e">
        <f t="shared" si="14"/>
        <v>#VALUE!</v>
      </c>
      <c r="R30" s="23" t="e">
        <f t="shared" si="14"/>
        <v>#VALUE!</v>
      </c>
      <c r="S30" s="27"/>
      <c r="U30" s="31" t="s">
        <v>762</v>
      </c>
      <c r="V30" s="27" t="e">
        <f>V11*V15*D$10</f>
        <v>#REF!</v>
      </c>
      <c r="W30" s="27" t="e">
        <f t="shared" ref="W30:AJ30" si="15">W11*W15*E$10+V30</f>
        <v>#REF!</v>
      </c>
      <c r="X30" s="27" t="e">
        <f t="shared" si="15"/>
        <v>#REF!</v>
      </c>
      <c r="Y30" s="27" t="e">
        <f t="shared" si="15"/>
        <v>#REF!</v>
      </c>
      <c r="Z30" s="27" t="e">
        <f t="shared" si="15"/>
        <v>#REF!</v>
      </c>
      <c r="AA30" s="27" t="e">
        <f t="shared" si="15"/>
        <v>#REF!</v>
      </c>
      <c r="AB30" s="27" t="e">
        <f t="shared" si="15"/>
        <v>#REF!</v>
      </c>
      <c r="AC30" s="27" t="e">
        <f t="shared" si="15"/>
        <v>#REF!</v>
      </c>
      <c r="AD30" s="27" t="e">
        <f t="shared" si="15"/>
        <v>#REF!</v>
      </c>
      <c r="AE30" s="27" t="e">
        <f t="shared" si="15"/>
        <v>#REF!</v>
      </c>
      <c r="AF30" s="27" t="e">
        <f t="shared" si="15"/>
        <v>#REF!</v>
      </c>
      <c r="AG30" s="27" t="e">
        <f t="shared" si="15"/>
        <v>#REF!</v>
      </c>
      <c r="AH30" s="27" t="e">
        <f t="shared" si="15"/>
        <v>#REF!</v>
      </c>
      <c r="AI30" s="27" t="e">
        <f t="shared" si="15"/>
        <v>#REF!</v>
      </c>
      <c r="AJ30" s="27" t="e">
        <f t="shared" si="15"/>
        <v>#REF!</v>
      </c>
      <c r="AK30" s="27" t="e">
        <f>AJ30</f>
        <v>#REF!</v>
      </c>
    </row>
    <row r="31" spans="2:68" x14ac:dyDescent="0.15"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U31" s="31" t="s">
        <v>765</v>
      </c>
      <c r="V31" s="23" t="e">
        <f t="shared" ref="V31:AI31" si="16">(V30-V29)/($AK$30-$AK$29)</f>
        <v>#REF!</v>
      </c>
      <c r="W31" s="23" t="e">
        <f t="shared" si="16"/>
        <v>#REF!</v>
      </c>
      <c r="X31" s="23" t="e">
        <f t="shared" si="16"/>
        <v>#REF!</v>
      </c>
      <c r="Y31" s="23" t="e">
        <f t="shared" si="16"/>
        <v>#REF!</v>
      </c>
      <c r="Z31" s="23" t="e">
        <f t="shared" si="16"/>
        <v>#REF!</v>
      </c>
      <c r="AA31" s="23" t="e">
        <f t="shared" si="16"/>
        <v>#REF!</v>
      </c>
      <c r="AB31" s="23" t="e">
        <f t="shared" si="16"/>
        <v>#REF!</v>
      </c>
      <c r="AC31" s="23" t="e">
        <f t="shared" si="16"/>
        <v>#REF!</v>
      </c>
      <c r="AD31" s="23" t="e">
        <f t="shared" si="16"/>
        <v>#REF!</v>
      </c>
      <c r="AE31" s="23" t="e">
        <f t="shared" si="16"/>
        <v>#REF!</v>
      </c>
      <c r="AF31" s="23" t="e">
        <f t="shared" si="16"/>
        <v>#REF!</v>
      </c>
      <c r="AG31" s="23" t="e">
        <f t="shared" si="16"/>
        <v>#REF!</v>
      </c>
      <c r="AH31" s="23" t="e">
        <f t="shared" si="16"/>
        <v>#REF!</v>
      </c>
      <c r="AI31" s="23" t="e">
        <f t="shared" si="16"/>
        <v>#REF!</v>
      </c>
    </row>
    <row r="32" spans="2:68" x14ac:dyDescent="0.15">
      <c r="C32" s="4" t="s">
        <v>752</v>
      </c>
      <c r="D32" s="27">
        <f t="shared" ref="D32:R32" si="17">D25</f>
        <v>1</v>
      </c>
      <c r="E32" s="27">
        <f t="shared" si="17"/>
        <v>2</v>
      </c>
      <c r="F32" s="27">
        <f t="shared" si="17"/>
        <v>3</v>
      </c>
      <c r="G32" s="27">
        <f t="shared" si="17"/>
        <v>4</v>
      </c>
      <c r="H32" s="27">
        <f t="shared" si="17"/>
        <v>5</v>
      </c>
      <c r="I32" s="27">
        <f t="shared" si="17"/>
        <v>6</v>
      </c>
      <c r="J32" s="27">
        <f t="shared" si="17"/>
        <v>7</v>
      </c>
      <c r="K32" s="27">
        <f t="shared" si="17"/>
        <v>8</v>
      </c>
      <c r="L32" s="27">
        <f t="shared" si="17"/>
        <v>9</v>
      </c>
      <c r="M32" s="27">
        <f t="shared" si="17"/>
        <v>10</v>
      </c>
      <c r="N32" s="27">
        <f t="shared" si="17"/>
        <v>11</v>
      </c>
      <c r="O32" s="27">
        <f t="shared" si="17"/>
        <v>12</v>
      </c>
      <c r="P32" s="27">
        <f t="shared" si="17"/>
        <v>13</v>
      </c>
      <c r="Q32" s="27">
        <f t="shared" si="17"/>
        <v>14</v>
      </c>
      <c r="R32" s="27">
        <f t="shared" si="17"/>
        <v>15</v>
      </c>
      <c r="S32" s="27"/>
      <c r="U32" s="31"/>
      <c r="V32" s="31"/>
      <c r="W32" s="31"/>
      <c r="X32" s="23" t="e">
        <f>X31-W31</f>
        <v>#REF!</v>
      </c>
      <c r="Y32" s="23" t="e">
        <f>Y31-X31</f>
        <v>#REF!</v>
      </c>
      <c r="Z32" s="23" t="e">
        <f t="shared" ref="Z32:AI32" si="18">Z31-Y31</f>
        <v>#REF!</v>
      </c>
      <c r="AA32" s="23" t="e">
        <f t="shared" si="18"/>
        <v>#REF!</v>
      </c>
      <c r="AB32" s="23" t="e">
        <f t="shared" si="18"/>
        <v>#REF!</v>
      </c>
      <c r="AC32" s="23" t="e">
        <f t="shared" si="18"/>
        <v>#REF!</v>
      </c>
      <c r="AD32" s="23" t="e">
        <f t="shared" si="18"/>
        <v>#REF!</v>
      </c>
      <c r="AE32" s="23" t="e">
        <f t="shared" si="18"/>
        <v>#REF!</v>
      </c>
      <c r="AF32" s="23" t="e">
        <f t="shared" si="18"/>
        <v>#REF!</v>
      </c>
      <c r="AG32" s="23" t="e">
        <f t="shared" si="18"/>
        <v>#REF!</v>
      </c>
      <c r="AH32" s="23" t="e">
        <f t="shared" si="18"/>
        <v>#REF!</v>
      </c>
      <c r="AI32" s="23" t="e">
        <f t="shared" si="18"/>
        <v>#REF!</v>
      </c>
    </row>
    <row r="33" spans="2:38" x14ac:dyDescent="0.15">
      <c r="B33" s="27" t="e">
        <f>SUMPRODUCT(D19:R19,$D$6:$R$6)</f>
        <v>#REF!</v>
      </c>
      <c r="C33">
        <f>C26</f>
        <v>2013</v>
      </c>
      <c r="D33" s="23" t="e">
        <f>D$6*D19/$B33</f>
        <v>#REF!</v>
      </c>
      <c r="E33" s="23" t="e">
        <f t="shared" ref="E33:R33" si="19">E$6*E19/$B33</f>
        <v>#REF!</v>
      </c>
      <c r="F33" s="23" t="e">
        <f t="shared" si="19"/>
        <v>#REF!</v>
      </c>
      <c r="G33" s="23" t="e">
        <f t="shared" si="19"/>
        <v>#REF!</v>
      </c>
      <c r="H33" s="23" t="e">
        <f t="shared" si="19"/>
        <v>#REF!</v>
      </c>
      <c r="I33" s="23" t="e">
        <f t="shared" si="19"/>
        <v>#REF!</v>
      </c>
      <c r="J33" s="23" t="e">
        <f t="shared" si="19"/>
        <v>#REF!</v>
      </c>
      <c r="K33" s="23" t="e">
        <f t="shared" si="19"/>
        <v>#REF!</v>
      </c>
      <c r="L33" s="23" t="e">
        <f t="shared" si="19"/>
        <v>#REF!</v>
      </c>
      <c r="M33" s="23" t="e">
        <f t="shared" si="19"/>
        <v>#REF!</v>
      </c>
      <c r="N33" s="23" t="e">
        <f t="shared" si="19"/>
        <v>#REF!</v>
      </c>
      <c r="O33" s="23" t="e">
        <f t="shared" si="19"/>
        <v>#REF!</v>
      </c>
      <c r="P33" s="23" t="e">
        <f t="shared" si="19"/>
        <v>#REF!</v>
      </c>
      <c r="Q33" s="23" t="e">
        <f t="shared" si="19"/>
        <v>#REF!</v>
      </c>
      <c r="R33" s="23" t="e">
        <f t="shared" si="19"/>
        <v>#REF!</v>
      </c>
      <c r="S33" s="27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</row>
    <row r="34" spans="2:38" x14ac:dyDescent="0.15">
      <c r="B34" s="27" t="e">
        <f>SUMPRODUCT(D20:R20,$D$6:$R$6)</f>
        <v>#VALUE!</v>
      </c>
      <c r="C34">
        <f>C27</f>
        <v>2014</v>
      </c>
      <c r="D34" s="23" t="e">
        <f t="shared" ref="D34:R34" si="20">D$6*D20/$B34</f>
        <v>#REF!</v>
      </c>
      <c r="E34" s="23" t="e">
        <f t="shared" si="20"/>
        <v>#REF!</v>
      </c>
      <c r="F34" s="23" t="e">
        <f t="shared" si="20"/>
        <v>#REF!</v>
      </c>
      <c r="G34" s="23" t="e">
        <f t="shared" si="20"/>
        <v>#REF!</v>
      </c>
      <c r="H34" s="23" t="e">
        <f t="shared" si="20"/>
        <v>#REF!</v>
      </c>
      <c r="I34" s="23" t="e">
        <f t="shared" si="20"/>
        <v>#REF!</v>
      </c>
      <c r="J34" s="23" t="e">
        <f t="shared" si="20"/>
        <v>#REF!</v>
      </c>
      <c r="K34" s="23" t="e">
        <f t="shared" si="20"/>
        <v>#REF!</v>
      </c>
      <c r="L34" s="23" t="e">
        <f t="shared" si="20"/>
        <v>#REF!</v>
      </c>
      <c r="M34" s="23" t="e">
        <f t="shared" si="20"/>
        <v>#REF!</v>
      </c>
      <c r="N34" s="23" t="e">
        <f t="shared" si="20"/>
        <v>#REF!</v>
      </c>
      <c r="O34" s="23" t="e">
        <f t="shared" si="20"/>
        <v>#REF!</v>
      </c>
      <c r="P34" s="23" t="e">
        <f t="shared" si="20"/>
        <v>#REF!</v>
      </c>
      <c r="Q34" s="23" t="e">
        <f t="shared" si="20"/>
        <v>#REF!</v>
      </c>
      <c r="R34" s="23" t="e">
        <f t="shared" si="20"/>
        <v>#REF!</v>
      </c>
      <c r="S34" s="27"/>
      <c r="U34" s="31"/>
      <c r="V34" s="31">
        <v>1</v>
      </c>
      <c r="W34" s="31">
        <v>2</v>
      </c>
      <c r="X34" s="31">
        <v>3</v>
      </c>
      <c r="Y34" s="31">
        <v>4</v>
      </c>
      <c r="Z34" s="31">
        <v>5</v>
      </c>
      <c r="AA34" s="31">
        <v>6</v>
      </c>
      <c r="AB34" s="31">
        <v>7</v>
      </c>
      <c r="AC34" s="31">
        <v>8</v>
      </c>
      <c r="AD34" s="31">
        <v>9</v>
      </c>
      <c r="AE34" s="31">
        <v>10</v>
      </c>
      <c r="AF34" s="31">
        <v>11</v>
      </c>
      <c r="AG34" s="31">
        <v>12</v>
      </c>
      <c r="AH34" s="31">
        <v>13</v>
      </c>
      <c r="AI34" s="31">
        <v>14</v>
      </c>
      <c r="AJ34" s="31">
        <v>15</v>
      </c>
    </row>
    <row r="35" spans="2:38" x14ac:dyDescent="0.15">
      <c r="B35" s="27" t="e">
        <f>SUMPRODUCT(D21:R21,$D$6:$R$6)</f>
        <v>#VALUE!</v>
      </c>
      <c r="C35">
        <f>C28</f>
        <v>2015</v>
      </c>
      <c r="D35" s="23" t="e">
        <f t="shared" ref="D35:R35" si="21">D$6*D21/$B35</f>
        <v>#REF!</v>
      </c>
      <c r="E35" s="23" t="e">
        <f t="shared" si="21"/>
        <v>#REF!</v>
      </c>
      <c r="F35" s="23" t="e">
        <f t="shared" si="21"/>
        <v>#REF!</v>
      </c>
      <c r="G35" s="23" t="e">
        <f t="shared" si="21"/>
        <v>#REF!</v>
      </c>
      <c r="H35" s="23" t="e">
        <f t="shared" si="21"/>
        <v>#REF!</v>
      </c>
      <c r="I35" s="23" t="e">
        <f t="shared" si="21"/>
        <v>#REF!</v>
      </c>
      <c r="J35" s="23" t="e">
        <f t="shared" si="21"/>
        <v>#REF!</v>
      </c>
      <c r="K35" s="23" t="e">
        <f t="shared" si="21"/>
        <v>#REF!</v>
      </c>
      <c r="L35" s="23" t="e">
        <f t="shared" si="21"/>
        <v>#REF!</v>
      </c>
      <c r="M35" s="23" t="e">
        <f t="shared" si="21"/>
        <v>#REF!</v>
      </c>
      <c r="N35" s="23" t="e">
        <f t="shared" si="21"/>
        <v>#REF!</v>
      </c>
      <c r="O35" s="23" t="e">
        <f t="shared" si="21"/>
        <v>#REF!</v>
      </c>
      <c r="P35" s="23" t="e">
        <f t="shared" si="21"/>
        <v>#REF!</v>
      </c>
      <c r="Q35" s="23" t="e">
        <f t="shared" si="21"/>
        <v>#REF!</v>
      </c>
      <c r="R35" s="23" t="e">
        <f t="shared" si="21"/>
        <v>#REF!</v>
      </c>
      <c r="S35" s="27"/>
      <c r="U35" s="31" t="s">
        <v>764</v>
      </c>
      <c r="V35" s="27" t="e">
        <f>V7*V14*D$7</f>
        <v>#VALUE!</v>
      </c>
      <c r="W35" s="27" t="e">
        <f t="shared" ref="W35:AJ35" si="22">W7*W14*E$7+V35</f>
        <v>#VALUE!</v>
      </c>
      <c r="X35" s="27" t="e">
        <f t="shared" si="22"/>
        <v>#VALUE!</v>
      </c>
      <c r="Y35" s="27" t="e">
        <f t="shared" si="22"/>
        <v>#VALUE!</v>
      </c>
      <c r="Z35" s="27" t="e">
        <f t="shared" si="22"/>
        <v>#VALUE!</v>
      </c>
      <c r="AA35" s="27" t="e">
        <f t="shared" si="22"/>
        <v>#VALUE!</v>
      </c>
      <c r="AB35" s="27" t="e">
        <f t="shared" si="22"/>
        <v>#VALUE!</v>
      </c>
      <c r="AC35" s="27" t="e">
        <f t="shared" si="22"/>
        <v>#VALUE!</v>
      </c>
      <c r="AD35" s="27" t="e">
        <f t="shared" si="22"/>
        <v>#VALUE!</v>
      </c>
      <c r="AE35" s="27" t="e">
        <f t="shared" si="22"/>
        <v>#VALUE!</v>
      </c>
      <c r="AF35" s="27" t="e">
        <f t="shared" si="22"/>
        <v>#VALUE!</v>
      </c>
      <c r="AG35" s="27" t="e">
        <f t="shared" si="22"/>
        <v>#VALUE!</v>
      </c>
      <c r="AH35" s="27" t="e">
        <f t="shared" si="22"/>
        <v>#VALUE!</v>
      </c>
      <c r="AI35" s="27" t="e">
        <f t="shared" si="22"/>
        <v>#VALUE!</v>
      </c>
      <c r="AJ35" s="27" t="e">
        <f t="shared" si="22"/>
        <v>#VALUE!</v>
      </c>
    </row>
    <row r="36" spans="2:38" x14ac:dyDescent="0.15">
      <c r="B36" s="27" t="e">
        <f>SUMPRODUCT(D22:R22,$D$6:$R$6)</f>
        <v>#VALUE!</v>
      </c>
      <c r="C36">
        <f>C29</f>
        <v>2016</v>
      </c>
      <c r="D36" s="23" t="e">
        <f t="shared" ref="D36:R36" si="23">D$6*D22/$B36</f>
        <v>#REF!</v>
      </c>
      <c r="E36" s="23" t="e">
        <f t="shared" si="23"/>
        <v>#REF!</v>
      </c>
      <c r="F36" s="23" t="e">
        <f t="shared" si="23"/>
        <v>#REF!</v>
      </c>
      <c r="G36" s="23" t="e">
        <f t="shared" si="23"/>
        <v>#REF!</v>
      </c>
      <c r="H36" s="23" t="e">
        <f t="shared" si="23"/>
        <v>#REF!</v>
      </c>
      <c r="I36" s="23" t="e">
        <f t="shared" si="23"/>
        <v>#REF!</v>
      </c>
      <c r="J36" s="23" t="e">
        <f t="shared" si="23"/>
        <v>#REF!</v>
      </c>
      <c r="K36" s="23" t="e">
        <f t="shared" si="23"/>
        <v>#REF!</v>
      </c>
      <c r="L36" s="23" t="e">
        <f t="shared" si="23"/>
        <v>#REF!</v>
      </c>
      <c r="M36" s="23" t="e">
        <f t="shared" si="23"/>
        <v>#REF!</v>
      </c>
      <c r="N36" s="23" t="e">
        <f t="shared" si="23"/>
        <v>#REF!</v>
      </c>
      <c r="O36" s="23" t="e">
        <f t="shared" si="23"/>
        <v>#REF!</v>
      </c>
      <c r="P36" s="23" t="e">
        <f t="shared" si="23"/>
        <v>#REF!</v>
      </c>
      <c r="Q36" s="23" t="e">
        <f t="shared" si="23"/>
        <v>#REF!</v>
      </c>
      <c r="R36" s="23" t="e">
        <f t="shared" si="23"/>
        <v>#REF!</v>
      </c>
      <c r="S36" s="27"/>
      <c r="U36" s="31" t="s">
        <v>762</v>
      </c>
      <c r="V36" s="27" t="e">
        <f>V11*V15*D$7</f>
        <v>#REF!</v>
      </c>
      <c r="W36" s="27" t="e">
        <f t="shared" ref="W36:AJ36" si="24">W11*W15*E$7+V36</f>
        <v>#REF!</v>
      </c>
      <c r="X36" s="27" t="e">
        <f t="shared" si="24"/>
        <v>#REF!</v>
      </c>
      <c r="Y36" s="27" t="e">
        <f t="shared" si="24"/>
        <v>#REF!</v>
      </c>
      <c r="Z36" s="27" t="e">
        <f t="shared" si="24"/>
        <v>#REF!</v>
      </c>
      <c r="AA36" s="27" t="e">
        <f t="shared" si="24"/>
        <v>#REF!</v>
      </c>
      <c r="AB36" s="27" t="e">
        <f t="shared" si="24"/>
        <v>#REF!</v>
      </c>
      <c r="AC36" s="27" t="e">
        <f t="shared" si="24"/>
        <v>#REF!</v>
      </c>
      <c r="AD36" s="27" t="e">
        <f t="shared" si="24"/>
        <v>#REF!</v>
      </c>
      <c r="AE36" s="27" t="e">
        <f t="shared" si="24"/>
        <v>#REF!</v>
      </c>
      <c r="AF36" s="27" t="e">
        <f t="shared" si="24"/>
        <v>#REF!</v>
      </c>
      <c r="AG36" s="27" t="e">
        <f t="shared" si="24"/>
        <v>#REF!</v>
      </c>
      <c r="AH36" s="27" t="e">
        <f t="shared" si="24"/>
        <v>#REF!</v>
      </c>
      <c r="AI36" s="27" t="e">
        <f t="shared" si="24"/>
        <v>#REF!</v>
      </c>
      <c r="AJ36" s="27" t="e">
        <f t="shared" si="24"/>
        <v>#REF!</v>
      </c>
    </row>
    <row r="37" spans="2:38" x14ac:dyDescent="0.15">
      <c r="B37" s="27" t="e">
        <f>SUMPRODUCT(D23:R23,$D$6:$R$6)</f>
        <v>#VALUE!</v>
      </c>
      <c r="C37">
        <f>C30</f>
        <v>2017</v>
      </c>
      <c r="D37" s="23" t="e">
        <f t="shared" ref="D37:R37" si="25">D$6*D23/$B37</f>
        <v>#REF!</v>
      </c>
      <c r="E37" s="23" t="e">
        <f t="shared" si="25"/>
        <v>#REF!</v>
      </c>
      <c r="F37" s="23" t="e">
        <f t="shared" si="25"/>
        <v>#REF!</v>
      </c>
      <c r="G37" s="23" t="e">
        <f t="shared" si="25"/>
        <v>#REF!</v>
      </c>
      <c r="H37" s="23" t="e">
        <f t="shared" si="25"/>
        <v>#REF!</v>
      </c>
      <c r="I37" s="23" t="e">
        <f t="shared" si="25"/>
        <v>#REF!</v>
      </c>
      <c r="J37" s="23" t="e">
        <f t="shared" si="25"/>
        <v>#REF!</v>
      </c>
      <c r="K37" s="23" t="e">
        <f t="shared" si="25"/>
        <v>#REF!</v>
      </c>
      <c r="L37" s="23" t="e">
        <f t="shared" si="25"/>
        <v>#REF!</v>
      </c>
      <c r="M37" s="23" t="e">
        <f t="shared" si="25"/>
        <v>#REF!</v>
      </c>
      <c r="N37" s="23" t="e">
        <f t="shared" si="25"/>
        <v>#REF!</v>
      </c>
      <c r="O37" s="23" t="e">
        <f t="shared" si="25"/>
        <v>#REF!</v>
      </c>
      <c r="P37" s="23" t="e">
        <f t="shared" si="25"/>
        <v>#REF!</v>
      </c>
      <c r="Q37" s="23" t="e">
        <f t="shared" si="25"/>
        <v>#REF!</v>
      </c>
      <c r="R37" s="23" t="e">
        <f t="shared" si="25"/>
        <v>#REF!</v>
      </c>
      <c r="S37" s="27"/>
      <c r="U37" s="31"/>
      <c r="V37" s="27" t="e">
        <f t="shared" ref="V37:AJ37" si="26">V36-V35</f>
        <v>#REF!</v>
      </c>
      <c r="W37" s="27" t="e">
        <f t="shared" si="26"/>
        <v>#REF!</v>
      </c>
      <c r="X37" s="27" t="e">
        <f t="shared" si="26"/>
        <v>#REF!</v>
      </c>
      <c r="Y37" s="27" t="e">
        <f t="shared" si="26"/>
        <v>#REF!</v>
      </c>
      <c r="Z37" s="27" t="e">
        <f t="shared" si="26"/>
        <v>#REF!</v>
      </c>
      <c r="AA37" s="27" t="e">
        <f t="shared" si="26"/>
        <v>#REF!</v>
      </c>
      <c r="AB37" s="27" t="e">
        <f t="shared" si="26"/>
        <v>#REF!</v>
      </c>
      <c r="AC37" s="27" t="e">
        <f t="shared" si="26"/>
        <v>#REF!</v>
      </c>
      <c r="AD37" s="27" t="e">
        <f t="shared" si="26"/>
        <v>#REF!</v>
      </c>
      <c r="AE37" s="27" t="e">
        <f t="shared" si="26"/>
        <v>#REF!</v>
      </c>
      <c r="AF37" s="27" t="e">
        <f t="shared" si="26"/>
        <v>#REF!</v>
      </c>
      <c r="AG37" s="27" t="e">
        <f t="shared" si="26"/>
        <v>#REF!</v>
      </c>
      <c r="AH37" s="27" t="e">
        <f t="shared" si="26"/>
        <v>#REF!</v>
      </c>
      <c r="AI37" s="27" t="e">
        <f t="shared" si="26"/>
        <v>#REF!</v>
      </c>
      <c r="AJ37" s="27" t="e">
        <f t="shared" si="26"/>
        <v>#REF!</v>
      </c>
    </row>
    <row r="38" spans="2:38" x14ac:dyDescent="0.15">
      <c r="U38" s="31"/>
      <c r="V38" t="e">
        <f t="shared" ref="V38:AJ38" si="27">V7*V14*D$7</f>
        <v>#VALUE!</v>
      </c>
      <c r="W38">
        <f t="shared" si="27"/>
        <v>0</v>
      </c>
      <c r="X38">
        <f t="shared" si="27"/>
        <v>0</v>
      </c>
      <c r="Y38">
        <f t="shared" si="27"/>
        <v>0</v>
      </c>
      <c r="Z38">
        <f t="shared" si="27"/>
        <v>0</v>
      </c>
      <c r="AA38">
        <f t="shared" si="27"/>
        <v>0</v>
      </c>
      <c r="AB38">
        <f t="shared" si="27"/>
        <v>0</v>
      </c>
      <c r="AC38">
        <f t="shared" si="27"/>
        <v>0</v>
      </c>
      <c r="AD38">
        <f t="shared" si="27"/>
        <v>0</v>
      </c>
      <c r="AE38">
        <f t="shared" si="27"/>
        <v>0</v>
      </c>
      <c r="AF38">
        <f t="shared" si="27"/>
        <v>0</v>
      </c>
      <c r="AG38">
        <f t="shared" si="27"/>
        <v>0</v>
      </c>
      <c r="AH38">
        <f t="shared" si="27"/>
        <v>0</v>
      </c>
      <c r="AI38">
        <f t="shared" si="27"/>
        <v>0</v>
      </c>
      <c r="AJ38">
        <f t="shared" si="27"/>
        <v>0</v>
      </c>
    </row>
    <row r="39" spans="2:38" x14ac:dyDescent="0.15">
      <c r="B39" t="s">
        <v>754</v>
      </c>
      <c r="D39" s="4">
        <v>1</v>
      </c>
      <c r="E39" s="4">
        <v>2</v>
      </c>
      <c r="F39" s="4">
        <v>3</v>
      </c>
      <c r="G39" s="4">
        <v>4</v>
      </c>
      <c r="H39" s="4">
        <v>5</v>
      </c>
      <c r="I39" s="4">
        <v>6</v>
      </c>
      <c r="J39" s="4">
        <v>7</v>
      </c>
      <c r="K39" s="4">
        <v>8</v>
      </c>
      <c r="L39" s="4">
        <v>9</v>
      </c>
      <c r="M39" s="4">
        <v>10</v>
      </c>
      <c r="N39" s="4">
        <v>11</v>
      </c>
      <c r="O39" s="4">
        <v>12</v>
      </c>
      <c r="P39" s="4">
        <v>13</v>
      </c>
      <c r="Q39" s="4">
        <v>14</v>
      </c>
      <c r="R39" s="4">
        <v>15</v>
      </c>
      <c r="U39" s="31"/>
      <c r="V39" t="e">
        <f t="shared" ref="V39:AJ39" si="28">V11*V15*D$7</f>
        <v>#REF!</v>
      </c>
      <c r="W39" t="e">
        <f t="shared" si="28"/>
        <v>#REF!</v>
      </c>
      <c r="X39" t="e">
        <f t="shared" si="28"/>
        <v>#REF!</v>
      </c>
      <c r="Y39" t="e">
        <f t="shared" si="28"/>
        <v>#REF!</v>
      </c>
      <c r="Z39" t="e">
        <f t="shared" si="28"/>
        <v>#REF!</v>
      </c>
      <c r="AA39" t="e">
        <f t="shared" si="28"/>
        <v>#REF!</v>
      </c>
      <c r="AB39" t="e">
        <f t="shared" si="28"/>
        <v>#REF!</v>
      </c>
      <c r="AC39" t="e">
        <f t="shared" si="28"/>
        <v>#REF!</v>
      </c>
      <c r="AD39" t="e">
        <f t="shared" si="28"/>
        <v>#REF!</v>
      </c>
      <c r="AE39" t="e">
        <f t="shared" si="28"/>
        <v>#REF!</v>
      </c>
      <c r="AF39" t="e">
        <f t="shared" si="28"/>
        <v>#REF!</v>
      </c>
      <c r="AG39" t="e">
        <f t="shared" si="28"/>
        <v>#REF!</v>
      </c>
      <c r="AH39" t="e">
        <f t="shared" si="28"/>
        <v>#REF!</v>
      </c>
      <c r="AI39" t="e">
        <f t="shared" si="28"/>
        <v>#REF!</v>
      </c>
      <c r="AJ39" t="e">
        <f t="shared" si="28"/>
        <v>#REF!</v>
      </c>
    </row>
    <row r="40" spans="2:38" x14ac:dyDescent="0.15">
      <c r="B40" s="27">
        <f>SUM(pm.rep!B89:P89)</f>
        <v>64562.499199999998</v>
      </c>
      <c r="C40">
        <f>pm.rep!A89</f>
        <v>1990</v>
      </c>
      <c r="D40" s="23">
        <f>pm.rep!B89/$B40</f>
        <v>0.75660175187270318</v>
      </c>
      <c r="E40" s="23">
        <f>pm.rep!C89/$B40</f>
        <v>6.9908229327033236E-2</v>
      </c>
      <c r="F40" s="23">
        <f>pm.rep!D89/$B40</f>
        <v>2.2221413634495736E-2</v>
      </c>
      <c r="G40" s="23">
        <f>pm.rep!E89/$B40</f>
        <v>2.2243098049091629E-2</v>
      </c>
      <c r="H40" s="23">
        <f>pm.rep!F89/$B40</f>
        <v>2.7577309151006348E-2</v>
      </c>
      <c r="I40" s="23">
        <f>pm.rep!G89/$B40</f>
        <v>4.4491772090507919E-2</v>
      </c>
      <c r="J40" s="23">
        <f>pm.rep!H89/$B40</f>
        <v>1.1172755220727268E-2</v>
      </c>
      <c r="K40" s="23">
        <f>pm.rep!I89/$B40</f>
        <v>2.6681123273493104E-2</v>
      </c>
      <c r="L40" s="23">
        <f>pm.rep!J89/$B40</f>
        <v>5.2269042274001682E-3</v>
      </c>
      <c r="M40" s="23">
        <f>pm.rep!K89/$B40</f>
        <v>6.0550165319498668E-3</v>
      </c>
      <c r="N40" s="23">
        <f>pm.rep!L89/$B40</f>
        <v>2.962137500402091E-3</v>
      </c>
      <c r="O40" s="23">
        <f>pm.rep!M89/$B40</f>
        <v>3.8288945295351889E-3</v>
      </c>
      <c r="P40" s="23">
        <f>pm.rep!N89/$B40</f>
        <v>7.2492701769512672E-4</v>
      </c>
      <c r="Q40" s="23">
        <f>pm.rep!O89/$B40</f>
        <v>1.6381026340442535E-4</v>
      </c>
      <c r="R40" s="23">
        <f>pm.rep!P89/$B40</f>
        <v>1.4085731055466947E-4</v>
      </c>
      <c r="V40" s="27" t="e">
        <f>V39-V38</f>
        <v>#REF!</v>
      </c>
      <c r="W40" s="27" t="e">
        <f t="shared" ref="W40:AJ40" si="29">W39-W38</f>
        <v>#REF!</v>
      </c>
      <c r="X40" s="27" t="e">
        <f t="shared" si="29"/>
        <v>#REF!</v>
      </c>
      <c r="Y40" s="27" t="e">
        <f t="shared" si="29"/>
        <v>#REF!</v>
      </c>
      <c r="Z40" s="27" t="e">
        <f t="shared" si="29"/>
        <v>#REF!</v>
      </c>
      <c r="AA40" s="27" t="e">
        <f t="shared" si="29"/>
        <v>#REF!</v>
      </c>
      <c r="AB40" s="27" t="e">
        <f t="shared" si="29"/>
        <v>#REF!</v>
      </c>
      <c r="AC40" s="27" t="e">
        <f t="shared" si="29"/>
        <v>#REF!</v>
      </c>
      <c r="AD40" s="27" t="e">
        <f t="shared" si="29"/>
        <v>#REF!</v>
      </c>
      <c r="AE40" s="27" t="e">
        <f t="shared" si="29"/>
        <v>#REF!</v>
      </c>
      <c r="AF40" s="27" t="e">
        <f t="shared" si="29"/>
        <v>#REF!</v>
      </c>
      <c r="AG40" s="27" t="e">
        <f t="shared" si="29"/>
        <v>#REF!</v>
      </c>
      <c r="AH40" s="27" t="e">
        <f t="shared" si="29"/>
        <v>#REF!</v>
      </c>
      <c r="AI40" s="27" t="e">
        <f t="shared" si="29"/>
        <v>#REF!</v>
      </c>
      <c r="AJ40" s="27" t="e">
        <f t="shared" si="29"/>
        <v>#REF!</v>
      </c>
    </row>
    <row r="41" spans="2:38" x14ac:dyDescent="0.15">
      <c r="B41" s="27">
        <f>SUM(pm.rep!B90:P90)</f>
        <v>55008.932700000019</v>
      </c>
      <c r="C41">
        <f>pm.rep!A90</f>
        <v>1991</v>
      </c>
      <c r="D41" s="23">
        <f>pm.rep!B90/$B41</f>
        <v>0.46503901719947366</v>
      </c>
      <c r="E41" s="23">
        <f>pm.rep!C90/$B41</f>
        <v>0.36097773625773316</v>
      </c>
      <c r="F41" s="23">
        <f>pm.rep!D90/$B41</f>
        <v>5.1967196229567983E-2</v>
      </c>
      <c r="G41" s="23">
        <f>pm.rep!E90/$B41</f>
        <v>1.8455911615969229E-2</v>
      </c>
      <c r="H41" s="23">
        <f>pm.rep!F90/$B41</f>
        <v>1.6830957347405501E-2</v>
      </c>
      <c r="I41" s="23">
        <f>pm.rep!G90/$B41</f>
        <v>1.9088717931078848E-2</v>
      </c>
      <c r="J41" s="23">
        <f>pm.rep!H90/$B41</f>
        <v>3.0136923561870876E-2</v>
      </c>
      <c r="K41" s="23">
        <f>pm.rep!I90/$B41</f>
        <v>7.3409713691827338E-3</v>
      </c>
      <c r="L41" s="23">
        <f>pm.rep!J90/$B41</f>
        <v>1.7439858454116119E-2</v>
      </c>
      <c r="M41" s="23">
        <f>pm.rep!K90/$B41</f>
        <v>3.4539299469084216E-3</v>
      </c>
      <c r="N41" s="23">
        <f>pm.rep!L90/$B41</f>
        <v>4.0446885456477859E-3</v>
      </c>
      <c r="O41" s="23">
        <f>pm.rep!M90/$B41</f>
        <v>1.9786786374061021E-3</v>
      </c>
      <c r="P41" s="23">
        <f>pm.rep!N90/$B41</f>
        <v>2.5576573311701417E-3</v>
      </c>
      <c r="Q41" s="23">
        <f>pm.rep!O90/$B41</f>
        <v>4.8424135304119415E-4</v>
      </c>
      <c r="R41" s="23">
        <f>pm.rep!P90/$B41</f>
        <v>2.035142194278566E-4</v>
      </c>
    </row>
    <row r="42" spans="2:38" x14ac:dyDescent="0.15">
      <c r="B42" s="27">
        <f>SUM(pm.rep!B91:P91)</f>
        <v>51614.458100000018</v>
      </c>
      <c r="C42">
        <f>pm.rep!A91</f>
        <v>1992</v>
      </c>
      <c r="D42" s="23">
        <f>pm.rep!B91/$B42</f>
        <v>0.44136470358486612</v>
      </c>
      <c r="E42" s="23">
        <f>pm.rep!C91/$B42</f>
        <v>0.20147455544050352</v>
      </c>
      <c r="F42" s="23">
        <f>pm.rep!D91/$B42</f>
        <v>0.2435654749226166</v>
      </c>
      <c r="G42" s="23">
        <f>pm.rep!E91/$B42</f>
        <v>3.955868326746996E-2</v>
      </c>
      <c r="H42" s="23">
        <f>pm.rep!F91/$B42</f>
        <v>1.2971539848444128E-2</v>
      </c>
      <c r="I42" s="23">
        <f>pm.rep!G91/$B42</f>
        <v>1.0821057133214382E-2</v>
      </c>
      <c r="J42" s="23">
        <f>pm.rep!H91/$B42</f>
        <v>1.1702825569334026E-2</v>
      </c>
      <c r="K42" s="23">
        <f>pm.rep!I91/$B42</f>
        <v>1.7128301498141655E-2</v>
      </c>
      <c r="L42" s="23">
        <f>pm.rep!J91/$B42</f>
        <v>4.3221222930944596E-3</v>
      </c>
      <c r="M42" s="23">
        <f>pm.rep!K91/$B42</f>
        <v>9.8757793603571672E-3</v>
      </c>
      <c r="N42" s="23">
        <f>pm.rep!L91/$B42</f>
        <v>1.9586953679554364E-3</v>
      </c>
      <c r="O42" s="23">
        <f>pm.rep!M91/$B42</f>
        <v>2.293717775175091E-3</v>
      </c>
      <c r="P42" s="23">
        <f>pm.rep!N91/$B42</f>
        <v>1.122092571189854E-3</v>
      </c>
      <c r="Q42" s="23">
        <f>pm.rep!O91/$B42</f>
        <v>1.4504308047748346E-3</v>
      </c>
      <c r="R42" s="23">
        <f>pm.rep!P91/$B42</f>
        <v>3.9002056286240451E-4</v>
      </c>
      <c r="U42" s="31"/>
      <c r="V42" s="31">
        <v>1</v>
      </c>
      <c r="W42" s="31">
        <v>2</v>
      </c>
      <c r="X42" s="31">
        <v>3</v>
      </c>
      <c r="Y42" s="31">
        <v>4</v>
      </c>
      <c r="Z42" s="31">
        <v>5</v>
      </c>
      <c r="AA42" s="31">
        <v>6</v>
      </c>
      <c r="AB42" s="31">
        <v>7</v>
      </c>
      <c r="AC42" s="31">
        <v>8</v>
      </c>
      <c r="AD42" s="31">
        <v>9</v>
      </c>
      <c r="AE42" s="31">
        <v>10</v>
      </c>
      <c r="AF42" s="31">
        <v>11</v>
      </c>
      <c r="AG42" s="31">
        <v>12</v>
      </c>
      <c r="AH42" s="31">
        <v>13</v>
      </c>
      <c r="AI42" s="31">
        <v>14</v>
      </c>
      <c r="AJ42" s="31">
        <v>15</v>
      </c>
    </row>
    <row r="43" spans="2:38" x14ac:dyDescent="0.15">
      <c r="B43" s="27">
        <f>SUM(pm.rep!B92:P92)</f>
        <v>74698.841300000015</v>
      </c>
      <c r="C43">
        <f>pm.rep!A92</f>
        <v>1993</v>
      </c>
      <c r="D43" s="23">
        <f>pm.rep!B92/$B43</f>
        <v>0.62736180621318405</v>
      </c>
      <c r="E43" s="23">
        <f>pm.rep!C92/$B43</f>
        <v>0.12396979442839093</v>
      </c>
      <c r="F43" s="23">
        <f>pm.rep!D92/$B43</f>
        <v>8.8017697270492981E-2</v>
      </c>
      <c r="G43" s="23">
        <f>pm.rep!E92/$B43</f>
        <v>0.1167704859700414</v>
      </c>
      <c r="H43" s="23">
        <f>pm.rep!F92/$B43</f>
        <v>1.7960519556278576E-2</v>
      </c>
      <c r="I43" s="23">
        <f>pm.rep!G92/$B43</f>
        <v>5.4384243842347246E-3</v>
      </c>
      <c r="J43" s="23">
        <f>pm.rep!H92/$B43</f>
        <v>4.0138239734650331E-3</v>
      </c>
      <c r="K43" s="23">
        <f>pm.rep!I92/$B43</f>
        <v>3.9174101620234898E-3</v>
      </c>
      <c r="L43" s="23">
        <f>pm.rep!J92/$B43</f>
        <v>5.5719472050231112E-3</v>
      </c>
      <c r="M43" s="23">
        <f>pm.rep!K92/$B43</f>
        <v>1.4004902643650508E-3</v>
      </c>
      <c r="N43" s="23">
        <f>pm.rep!L92/$B43</f>
        <v>3.222981719798108E-3</v>
      </c>
      <c r="O43" s="23">
        <f>pm.rep!M92/$B43</f>
        <v>6.3922544404982609E-4</v>
      </c>
      <c r="P43" s="23">
        <f>pm.rep!N92/$B43</f>
        <v>7.4855913461136902E-4</v>
      </c>
      <c r="Q43" s="23">
        <f>pm.rep!O92/$B43</f>
        <v>3.6619845132724964E-4</v>
      </c>
      <c r="R43" s="23">
        <f>pm.rep!P92/$B43</f>
        <v>6.0063582271389243E-4</v>
      </c>
      <c r="U43" s="31" t="s">
        <v>788</v>
      </c>
      <c r="V43" s="27" t="e">
        <f>V8*V14*D$7</f>
        <v>#VALUE!</v>
      </c>
      <c r="W43" s="27">
        <f t="shared" ref="W43:AJ43" si="30">W8*W14*E$7</f>
        <v>0</v>
      </c>
      <c r="X43" s="27">
        <f t="shared" si="30"/>
        <v>0</v>
      </c>
      <c r="Y43" s="27">
        <f t="shared" si="30"/>
        <v>0</v>
      </c>
      <c r="Z43" s="27">
        <f t="shared" si="30"/>
        <v>0</v>
      </c>
      <c r="AA43" s="27">
        <f t="shared" si="30"/>
        <v>0</v>
      </c>
      <c r="AB43" s="27">
        <f t="shared" si="30"/>
        <v>0</v>
      </c>
      <c r="AC43" s="27">
        <f t="shared" si="30"/>
        <v>0</v>
      </c>
      <c r="AD43" s="27">
        <f t="shared" si="30"/>
        <v>0</v>
      </c>
      <c r="AE43" s="27">
        <f t="shared" si="30"/>
        <v>0</v>
      </c>
      <c r="AF43" s="27">
        <f t="shared" si="30"/>
        <v>0</v>
      </c>
      <c r="AG43" s="27">
        <f t="shared" si="30"/>
        <v>0</v>
      </c>
      <c r="AH43" s="27">
        <f t="shared" si="30"/>
        <v>0</v>
      </c>
      <c r="AI43" s="27">
        <f t="shared" si="30"/>
        <v>0</v>
      </c>
      <c r="AJ43" s="27">
        <f t="shared" si="30"/>
        <v>0</v>
      </c>
      <c r="AL43" s="27" t="e">
        <f>SUM(V43:AJ43)</f>
        <v>#VALUE!</v>
      </c>
    </row>
    <row r="44" spans="2:38" x14ac:dyDescent="0.15">
      <c r="B44" s="27">
        <f>SUM(pm.rep!B93:P93)</f>
        <v>53054.441000000013</v>
      </c>
      <c r="C44">
        <f>pm.rep!A93</f>
        <v>1994</v>
      </c>
      <c r="D44" s="23">
        <f>pm.rep!B93/$B44</f>
        <v>0.30049887812407627</v>
      </c>
      <c r="E44" s="23">
        <f>pm.rep!C93/$B44</f>
        <v>0.3590877528989514</v>
      </c>
      <c r="F44" s="23">
        <f>pm.rep!D93/$B44</f>
        <v>0.11088195237039626</v>
      </c>
      <c r="G44" s="23">
        <f>pm.rep!E93/$B44</f>
        <v>8.8108552496104872E-2</v>
      </c>
      <c r="H44" s="23">
        <f>pm.rep!F93/$B44</f>
        <v>0.1046151819788281</v>
      </c>
      <c r="I44" s="23">
        <f>pm.rep!G93/$B44</f>
        <v>1.6377724156965479E-2</v>
      </c>
      <c r="J44" s="23">
        <f>pm.rep!H93/$B44</f>
        <v>4.5696834314020943E-3</v>
      </c>
      <c r="K44" s="23">
        <f>pm.rep!I93/$B44</f>
        <v>3.0936712724953593E-3</v>
      </c>
      <c r="L44" s="23">
        <f>pm.rep!J93/$B44</f>
        <v>3.0207461803244701E-3</v>
      </c>
      <c r="M44" s="23">
        <f>pm.rep!K93/$B44</f>
        <v>4.2991123023989625E-3</v>
      </c>
      <c r="N44" s="23">
        <f>pm.rep!L93/$B44</f>
        <v>1.0931507128686924E-3</v>
      </c>
      <c r="O44" s="23">
        <f>pm.rep!M93/$B44</f>
        <v>2.5156989214154563E-3</v>
      </c>
      <c r="P44" s="23">
        <f>pm.rep!N93/$B44</f>
        <v>4.9894597890495144E-4</v>
      </c>
      <c r="Q44" s="23">
        <f>pm.rep!O93/$B44</f>
        <v>5.842866198514841E-4</v>
      </c>
      <c r="R44" s="23">
        <f>pm.rep!P93/$B44</f>
        <v>7.5466255501589383E-4</v>
      </c>
      <c r="U44" s="31" t="s">
        <v>789</v>
      </c>
      <c r="V44" s="27" t="e">
        <f>V12*V15*D$7</f>
        <v>#REF!</v>
      </c>
      <c r="W44" s="27" t="e">
        <f t="shared" ref="W44:AJ44" si="31">W12*W15*E$7</f>
        <v>#REF!</v>
      </c>
      <c r="X44" s="27" t="e">
        <f t="shared" si="31"/>
        <v>#REF!</v>
      </c>
      <c r="Y44" s="27" t="e">
        <f t="shared" si="31"/>
        <v>#REF!</v>
      </c>
      <c r="Z44" s="27" t="e">
        <f t="shared" si="31"/>
        <v>#REF!</v>
      </c>
      <c r="AA44" s="27" t="e">
        <f t="shared" si="31"/>
        <v>#REF!</v>
      </c>
      <c r="AB44" s="27" t="e">
        <f t="shared" si="31"/>
        <v>#REF!</v>
      </c>
      <c r="AC44" s="27" t="e">
        <f t="shared" si="31"/>
        <v>#REF!</v>
      </c>
      <c r="AD44" s="27" t="e">
        <f t="shared" si="31"/>
        <v>#REF!</v>
      </c>
      <c r="AE44" s="27" t="e">
        <f t="shared" si="31"/>
        <v>#REF!</v>
      </c>
      <c r="AF44" s="27" t="e">
        <f t="shared" si="31"/>
        <v>#REF!</v>
      </c>
      <c r="AG44" s="27" t="e">
        <f t="shared" si="31"/>
        <v>#REF!</v>
      </c>
      <c r="AH44" s="27" t="e">
        <f t="shared" si="31"/>
        <v>#REF!</v>
      </c>
      <c r="AI44" s="27" t="e">
        <f t="shared" si="31"/>
        <v>#REF!</v>
      </c>
      <c r="AJ44" s="27" t="e">
        <f t="shared" si="31"/>
        <v>#REF!</v>
      </c>
      <c r="AL44" s="27" t="e">
        <f>SUM(V44:AJ44)</f>
        <v>#REF!</v>
      </c>
    </row>
    <row r="45" spans="2:38" x14ac:dyDescent="0.15">
      <c r="B45" s="27">
        <f>SUM(pm.rep!B94:P94)</f>
        <v>41365.218299999986</v>
      </c>
      <c r="C45">
        <f>pm.rep!A94</f>
        <v>1995</v>
      </c>
      <c r="D45" s="23">
        <f>pm.rep!B94/$B45</f>
        <v>0.26362486282346065</v>
      </c>
      <c r="E45" s="23">
        <f>pm.rep!C94/$B45</f>
        <v>0.15668550212872931</v>
      </c>
      <c r="F45" s="23">
        <f>pm.rep!D94/$B45</f>
        <v>0.29271935451142062</v>
      </c>
      <c r="G45" s="23">
        <f>pm.rep!E94/$B45</f>
        <v>0.10339145242707451</v>
      </c>
      <c r="H45" s="23">
        <f>pm.rep!F94/$B45</f>
        <v>7.6899146933790047E-2</v>
      </c>
      <c r="I45" s="23">
        <f>pm.rep!G94/$B45</f>
        <v>7.9367887682584792E-2</v>
      </c>
      <c r="J45" s="23">
        <f>pm.rep!H94/$B45</f>
        <v>1.2518971766190346E-2</v>
      </c>
      <c r="K45" s="23">
        <f>pm.rep!I94/$B45</f>
        <v>3.2883907202781535E-3</v>
      </c>
      <c r="L45" s="23">
        <f>pm.rep!J94/$B45</f>
        <v>2.2292859506074462E-3</v>
      </c>
      <c r="M45" s="23">
        <f>pm.rep!K94/$B45</f>
        <v>2.1839531788473607E-3</v>
      </c>
      <c r="N45" s="23">
        <f>pm.rep!L94/$B45</f>
        <v>3.1280869609238843E-3</v>
      </c>
      <c r="O45" s="23">
        <f>pm.rep!M94/$B45</f>
        <v>7.9538562473874361E-4</v>
      </c>
      <c r="P45" s="23">
        <f>pm.rep!N94/$B45</f>
        <v>1.8304484567412526E-3</v>
      </c>
      <c r="Q45" s="23">
        <f>pm.rep!O94/$B45</f>
        <v>3.6303930251469277E-4</v>
      </c>
      <c r="R45" s="23">
        <f>pm.rep!P94/$B45</f>
        <v>9.7423153209855097E-4</v>
      </c>
      <c r="U45" s="31" t="s">
        <v>793</v>
      </c>
      <c r="V45" s="27" t="e">
        <f t="shared" ref="V45:AJ45" si="32">V44-V43</f>
        <v>#REF!</v>
      </c>
      <c r="W45" s="27" t="e">
        <f t="shared" si="32"/>
        <v>#REF!</v>
      </c>
      <c r="X45" s="27" t="e">
        <f t="shared" si="32"/>
        <v>#REF!</v>
      </c>
      <c r="Y45" s="27" t="e">
        <f t="shared" si="32"/>
        <v>#REF!</v>
      </c>
      <c r="Z45" s="27" t="e">
        <f t="shared" si="32"/>
        <v>#REF!</v>
      </c>
      <c r="AA45" s="27" t="e">
        <f t="shared" si="32"/>
        <v>#REF!</v>
      </c>
      <c r="AB45" s="27" t="e">
        <f t="shared" si="32"/>
        <v>#REF!</v>
      </c>
      <c r="AC45" s="27" t="e">
        <f t="shared" si="32"/>
        <v>#REF!</v>
      </c>
      <c r="AD45" s="27" t="e">
        <f t="shared" si="32"/>
        <v>#REF!</v>
      </c>
      <c r="AE45" s="27" t="e">
        <f t="shared" si="32"/>
        <v>#REF!</v>
      </c>
      <c r="AF45" s="27" t="e">
        <f t="shared" si="32"/>
        <v>#REF!</v>
      </c>
      <c r="AG45" s="27" t="e">
        <f t="shared" si="32"/>
        <v>#REF!</v>
      </c>
      <c r="AH45" s="27" t="e">
        <f t="shared" si="32"/>
        <v>#REF!</v>
      </c>
      <c r="AI45" s="27" t="e">
        <f t="shared" si="32"/>
        <v>#REF!</v>
      </c>
      <c r="AJ45" s="27" t="e">
        <f t="shared" si="32"/>
        <v>#REF!</v>
      </c>
    </row>
    <row r="46" spans="2:38" x14ac:dyDescent="0.15">
      <c r="B46" s="27">
        <f>SUM(pm.rep!B95:P95)</f>
        <v>47800.098800000007</v>
      </c>
      <c r="C46">
        <f>pm.rep!A95</f>
        <v>1996</v>
      </c>
      <c r="D46" s="23">
        <f>pm.rep!B95/$B46</f>
        <v>0.47862034962990485</v>
      </c>
      <c r="E46" s="23">
        <f>pm.rep!C95/$B46</f>
        <v>9.2746251813186603E-2</v>
      </c>
      <c r="F46" s="23">
        <f>pm.rep!D95/$B46</f>
        <v>8.6169068755146586E-2</v>
      </c>
      <c r="G46" s="23">
        <f>pm.rep!E95/$B46</f>
        <v>0.18537304780633632</v>
      </c>
      <c r="H46" s="23">
        <f>pm.rep!F95/$B46</f>
        <v>6.3673090148508221E-2</v>
      </c>
      <c r="I46" s="23">
        <f>pm.rep!G95/$B46</f>
        <v>4.2549493642469197E-2</v>
      </c>
      <c r="J46" s="23">
        <f>pm.rep!H95/$B46</f>
        <v>3.7530675564210338E-2</v>
      </c>
      <c r="K46" s="23">
        <f>pm.rep!I95/$B46</f>
        <v>6.0699456127483982E-3</v>
      </c>
      <c r="L46" s="23">
        <f>pm.rep!J95/$B46</f>
        <v>1.5969883309111484E-3</v>
      </c>
      <c r="M46" s="23">
        <f>pm.rep!K95/$B46</f>
        <v>1.0915856098607059E-3</v>
      </c>
      <c r="N46" s="23">
        <f>pm.rep!L95/$B46</f>
        <v>1.0783053025823451E-3</v>
      </c>
      <c r="O46" s="23">
        <f>pm.rep!M95/$B46</f>
        <v>1.5444549666914077E-3</v>
      </c>
      <c r="P46" s="23">
        <f>pm.rep!N95/$B46</f>
        <v>3.9271466945168734E-4</v>
      </c>
      <c r="Q46" s="23">
        <f>pm.rep!O95/$B46</f>
        <v>9.0376382234590689E-4</v>
      </c>
      <c r="R46" s="23">
        <f>pm.rep!P95/$B46</f>
        <v>6.6026432564612176E-4</v>
      </c>
      <c r="U46" s="31"/>
      <c r="V46" s="23" t="e">
        <f t="shared" ref="V46:AJ46" si="33">V45/$AL$43</f>
        <v>#REF!</v>
      </c>
      <c r="W46" s="23" t="e">
        <f t="shared" si="33"/>
        <v>#REF!</v>
      </c>
      <c r="X46" s="23" t="e">
        <f t="shared" si="33"/>
        <v>#REF!</v>
      </c>
      <c r="Y46" s="23" t="e">
        <f t="shared" si="33"/>
        <v>#REF!</v>
      </c>
      <c r="Z46" s="23" t="e">
        <f t="shared" si="33"/>
        <v>#REF!</v>
      </c>
      <c r="AA46" s="23" t="e">
        <f t="shared" si="33"/>
        <v>#REF!</v>
      </c>
      <c r="AB46" s="23" t="e">
        <f t="shared" si="33"/>
        <v>#REF!</v>
      </c>
      <c r="AC46" s="23" t="e">
        <f t="shared" si="33"/>
        <v>#REF!</v>
      </c>
      <c r="AD46" s="23" t="e">
        <f t="shared" si="33"/>
        <v>#REF!</v>
      </c>
      <c r="AE46" s="23" t="e">
        <f t="shared" si="33"/>
        <v>#REF!</v>
      </c>
      <c r="AF46" s="23" t="e">
        <f t="shared" si="33"/>
        <v>#REF!</v>
      </c>
      <c r="AG46" s="23" t="e">
        <f t="shared" si="33"/>
        <v>#REF!</v>
      </c>
      <c r="AH46" s="23" t="e">
        <f t="shared" si="33"/>
        <v>#REF!</v>
      </c>
      <c r="AI46" s="23" t="e">
        <f t="shared" si="33"/>
        <v>#REF!</v>
      </c>
      <c r="AJ46" s="23" t="e">
        <f t="shared" si="33"/>
        <v>#REF!</v>
      </c>
    </row>
    <row r="47" spans="2:38" x14ac:dyDescent="0.15">
      <c r="B47" s="27">
        <f>SUM(pm.rep!B96:P96)</f>
        <v>57190.122799999997</v>
      </c>
      <c r="C47">
        <f>pm.rep!A96</f>
        <v>1997</v>
      </c>
      <c r="D47" s="23">
        <f>pm.rep!B96/$B47</f>
        <v>0.54517106230098888</v>
      </c>
      <c r="E47" s="23">
        <f>pm.rep!C96/$B47</f>
        <v>0.1626305303194768</v>
      </c>
      <c r="F47" s="23">
        <f>pm.rep!D96/$B47</f>
        <v>4.9175974142164285E-2</v>
      </c>
      <c r="G47" s="23">
        <f>pm.rep!E96/$B47</f>
        <v>5.2507843190013226E-2</v>
      </c>
      <c r="H47" s="23">
        <f>pm.rep!F96/$B47</f>
        <v>0.11220696312266006</v>
      </c>
      <c r="I47" s="23">
        <f>pm.rep!G96/$B47</f>
        <v>3.6275145050046996E-2</v>
      </c>
      <c r="J47" s="23">
        <f>pm.rep!H96/$B47</f>
        <v>2.0529593966879887E-2</v>
      </c>
      <c r="K47" s="23">
        <f>pm.rep!I96/$B47</f>
        <v>1.5669873679655749E-2</v>
      </c>
      <c r="L47" s="23">
        <f>pm.rep!J96/$B47</f>
        <v>2.5545320213930366E-3</v>
      </c>
      <c r="M47" s="23">
        <f>pm.rep!K96/$B47</f>
        <v>7.0214921797649992E-4</v>
      </c>
      <c r="N47" s="23">
        <f>pm.rep!L96/$B47</f>
        <v>4.9589856799538113E-4</v>
      </c>
      <c r="O47" s="23">
        <f>pm.rep!M96/$B47</f>
        <v>4.8986605778017316E-4</v>
      </c>
      <c r="P47" s="23">
        <f>pm.rep!N96/$B47</f>
        <v>7.0163514319294322E-4</v>
      </c>
      <c r="Q47" s="23">
        <f>pm.rep!O96/$B47</f>
        <v>1.784066810921413E-4</v>
      </c>
      <c r="R47" s="23">
        <f>pm.rep!P96/$B47</f>
        <v>7.1052653868405413E-4</v>
      </c>
      <c r="U47" s="31"/>
      <c r="V47" s="27" t="e">
        <f>V45</f>
        <v>#REF!</v>
      </c>
      <c r="W47" s="27" t="e">
        <f>W45+V47</f>
        <v>#REF!</v>
      </c>
      <c r="X47" s="27" t="e">
        <f t="shared" ref="X47:AJ47" si="34">X45+W47</f>
        <v>#REF!</v>
      </c>
      <c r="Y47" s="27" t="e">
        <f t="shared" si="34"/>
        <v>#REF!</v>
      </c>
      <c r="Z47" s="27" t="e">
        <f t="shared" si="34"/>
        <v>#REF!</v>
      </c>
      <c r="AA47" s="27" t="e">
        <f t="shared" si="34"/>
        <v>#REF!</v>
      </c>
      <c r="AB47" s="27" t="e">
        <f t="shared" si="34"/>
        <v>#REF!</v>
      </c>
      <c r="AC47" s="27" t="e">
        <f t="shared" si="34"/>
        <v>#REF!</v>
      </c>
      <c r="AD47" s="27" t="e">
        <f t="shared" si="34"/>
        <v>#REF!</v>
      </c>
      <c r="AE47" s="27" t="e">
        <f t="shared" si="34"/>
        <v>#REF!</v>
      </c>
      <c r="AF47" s="27" t="e">
        <f t="shared" si="34"/>
        <v>#REF!</v>
      </c>
      <c r="AG47" s="27" t="e">
        <f t="shared" si="34"/>
        <v>#REF!</v>
      </c>
      <c r="AH47" s="27" t="e">
        <f t="shared" si="34"/>
        <v>#REF!</v>
      </c>
      <c r="AI47" s="27" t="e">
        <f t="shared" si="34"/>
        <v>#REF!</v>
      </c>
      <c r="AJ47" s="27" t="e">
        <f t="shared" si="34"/>
        <v>#REF!</v>
      </c>
    </row>
    <row r="48" spans="2:38" x14ac:dyDescent="0.15">
      <c r="B48" s="27">
        <f>SUM(pm.rep!B97:P97)</f>
        <v>45161.725700000003</v>
      </c>
      <c r="C48">
        <f>pm.rep!A97</f>
        <v>1998</v>
      </c>
      <c r="D48" s="23">
        <f>pm.rep!B97/$B48</f>
        <v>0.3428345520463581</v>
      </c>
      <c r="E48" s="23">
        <f>pm.rep!C97/$B48</f>
        <v>0.28066465139528535</v>
      </c>
      <c r="F48" s="23">
        <f>pm.rep!D97/$B48</f>
        <v>0.13040157143507913</v>
      </c>
      <c r="G48" s="23">
        <f>pm.rep!E97/$B48</f>
        <v>4.5263992203911731E-2</v>
      </c>
      <c r="H48" s="23">
        <f>pm.rep!F97/$B48</f>
        <v>4.7376843263542516E-2</v>
      </c>
      <c r="I48" s="23">
        <f>pm.rep!G97/$B48</f>
        <v>9.6528640844209354E-2</v>
      </c>
      <c r="J48" s="23">
        <f>pm.rep!H97/$B48</f>
        <v>2.8446432905020722E-2</v>
      </c>
      <c r="K48" s="23">
        <f>pm.rep!I97/$B48</f>
        <v>1.4243676255267632E-2</v>
      </c>
      <c r="L48" s="23">
        <f>pm.rep!J97/$B48</f>
        <v>1.0393978368280111E-2</v>
      </c>
      <c r="M48" s="23">
        <f>pm.rep!K97/$B48</f>
        <v>1.6629656824650525E-3</v>
      </c>
      <c r="N48" s="23">
        <f>pm.rep!L97/$B48</f>
        <v>4.6746663624503608E-4</v>
      </c>
      <c r="O48" s="23">
        <f>pm.rep!M97/$B48</f>
        <v>3.3015124574834392E-4</v>
      </c>
      <c r="P48" s="23">
        <f>pm.rep!N97/$B48</f>
        <v>3.2613457018539039E-4</v>
      </c>
      <c r="Q48" s="23">
        <f>pm.rep!O97/$B48</f>
        <v>4.6712342526804724E-4</v>
      </c>
      <c r="R48" s="23">
        <f>pm.rep!P97/$B48</f>
        <v>5.9181972313338764E-4</v>
      </c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</row>
    <row r="49" spans="2:40" x14ac:dyDescent="0.15">
      <c r="B49" s="27">
        <f>SUM(pm.rep!B98:P98)</f>
        <v>42473.359080000002</v>
      </c>
      <c r="C49">
        <f>pm.rep!A98</f>
        <v>1999</v>
      </c>
      <c r="D49" s="23">
        <f>pm.rep!B98/$B49</f>
        <v>0.3961801082957811</v>
      </c>
      <c r="E49" s="23">
        <f>pm.rep!C98/$B49</f>
        <v>0.14820113446040162</v>
      </c>
      <c r="F49" s="23">
        <f>pm.rep!D98/$B49</f>
        <v>0.18941826533772707</v>
      </c>
      <c r="G49" s="23">
        <f>pm.rep!E98/$B49</f>
        <v>0.10040128900490063</v>
      </c>
      <c r="H49" s="23">
        <f>pm.rep!F98/$B49</f>
        <v>3.4011437552633521E-2</v>
      </c>
      <c r="I49" s="23">
        <f>pm.rep!G98/$B49</f>
        <v>3.4131041937830175E-2</v>
      </c>
      <c r="J49" s="23">
        <f>pm.rep!H98/$B49</f>
        <v>6.2696477455062627E-2</v>
      </c>
      <c r="K49" s="23">
        <f>pm.rep!I98/$B49</f>
        <v>1.8229262219210375E-2</v>
      </c>
      <c r="L49" s="23">
        <f>pm.rep!J98/$B49</f>
        <v>8.4650003622929824E-3</v>
      </c>
      <c r="M49" s="23">
        <f>pm.rep!K98/$B49</f>
        <v>6.0004907904731694E-3</v>
      </c>
      <c r="N49" s="23">
        <f>pm.rep!L98/$B49</f>
        <v>9.7965880027589287E-4</v>
      </c>
      <c r="O49" s="23">
        <f>pm.rep!M98/$B49</f>
        <v>2.7538674249825778E-4</v>
      </c>
      <c r="P49" s="23">
        <f>pm.rep!N98/$B49</f>
        <v>1.9449344669067789E-4</v>
      </c>
      <c r="Q49" s="23">
        <f>pm.rep!O98/$B49</f>
        <v>1.9212725757409058E-4</v>
      </c>
      <c r="R49" s="23">
        <f>pm.rep!P98/$B49</f>
        <v>6.2382633664772994E-4</v>
      </c>
    </row>
    <row r="50" spans="2:40" x14ac:dyDescent="0.15">
      <c r="B50" s="27">
        <f>SUM(pm.rep!B99:P99)</f>
        <v>49782.55091000002</v>
      </c>
      <c r="C50">
        <f>pm.rep!A99</f>
        <v>2000</v>
      </c>
      <c r="D50" s="23">
        <f>pm.rep!B99/$B50</f>
        <v>0.5192642708633749</v>
      </c>
      <c r="E50" s="23">
        <f>pm.rep!C99/$B50</f>
        <v>0.13742063986170283</v>
      </c>
      <c r="F50" s="23">
        <f>pm.rep!D99/$B50</f>
        <v>8.04197440030298E-2</v>
      </c>
      <c r="G50" s="23">
        <f>pm.rep!E99/$B50</f>
        <v>0.11498727757741567</v>
      </c>
      <c r="H50" s="23">
        <f>pm.rep!F99/$B50</f>
        <v>5.9623903270166895E-2</v>
      </c>
      <c r="I50" s="23">
        <f>pm.rep!G99/$B50</f>
        <v>1.9683764332838999E-2</v>
      </c>
      <c r="J50" s="23">
        <f>pm.rep!H99/$B50</f>
        <v>1.892653113946265E-2</v>
      </c>
      <c r="K50" s="23">
        <f>pm.rep!I99/$B50</f>
        <v>3.1708097940857397E-2</v>
      </c>
      <c r="L50" s="23">
        <f>pm.rep!J99/$B50</f>
        <v>9.3100090599595956E-3</v>
      </c>
      <c r="M50" s="23">
        <f>pm.rep!K99/$B50</f>
        <v>4.3542164079112657E-3</v>
      </c>
      <c r="N50" s="23">
        <f>pm.rep!L99/$B50</f>
        <v>3.1226001311389999E-3</v>
      </c>
      <c r="O50" s="23">
        <f>pm.rep!M99/$B50</f>
        <v>5.0980714198198946E-4</v>
      </c>
      <c r="P50" s="23">
        <f>pm.rep!N99/$B50</f>
        <v>1.4330864669626463E-4</v>
      </c>
      <c r="Q50" s="23">
        <f>pm.rep!O99/$B50</f>
        <v>1.0121297337914976E-4</v>
      </c>
      <c r="R50" s="23">
        <f>pm.rep!P99/$B50</f>
        <v>4.2461665008318862E-4</v>
      </c>
    </row>
    <row r="51" spans="2:40" x14ac:dyDescent="0.15">
      <c r="B51" s="27">
        <f>SUM(pm.rep!B100:P100)</f>
        <v>62093.596120000002</v>
      </c>
      <c r="C51">
        <f>pm.rep!A100</f>
        <v>2001</v>
      </c>
      <c r="D51" s="23">
        <f>pm.rep!B100/$B51</f>
        <v>0.57918049923374293</v>
      </c>
      <c r="E51" s="23">
        <f>pm.rep!C100/$B51</f>
        <v>0.16925416881459884</v>
      </c>
      <c r="F51" s="23">
        <f>pm.rep!D100/$B51</f>
        <v>7.0078885294234422E-2</v>
      </c>
      <c r="G51" s="23">
        <f>pm.rep!E100/$B51</f>
        <v>4.662719154491772E-2</v>
      </c>
      <c r="H51" s="23">
        <f>pm.rep!F100/$B51</f>
        <v>6.2478262532944757E-2</v>
      </c>
      <c r="I51" s="23">
        <f>pm.rep!G100/$B51</f>
        <v>3.0676110243621043E-2</v>
      </c>
      <c r="J51" s="23">
        <f>pm.rep!H100/$B51</f>
        <v>1.0138565638610656E-2</v>
      </c>
      <c r="K51" s="23">
        <f>pm.rep!I100/$B51</f>
        <v>8.9405354930182437E-3</v>
      </c>
      <c r="L51" s="23">
        <f>pm.rep!J100/$B51</f>
        <v>1.406471930393971E-2</v>
      </c>
      <c r="M51" s="23">
        <f>pm.rep!K100/$B51</f>
        <v>4.3791472388634454E-3</v>
      </c>
      <c r="N51" s="23">
        <f>pm.rep!L100/$B51</f>
        <v>2.1036790935341949E-3</v>
      </c>
      <c r="O51" s="23">
        <f>pm.rep!M100/$B51</f>
        <v>1.5086451076043749E-3</v>
      </c>
      <c r="P51" s="23">
        <f>pm.rep!N100/$B51</f>
        <v>2.4630559277712518E-4</v>
      </c>
      <c r="Q51" s="23">
        <f>pm.rep!O100/$B51</f>
        <v>6.9237735751227414E-5</v>
      </c>
      <c r="R51" s="23">
        <f>pm.rep!P100/$B51</f>
        <v>2.5404713184133101E-4</v>
      </c>
      <c r="V51">
        <f t="shared" ref="V51:AJ51" si="35">D39</f>
        <v>1</v>
      </c>
      <c r="W51">
        <f t="shared" si="35"/>
        <v>2</v>
      </c>
      <c r="X51">
        <f t="shared" si="35"/>
        <v>3</v>
      </c>
      <c r="Y51">
        <f t="shared" si="35"/>
        <v>4</v>
      </c>
      <c r="Z51">
        <f t="shared" si="35"/>
        <v>5</v>
      </c>
      <c r="AA51">
        <f t="shared" si="35"/>
        <v>6</v>
      </c>
      <c r="AB51">
        <f t="shared" si="35"/>
        <v>7</v>
      </c>
      <c r="AC51">
        <f t="shared" si="35"/>
        <v>8</v>
      </c>
      <c r="AD51">
        <f t="shared" si="35"/>
        <v>9</v>
      </c>
      <c r="AE51">
        <f t="shared" si="35"/>
        <v>10</v>
      </c>
      <c r="AF51">
        <f t="shared" si="35"/>
        <v>11</v>
      </c>
      <c r="AG51">
        <f t="shared" si="35"/>
        <v>12</v>
      </c>
      <c r="AH51">
        <f t="shared" si="35"/>
        <v>13</v>
      </c>
      <c r="AI51">
        <f t="shared" si="35"/>
        <v>14</v>
      </c>
      <c r="AJ51">
        <f t="shared" si="35"/>
        <v>15</v>
      </c>
    </row>
    <row r="52" spans="2:40" x14ac:dyDescent="0.15">
      <c r="B52" s="27">
        <f>SUM(pm.rep!B101:P101)</f>
        <v>55321.882449999997</v>
      </c>
      <c r="C52">
        <f>pm.rep!A101</f>
        <v>2002</v>
      </c>
      <c r="D52" s="23">
        <f>pm.rep!B101/$B52</f>
        <v>0.43295345240009997</v>
      </c>
      <c r="E52" s="23">
        <f>pm.rep!C101/$B52</f>
        <v>0.26429144042982583</v>
      </c>
      <c r="F52" s="23">
        <f>pm.rep!D101/$B52</f>
        <v>0.12087386950441706</v>
      </c>
      <c r="G52" s="23">
        <f>pm.rep!E101/$B52</f>
        <v>5.7226722226260761E-2</v>
      </c>
      <c r="H52" s="23">
        <f>pm.rep!F101/$B52</f>
        <v>3.6095120259234781E-2</v>
      </c>
      <c r="I52" s="23">
        <f>pm.rep!G101/$B52</f>
        <v>4.2736253635924495E-2</v>
      </c>
      <c r="J52" s="23">
        <f>pm.rep!H101/$B52</f>
        <v>1.9175594774071176E-2</v>
      </c>
      <c r="K52" s="23">
        <f>pm.rep!I101/$B52</f>
        <v>6.371240174601109E-3</v>
      </c>
      <c r="L52" s="23">
        <f>pm.rep!J101/$B52</f>
        <v>5.6246097605451243E-3</v>
      </c>
      <c r="M52" s="23">
        <f>pm.rep!K101/$B52</f>
        <v>9.0495112933381399E-3</v>
      </c>
      <c r="N52" s="23">
        <f>pm.rep!L101/$B52</f>
        <v>2.8656291684087481E-3</v>
      </c>
      <c r="O52" s="23">
        <f>pm.rep!M101/$B52</f>
        <v>1.3766035540968835E-3</v>
      </c>
      <c r="P52" s="23">
        <f>pm.rep!N101/$B52</f>
        <v>9.8722417931749172E-4</v>
      </c>
      <c r="Q52" s="23">
        <f>pm.rep!O101/$B52</f>
        <v>1.6117763179983766E-4</v>
      </c>
      <c r="R52" s="23">
        <f>pm.rep!P101/$B52</f>
        <v>2.1155100805865656E-4</v>
      </c>
      <c r="U52">
        <f t="shared" ref="U52:U77" si="36">C40</f>
        <v>1990</v>
      </c>
      <c r="V52" t="e">
        <f>D40*D$10/$AK52*D$6</f>
        <v>#REF!</v>
      </c>
      <c r="W52" t="e">
        <f t="shared" ref="W52:AJ52" si="37">E40*E$10/$AK52*E$6</f>
        <v>#REF!</v>
      </c>
      <c r="X52" t="e">
        <f t="shared" si="37"/>
        <v>#REF!</v>
      </c>
      <c r="Y52" t="e">
        <f t="shared" si="37"/>
        <v>#REF!</v>
      </c>
      <c r="Z52" t="e">
        <f t="shared" si="37"/>
        <v>#REF!</v>
      </c>
      <c r="AA52" t="e">
        <f t="shared" si="37"/>
        <v>#REF!</v>
      </c>
      <c r="AB52" t="e">
        <f t="shared" si="37"/>
        <v>#REF!</v>
      </c>
      <c r="AC52" t="e">
        <f t="shared" si="37"/>
        <v>#REF!</v>
      </c>
      <c r="AD52" t="e">
        <f t="shared" si="37"/>
        <v>#REF!</v>
      </c>
      <c r="AE52" t="e">
        <f t="shared" si="37"/>
        <v>#REF!</v>
      </c>
      <c r="AF52" t="e">
        <f t="shared" si="37"/>
        <v>#REF!</v>
      </c>
      <c r="AG52" t="e">
        <f t="shared" si="37"/>
        <v>#REF!</v>
      </c>
      <c r="AH52" t="e">
        <f t="shared" si="37"/>
        <v>#REF!</v>
      </c>
      <c r="AI52" t="e">
        <f t="shared" si="37"/>
        <v>#REF!</v>
      </c>
      <c r="AJ52" t="e">
        <f t="shared" si="37"/>
        <v>#REF!</v>
      </c>
      <c r="AK52" t="e">
        <f>SUMPRODUCT($D$10:$R$10,D40:R40,$D$6:$R$6)</f>
        <v>#REF!</v>
      </c>
      <c r="AM52">
        <f t="shared" ref="AM52:AM78" si="38">U52</f>
        <v>1990</v>
      </c>
      <c r="AN52" s="23" t="e">
        <f t="shared" ref="AN52:AN80" si="39">MAX(V52:AJ52)</f>
        <v>#REF!</v>
      </c>
    </row>
    <row r="53" spans="2:40" x14ac:dyDescent="0.15">
      <c r="B53" s="27">
        <f>SUM(pm.rep!B102:P102)</f>
        <v>44477.658999999985</v>
      </c>
      <c r="C53">
        <f>pm.rep!A102</f>
        <v>2003</v>
      </c>
      <c r="D53" s="23">
        <f>pm.rep!B102/$B53</f>
        <v>0.32882800778701066</v>
      </c>
      <c r="E53" s="23">
        <f>pm.rep!C102/$B53</f>
        <v>0.21893373479930683</v>
      </c>
      <c r="F53" s="23">
        <f>pm.rep!D102/$B53</f>
        <v>0.2088542924437638</v>
      </c>
      <c r="G53" s="23">
        <f>pm.rep!E102/$B53</f>
        <v>0.10898864978482797</v>
      </c>
      <c r="H53" s="23">
        <f>pm.rep!F102/$B53</f>
        <v>4.8564156670206061E-2</v>
      </c>
      <c r="I53" s="23">
        <f>pm.rep!G102/$B53</f>
        <v>2.7664450595297752E-2</v>
      </c>
      <c r="J53" s="23">
        <f>pm.rep!H102/$B53</f>
        <v>2.7520108466140281E-2</v>
      </c>
      <c r="K53" s="23">
        <f>pm.rep!I102/$B53</f>
        <v>1.241016304387783E-2</v>
      </c>
      <c r="L53" s="23">
        <f>pm.rep!J102/$B53</f>
        <v>4.1445301786229363E-3</v>
      </c>
      <c r="M53" s="23">
        <f>pm.rep!K102/$B53</f>
        <v>3.7707695002562984E-3</v>
      </c>
      <c r="N53" s="23">
        <f>pm.rep!L102/$B53</f>
        <v>6.3747734564896978E-3</v>
      </c>
      <c r="O53" s="23">
        <f>pm.rep!M102/$B53</f>
        <v>2.0186404145056294E-3</v>
      </c>
      <c r="P53" s="23">
        <f>pm.rep!N102/$B53</f>
        <v>9.6972504780433737E-4</v>
      </c>
      <c r="Q53" s="23">
        <f>pm.rep!O102/$B53</f>
        <v>6.9543453264930182E-4</v>
      </c>
      <c r="R53" s="23">
        <f>pm.rep!P102/$B53</f>
        <v>2.6256327924093317E-4</v>
      </c>
      <c r="U53">
        <f t="shared" si="36"/>
        <v>1991</v>
      </c>
      <c r="V53" t="e">
        <f t="shared" ref="V53:AJ53" si="40">D41*D$10/$AK53*D$6</f>
        <v>#REF!</v>
      </c>
      <c r="W53" t="e">
        <f t="shared" si="40"/>
        <v>#REF!</v>
      </c>
      <c r="X53" t="e">
        <f t="shared" si="40"/>
        <v>#REF!</v>
      </c>
      <c r="Y53" t="e">
        <f t="shared" si="40"/>
        <v>#REF!</v>
      </c>
      <c r="Z53" t="e">
        <f t="shared" si="40"/>
        <v>#REF!</v>
      </c>
      <c r="AA53" t="e">
        <f t="shared" si="40"/>
        <v>#REF!</v>
      </c>
      <c r="AB53" t="e">
        <f t="shared" si="40"/>
        <v>#REF!</v>
      </c>
      <c r="AC53" t="e">
        <f t="shared" si="40"/>
        <v>#REF!</v>
      </c>
      <c r="AD53" t="e">
        <f t="shared" si="40"/>
        <v>#REF!</v>
      </c>
      <c r="AE53" t="e">
        <f t="shared" si="40"/>
        <v>#REF!</v>
      </c>
      <c r="AF53" t="e">
        <f t="shared" si="40"/>
        <v>#REF!</v>
      </c>
      <c r="AG53" t="e">
        <f t="shared" si="40"/>
        <v>#REF!</v>
      </c>
      <c r="AH53" t="e">
        <f t="shared" si="40"/>
        <v>#REF!</v>
      </c>
      <c r="AI53" t="e">
        <f t="shared" si="40"/>
        <v>#REF!</v>
      </c>
      <c r="AJ53" t="e">
        <f t="shared" si="40"/>
        <v>#REF!</v>
      </c>
      <c r="AK53" t="e">
        <f t="shared" ref="AK53:AK77" si="41">SUMPRODUCT($D$10:$R$10,D41:R41,$D$6:$R$6)</f>
        <v>#REF!</v>
      </c>
      <c r="AM53">
        <f t="shared" si="38"/>
        <v>1991</v>
      </c>
      <c r="AN53" s="23" t="e">
        <f t="shared" si="39"/>
        <v>#REF!</v>
      </c>
    </row>
    <row r="54" spans="2:40" x14ac:dyDescent="0.15">
      <c r="B54" s="27">
        <f>SUM(pm.rep!B103:P103)</f>
        <v>31931.775000000005</v>
      </c>
      <c r="C54">
        <f>pm.rep!A103</f>
        <v>2004</v>
      </c>
      <c r="D54" s="23">
        <f>pm.rep!B103/$B54</f>
        <v>0.20795774741617085</v>
      </c>
      <c r="E54" s="23">
        <f>pm.rep!C103/$B54</f>
        <v>0.1862101308179705</v>
      </c>
      <c r="F54" s="23">
        <f>pm.rep!D103/$B54</f>
        <v>0.19395758613481395</v>
      </c>
      <c r="G54" s="23">
        <f>pm.rep!E103/$B54</f>
        <v>0.20543424222424211</v>
      </c>
      <c r="H54" s="23">
        <f>pm.rep!F103/$B54</f>
        <v>0.10338354194215633</v>
      </c>
      <c r="I54" s="23">
        <f>pm.rep!G103/$B54</f>
        <v>4.029528580857155E-2</v>
      </c>
      <c r="J54" s="23">
        <f>pm.rep!H103/$B54</f>
        <v>2.0452386376892607E-2</v>
      </c>
      <c r="K54" s="23">
        <f>pm.rep!I103/$B54</f>
        <v>1.9316996941134652E-2</v>
      </c>
      <c r="L54" s="23">
        <f>pm.rep!J103/$B54</f>
        <v>8.7882994290170192E-3</v>
      </c>
      <c r="M54" s="23">
        <f>pm.rep!K103/$B54</f>
        <v>3.0785166186345727E-3</v>
      </c>
      <c r="N54" s="23">
        <f>pm.rep!L103/$B54</f>
        <v>2.9769344172066851E-3</v>
      </c>
      <c r="O54" s="23">
        <f>pm.rep!M103/$B54</f>
        <v>5.0327612542678882E-3</v>
      </c>
      <c r="P54" s="23">
        <f>pm.rep!N103/$B54</f>
        <v>1.593672760126864E-3</v>
      </c>
      <c r="Q54" s="23">
        <f>pm.rep!O103/$B54</f>
        <v>7.6557911359453076E-4</v>
      </c>
      <c r="R54" s="23">
        <f>pm.rep!P103/$B54</f>
        <v>7.5631874519972654E-4</v>
      </c>
      <c r="U54">
        <f t="shared" si="36"/>
        <v>1992</v>
      </c>
      <c r="V54" t="e">
        <f t="shared" ref="V54:AJ54" si="42">D42*D$10/$AK54*D$6</f>
        <v>#REF!</v>
      </c>
      <c r="W54" t="e">
        <f t="shared" si="42"/>
        <v>#REF!</v>
      </c>
      <c r="X54" t="e">
        <f t="shared" si="42"/>
        <v>#REF!</v>
      </c>
      <c r="Y54" t="e">
        <f t="shared" si="42"/>
        <v>#REF!</v>
      </c>
      <c r="Z54" t="e">
        <f t="shared" si="42"/>
        <v>#REF!</v>
      </c>
      <c r="AA54" t="e">
        <f t="shared" si="42"/>
        <v>#REF!</v>
      </c>
      <c r="AB54" t="e">
        <f t="shared" si="42"/>
        <v>#REF!</v>
      </c>
      <c r="AC54" t="e">
        <f t="shared" si="42"/>
        <v>#REF!</v>
      </c>
      <c r="AD54" t="e">
        <f t="shared" si="42"/>
        <v>#REF!</v>
      </c>
      <c r="AE54" t="e">
        <f t="shared" si="42"/>
        <v>#REF!</v>
      </c>
      <c r="AF54" t="e">
        <f t="shared" si="42"/>
        <v>#REF!</v>
      </c>
      <c r="AG54" t="e">
        <f t="shared" si="42"/>
        <v>#REF!</v>
      </c>
      <c r="AH54" t="e">
        <f t="shared" si="42"/>
        <v>#REF!</v>
      </c>
      <c r="AI54" t="e">
        <f t="shared" si="42"/>
        <v>#REF!</v>
      </c>
      <c r="AJ54" t="e">
        <f t="shared" si="42"/>
        <v>#REF!</v>
      </c>
      <c r="AK54" t="e">
        <f t="shared" si="41"/>
        <v>#REF!</v>
      </c>
      <c r="AM54">
        <f t="shared" si="38"/>
        <v>1992</v>
      </c>
      <c r="AN54" s="23" t="e">
        <f t="shared" si="39"/>
        <v>#REF!</v>
      </c>
    </row>
    <row r="55" spans="2:40" x14ac:dyDescent="0.15">
      <c r="B55" s="27">
        <f>SUM(pm.rep!B104:P104)</f>
        <v>23815.072399999997</v>
      </c>
      <c r="C55">
        <f>pm.rep!A104</f>
        <v>2005</v>
      </c>
      <c r="D55" s="23">
        <f>pm.rep!B104/$B55</f>
        <v>0.20288411972243262</v>
      </c>
      <c r="E55" s="23">
        <f>pm.rep!C104/$B55</f>
        <v>0.11336140216814963</v>
      </c>
      <c r="F55" s="23">
        <f>pm.rep!D104/$B55</f>
        <v>0.15891700585382224</v>
      </c>
      <c r="G55" s="23">
        <f>pm.rep!E104/$B55</f>
        <v>0.1887447547713523</v>
      </c>
      <c r="H55" s="23">
        <f>pm.rep!F104/$B55</f>
        <v>0.17421362111836369</v>
      </c>
      <c r="I55" s="23">
        <f>pm.rep!G104/$B55</f>
        <v>8.481981352280081E-2</v>
      </c>
      <c r="J55" s="23">
        <f>pm.rep!H104/$B55</f>
        <v>3.0974459687134945E-2</v>
      </c>
      <c r="K55" s="23">
        <f>pm.rep!I104/$B55</f>
        <v>1.4534954762514181E-2</v>
      </c>
      <c r="L55" s="23">
        <f>pm.rep!J104/$B55</f>
        <v>1.3851438049795727E-2</v>
      </c>
      <c r="M55" s="23">
        <f>pm.rep!K104/$B55</f>
        <v>6.5768853173841287E-3</v>
      </c>
      <c r="N55" s="23">
        <f>pm.rep!L104/$B55</f>
        <v>2.4104776603576486E-3</v>
      </c>
      <c r="O55" s="23">
        <f>pm.rep!M104/$B55</f>
        <v>2.3309355969037492E-3</v>
      </c>
      <c r="P55" s="23">
        <f>pm.rep!N104/$B55</f>
        <v>3.940643069386596E-3</v>
      </c>
      <c r="Q55" s="23">
        <f>pm.rep!O104/$B55</f>
        <v>1.2478442013890332E-3</v>
      </c>
      <c r="R55" s="23">
        <f>pm.rep!P104/$B55</f>
        <v>1.191644498212821E-3</v>
      </c>
      <c r="U55">
        <f t="shared" si="36"/>
        <v>1993</v>
      </c>
      <c r="V55" t="e">
        <f t="shared" ref="V55:AJ55" si="43">D43*D$10/$AK55*D$6</f>
        <v>#REF!</v>
      </c>
      <c r="W55" t="e">
        <f t="shared" si="43"/>
        <v>#REF!</v>
      </c>
      <c r="X55" t="e">
        <f t="shared" si="43"/>
        <v>#REF!</v>
      </c>
      <c r="Y55" t="e">
        <f t="shared" si="43"/>
        <v>#REF!</v>
      </c>
      <c r="Z55" t="e">
        <f t="shared" si="43"/>
        <v>#REF!</v>
      </c>
      <c r="AA55" t="e">
        <f t="shared" si="43"/>
        <v>#REF!</v>
      </c>
      <c r="AB55" t="e">
        <f t="shared" si="43"/>
        <v>#REF!</v>
      </c>
      <c r="AC55" t="e">
        <f t="shared" si="43"/>
        <v>#REF!</v>
      </c>
      <c r="AD55" t="e">
        <f t="shared" si="43"/>
        <v>#REF!</v>
      </c>
      <c r="AE55" t="e">
        <f t="shared" si="43"/>
        <v>#REF!</v>
      </c>
      <c r="AF55" t="e">
        <f t="shared" si="43"/>
        <v>#REF!</v>
      </c>
      <c r="AG55" t="e">
        <f t="shared" si="43"/>
        <v>#REF!</v>
      </c>
      <c r="AH55" t="e">
        <f t="shared" si="43"/>
        <v>#REF!</v>
      </c>
      <c r="AI55" t="e">
        <f t="shared" si="43"/>
        <v>#REF!</v>
      </c>
      <c r="AJ55" t="e">
        <f t="shared" si="43"/>
        <v>#REF!</v>
      </c>
      <c r="AK55" t="e">
        <f t="shared" si="41"/>
        <v>#REF!</v>
      </c>
      <c r="AM55">
        <f t="shared" si="38"/>
        <v>1993</v>
      </c>
      <c r="AN55" s="23" t="e">
        <f t="shared" si="39"/>
        <v>#REF!</v>
      </c>
    </row>
    <row r="56" spans="2:40" x14ac:dyDescent="0.15">
      <c r="B56" s="27">
        <f>SUM(pm.rep!B105:P105)</f>
        <v>26092.925599999995</v>
      </c>
      <c r="C56">
        <f>pm.rep!A105</f>
        <v>2006</v>
      </c>
      <c r="D56" s="23">
        <f>pm.rep!B105/$B56</f>
        <v>0.46784711638468024</v>
      </c>
      <c r="E56" s="23">
        <f>pm.rep!C105/$B56</f>
        <v>7.5283240757027275E-2</v>
      </c>
      <c r="F56" s="23">
        <f>pm.rep!D105/$B56</f>
        <v>6.5849649301111729E-2</v>
      </c>
      <c r="G56" s="23">
        <f>pm.rep!E105/$B56</f>
        <v>0.1053316152482342</v>
      </c>
      <c r="H56" s="23">
        <f>pm.rep!F105/$B56</f>
        <v>0.11462263932565694</v>
      </c>
      <c r="I56" s="23">
        <f>pm.rep!G105/$B56</f>
        <v>8.9002284971831616E-2</v>
      </c>
      <c r="J56" s="23">
        <f>pm.rep!H105/$B56</f>
        <v>4.1761894266084149E-2</v>
      </c>
      <c r="K56" s="23">
        <f>pm.rep!I105/$B56</f>
        <v>1.5740281726016957E-2</v>
      </c>
      <c r="L56" s="23">
        <f>pm.rep!J105/$B56</f>
        <v>7.5676834030446944E-3</v>
      </c>
      <c r="M56" s="23">
        <f>pm.rep!K105/$B56</f>
        <v>7.322482841862701E-3</v>
      </c>
      <c r="N56" s="23">
        <f>pm.rep!L105/$B56</f>
        <v>3.5938668372242637E-3</v>
      </c>
      <c r="O56" s="23">
        <f>pm.rep!M105/$B56</f>
        <v>1.3171769439299672E-3</v>
      </c>
      <c r="P56" s="23">
        <f>pm.rep!N105/$B56</f>
        <v>1.2737168882281259E-3</v>
      </c>
      <c r="Q56" s="23">
        <f>pm.rep!O105/$B56</f>
        <v>2.1533192889646689E-3</v>
      </c>
      <c r="R56" s="23">
        <f>pm.rep!P105/$B56</f>
        <v>1.333031816102676E-3</v>
      </c>
      <c r="U56">
        <f t="shared" si="36"/>
        <v>1994</v>
      </c>
      <c r="V56" t="e">
        <f t="shared" ref="V56:AJ56" si="44">D44*D$10/$AK56*D$6</f>
        <v>#REF!</v>
      </c>
      <c r="W56" t="e">
        <f t="shared" si="44"/>
        <v>#REF!</v>
      </c>
      <c r="X56" t="e">
        <f t="shared" si="44"/>
        <v>#REF!</v>
      </c>
      <c r="Y56" t="e">
        <f t="shared" si="44"/>
        <v>#REF!</v>
      </c>
      <c r="Z56" t="e">
        <f t="shared" si="44"/>
        <v>#REF!</v>
      </c>
      <c r="AA56" t="e">
        <f t="shared" si="44"/>
        <v>#REF!</v>
      </c>
      <c r="AB56" t="e">
        <f t="shared" si="44"/>
        <v>#REF!</v>
      </c>
      <c r="AC56" t="e">
        <f t="shared" si="44"/>
        <v>#REF!</v>
      </c>
      <c r="AD56" t="e">
        <f t="shared" si="44"/>
        <v>#REF!</v>
      </c>
      <c r="AE56" t="e">
        <f t="shared" si="44"/>
        <v>#REF!</v>
      </c>
      <c r="AF56" t="e">
        <f t="shared" si="44"/>
        <v>#REF!</v>
      </c>
      <c r="AG56" t="e">
        <f t="shared" si="44"/>
        <v>#REF!</v>
      </c>
      <c r="AH56" t="e">
        <f t="shared" si="44"/>
        <v>#REF!</v>
      </c>
      <c r="AI56" t="e">
        <f t="shared" si="44"/>
        <v>#REF!</v>
      </c>
      <c r="AJ56" t="e">
        <f t="shared" si="44"/>
        <v>#REF!</v>
      </c>
      <c r="AK56" t="e">
        <f t="shared" si="41"/>
        <v>#REF!</v>
      </c>
      <c r="AM56">
        <f t="shared" si="38"/>
        <v>1994</v>
      </c>
      <c r="AN56" s="23" t="e">
        <f t="shared" si="39"/>
        <v>#REF!</v>
      </c>
    </row>
    <row r="57" spans="2:40" x14ac:dyDescent="0.15">
      <c r="B57" s="27">
        <f>SUM(pm.rep!B106:P106)</f>
        <v>39638.3514</v>
      </c>
      <c r="C57">
        <f>pm.rep!A106</f>
        <v>2007</v>
      </c>
      <c r="D57" s="23">
        <f>pm.rep!B106/$B57</f>
        <v>0.66578197800628003</v>
      </c>
      <c r="E57" s="23">
        <f>pm.rep!C106/$B57</f>
        <v>0.12520752818191122</v>
      </c>
      <c r="F57" s="23">
        <f>pm.rep!D106/$B57</f>
        <v>3.1507112578854635E-2</v>
      </c>
      <c r="G57" s="23">
        <f>pm.rep!E106/$B57</f>
        <v>3.0677865174786254E-2</v>
      </c>
      <c r="H57" s="23">
        <f>pm.rep!F106/$B57</f>
        <v>4.5217824069242192E-2</v>
      </c>
      <c r="I57" s="23">
        <f>pm.rep!G106/$B57</f>
        <v>4.2684166728488113E-2</v>
      </c>
      <c r="J57" s="23">
        <f>pm.rep!H106/$B57</f>
        <v>3.0033539689544204E-2</v>
      </c>
      <c r="K57" s="23">
        <f>pm.rep!I106/$B57</f>
        <v>1.4341035384231446E-2</v>
      </c>
      <c r="L57" s="23">
        <f>pm.rep!J106/$B57</f>
        <v>5.4978068537936218E-3</v>
      </c>
      <c r="M57" s="23">
        <f>pm.rep!K106/$B57</f>
        <v>2.7318744643855196E-3</v>
      </c>
      <c r="N57" s="23">
        <f>pm.rep!L106/$B57</f>
        <v>2.7229437196018198E-3</v>
      </c>
      <c r="O57" s="23">
        <f>pm.rep!M106/$B57</f>
        <v>1.3364254094583763E-3</v>
      </c>
      <c r="P57" s="23">
        <f>pm.rep!N106/$B57</f>
        <v>4.8980846362848478E-4</v>
      </c>
      <c r="Q57" s="23">
        <f>pm.rep!O106/$B57</f>
        <v>4.7364734750295393E-4</v>
      </c>
      <c r="R57" s="23">
        <f>pm.rep!P106/$B57</f>
        <v>1.2964439282911247E-3</v>
      </c>
      <c r="U57">
        <f t="shared" si="36"/>
        <v>1995</v>
      </c>
      <c r="V57" t="e">
        <f t="shared" ref="V57:AJ57" si="45">D45*D$10/$AK57*D$6</f>
        <v>#REF!</v>
      </c>
      <c r="W57" t="e">
        <f t="shared" si="45"/>
        <v>#REF!</v>
      </c>
      <c r="X57" t="e">
        <f t="shared" si="45"/>
        <v>#REF!</v>
      </c>
      <c r="Y57" t="e">
        <f t="shared" si="45"/>
        <v>#REF!</v>
      </c>
      <c r="Z57" t="e">
        <f t="shared" si="45"/>
        <v>#REF!</v>
      </c>
      <c r="AA57" t="e">
        <f t="shared" si="45"/>
        <v>#REF!</v>
      </c>
      <c r="AB57" t="e">
        <f t="shared" si="45"/>
        <v>#REF!</v>
      </c>
      <c r="AC57" t="e">
        <f t="shared" si="45"/>
        <v>#REF!</v>
      </c>
      <c r="AD57" t="e">
        <f t="shared" si="45"/>
        <v>#REF!</v>
      </c>
      <c r="AE57" t="e">
        <f t="shared" si="45"/>
        <v>#REF!</v>
      </c>
      <c r="AF57" t="e">
        <f t="shared" si="45"/>
        <v>#REF!</v>
      </c>
      <c r="AG57" t="e">
        <f t="shared" si="45"/>
        <v>#REF!</v>
      </c>
      <c r="AH57" t="e">
        <f t="shared" si="45"/>
        <v>#REF!</v>
      </c>
      <c r="AI57" t="e">
        <f t="shared" si="45"/>
        <v>#REF!</v>
      </c>
      <c r="AJ57" t="e">
        <f t="shared" si="45"/>
        <v>#REF!</v>
      </c>
      <c r="AK57" t="e">
        <f t="shared" si="41"/>
        <v>#REF!</v>
      </c>
      <c r="AM57">
        <f t="shared" si="38"/>
        <v>1995</v>
      </c>
      <c r="AN57" s="23" t="e">
        <f t="shared" si="39"/>
        <v>#REF!</v>
      </c>
    </row>
    <row r="58" spans="2:40" x14ac:dyDescent="0.15">
      <c r="B58" s="27">
        <f>SUM(pm.rep!B107:P107)</f>
        <v>33261.283999999985</v>
      </c>
      <c r="C58">
        <f>pm.rep!A107</f>
        <v>2008</v>
      </c>
      <c r="D58" s="23">
        <f>pm.rep!B107/$B58</f>
        <v>0.43962223466778994</v>
      </c>
      <c r="E58" s="23">
        <f>pm.rep!C107/$B58</f>
        <v>0.32257323559727896</v>
      </c>
      <c r="F58" s="23">
        <f>pm.rep!D107/$B58</f>
        <v>9.4830674606548607E-2</v>
      </c>
      <c r="G58" s="23">
        <f>pm.rep!E107/$B58</f>
        <v>2.6592268656856436E-2</v>
      </c>
      <c r="H58" s="23">
        <f>pm.rep!F107/$B58</f>
        <v>2.3900400237104505E-2</v>
      </c>
      <c r="I58" s="23">
        <f>pm.rep!G107/$B58</f>
        <v>3.0494312847333265E-2</v>
      </c>
      <c r="J58" s="23">
        <f>pm.rep!H107/$B58</f>
        <v>2.4983761901675242E-2</v>
      </c>
      <c r="K58" s="23">
        <f>pm.rep!I107/$B58</f>
        <v>1.8376951412940049E-2</v>
      </c>
      <c r="L58" s="23">
        <f>pm.rep!J107/$B58</f>
        <v>9.0885547292762405E-3</v>
      </c>
      <c r="M58" s="23">
        <f>pm.rep!K107/$B58</f>
        <v>3.5594837529423114E-3</v>
      </c>
      <c r="N58" s="23">
        <f>pm.rep!L107/$B58</f>
        <v>1.8043530730804025E-3</v>
      </c>
      <c r="O58" s="23">
        <f>pm.rep!M107/$B58</f>
        <v>1.7984603360471599E-3</v>
      </c>
      <c r="P58" s="23">
        <f>pm.rep!N107/$B58</f>
        <v>8.8268390360396237E-4</v>
      </c>
      <c r="Q58" s="23">
        <f>pm.rep!O107/$B58</f>
        <v>3.2351126312501962E-4</v>
      </c>
      <c r="R58" s="23">
        <f>pm.rep!P107/$B58</f>
        <v>1.1691130143983623E-3</v>
      </c>
      <c r="U58">
        <f t="shared" si="36"/>
        <v>1996</v>
      </c>
      <c r="V58" t="e">
        <f t="shared" ref="V58:AJ58" si="46">D46*D$10/$AK58*D$6</f>
        <v>#REF!</v>
      </c>
      <c r="W58" t="e">
        <f t="shared" si="46"/>
        <v>#REF!</v>
      </c>
      <c r="X58" t="e">
        <f t="shared" si="46"/>
        <v>#REF!</v>
      </c>
      <c r="Y58" t="e">
        <f t="shared" si="46"/>
        <v>#REF!</v>
      </c>
      <c r="Z58" t="e">
        <f t="shared" si="46"/>
        <v>#REF!</v>
      </c>
      <c r="AA58" t="e">
        <f t="shared" si="46"/>
        <v>#REF!</v>
      </c>
      <c r="AB58" t="e">
        <f t="shared" si="46"/>
        <v>#REF!</v>
      </c>
      <c r="AC58" t="e">
        <f t="shared" si="46"/>
        <v>#REF!</v>
      </c>
      <c r="AD58" t="e">
        <f t="shared" si="46"/>
        <v>#REF!</v>
      </c>
      <c r="AE58" t="e">
        <f t="shared" si="46"/>
        <v>#REF!</v>
      </c>
      <c r="AF58" t="e">
        <f t="shared" si="46"/>
        <v>#REF!</v>
      </c>
      <c r="AG58" t="e">
        <f t="shared" si="46"/>
        <v>#REF!</v>
      </c>
      <c r="AH58" t="e">
        <f t="shared" si="46"/>
        <v>#REF!</v>
      </c>
      <c r="AI58" t="e">
        <f t="shared" si="46"/>
        <v>#REF!</v>
      </c>
      <c r="AJ58" t="e">
        <f t="shared" si="46"/>
        <v>#REF!</v>
      </c>
      <c r="AK58" t="e">
        <f t="shared" si="41"/>
        <v>#REF!</v>
      </c>
      <c r="AM58">
        <f t="shared" si="38"/>
        <v>1996</v>
      </c>
      <c r="AN58" s="23" t="e">
        <f t="shared" si="39"/>
        <v>#REF!</v>
      </c>
    </row>
    <row r="59" spans="2:40" x14ac:dyDescent="0.15">
      <c r="B59" s="27">
        <f>SUM(pm.rep!B108:P108)</f>
        <v>74562.201699999976</v>
      </c>
      <c r="C59">
        <f>pm.rep!A108</f>
        <v>2009</v>
      </c>
      <c r="D59" s="23">
        <f>pm.rep!B108/$B59</f>
        <v>0.7635316380417454</v>
      </c>
      <c r="E59" s="23">
        <f>pm.rep!C108/$B59</f>
        <v>7.972953942426303E-2</v>
      </c>
      <c r="F59" s="23">
        <f>pm.rep!D108/$B59</f>
        <v>9.1493945249205288E-2</v>
      </c>
      <c r="G59" s="23">
        <f>pm.rep!E108/$B59</f>
        <v>3.0553818799049767E-2</v>
      </c>
      <c r="H59" s="23">
        <f>pm.rep!F108/$B59</f>
        <v>7.8374026876408646E-3</v>
      </c>
      <c r="I59" s="23">
        <f>pm.rep!G108/$B59</f>
        <v>6.1521117877612261E-3</v>
      </c>
      <c r="J59" s="23">
        <f>pm.rep!H108/$B59</f>
        <v>6.5555199398034964E-3</v>
      </c>
      <c r="K59" s="23">
        <f>pm.rep!I108/$B59</f>
        <v>5.5131285105278769E-3</v>
      </c>
      <c r="L59" s="23">
        <f>pm.rep!J108/$B59</f>
        <v>4.2393329702333626E-3</v>
      </c>
      <c r="M59" s="23">
        <f>pm.rep!K108/$B59</f>
        <v>2.1088969533473428E-3</v>
      </c>
      <c r="N59" s="23">
        <f>pm.rep!L108/$B59</f>
        <v>8.5264917814249601E-4</v>
      </c>
      <c r="O59" s="23">
        <f>pm.rep!M108/$B59</f>
        <v>4.322203377210629E-4</v>
      </c>
      <c r="P59" s="23">
        <f>pm.rep!N108/$B59</f>
        <v>4.3080809401581832E-4</v>
      </c>
      <c r="Q59" s="23">
        <f>pm.rep!O108/$B59</f>
        <v>2.1144091296327699E-4</v>
      </c>
      <c r="R59" s="23">
        <f>pm.rep!P108/$B59</f>
        <v>3.575471135799362E-4</v>
      </c>
      <c r="U59">
        <f t="shared" si="36"/>
        <v>1997</v>
      </c>
      <c r="V59" t="e">
        <f t="shared" ref="V59:AJ59" si="47">D47*D$10/$AK59*D$6</f>
        <v>#REF!</v>
      </c>
      <c r="W59" t="e">
        <f t="shared" si="47"/>
        <v>#REF!</v>
      </c>
      <c r="X59" t="e">
        <f t="shared" si="47"/>
        <v>#REF!</v>
      </c>
      <c r="Y59" t="e">
        <f t="shared" si="47"/>
        <v>#REF!</v>
      </c>
      <c r="Z59" t="e">
        <f t="shared" si="47"/>
        <v>#REF!</v>
      </c>
      <c r="AA59" t="e">
        <f t="shared" si="47"/>
        <v>#REF!</v>
      </c>
      <c r="AB59" t="e">
        <f t="shared" si="47"/>
        <v>#REF!</v>
      </c>
      <c r="AC59" t="e">
        <f t="shared" si="47"/>
        <v>#REF!</v>
      </c>
      <c r="AD59" t="e">
        <f t="shared" si="47"/>
        <v>#REF!</v>
      </c>
      <c r="AE59" t="e">
        <f t="shared" si="47"/>
        <v>#REF!</v>
      </c>
      <c r="AF59" t="e">
        <f t="shared" si="47"/>
        <v>#REF!</v>
      </c>
      <c r="AG59" t="e">
        <f t="shared" si="47"/>
        <v>#REF!</v>
      </c>
      <c r="AH59" t="e">
        <f t="shared" si="47"/>
        <v>#REF!</v>
      </c>
      <c r="AI59" t="e">
        <f t="shared" si="47"/>
        <v>#REF!</v>
      </c>
      <c r="AJ59" t="e">
        <f t="shared" si="47"/>
        <v>#REF!</v>
      </c>
      <c r="AK59" t="e">
        <f t="shared" si="41"/>
        <v>#REF!</v>
      </c>
      <c r="AM59">
        <f t="shared" si="38"/>
        <v>1997</v>
      </c>
      <c r="AN59" s="23" t="e">
        <f t="shared" si="39"/>
        <v>#REF!</v>
      </c>
    </row>
    <row r="60" spans="2:40" x14ac:dyDescent="0.15">
      <c r="B60" s="27">
        <f>SUM(pm.rep!B109:P109)</f>
        <v>57310.19720000001</v>
      </c>
      <c r="C60">
        <f>pm.rep!A109</f>
        <v>2010</v>
      </c>
      <c r="D60" s="23">
        <f>pm.rep!B109/$B60</f>
        <v>0.39260203418040229</v>
      </c>
      <c r="E60" s="23">
        <f>pm.rep!C109/$B60</f>
        <v>0.40386355536742063</v>
      </c>
      <c r="F60" s="23">
        <f>pm.rep!D109/$B60</f>
        <v>6.6018966690974831E-2</v>
      </c>
      <c r="G60" s="23">
        <f>pm.rep!E109/$B60</f>
        <v>8.6060077280627451E-2</v>
      </c>
      <c r="H60" s="23">
        <f>pm.rep!F109/$B60</f>
        <v>2.6574502870494395E-2</v>
      </c>
      <c r="I60" s="23">
        <f>pm.rep!G109/$B60</f>
        <v>6.3460608716942252E-3</v>
      </c>
      <c r="J60" s="23">
        <f>pm.rep!H109/$B60</f>
        <v>4.3656977680055853E-3</v>
      </c>
      <c r="K60" s="23">
        <f>pm.rep!I109/$B60</f>
        <v>4.4705133207952035E-3</v>
      </c>
      <c r="L60" s="23">
        <f>pm.rep!J109/$B60</f>
        <v>3.7919080829824812E-3</v>
      </c>
      <c r="M60" s="23">
        <f>pm.rep!K109/$B60</f>
        <v>2.8904454720668797E-3</v>
      </c>
      <c r="N60" s="23">
        <f>pm.rep!L109/$B60</f>
        <v>1.447784234809787E-3</v>
      </c>
      <c r="O60" s="23">
        <f>pm.rep!M109/$B60</f>
        <v>5.8535481710050711E-4</v>
      </c>
      <c r="P60" s="23">
        <f>pm.rep!N109/$B60</f>
        <v>2.9672555375537946E-4</v>
      </c>
      <c r="Q60" s="23">
        <f>pm.rep!O109/$B60</f>
        <v>2.9575539481828893E-4</v>
      </c>
      <c r="R60" s="23">
        <f>pm.rep!P109/$B60</f>
        <v>3.9061809405185568E-4</v>
      </c>
      <c r="U60">
        <f t="shared" si="36"/>
        <v>1998</v>
      </c>
      <c r="V60" t="e">
        <f t="shared" ref="V60:AJ60" si="48">D48*D$10/$AK60*D$6</f>
        <v>#REF!</v>
      </c>
      <c r="W60" t="e">
        <f t="shared" si="48"/>
        <v>#REF!</v>
      </c>
      <c r="X60" t="e">
        <f t="shared" si="48"/>
        <v>#REF!</v>
      </c>
      <c r="Y60" t="e">
        <f t="shared" si="48"/>
        <v>#REF!</v>
      </c>
      <c r="Z60" t="e">
        <f t="shared" si="48"/>
        <v>#REF!</v>
      </c>
      <c r="AA60" t="e">
        <f t="shared" si="48"/>
        <v>#REF!</v>
      </c>
      <c r="AB60" t="e">
        <f t="shared" si="48"/>
        <v>#REF!</v>
      </c>
      <c r="AC60" t="e">
        <f t="shared" si="48"/>
        <v>#REF!</v>
      </c>
      <c r="AD60" t="e">
        <f t="shared" si="48"/>
        <v>#REF!</v>
      </c>
      <c r="AE60" t="e">
        <f t="shared" si="48"/>
        <v>#REF!</v>
      </c>
      <c r="AF60" t="e">
        <f t="shared" si="48"/>
        <v>#REF!</v>
      </c>
      <c r="AG60" t="e">
        <f t="shared" si="48"/>
        <v>#REF!</v>
      </c>
      <c r="AH60" t="e">
        <f t="shared" si="48"/>
        <v>#REF!</v>
      </c>
      <c r="AI60" t="e">
        <f t="shared" si="48"/>
        <v>#REF!</v>
      </c>
      <c r="AJ60" t="e">
        <f t="shared" si="48"/>
        <v>#REF!</v>
      </c>
      <c r="AK60" t="e">
        <f t="shared" si="41"/>
        <v>#REF!</v>
      </c>
      <c r="AM60">
        <f t="shared" si="38"/>
        <v>1998</v>
      </c>
      <c r="AN60" s="23" t="e">
        <f t="shared" si="39"/>
        <v>#REF!</v>
      </c>
    </row>
    <row r="61" spans="2:40" x14ac:dyDescent="0.15">
      <c r="B61" s="27">
        <f>SUM(pm.rep!B110:P110)</f>
        <v>45060.569929999983</v>
      </c>
      <c r="C61">
        <v>2011</v>
      </c>
      <c r="D61" s="23">
        <f>pm.rep!B110/$B61</f>
        <v>0.29913514234150756</v>
      </c>
      <c r="E61" s="23">
        <f>pm.rep!C110/$B61</f>
        <v>0.20300653130243271</v>
      </c>
      <c r="F61" s="23">
        <f>pm.rep!D110/$B61</f>
        <v>0.32698432405291161</v>
      </c>
      <c r="G61" s="23">
        <f>pm.rep!E110/$B61</f>
        <v>6.143419855320062E-2</v>
      </c>
      <c r="H61" s="23">
        <f>pm.rep!F110/$B61</f>
        <v>7.0589209256368607E-2</v>
      </c>
      <c r="I61" s="23">
        <f>pm.rep!G110/$B61</f>
        <v>2.07797194188751E-2</v>
      </c>
      <c r="J61" s="23">
        <f>pm.rep!H110/$B61</f>
        <v>4.8038673353726063E-3</v>
      </c>
      <c r="K61" s="23">
        <f>pm.rep!I110/$B61</f>
        <v>3.1652506886079689E-3</v>
      </c>
      <c r="L61" s="23">
        <f>pm.rep!J110/$B61</f>
        <v>3.1656057662295986E-3</v>
      </c>
      <c r="M61" s="23">
        <f>pm.rep!K110/$B61</f>
        <v>2.7019853541386408E-3</v>
      </c>
      <c r="N61" s="23">
        <f>pm.rep!L110/$B61</f>
        <v>2.0719955416684636E-3</v>
      </c>
      <c r="O61" s="23">
        <f>pm.rep!M110/$B61</f>
        <v>1.0378341879085952E-3</v>
      </c>
      <c r="P61" s="23">
        <f>pm.rep!N110/$B61</f>
        <v>4.1960854089001997E-4</v>
      </c>
      <c r="Q61" s="23">
        <f>pm.rep!O110/$B61</f>
        <v>2.1270547653723395E-4</v>
      </c>
      <c r="R61" s="23">
        <f>pm.rep!P110/$B61</f>
        <v>4.9202218335102203E-4</v>
      </c>
      <c r="U61">
        <f t="shared" si="36"/>
        <v>1999</v>
      </c>
      <c r="V61" t="e">
        <f t="shared" ref="V61:AJ61" si="49">D49*D$10/$AK61*D$6</f>
        <v>#REF!</v>
      </c>
      <c r="W61" t="e">
        <f t="shared" si="49"/>
        <v>#REF!</v>
      </c>
      <c r="X61" t="e">
        <f t="shared" si="49"/>
        <v>#REF!</v>
      </c>
      <c r="Y61" t="e">
        <f t="shared" si="49"/>
        <v>#REF!</v>
      </c>
      <c r="Z61" t="e">
        <f t="shared" si="49"/>
        <v>#REF!</v>
      </c>
      <c r="AA61" t="e">
        <f t="shared" si="49"/>
        <v>#REF!</v>
      </c>
      <c r="AB61" t="e">
        <f t="shared" si="49"/>
        <v>#REF!</v>
      </c>
      <c r="AC61" t="e">
        <f t="shared" si="49"/>
        <v>#REF!</v>
      </c>
      <c r="AD61" t="e">
        <f t="shared" si="49"/>
        <v>#REF!</v>
      </c>
      <c r="AE61" t="e">
        <f t="shared" si="49"/>
        <v>#REF!</v>
      </c>
      <c r="AF61" t="e">
        <f t="shared" si="49"/>
        <v>#REF!</v>
      </c>
      <c r="AG61" t="e">
        <f t="shared" si="49"/>
        <v>#REF!</v>
      </c>
      <c r="AH61" t="e">
        <f t="shared" si="49"/>
        <v>#REF!</v>
      </c>
      <c r="AI61" t="e">
        <f t="shared" si="49"/>
        <v>#REF!</v>
      </c>
      <c r="AJ61" t="e">
        <f t="shared" si="49"/>
        <v>#REF!</v>
      </c>
      <c r="AK61" t="e">
        <f t="shared" si="41"/>
        <v>#REF!</v>
      </c>
      <c r="AM61">
        <f t="shared" si="38"/>
        <v>1999</v>
      </c>
      <c r="AN61" s="23" t="e">
        <f t="shared" si="39"/>
        <v>#REF!</v>
      </c>
    </row>
    <row r="62" spans="2:40" x14ac:dyDescent="0.15">
      <c r="B62" s="27">
        <f>SUM(pm.rep!B111:P111)</f>
        <v>37684.87558</v>
      </c>
      <c r="C62">
        <v>2012</v>
      </c>
      <c r="D62" s="23">
        <f>pm.rep!B111/$B62</f>
        <v>0.29722268755331788</v>
      </c>
      <c r="E62" s="23">
        <f>pm.rep!C111/$B62</f>
        <v>0.14541722416906014</v>
      </c>
      <c r="F62" s="23">
        <f>pm.rep!D111/$B62</f>
        <v>0.15441924407170884</v>
      </c>
      <c r="G62" s="23">
        <f>pm.rep!E111/$B62</f>
        <v>0.28500558472588167</v>
      </c>
      <c r="H62" s="23">
        <f>pm.rep!F111/$B62</f>
        <v>5.1161108278229853E-2</v>
      </c>
      <c r="I62" s="23">
        <f>pm.rep!G111/$B62</f>
        <v>4.3475796981787461E-2</v>
      </c>
      <c r="J62" s="23">
        <f>pm.rep!H111/$B62</f>
        <v>1.2190142409380883E-2</v>
      </c>
      <c r="K62" s="23">
        <f>pm.rep!I111/$B62</f>
        <v>2.8907618327872428E-3</v>
      </c>
      <c r="L62" s="23">
        <f>pm.rep!J111/$B62</f>
        <v>1.9286968281400916E-3</v>
      </c>
      <c r="M62" s="23">
        <f>pm.rep!K111/$B62</f>
        <v>1.9521969720670627E-3</v>
      </c>
      <c r="N62" s="23">
        <f>pm.rep!L111/$B62</f>
        <v>1.6893116673519343E-3</v>
      </c>
      <c r="O62" s="23">
        <f>pm.rep!M111/$B62</f>
        <v>1.2954321660520126E-3</v>
      </c>
      <c r="P62" s="23">
        <f>pm.rep!N111/$B62</f>
        <v>6.4886508509470319E-4</v>
      </c>
      <c r="Q62" s="23">
        <f>pm.rep!O111/$B62</f>
        <v>2.6234344276956749E-4</v>
      </c>
      <c r="R62" s="23">
        <f>pm.rep!P111/$B62</f>
        <v>4.4060381637062043E-4</v>
      </c>
      <c r="U62">
        <f t="shared" si="36"/>
        <v>2000</v>
      </c>
      <c r="V62" t="e">
        <f t="shared" ref="V62:AJ62" si="50">D50*D$10/$AK62*D$6</f>
        <v>#REF!</v>
      </c>
      <c r="W62" t="e">
        <f t="shared" si="50"/>
        <v>#REF!</v>
      </c>
      <c r="X62" t="e">
        <f t="shared" si="50"/>
        <v>#REF!</v>
      </c>
      <c r="Y62" t="e">
        <f t="shared" si="50"/>
        <v>#REF!</v>
      </c>
      <c r="Z62" t="e">
        <f t="shared" si="50"/>
        <v>#REF!</v>
      </c>
      <c r="AA62" t="e">
        <f t="shared" si="50"/>
        <v>#REF!</v>
      </c>
      <c r="AB62" t="e">
        <f t="shared" si="50"/>
        <v>#REF!</v>
      </c>
      <c r="AC62" t="e">
        <f t="shared" si="50"/>
        <v>#REF!</v>
      </c>
      <c r="AD62" t="e">
        <f t="shared" si="50"/>
        <v>#REF!</v>
      </c>
      <c r="AE62" t="e">
        <f t="shared" si="50"/>
        <v>#REF!</v>
      </c>
      <c r="AF62" t="e">
        <f t="shared" si="50"/>
        <v>#REF!</v>
      </c>
      <c r="AG62" t="e">
        <f t="shared" si="50"/>
        <v>#REF!</v>
      </c>
      <c r="AH62" t="e">
        <f t="shared" si="50"/>
        <v>#REF!</v>
      </c>
      <c r="AI62" t="e">
        <f t="shared" si="50"/>
        <v>#REF!</v>
      </c>
      <c r="AJ62" t="e">
        <f t="shared" si="50"/>
        <v>#REF!</v>
      </c>
      <c r="AK62" t="e">
        <f t="shared" si="41"/>
        <v>#REF!</v>
      </c>
      <c r="AM62">
        <f t="shared" si="38"/>
        <v>2000</v>
      </c>
      <c r="AN62" s="23" t="e">
        <f t="shared" si="39"/>
        <v>#REF!</v>
      </c>
    </row>
    <row r="63" spans="2:40" x14ac:dyDescent="0.15">
      <c r="B63" s="27">
        <f>SUM(pm.rep!B858:P858)</f>
        <v>56115.997600000002</v>
      </c>
      <c r="C63">
        <v>2013</v>
      </c>
      <c r="D63" s="23" t="e">
        <f t="shared" ref="D63:R63" si="51">D27</f>
        <v>#VALUE!</v>
      </c>
      <c r="E63" s="23" t="e">
        <f t="shared" si="51"/>
        <v>#VALUE!</v>
      </c>
      <c r="F63" s="23" t="e">
        <f t="shared" si="51"/>
        <v>#VALUE!</v>
      </c>
      <c r="G63" s="23" t="e">
        <f t="shared" si="51"/>
        <v>#VALUE!</v>
      </c>
      <c r="H63" s="23" t="e">
        <f t="shared" si="51"/>
        <v>#VALUE!</v>
      </c>
      <c r="I63" s="23" t="e">
        <f t="shared" si="51"/>
        <v>#VALUE!</v>
      </c>
      <c r="J63" s="23" t="e">
        <f t="shared" si="51"/>
        <v>#VALUE!</v>
      </c>
      <c r="K63" s="23" t="e">
        <f t="shared" si="51"/>
        <v>#VALUE!</v>
      </c>
      <c r="L63" s="23" t="e">
        <f t="shared" si="51"/>
        <v>#VALUE!</v>
      </c>
      <c r="M63" s="23" t="e">
        <f t="shared" si="51"/>
        <v>#VALUE!</v>
      </c>
      <c r="N63" s="23" t="e">
        <f t="shared" si="51"/>
        <v>#VALUE!</v>
      </c>
      <c r="O63" s="23" t="e">
        <f t="shared" si="51"/>
        <v>#VALUE!</v>
      </c>
      <c r="P63" s="23" t="e">
        <f t="shared" si="51"/>
        <v>#VALUE!</v>
      </c>
      <c r="Q63" s="23" t="e">
        <f t="shared" si="51"/>
        <v>#VALUE!</v>
      </c>
      <c r="R63" s="23" t="e">
        <f t="shared" si="51"/>
        <v>#VALUE!</v>
      </c>
      <c r="U63">
        <f t="shared" si="36"/>
        <v>2001</v>
      </c>
      <c r="V63" t="e">
        <f t="shared" ref="V63:AJ63" si="52">D51*D$10/$AK63*D$6</f>
        <v>#REF!</v>
      </c>
      <c r="W63" t="e">
        <f t="shared" si="52"/>
        <v>#REF!</v>
      </c>
      <c r="X63" t="e">
        <f t="shared" si="52"/>
        <v>#REF!</v>
      </c>
      <c r="Y63" t="e">
        <f t="shared" si="52"/>
        <v>#REF!</v>
      </c>
      <c r="Z63" t="e">
        <f t="shared" si="52"/>
        <v>#REF!</v>
      </c>
      <c r="AA63" t="e">
        <f t="shared" si="52"/>
        <v>#REF!</v>
      </c>
      <c r="AB63" t="e">
        <f t="shared" si="52"/>
        <v>#REF!</v>
      </c>
      <c r="AC63" t="e">
        <f t="shared" si="52"/>
        <v>#REF!</v>
      </c>
      <c r="AD63" t="e">
        <f t="shared" si="52"/>
        <v>#REF!</v>
      </c>
      <c r="AE63" t="e">
        <f t="shared" si="52"/>
        <v>#REF!</v>
      </c>
      <c r="AF63" t="e">
        <f t="shared" si="52"/>
        <v>#REF!</v>
      </c>
      <c r="AG63" t="e">
        <f t="shared" si="52"/>
        <v>#REF!</v>
      </c>
      <c r="AH63" t="e">
        <f t="shared" si="52"/>
        <v>#REF!</v>
      </c>
      <c r="AI63" t="e">
        <f t="shared" si="52"/>
        <v>#REF!</v>
      </c>
      <c r="AJ63" t="e">
        <f t="shared" si="52"/>
        <v>#REF!</v>
      </c>
      <c r="AK63" t="e">
        <f t="shared" si="41"/>
        <v>#REF!</v>
      </c>
      <c r="AM63">
        <f t="shared" si="38"/>
        <v>2001</v>
      </c>
      <c r="AN63" s="23" t="e">
        <f t="shared" si="39"/>
        <v>#REF!</v>
      </c>
    </row>
    <row r="64" spans="2:40" x14ac:dyDescent="0.15">
      <c r="B64" s="27">
        <f>SUM(pm.rep!B859:P859)</f>
        <v>55364.786169999999</v>
      </c>
      <c r="C64">
        <v>2014</v>
      </c>
      <c r="D64" s="23" t="e">
        <f t="shared" ref="D64:R64" si="53">D28</f>
        <v>#VALUE!</v>
      </c>
      <c r="E64" s="23" t="e">
        <f t="shared" si="53"/>
        <v>#VALUE!</v>
      </c>
      <c r="F64" s="23" t="e">
        <f t="shared" si="53"/>
        <v>#VALUE!</v>
      </c>
      <c r="G64" s="23" t="e">
        <f t="shared" si="53"/>
        <v>#VALUE!</v>
      </c>
      <c r="H64" s="23" t="e">
        <f t="shared" si="53"/>
        <v>#VALUE!</v>
      </c>
      <c r="I64" s="23" t="e">
        <f t="shared" si="53"/>
        <v>#VALUE!</v>
      </c>
      <c r="J64" s="23" t="e">
        <f t="shared" si="53"/>
        <v>#VALUE!</v>
      </c>
      <c r="K64" s="23" t="e">
        <f t="shared" si="53"/>
        <v>#VALUE!</v>
      </c>
      <c r="L64" s="23" t="e">
        <f t="shared" si="53"/>
        <v>#VALUE!</v>
      </c>
      <c r="M64" s="23" t="e">
        <f t="shared" si="53"/>
        <v>#VALUE!</v>
      </c>
      <c r="N64" s="23" t="e">
        <f t="shared" si="53"/>
        <v>#VALUE!</v>
      </c>
      <c r="O64" s="23" t="e">
        <f t="shared" si="53"/>
        <v>#VALUE!</v>
      </c>
      <c r="P64" s="23" t="e">
        <f t="shared" si="53"/>
        <v>#VALUE!</v>
      </c>
      <c r="Q64" s="23" t="e">
        <f t="shared" si="53"/>
        <v>#VALUE!</v>
      </c>
      <c r="R64" s="23" t="e">
        <f t="shared" si="53"/>
        <v>#VALUE!</v>
      </c>
      <c r="U64">
        <f t="shared" si="36"/>
        <v>2002</v>
      </c>
      <c r="V64" t="e">
        <f t="shared" ref="V64:AJ64" si="54">D52*D$10/$AK64*D$6</f>
        <v>#REF!</v>
      </c>
      <c r="W64" t="e">
        <f t="shared" si="54"/>
        <v>#REF!</v>
      </c>
      <c r="X64" t="e">
        <f t="shared" si="54"/>
        <v>#REF!</v>
      </c>
      <c r="Y64" t="e">
        <f t="shared" si="54"/>
        <v>#REF!</v>
      </c>
      <c r="Z64" t="e">
        <f t="shared" si="54"/>
        <v>#REF!</v>
      </c>
      <c r="AA64" t="e">
        <f t="shared" si="54"/>
        <v>#REF!</v>
      </c>
      <c r="AB64" t="e">
        <f t="shared" si="54"/>
        <v>#REF!</v>
      </c>
      <c r="AC64" t="e">
        <f t="shared" si="54"/>
        <v>#REF!</v>
      </c>
      <c r="AD64" t="e">
        <f t="shared" si="54"/>
        <v>#REF!</v>
      </c>
      <c r="AE64" t="e">
        <f t="shared" si="54"/>
        <v>#REF!</v>
      </c>
      <c r="AF64" t="e">
        <f t="shared" si="54"/>
        <v>#REF!</v>
      </c>
      <c r="AG64" t="e">
        <f t="shared" si="54"/>
        <v>#REF!</v>
      </c>
      <c r="AH64" t="e">
        <f t="shared" si="54"/>
        <v>#REF!</v>
      </c>
      <c r="AI64" t="e">
        <f t="shared" si="54"/>
        <v>#REF!</v>
      </c>
      <c r="AJ64" t="e">
        <f t="shared" si="54"/>
        <v>#REF!</v>
      </c>
      <c r="AK64" t="e">
        <f t="shared" si="41"/>
        <v>#REF!</v>
      </c>
      <c r="AM64">
        <f t="shared" si="38"/>
        <v>2002</v>
      </c>
      <c r="AN64" s="23" t="e">
        <f t="shared" si="39"/>
        <v>#REF!</v>
      </c>
    </row>
    <row r="65" spans="2:40" x14ac:dyDescent="0.15">
      <c r="B65" s="27">
        <f>SUM(pm.rep!B860:P860)</f>
        <v>54883.106499999994</v>
      </c>
      <c r="C65">
        <v>2015</v>
      </c>
      <c r="D65" s="23" t="e">
        <f t="shared" ref="D65:R65" si="55">D29</f>
        <v>#VALUE!</v>
      </c>
      <c r="E65" s="23" t="e">
        <f t="shared" si="55"/>
        <v>#VALUE!</v>
      </c>
      <c r="F65" s="23" t="e">
        <f t="shared" si="55"/>
        <v>#VALUE!</v>
      </c>
      <c r="G65" s="23" t="e">
        <f t="shared" si="55"/>
        <v>#VALUE!</v>
      </c>
      <c r="H65" s="23" t="e">
        <f t="shared" si="55"/>
        <v>#VALUE!</v>
      </c>
      <c r="I65" s="23" t="e">
        <f t="shared" si="55"/>
        <v>#VALUE!</v>
      </c>
      <c r="J65" s="23" t="e">
        <f t="shared" si="55"/>
        <v>#VALUE!</v>
      </c>
      <c r="K65" s="23" t="e">
        <f t="shared" si="55"/>
        <v>#VALUE!</v>
      </c>
      <c r="L65" s="23" t="e">
        <f t="shared" si="55"/>
        <v>#VALUE!</v>
      </c>
      <c r="M65" s="23" t="e">
        <f t="shared" si="55"/>
        <v>#VALUE!</v>
      </c>
      <c r="N65" s="23" t="e">
        <f t="shared" si="55"/>
        <v>#VALUE!</v>
      </c>
      <c r="O65" s="23" t="e">
        <f t="shared" si="55"/>
        <v>#VALUE!</v>
      </c>
      <c r="P65" s="23" t="e">
        <f t="shared" si="55"/>
        <v>#VALUE!</v>
      </c>
      <c r="Q65" s="23" t="e">
        <f t="shared" si="55"/>
        <v>#VALUE!</v>
      </c>
      <c r="R65" s="23" t="e">
        <f t="shared" si="55"/>
        <v>#VALUE!</v>
      </c>
      <c r="U65">
        <f t="shared" si="36"/>
        <v>2003</v>
      </c>
      <c r="V65" t="e">
        <f t="shared" ref="V65:AJ65" si="56">D53*D$10/$AK65*D$6</f>
        <v>#REF!</v>
      </c>
      <c r="W65" t="e">
        <f t="shared" si="56"/>
        <v>#REF!</v>
      </c>
      <c r="X65" t="e">
        <f t="shared" si="56"/>
        <v>#REF!</v>
      </c>
      <c r="Y65" t="e">
        <f t="shared" si="56"/>
        <v>#REF!</v>
      </c>
      <c r="Z65" t="e">
        <f t="shared" si="56"/>
        <v>#REF!</v>
      </c>
      <c r="AA65" t="e">
        <f t="shared" si="56"/>
        <v>#REF!</v>
      </c>
      <c r="AB65" t="e">
        <f t="shared" si="56"/>
        <v>#REF!</v>
      </c>
      <c r="AC65" t="e">
        <f t="shared" si="56"/>
        <v>#REF!</v>
      </c>
      <c r="AD65" t="e">
        <f t="shared" si="56"/>
        <v>#REF!</v>
      </c>
      <c r="AE65" t="e">
        <f t="shared" si="56"/>
        <v>#REF!</v>
      </c>
      <c r="AF65" t="e">
        <f t="shared" si="56"/>
        <v>#REF!</v>
      </c>
      <c r="AG65" t="e">
        <f t="shared" si="56"/>
        <v>#REF!</v>
      </c>
      <c r="AH65" t="e">
        <f t="shared" si="56"/>
        <v>#REF!</v>
      </c>
      <c r="AI65" t="e">
        <f t="shared" si="56"/>
        <v>#REF!</v>
      </c>
      <c r="AJ65" t="e">
        <f t="shared" si="56"/>
        <v>#REF!</v>
      </c>
      <c r="AK65" t="e">
        <f t="shared" si="41"/>
        <v>#REF!</v>
      </c>
      <c r="AM65">
        <f t="shared" si="38"/>
        <v>2003</v>
      </c>
      <c r="AN65" s="23" t="e">
        <f t="shared" si="39"/>
        <v>#REF!</v>
      </c>
    </row>
    <row r="66" spans="2:40" x14ac:dyDescent="0.15">
      <c r="B66" s="27">
        <f>SUM(pm.rep!B861:P861)</f>
        <v>54407.073200000013</v>
      </c>
      <c r="C66">
        <v>2016</v>
      </c>
      <c r="D66" s="23" t="e">
        <f t="shared" ref="D66:R66" si="57">D30</f>
        <v>#VALUE!</v>
      </c>
      <c r="E66" s="23" t="e">
        <f t="shared" si="57"/>
        <v>#VALUE!</v>
      </c>
      <c r="F66" s="23" t="e">
        <f t="shared" si="57"/>
        <v>#VALUE!</v>
      </c>
      <c r="G66" s="23" t="e">
        <f t="shared" si="57"/>
        <v>#VALUE!</v>
      </c>
      <c r="H66" s="23" t="e">
        <f t="shared" si="57"/>
        <v>#VALUE!</v>
      </c>
      <c r="I66" s="23" t="e">
        <f t="shared" si="57"/>
        <v>#VALUE!</v>
      </c>
      <c r="J66" s="23" t="e">
        <f t="shared" si="57"/>
        <v>#VALUE!</v>
      </c>
      <c r="K66" s="23" t="e">
        <f t="shared" si="57"/>
        <v>#VALUE!</v>
      </c>
      <c r="L66" s="23" t="e">
        <f t="shared" si="57"/>
        <v>#VALUE!</v>
      </c>
      <c r="M66" s="23" t="e">
        <f t="shared" si="57"/>
        <v>#VALUE!</v>
      </c>
      <c r="N66" s="23" t="e">
        <f t="shared" si="57"/>
        <v>#VALUE!</v>
      </c>
      <c r="O66" s="23" t="e">
        <f t="shared" si="57"/>
        <v>#VALUE!</v>
      </c>
      <c r="P66" s="23" t="e">
        <f t="shared" si="57"/>
        <v>#VALUE!</v>
      </c>
      <c r="Q66" s="23" t="e">
        <f t="shared" si="57"/>
        <v>#VALUE!</v>
      </c>
      <c r="R66" s="23" t="e">
        <f t="shared" si="57"/>
        <v>#VALUE!</v>
      </c>
      <c r="U66">
        <f t="shared" si="36"/>
        <v>2004</v>
      </c>
      <c r="V66" t="e">
        <f t="shared" ref="V66:AJ66" si="58">D54*D$10/$AK66*D$6</f>
        <v>#REF!</v>
      </c>
      <c r="W66" t="e">
        <f t="shared" si="58"/>
        <v>#REF!</v>
      </c>
      <c r="X66" t="e">
        <f t="shared" si="58"/>
        <v>#REF!</v>
      </c>
      <c r="Y66" t="e">
        <f t="shared" si="58"/>
        <v>#REF!</v>
      </c>
      <c r="Z66" t="e">
        <f t="shared" si="58"/>
        <v>#REF!</v>
      </c>
      <c r="AA66" t="e">
        <f t="shared" si="58"/>
        <v>#REF!</v>
      </c>
      <c r="AB66" t="e">
        <f t="shared" si="58"/>
        <v>#REF!</v>
      </c>
      <c r="AC66" t="e">
        <f t="shared" si="58"/>
        <v>#REF!</v>
      </c>
      <c r="AD66" t="e">
        <f t="shared" si="58"/>
        <v>#REF!</v>
      </c>
      <c r="AE66" t="e">
        <f t="shared" si="58"/>
        <v>#REF!</v>
      </c>
      <c r="AF66" t="e">
        <f t="shared" si="58"/>
        <v>#REF!</v>
      </c>
      <c r="AG66" t="e">
        <f t="shared" si="58"/>
        <v>#REF!</v>
      </c>
      <c r="AH66" t="e">
        <f t="shared" si="58"/>
        <v>#REF!</v>
      </c>
      <c r="AI66" t="e">
        <f t="shared" si="58"/>
        <v>#REF!</v>
      </c>
      <c r="AJ66" t="e">
        <f t="shared" si="58"/>
        <v>#REF!</v>
      </c>
      <c r="AK66" t="e">
        <f t="shared" si="41"/>
        <v>#REF!</v>
      </c>
      <c r="AM66">
        <f t="shared" si="38"/>
        <v>2004</v>
      </c>
      <c r="AN66" s="23" t="e">
        <f t="shared" si="39"/>
        <v>#REF!</v>
      </c>
    </row>
    <row r="67" spans="2:40" x14ac:dyDescent="0.15">
      <c r="U67">
        <f t="shared" si="36"/>
        <v>2005</v>
      </c>
      <c r="V67" t="e">
        <f t="shared" ref="V67:AJ67" si="59">D55*D$10/$AK67*D$6</f>
        <v>#REF!</v>
      </c>
      <c r="W67" t="e">
        <f t="shared" si="59"/>
        <v>#REF!</v>
      </c>
      <c r="X67" t="e">
        <f t="shared" si="59"/>
        <v>#REF!</v>
      </c>
      <c r="Y67" t="e">
        <f t="shared" si="59"/>
        <v>#REF!</v>
      </c>
      <c r="Z67" t="e">
        <f t="shared" si="59"/>
        <v>#REF!</v>
      </c>
      <c r="AA67" t="e">
        <f t="shared" si="59"/>
        <v>#REF!</v>
      </c>
      <c r="AB67" t="e">
        <f t="shared" si="59"/>
        <v>#REF!</v>
      </c>
      <c r="AC67" t="e">
        <f t="shared" si="59"/>
        <v>#REF!</v>
      </c>
      <c r="AD67" t="e">
        <f t="shared" si="59"/>
        <v>#REF!</v>
      </c>
      <c r="AE67" t="e">
        <f t="shared" si="59"/>
        <v>#REF!</v>
      </c>
      <c r="AF67" t="e">
        <f t="shared" si="59"/>
        <v>#REF!</v>
      </c>
      <c r="AG67" t="e">
        <f t="shared" si="59"/>
        <v>#REF!</v>
      </c>
      <c r="AH67" t="e">
        <f t="shared" si="59"/>
        <v>#REF!</v>
      </c>
      <c r="AI67" t="e">
        <f t="shared" si="59"/>
        <v>#REF!</v>
      </c>
      <c r="AJ67" t="e">
        <f t="shared" si="59"/>
        <v>#REF!</v>
      </c>
      <c r="AK67" t="e">
        <f t="shared" si="41"/>
        <v>#REF!</v>
      </c>
      <c r="AM67">
        <f t="shared" si="38"/>
        <v>2005</v>
      </c>
      <c r="AN67" s="23" t="e">
        <f t="shared" si="39"/>
        <v>#REF!</v>
      </c>
    </row>
    <row r="68" spans="2:40" x14ac:dyDescent="0.15">
      <c r="E68" s="4">
        <v>2</v>
      </c>
      <c r="F68" s="4">
        <v>3</v>
      </c>
      <c r="G68" s="4">
        <v>4</v>
      </c>
      <c r="H68" s="4">
        <v>5</v>
      </c>
      <c r="I68" s="4">
        <v>6</v>
      </c>
      <c r="J68" s="4">
        <v>7</v>
      </c>
      <c r="K68" s="4">
        <v>8</v>
      </c>
      <c r="L68" s="4">
        <v>9</v>
      </c>
      <c r="M68" s="4">
        <v>10</v>
      </c>
      <c r="N68">
        <v>11</v>
      </c>
      <c r="O68">
        <v>12</v>
      </c>
      <c r="P68">
        <v>13</v>
      </c>
      <c r="Q68">
        <v>14</v>
      </c>
      <c r="R68">
        <v>15</v>
      </c>
      <c r="U68">
        <f t="shared" si="36"/>
        <v>2006</v>
      </c>
      <c r="V68" t="e">
        <f t="shared" ref="V68:AJ68" si="60">D56*D$10/$AK68*D$6</f>
        <v>#REF!</v>
      </c>
      <c r="W68" t="e">
        <f t="shared" si="60"/>
        <v>#REF!</v>
      </c>
      <c r="X68" t="e">
        <f t="shared" si="60"/>
        <v>#REF!</v>
      </c>
      <c r="Y68" t="e">
        <f t="shared" si="60"/>
        <v>#REF!</v>
      </c>
      <c r="Z68" t="e">
        <f t="shared" si="60"/>
        <v>#REF!</v>
      </c>
      <c r="AA68" t="e">
        <f t="shared" si="60"/>
        <v>#REF!</v>
      </c>
      <c r="AB68" t="e">
        <f t="shared" si="60"/>
        <v>#REF!</v>
      </c>
      <c r="AC68" t="e">
        <f t="shared" si="60"/>
        <v>#REF!</v>
      </c>
      <c r="AD68" t="e">
        <f t="shared" si="60"/>
        <v>#REF!</v>
      </c>
      <c r="AE68" t="e">
        <f t="shared" si="60"/>
        <v>#REF!</v>
      </c>
      <c r="AF68" t="e">
        <f t="shared" si="60"/>
        <v>#REF!</v>
      </c>
      <c r="AG68" t="e">
        <f t="shared" si="60"/>
        <v>#REF!</v>
      </c>
      <c r="AH68" t="e">
        <f t="shared" si="60"/>
        <v>#REF!</v>
      </c>
      <c r="AI68" t="e">
        <f t="shared" si="60"/>
        <v>#REF!</v>
      </c>
      <c r="AJ68" t="e">
        <f t="shared" si="60"/>
        <v>#REF!</v>
      </c>
      <c r="AK68" t="e">
        <f t="shared" si="41"/>
        <v>#REF!</v>
      </c>
      <c r="AM68">
        <f t="shared" si="38"/>
        <v>2006</v>
      </c>
      <c r="AN68" s="23" t="e">
        <f t="shared" si="39"/>
        <v>#REF!</v>
      </c>
    </row>
    <row r="69" spans="2:40" x14ac:dyDescent="0.15">
      <c r="U69">
        <f t="shared" si="36"/>
        <v>2007</v>
      </c>
      <c r="V69" t="e">
        <f t="shared" ref="V69:AJ69" si="61">D57*D$10/$AK69*D$6</f>
        <v>#REF!</v>
      </c>
      <c r="W69" t="e">
        <f t="shared" si="61"/>
        <v>#REF!</v>
      </c>
      <c r="X69" t="e">
        <f t="shared" si="61"/>
        <v>#REF!</v>
      </c>
      <c r="Y69" t="e">
        <f t="shared" si="61"/>
        <v>#REF!</v>
      </c>
      <c r="Z69" t="e">
        <f t="shared" si="61"/>
        <v>#REF!</v>
      </c>
      <c r="AA69" t="e">
        <f t="shared" si="61"/>
        <v>#REF!</v>
      </c>
      <c r="AB69" t="e">
        <f t="shared" si="61"/>
        <v>#REF!</v>
      </c>
      <c r="AC69" t="e">
        <f t="shared" si="61"/>
        <v>#REF!</v>
      </c>
      <c r="AD69" t="e">
        <f t="shared" si="61"/>
        <v>#REF!</v>
      </c>
      <c r="AE69" t="e">
        <f t="shared" si="61"/>
        <v>#REF!</v>
      </c>
      <c r="AF69" t="e">
        <f t="shared" si="61"/>
        <v>#REF!</v>
      </c>
      <c r="AG69" t="e">
        <f t="shared" si="61"/>
        <v>#REF!</v>
      </c>
      <c r="AH69" t="e">
        <f t="shared" si="61"/>
        <v>#REF!</v>
      </c>
      <c r="AI69" t="e">
        <f t="shared" si="61"/>
        <v>#REF!</v>
      </c>
      <c r="AJ69" t="e">
        <f t="shared" si="61"/>
        <v>#REF!</v>
      </c>
      <c r="AK69" t="e">
        <f t="shared" si="41"/>
        <v>#REF!</v>
      </c>
      <c r="AM69">
        <f t="shared" si="38"/>
        <v>2007</v>
      </c>
      <c r="AN69" s="23" t="e">
        <f t="shared" si="39"/>
        <v>#REF!</v>
      </c>
    </row>
    <row r="70" spans="2:40" x14ac:dyDescent="0.15">
      <c r="B70" s="27" t="e">
        <f>SUMPRODUCT(pm.rep!B89:P89,$D$6:$R$6)</f>
        <v>#REF!</v>
      </c>
      <c r="C70">
        <f t="shared" ref="C70:C79" si="62">C40</f>
        <v>1990</v>
      </c>
      <c r="D70" s="23" t="e">
        <f>pm.rep!B89*Projections!D$6/Projections!$B70</f>
        <v>#REF!</v>
      </c>
      <c r="E70" s="23" t="e">
        <f>pm.rep!C89*Projections!E$6/Projections!$B70</f>
        <v>#REF!</v>
      </c>
      <c r="F70" s="23" t="e">
        <f>pm.rep!D89*Projections!F$6/Projections!$B70</f>
        <v>#REF!</v>
      </c>
      <c r="G70" s="23" t="e">
        <f>pm.rep!E89*Projections!G$6/Projections!$B70</f>
        <v>#REF!</v>
      </c>
      <c r="H70" s="23" t="e">
        <f>pm.rep!F89*Projections!H$6/Projections!$B70</f>
        <v>#REF!</v>
      </c>
      <c r="I70" s="23" t="e">
        <f>pm.rep!G89*Projections!I$6/Projections!$B70</f>
        <v>#REF!</v>
      </c>
      <c r="J70" s="23" t="e">
        <f>pm.rep!H89*Projections!J$6/Projections!$B70</f>
        <v>#REF!</v>
      </c>
      <c r="K70" s="23" t="e">
        <f>pm.rep!I89*Projections!K$6/Projections!$B70</f>
        <v>#REF!</v>
      </c>
      <c r="L70" s="23" t="e">
        <f>pm.rep!J89*Projections!L$6/Projections!$B70</f>
        <v>#REF!</v>
      </c>
      <c r="M70" s="23" t="e">
        <f>pm.rep!K89*Projections!M$6/Projections!$B70</f>
        <v>#REF!</v>
      </c>
      <c r="N70" s="23" t="e">
        <f>pm.rep!L89*Projections!N$6/Projections!$B70</f>
        <v>#REF!</v>
      </c>
      <c r="O70" s="23" t="e">
        <f>pm.rep!M89*Projections!O$6/Projections!$B70</f>
        <v>#REF!</v>
      </c>
      <c r="P70" s="23" t="e">
        <f>pm.rep!N89*Projections!P$6/Projections!$B70</f>
        <v>#REF!</v>
      </c>
      <c r="Q70" s="23" t="e">
        <f>pm.rep!O89*Projections!Q$6/Projections!$B70</f>
        <v>#REF!</v>
      </c>
      <c r="R70" s="23" t="e">
        <f>pm.rep!P89*Projections!R$6/Projections!$B70</f>
        <v>#REF!</v>
      </c>
      <c r="U70">
        <f t="shared" si="36"/>
        <v>2008</v>
      </c>
      <c r="V70" t="e">
        <f t="shared" ref="V70:AJ70" si="63">D58*D$10/$AK70*D$6</f>
        <v>#REF!</v>
      </c>
      <c r="W70" t="e">
        <f t="shared" si="63"/>
        <v>#REF!</v>
      </c>
      <c r="X70" t="e">
        <f t="shared" si="63"/>
        <v>#REF!</v>
      </c>
      <c r="Y70" t="e">
        <f t="shared" si="63"/>
        <v>#REF!</v>
      </c>
      <c r="Z70" t="e">
        <f t="shared" si="63"/>
        <v>#REF!</v>
      </c>
      <c r="AA70" t="e">
        <f t="shared" si="63"/>
        <v>#REF!</v>
      </c>
      <c r="AB70" t="e">
        <f t="shared" si="63"/>
        <v>#REF!</v>
      </c>
      <c r="AC70" t="e">
        <f t="shared" si="63"/>
        <v>#REF!</v>
      </c>
      <c r="AD70" t="e">
        <f t="shared" si="63"/>
        <v>#REF!</v>
      </c>
      <c r="AE70" t="e">
        <f t="shared" si="63"/>
        <v>#REF!</v>
      </c>
      <c r="AF70" t="e">
        <f t="shared" si="63"/>
        <v>#REF!</v>
      </c>
      <c r="AG70" t="e">
        <f t="shared" si="63"/>
        <v>#REF!</v>
      </c>
      <c r="AH70" t="e">
        <f t="shared" si="63"/>
        <v>#REF!</v>
      </c>
      <c r="AI70" t="e">
        <f t="shared" si="63"/>
        <v>#REF!</v>
      </c>
      <c r="AJ70" t="e">
        <f t="shared" si="63"/>
        <v>#REF!</v>
      </c>
      <c r="AK70" t="e">
        <f t="shared" si="41"/>
        <v>#REF!</v>
      </c>
      <c r="AM70">
        <f t="shared" si="38"/>
        <v>2008</v>
      </c>
      <c r="AN70" s="23" t="e">
        <f t="shared" si="39"/>
        <v>#REF!</v>
      </c>
    </row>
    <row r="71" spans="2:40" x14ac:dyDescent="0.15">
      <c r="B71" s="27" t="e">
        <f>SUMPRODUCT(pm.rep!B90:P90,$D$6:$R$6)</f>
        <v>#REF!</v>
      </c>
      <c r="C71">
        <f t="shared" si="62"/>
        <v>1991</v>
      </c>
      <c r="D71" s="23" t="e">
        <f>pm.rep!B90*Projections!D$6/Projections!$B71</f>
        <v>#REF!</v>
      </c>
      <c r="E71" s="23" t="e">
        <f>pm.rep!C90*Projections!E$6/Projections!$B71</f>
        <v>#REF!</v>
      </c>
      <c r="F71" s="23" t="e">
        <f>pm.rep!D90*Projections!F$6/Projections!$B71</f>
        <v>#REF!</v>
      </c>
      <c r="G71" s="23" t="e">
        <f>pm.rep!E90*Projections!G$6/Projections!$B71</f>
        <v>#REF!</v>
      </c>
      <c r="H71" s="23" t="e">
        <f>pm.rep!F90*Projections!H$6/Projections!$B71</f>
        <v>#REF!</v>
      </c>
      <c r="I71" s="23" t="e">
        <f>pm.rep!G90*Projections!I$6/Projections!$B71</f>
        <v>#REF!</v>
      </c>
      <c r="J71" s="23" t="e">
        <f>pm.rep!H90*Projections!J$6/Projections!$B71</f>
        <v>#REF!</v>
      </c>
      <c r="K71" s="23" t="e">
        <f>pm.rep!I90*Projections!K$6/Projections!$B71</f>
        <v>#REF!</v>
      </c>
      <c r="L71" s="23" t="e">
        <f>pm.rep!J90*Projections!L$6/Projections!$B71</f>
        <v>#REF!</v>
      </c>
      <c r="M71" s="23" t="e">
        <f>pm.rep!K90*Projections!M$6/Projections!$B71</f>
        <v>#REF!</v>
      </c>
      <c r="N71" s="23" t="e">
        <f>pm.rep!L90*Projections!N$6/Projections!$B71</f>
        <v>#REF!</v>
      </c>
      <c r="O71" s="23" t="e">
        <f>pm.rep!M90*Projections!O$6/Projections!$B71</f>
        <v>#REF!</v>
      </c>
      <c r="P71" s="23" t="e">
        <f>pm.rep!N90*Projections!P$6/Projections!$B71</f>
        <v>#REF!</v>
      </c>
      <c r="Q71" s="23" t="e">
        <f>pm.rep!O90*Projections!Q$6/Projections!$B71</f>
        <v>#REF!</v>
      </c>
      <c r="R71" s="23" t="e">
        <f>pm.rep!P90*Projections!R$6/Projections!$B71</f>
        <v>#REF!</v>
      </c>
      <c r="U71">
        <f t="shared" si="36"/>
        <v>2009</v>
      </c>
      <c r="V71" t="e">
        <f t="shared" ref="V71:AJ71" si="64">D59*D$10/$AK71*D$6</f>
        <v>#REF!</v>
      </c>
      <c r="W71" t="e">
        <f t="shared" si="64"/>
        <v>#REF!</v>
      </c>
      <c r="X71" t="e">
        <f t="shared" si="64"/>
        <v>#REF!</v>
      </c>
      <c r="Y71" t="e">
        <f t="shared" si="64"/>
        <v>#REF!</v>
      </c>
      <c r="Z71" t="e">
        <f t="shared" si="64"/>
        <v>#REF!</v>
      </c>
      <c r="AA71" t="e">
        <f t="shared" si="64"/>
        <v>#REF!</v>
      </c>
      <c r="AB71" t="e">
        <f t="shared" si="64"/>
        <v>#REF!</v>
      </c>
      <c r="AC71" t="e">
        <f t="shared" si="64"/>
        <v>#REF!</v>
      </c>
      <c r="AD71" t="e">
        <f t="shared" si="64"/>
        <v>#REF!</v>
      </c>
      <c r="AE71" t="e">
        <f t="shared" si="64"/>
        <v>#REF!</v>
      </c>
      <c r="AF71" t="e">
        <f t="shared" si="64"/>
        <v>#REF!</v>
      </c>
      <c r="AG71" t="e">
        <f t="shared" si="64"/>
        <v>#REF!</v>
      </c>
      <c r="AH71" t="e">
        <f t="shared" si="64"/>
        <v>#REF!</v>
      </c>
      <c r="AI71" t="e">
        <f t="shared" si="64"/>
        <v>#REF!</v>
      </c>
      <c r="AJ71" t="e">
        <f t="shared" si="64"/>
        <v>#REF!</v>
      </c>
      <c r="AK71" t="e">
        <f t="shared" si="41"/>
        <v>#REF!</v>
      </c>
      <c r="AM71">
        <f t="shared" si="38"/>
        <v>2009</v>
      </c>
      <c r="AN71" s="23" t="e">
        <f t="shared" si="39"/>
        <v>#REF!</v>
      </c>
    </row>
    <row r="72" spans="2:40" x14ac:dyDescent="0.15">
      <c r="B72" s="27" t="e">
        <f>SUMPRODUCT(pm.rep!B91:P91,$D$6:$R$6)</f>
        <v>#REF!</v>
      </c>
      <c r="C72">
        <f t="shared" si="62"/>
        <v>1992</v>
      </c>
      <c r="D72" s="23" t="e">
        <f>pm.rep!B91*Projections!D$6/Projections!$B72</f>
        <v>#REF!</v>
      </c>
      <c r="E72" s="23" t="e">
        <f>pm.rep!C91*Projections!E$6/Projections!$B72</f>
        <v>#REF!</v>
      </c>
      <c r="F72" s="23" t="e">
        <f>pm.rep!D91*Projections!F$6/Projections!$B72</f>
        <v>#REF!</v>
      </c>
      <c r="G72" s="23" t="e">
        <f>pm.rep!E91*Projections!G$6/Projections!$B72</f>
        <v>#REF!</v>
      </c>
      <c r="H72" s="23" t="e">
        <f>pm.rep!F91*Projections!H$6/Projections!$B72</f>
        <v>#REF!</v>
      </c>
      <c r="I72" s="23" t="e">
        <f>pm.rep!G91*Projections!I$6/Projections!$B72</f>
        <v>#REF!</v>
      </c>
      <c r="J72" s="23" t="e">
        <f>pm.rep!H91*Projections!J$6/Projections!$B72</f>
        <v>#REF!</v>
      </c>
      <c r="K72" s="23" t="e">
        <f>pm.rep!I91*Projections!K$6/Projections!$B72</f>
        <v>#REF!</v>
      </c>
      <c r="L72" s="23" t="e">
        <f>pm.rep!J91*Projections!L$6/Projections!$B72</f>
        <v>#REF!</v>
      </c>
      <c r="M72" s="23" t="e">
        <f>pm.rep!K91*Projections!M$6/Projections!$B72</f>
        <v>#REF!</v>
      </c>
      <c r="N72" s="23" t="e">
        <f>pm.rep!L91*Projections!N$6/Projections!$B72</f>
        <v>#REF!</v>
      </c>
      <c r="O72" s="23" t="e">
        <f>pm.rep!M91*Projections!O$6/Projections!$B72</f>
        <v>#REF!</v>
      </c>
      <c r="P72" s="23" t="e">
        <f>pm.rep!N91*Projections!P$6/Projections!$B72</f>
        <v>#REF!</v>
      </c>
      <c r="Q72" s="23" t="e">
        <f>pm.rep!O91*Projections!Q$6/Projections!$B72</f>
        <v>#REF!</v>
      </c>
      <c r="R72" s="23" t="e">
        <f>pm.rep!P91*Projections!R$6/Projections!$B72</f>
        <v>#REF!</v>
      </c>
      <c r="U72">
        <f t="shared" si="36"/>
        <v>2010</v>
      </c>
      <c r="V72" t="e">
        <f t="shared" ref="V72:AJ72" si="65">D60*D$10/$AK72*D$6</f>
        <v>#REF!</v>
      </c>
      <c r="W72" t="e">
        <f t="shared" si="65"/>
        <v>#REF!</v>
      </c>
      <c r="X72" t="e">
        <f t="shared" si="65"/>
        <v>#REF!</v>
      </c>
      <c r="Y72" t="e">
        <f t="shared" si="65"/>
        <v>#REF!</v>
      </c>
      <c r="Z72" t="e">
        <f t="shared" si="65"/>
        <v>#REF!</v>
      </c>
      <c r="AA72" t="e">
        <f t="shared" si="65"/>
        <v>#REF!</v>
      </c>
      <c r="AB72" t="e">
        <f t="shared" si="65"/>
        <v>#REF!</v>
      </c>
      <c r="AC72" t="e">
        <f t="shared" si="65"/>
        <v>#REF!</v>
      </c>
      <c r="AD72" t="e">
        <f t="shared" si="65"/>
        <v>#REF!</v>
      </c>
      <c r="AE72" t="e">
        <f t="shared" si="65"/>
        <v>#REF!</v>
      </c>
      <c r="AF72" t="e">
        <f t="shared" si="65"/>
        <v>#REF!</v>
      </c>
      <c r="AG72" t="e">
        <f t="shared" si="65"/>
        <v>#REF!</v>
      </c>
      <c r="AH72" t="e">
        <f t="shared" si="65"/>
        <v>#REF!</v>
      </c>
      <c r="AI72" t="e">
        <f t="shared" si="65"/>
        <v>#REF!</v>
      </c>
      <c r="AJ72" t="e">
        <f t="shared" si="65"/>
        <v>#REF!</v>
      </c>
      <c r="AK72" t="e">
        <f t="shared" si="41"/>
        <v>#REF!</v>
      </c>
      <c r="AM72">
        <f t="shared" si="38"/>
        <v>2010</v>
      </c>
      <c r="AN72" s="23" t="e">
        <f t="shared" si="39"/>
        <v>#REF!</v>
      </c>
    </row>
    <row r="73" spans="2:40" x14ac:dyDescent="0.15">
      <c r="B73" s="27" t="e">
        <f>SUMPRODUCT(pm.rep!B92:P92,$D$6:$R$6)</f>
        <v>#REF!</v>
      </c>
      <c r="C73">
        <f t="shared" si="62"/>
        <v>1993</v>
      </c>
      <c r="D73" s="23" t="e">
        <f>pm.rep!B92*Projections!D$6/Projections!$B73</f>
        <v>#REF!</v>
      </c>
      <c r="E73" s="23" t="e">
        <f>pm.rep!C92*Projections!E$6/Projections!$B73</f>
        <v>#REF!</v>
      </c>
      <c r="F73" s="23" t="e">
        <f>pm.rep!D92*Projections!F$6/Projections!$B73</f>
        <v>#REF!</v>
      </c>
      <c r="G73" s="23" t="e">
        <f>pm.rep!E92*Projections!G$6/Projections!$B73</f>
        <v>#REF!</v>
      </c>
      <c r="H73" s="23" t="e">
        <f>pm.rep!F92*Projections!H$6/Projections!$B73</f>
        <v>#REF!</v>
      </c>
      <c r="I73" s="23" t="e">
        <f>pm.rep!G92*Projections!I$6/Projections!$B73</f>
        <v>#REF!</v>
      </c>
      <c r="J73" s="23" t="e">
        <f>pm.rep!H92*Projections!J$6/Projections!$B73</f>
        <v>#REF!</v>
      </c>
      <c r="K73" s="23" t="e">
        <f>pm.rep!I92*Projections!K$6/Projections!$B73</f>
        <v>#REF!</v>
      </c>
      <c r="L73" s="23" t="e">
        <f>pm.rep!J92*Projections!L$6/Projections!$B73</f>
        <v>#REF!</v>
      </c>
      <c r="M73" s="23" t="e">
        <f>pm.rep!K92*Projections!M$6/Projections!$B73</f>
        <v>#REF!</v>
      </c>
      <c r="N73" s="23" t="e">
        <f>pm.rep!L92*Projections!N$6/Projections!$B73</f>
        <v>#REF!</v>
      </c>
      <c r="O73" s="23" t="e">
        <f>pm.rep!M92*Projections!O$6/Projections!$B73</f>
        <v>#REF!</v>
      </c>
      <c r="P73" s="23" t="e">
        <f>pm.rep!N92*Projections!P$6/Projections!$B73</f>
        <v>#REF!</v>
      </c>
      <c r="Q73" s="23" t="e">
        <f>pm.rep!O92*Projections!Q$6/Projections!$B73</f>
        <v>#REF!</v>
      </c>
      <c r="R73" s="23" t="e">
        <f>pm.rep!P92*Projections!R$6/Projections!$B73</f>
        <v>#REF!</v>
      </c>
      <c r="U73">
        <f t="shared" si="36"/>
        <v>2011</v>
      </c>
      <c r="V73" t="e">
        <f t="shared" ref="V73:AJ73" si="66">D61*D$10/$AK73*D$6</f>
        <v>#REF!</v>
      </c>
      <c r="W73" t="e">
        <f t="shared" si="66"/>
        <v>#REF!</v>
      </c>
      <c r="X73" t="e">
        <f t="shared" si="66"/>
        <v>#REF!</v>
      </c>
      <c r="Y73" t="e">
        <f t="shared" si="66"/>
        <v>#REF!</v>
      </c>
      <c r="Z73" t="e">
        <f t="shared" si="66"/>
        <v>#REF!</v>
      </c>
      <c r="AA73" t="e">
        <f t="shared" si="66"/>
        <v>#REF!</v>
      </c>
      <c r="AB73" t="e">
        <f t="shared" si="66"/>
        <v>#REF!</v>
      </c>
      <c r="AC73" t="e">
        <f t="shared" si="66"/>
        <v>#REF!</v>
      </c>
      <c r="AD73" t="e">
        <f t="shared" si="66"/>
        <v>#REF!</v>
      </c>
      <c r="AE73" t="e">
        <f t="shared" si="66"/>
        <v>#REF!</v>
      </c>
      <c r="AF73" t="e">
        <f t="shared" si="66"/>
        <v>#REF!</v>
      </c>
      <c r="AG73" t="e">
        <f t="shared" si="66"/>
        <v>#REF!</v>
      </c>
      <c r="AH73" t="e">
        <f t="shared" si="66"/>
        <v>#REF!</v>
      </c>
      <c r="AI73" t="e">
        <f t="shared" si="66"/>
        <v>#REF!</v>
      </c>
      <c r="AJ73" t="e">
        <f t="shared" si="66"/>
        <v>#REF!</v>
      </c>
      <c r="AK73" t="e">
        <f t="shared" si="41"/>
        <v>#REF!</v>
      </c>
      <c r="AM73">
        <f t="shared" si="38"/>
        <v>2011</v>
      </c>
      <c r="AN73" s="23" t="e">
        <f t="shared" si="39"/>
        <v>#REF!</v>
      </c>
    </row>
    <row r="74" spans="2:40" x14ac:dyDescent="0.15">
      <c r="B74" s="27" t="e">
        <f>SUMPRODUCT(pm.rep!B93:P93,$D$6:$R$6)</f>
        <v>#REF!</v>
      </c>
      <c r="C74">
        <f t="shared" si="62"/>
        <v>1994</v>
      </c>
      <c r="D74" s="23" t="e">
        <f>pm.rep!B93*Projections!D$6/Projections!$B74</f>
        <v>#REF!</v>
      </c>
      <c r="E74" s="23" t="e">
        <f>pm.rep!C93*Projections!E$6/Projections!$B74</f>
        <v>#REF!</v>
      </c>
      <c r="F74" s="23" t="e">
        <f>pm.rep!D93*Projections!F$6/Projections!$B74</f>
        <v>#REF!</v>
      </c>
      <c r="G74" s="23" t="e">
        <f>pm.rep!E93*Projections!G$6/Projections!$B74</f>
        <v>#REF!</v>
      </c>
      <c r="H74" s="23" t="e">
        <f>pm.rep!F93*Projections!H$6/Projections!$B74</f>
        <v>#REF!</v>
      </c>
      <c r="I74" s="23" t="e">
        <f>pm.rep!G93*Projections!I$6/Projections!$B74</f>
        <v>#REF!</v>
      </c>
      <c r="J74" s="23" t="e">
        <f>pm.rep!H93*Projections!J$6/Projections!$B74</f>
        <v>#REF!</v>
      </c>
      <c r="K74" s="23" t="e">
        <f>pm.rep!I93*Projections!K$6/Projections!$B74</f>
        <v>#REF!</v>
      </c>
      <c r="L74" s="23" t="e">
        <f>pm.rep!J93*Projections!L$6/Projections!$B74</f>
        <v>#REF!</v>
      </c>
      <c r="M74" s="23" t="e">
        <f>pm.rep!K93*Projections!M$6/Projections!$B74</f>
        <v>#REF!</v>
      </c>
      <c r="N74" s="23" t="e">
        <f>pm.rep!L93*Projections!N$6/Projections!$B74</f>
        <v>#REF!</v>
      </c>
      <c r="O74" s="23" t="e">
        <f>pm.rep!M93*Projections!O$6/Projections!$B74</f>
        <v>#REF!</v>
      </c>
      <c r="P74" s="23" t="e">
        <f>pm.rep!N93*Projections!P$6/Projections!$B74</f>
        <v>#REF!</v>
      </c>
      <c r="Q74" s="23" t="e">
        <f>pm.rep!O93*Projections!Q$6/Projections!$B74</f>
        <v>#REF!</v>
      </c>
      <c r="R74" s="23" t="e">
        <f>pm.rep!P93*Projections!R$6/Projections!$B74</f>
        <v>#REF!</v>
      </c>
      <c r="U74">
        <f t="shared" si="36"/>
        <v>2012</v>
      </c>
      <c r="V74" t="e">
        <f t="shared" ref="V74:AJ74" si="67">D62*D$10/$AK74*D$6</f>
        <v>#REF!</v>
      </c>
      <c r="W74" t="e">
        <f t="shared" si="67"/>
        <v>#REF!</v>
      </c>
      <c r="X74" t="e">
        <f t="shared" si="67"/>
        <v>#REF!</v>
      </c>
      <c r="Y74" t="e">
        <f t="shared" si="67"/>
        <v>#REF!</v>
      </c>
      <c r="Z74" t="e">
        <f t="shared" si="67"/>
        <v>#REF!</v>
      </c>
      <c r="AA74" t="e">
        <f t="shared" si="67"/>
        <v>#REF!</v>
      </c>
      <c r="AB74" t="e">
        <f t="shared" si="67"/>
        <v>#REF!</v>
      </c>
      <c r="AC74" t="e">
        <f t="shared" si="67"/>
        <v>#REF!</v>
      </c>
      <c r="AD74" t="e">
        <f t="shared" si="67"/>
        <v>#REF!</v>
      </c>
      <c r="AE74" t="e">
        <f t="shared" si="67"/>
        <v>#REF!</v>
      </c>
      <c r="AF74" t="e">
        <f t="shared" si="67"/>
        <v>#REF!</v>
      </c>
      <c r="AG74" t="e">
        <f t="shared" si="67"/>
        <v>#REF!</v>
      </c>
      <c r="AH74" t="e">
        <f t="shared" si="67"/>
        <v>#REF!</v>
      </c>
      <c r="AI74" t="e">
        <f t="shared" si="67"/>
        <v>#REF!</v>
      </c>
      <c r="AJ74" t="e">
        <f t="shared" si="67"/>
        <v>#REF!</v>
      </c>
      <c r="AK74" t="e">
        <f t="shared" si="41"/>
        <v>#REF!</v>
      </c>
      <c r="AM74">
        <f t="shared" si="38"/>
        <v>2012</v>
      </c>
      <c r="AN74" s="23" t="e">
        <f t="shared" si="39"/>
        <v>#REF!</v>
      </c>
    </row>
    <row r="75" spans="2:40" x14ac:dyDescent="0.15">
      <c r="B75" s="27" t="e">
        <f>SUMPRODUCT(pm.rep!B94:P94,$D$6:$R$6)</f>
        <v>#REF!</v>
      </c>
      <c r="C75">
        <f t="shared" si="62"/>
        <v>1995</v>
      </c>
      <c r="D75" s="23" t="e">
        <f>pm.rep!B94*Projections!D$6/Projections!$B75</f>
        <v>#REF!</v>
      </c>
      <c r="E75" s="23" t="e">
        <f>pm.rep!C94*Projections!E$6/Projections!$B75</f>
        <v>#REF!</v>
      </c>
      <c r="F75" s="23" t="e">
        <f>pm.rep!D94*Projections!F$6/Projections!$B75</f>
        <v>#REF!</v>
      </c>
      <c r="G75" s="23" t="e">
        <f>pm.rep!E94*Projections!G$6/Projections!$B75</f>
        <v>#REF!</v>
      </c>
      <c r="H75" s="23" t="e">
        <f>pm.rep!F94*Projections!H$6/Projections!$B75</f>
        <v>#REF!</v>
      </c>
      <c r="I75" s="23" t="e">
        <f>pm.rep!G94*Projections!I$6/Projections!$B75</f>
        <v>#REF!</v>
      </c>
      <c r="J75" s="23" t="e">
        <f>pm.rep!H94*Projections!J$6/Projections!$B75</f>
        <v>#REF!</v>
      </c>
      <c r="K75" s="23" t="e">
        <f>pm.rep!I94*Projections!K$6/Projections!$B75</f>
        <v>#REF!</v>
      </c>
      <c r="L75" s="23" t="e">
        <f>pm.rep!J94*Projections!L$6/Projections!$B75</f>
        <v>#REF!</v>
      </c>
      <c r="M75" s="23" t="e">
        <f>pm.rep!K94*Projections!M$6/Projections!$B75</f>
        <v>#REF!</v>
      </c>
      <c r="N75" s="23" t="e">
        <f>pm.rep!L94*Projections!N$6/Projections!$B75</f>
        <v>#REF!</v>
      </c>
      <c r="O75" s="23" t="e">
        <f>pm.rep!M94*Projections!O$6/Projections!$B75</f>
        <v>#REF!</v>
      </c>
      <c r="P75" s="23" t="e">
        <f>pm.rep!N94*Projections!P$6/Projections!$B75</f>
        <v>#REF!</v>
      </c>
      <c r="Q75" s="23" t="e">
        <f>pm.rep!O94*Projections!Q$6/Projections!$B75</f>
        <v>#REF!</v>
      </c>
      <c r="R75" s="23" t="e">
        <f>pm.rep!P94*Projections!R$6/Projections!$B75</f>
        <v>#REF!</v>
      </c>
      <c r="U75">
        <f t="shared" si="36"/>
        <v>2013</v>
      </c>
      <c r="V75" t="e">
        <f t="shared" ref="V75:AJ75" si="68">D63*D$10/$AK75*D$6</f>
        <v>#VALUE!</v>
      </c>
      <c r="W75" t="e">
        <f t="shared" si="68"/>
        <v>#VALUE!</v>
      </c>
      <c r="X75" t="e">
        <f t="shared" si="68"/>
        <v>#VALUE!</v>
      </c>
      <c r="Y75" t="e">
        <f t="shared" si="68"/>
        <v>#VALUE!</v>
      </c>
      <c r="Z75" t="e">
        <f t="shared" si="68"/>
        <v>#VALUE!</v>
      </c>
      <c r="AA75" t="e">
        <f t="shared" si="68"/>
        <v>#VALUE!</v>
      </c>
      <c r="AB75" t="e">
        <f t="shared" si="68"/>
        <v>#VALUE!</v>
      </c>
      <c r="AC75" t="e">
        <f t="shared" si="68"/>
        <v>#VALUE!</v>
      </c>
      <c r="AD75" t="e">
        <f t="shared" si="68"/>
        <v>#VALUE!</v>
      </c>
      <c r="AE75" t="e">
        <f t="shared" si="68"/>
        <v>#VALUE!</v>
      </c>
      <c r="AF75" t="e">
        <f t="shared" si="68"/>
        <v>#VALUE!</v>
      </c>
      <c r="AG75" t="e">
        <f t="shared" si="68"/>
        <v>#VALUE!</v>
      </c>
      <c r="AH75" t="e">
        <f t="shared" si="68"/>
        <v>#VALUE!</v>
      </c>
      <c r="AI75" t="e">
        <f t="shared" si="68"/>
        <v>#VALUE!</v>
      </c>
      <c r="AJ75" t="e">
        <f t="shared" si="68"/>
        <v>#VALUE!</v>
      </c>
      <c r="AK75" t="e">
        <f t="shared" si="41"/>
        <v>#VALUE!</v>
      </c>
      <c r="AM75">
        <f t="shared" si="38"/>
        <v>2013</v>
      </c>
      <c r="AN75" s="23" t="e">
        <f t="shared" si="39"/>
        <v>#VALUE!</v>
      </c>
    </row>
    <row r="76" spans="2:40" x14ac:dyDescent="0.15">
      <c r="B76" s="27" t="e">
        <f>SUMPRODUCT(pm.rep!B95:P95,$D$6:$R$6)</f>
        <v>#REF!</v>
      </c>
      <c r="C76">
        <f t="shared" si="62"/>
        <v>1996</v>
      </c>
      <c r="D76" s="23" t="e">
        <f>pm.rep!B95*Projections!D$6/Projections!$B76</f>
        <v>#REF!</v>
      </c>
      <c r="E76" s="23" t="e">
        <f>pm.rep!C95*Projections!E$6/Projections!$B76</f>
        <v>#REF!</v>
      </c>
      <c r="F76" s="23" t="e">
        <f>pm.rep!D95*Projections!F$6/Projections!$B76</f>
        <v>#REF!</v>
      </c>
      <c r="G76" s="23" t="e">
        <f>pm.rep!E95*Projections!G$6/Projections!$B76</f>
        <v>#REF!</v>
      </c>
      <c r="H76" s="23" t="e">
        <f>pm.rep!F95*Projections!H$6/Projections!$B76</f>
        <v>#REF!</v>
      </c>
      <c r="I76" s="23" t="e">
        <f>pm.rep!G95*Projections!I$6/Projections!$B76</f>
        <v>#REF!</v>
      </c>
      <c r="J76" s="23" t="e">
        <f>pm.rep!H95*Projections!J$6/Projections!$B76</f>
        <v>#REF!</v>
      </c>
      <c r="K76" s="23" t="e">
        <f>pm.rep!I95*Projections!K$6/Projections!$B76</f>
        <v>#REF!</v>
      </c>
      <c r="L76" s="23" t="e">
        <f>pm.rep!J95*Projections!L$6/Projections!$B76</f>
        <v>#REF!</v>
      </c>
      <c r="M76" s="23" t="e">
        <f>pm.rep!K95*Projections!M$6/Projections!$B76</f>
        <v>#REF!</v>
      </c>
      <c r="N76" s="23" t="e">
        <f>pm.rep!L95*Projections!N$6/Projections!$B76</f>
        <v>#REF!</v>
      </c>
      <c r="O76" s="23" t="e">
        <f>pm.rep!M95*Projections!O$6/Projections!$B76</f>
        <v>#REF!</v>
      </c>
      <c r="P76" s="23" t="e">
        <f>pm.rep!N95*Projections!P$6/Projections!$B76</f>
        <v>#REF!</v>
      </c>
      <c r="Q76" s="23" t="e">
        <f>pm.rep!O95*Projections!Q$6/Projections!$B76</f>
        <v>#REF!</v>
      </c>
      <c r="R76" s="23" t="e">
        <f>pm.rep!P95*Projections!R$6/Projections!$B76</f>
        <v>#REF!</v>
      </c>
      <c r="U76">
        <f t="shared" si="36"/>
        <v>2014</v>
      </c>
      <c r="V76" t="e">
        <f t="shared" ref="V76:AJ76" si="69">D64*D$10/$AK76*D$6</f>
        <v>#VALUE!</v>
      </c>
      <c r="W76" t="e">
        <f t="shared" si="69"/>
        <v>#VALUE!</v>
      </c>
      <c r="X76" t="e">
        <f t="shared" si="69"/>
        <v>#VALUE!</v>
      </c>
      <c r="Y76" t="e">
        <f t="shared" si="69"/>
        <v>#VALUE!</v>
      </c>
      <c r="Z76" t="e">
        <f t="shared" si="69"/>
        <v>#VALUE!</v>
      </c>
      <c r="AA76" t="e">
        <f t="shared" si="69"/>
        <v>#VALUE!</v>
      </c>
      <c r="AB76" t="e">
        <f t="shared" si="69"/>
        <v>#VALUE!</v>
      </c>
      <c r="AC76" t="e">
        <f t="shared" si="69"/>
        <v>#VALUE!</v>
      </c>
      <c r="AD76" t="e">
        <f t="shared" si="69"/>
        <v>#VALUE!</v>
      </c>
      <c r="AE76" t="e">
        <f t="shared" si="69"/>
        <v>#VALUE!</v>
      </c>
      <c r="AF76" t="e">
        <f t="shared" si="69"/>
        <v>#VALUE!</v>
      </c>
      <c r="AG76" t="e">
        <f t="shared" si="69"/>
        <v>#VALUE!</v>
      </c>
      <c r="AH76" t="e">
        <f t="shared" si="69"/>
        <v>#VALUE!</v>
      </c>
      <c r="AI76" t="e">
        <f t="shared" si="69"/>
        <v>#VALUE!</v>
      </c>
      <c r="AJ76" t="e">
        <f t="shared" si="69"/>
        <v>#VALUE!</v>
      </c>
      <c r="AK76" t="e">
        <f t="shared" si="41"/>
        <v>#VALUE!</v>
      </c>
      <c r="AM76">
        <f t="shared" si="38"/>
        <v>2014</v>
      </c>
      <c r="AN76" s="23" t="e">
        <f t="shared" si="39"/>
        <v>#VALUE!</v>
      </c>
    </row>
    <row r="77" spans="2:40" x14ac:dyDescent="0.15">
      <c r="B77" s="27" t="e">
        <f>SUMPRODUCT(pm.rep!B96:P96,$D$6:$R$6)</f>
        <v>#REF!</v>
      </c>
      <c r="C77">
        <f t="shared" si="62"/>
        <v>1997</v>
      </c>
      <c r="D77" s="23" t="e">
        <f>pm.rep!B96*Projections!D$6/Projections!$B77</f>
        <v>#REF!</v>
      </c>
      <c r="E77" s="23" t="e">
        <f>pm.rep!C96*Projections!E$6/Projections!$B77</f>
        <v>#REF!</v>
      </c>
      <c r="F77" s="23" t="e">
        <f>pm.rep!D96*Projections!F$6/Projections!$B77</f>
        <v>#REF!</v>
      </c>
      <c r="G77" s="23" t="e">
        <f>pm.rep!E96*Projections!G$6/Projections!$B77</f>
        <v>#REF!</v>
      </c>
      <c r="H77" s="23" t="e">
        <f>pm.rep!F96*Projections!H$6/Projections!$B77</f>
        <v>#REF!</v>
      </c>
      <c r="I77" s="23" t="e">
        <f>pm.rep!G96*Projections!I$6/Projections!$B77</f>
        <v>#REF!</v>
      </c>
      <c r="J77" s="23" t="e">
        <f>pm.rep!H96*Projections!J$6/Projections!$B77</f>
        <v>#REF!</v>
      </c>
      <c r="K77" s="23" t="e">
        <f>pm.rep!I96*Projections!K$6/Projections!$B77</f>
        <v>#REF!</v>
      </c>
      <c r="L77" s="23" t="e">
        <f>pm.rep!J96*Projections!L$6/Projections!$B77</f>
        <v>#REF!</v>
      </c>
      <c r="M77" s="23" t="e">
        <f>pm.rep!K96*Projections!M$6/Projections!$B77</f>
        <v>#REF!</v>
      </c>
      <c r="N77" s="23" t="e">
        <f>pm.rep!L96*Projections!N$6/Projections!$B77</f>
        <v>#REF!</v>
      </c>
      <c r="O77" s="23" t="e">
        <f>pm.rep!M96*Projections!O$6/Projections!$B77</f>
        <v>#REF!</v>
      </c>
      <c r="P77" s="23" t="e">
        <f>pm.rep!N96*Projections!P$6/Projections!$B77</f>
        <v>#REF!</v>
      </c>
      <c r="Q77" s="23" t="e">
        <f>pm.rep!O96*Projections!Q$6/Projections!$B77</f>
        <v>#REF!</v>
      </c>
      <c r="R77" s="23" t="e">
        <f>pm.rep!P96*Projections!R$6/Projections!$B77</f>
        <v>#REF!</v>
      </c>
      <c r="U77">
        <f t="shared" si="36"/>
        <v>2015</v>
      </c>
      <c r="V77" t="e">
        <f t="shared" ref="V77:AJ77" si="70">D65*D$10/$AK77*D$6</f>
        <v>#VALUE!</v>
      </c>
      <c r="W77" t="e">
        <f t="shared" si="70"/>
        <v>#VALUE!</v>
      </c>
      <c r="X77" t="e">
        <f t="shared" si="70"/>
        <v>#VALUE!</v>
      </c>
      <c r="Y77" t="e">
        <f t="shared" si="70"/>
        <v>#VALUE!</v>
      </c>
      <c r="Z77" t="e">
        <f t="shared" si="70"/>
        <v>#VALUE!</v>
      </c>
      <c r="AA77" t="e">
        <f t="shared" si="70"/>
        <v>#VALUE!</v>
      </c>
      <c r="AB77" t="e">
        <f t="shared" si="70"/>
        <v>#VALUE!</v>
      </c>
      <c r="AC77" t="e">
        <f t="shared" si="70"/>
        <v>#VALUE!</v>
      </c>
      <c r="AD77" t="e">
        <f t="shared" si="70"/>
        <v>#VALUE!</v>
      </c>
      <c r="AE77" t="e">
        <f t="shared" si="70"/>
        <v>#VALUE!</v>
      </c>
      <c r="AF77" t="e">
        <f t="shared" si="70"/>
        <v>#VALUE!</v>
      </c>
      <c r="AG77" t="e">
        <f t="shared" si="70"/>
        <v>#VALUE!</v>
      </c>
      <c r="AH77" t="e">
        <f t="shared" si="70"/>
        <v>#VALUE!</v>
      </c>
      <c r="AI77" t="e">
        <f t="shared" si="70"/>
        <v>#VALUE!</v>
      </c>
      <c r="AJ77" t="e">
        <f t="shared" si="70"/>
        <v>#VALUE!</v>
      </c>
      <c r="AK77" t="e">
        <f t="shared" si="41"/>
        <v>#VALUE!</v>
      </c>
      <c r="AM77">
        <f t="shared" si="38"/>
        <v>2015</v>
      </c>
      <c r="AN77" s="23" t="e">
        <f t="shared" si="39"/>
        <v>#VALUE!</v>
      </c>
    </row>
    <row r="78" spans="2:40" x14ac:dyDescent="0.15">
      <c r="B78" s="27" t="e">
        <f>SUMPRODUCT(pm.rep!B97:P97,$D$6:$R$6)</f>
        <v>#REF!</v>
      </c>
      <c r="C78">
        <f t="shared" si="62"/>
        <v>1998</v>
      </c>
      <c r="D78" s="23" t="e">
        <f>pm.rep!B97*Projections!D$6/Projections!$B78</f>
        <v>#REF!</v>
      </c>
      <c r="E78" s="23" t="e">
        <f>pm.rep!C97*Projections!E$6/Projections!$B78</f>
        <v>#REF!</v>
      </c>
      <c r="F78" s="23" t="e">
        <f>pm.rep!D97*Projections!F$6/Projections!$B78</f>
        <v>#REF!</v>
      </c>
      <c r="G78" s="23" t="e">
        <f>pm.rep!E97*Projections!G$6/Projections!$B78</f>
        <v>#REF!</v>
      </c>
      <c r="H78" s="23" t="e">
        <f>pm.rep!F97*Projections!H$6/Projections!$B78</f>
        <v>#REF!</v>
      </c>
      <c r="I78" s="23" t="e">
        <f>pm.rep!G97*Projections!I$6/Projections!$B78</f>
        <v>#REF!</v>
      </c>
      <c r="J78" s="23" t="e">
        <f>pm.rep!H97*Projections!J$6/Projections!$B78</f>
        <v>#REF!</v>
      </c>
      <c r="K78" s="23" t="e">
        <f>pm.rep!I97*Projections!K$6/Projections!$B78</f>
        <v>#REF!</v>
      </c>
      <c r="L78" s="23" t="e">
        <f>pm.rep!J97*Projections!L$6/Projections!$B78</f>
        <v>#REF!</v>
      </c>
      <c r="M78" s="23" t="e">
        <f>pm.rep!K97*Projections!M$6/Projections!$B78</f>
        <v>#REF!</v>
      </c>
      <c r="N78" s="23" t="e">
        <f>pm.rep!L97*Projections!N$6/Projections!$B78</f>
        <v>#REF!</v>
      </c>
      <c r="O78" s="23" t="e">
        <f>pm.rep!M97*Projections!O$6/Projections!$B78</f>
        <v>#REF!</v>
      </c>
      <c r="P78" s="23" t="e">
        <f>pm.rep!N97*Projections!P$6/Projections!$B78</f>
        <v>#REF!</v>
      </c>
      <c r="Q78" s="23" t="e">
        <f>pm.rep!O97*Projections!Q$6/Projections!$B78</f>
        <v>#REF!</v>
      </c>
      <c r="R78" s="23" t="e">
        <f>pm.rep!P97*Projections!R$6/Projections!$B78</f>
        <v>#REF!</v>
      </c>
      <c r="U78">
        <f>C66</f>
        <v>2016</v>
      </c>
      <c r="V78" t="e">
        <f t="shared" ref="V78:AJ78" si="71">D66*D$10/$AK78*D$6</f>
        <v>#VALUE!</v>
      </c>
      <c r="W78" t="e">
        <f t="shared" si="71"/>
        <v>#VALUE!</v>
      </c>
      <c r="X78" t="e">
        <f t="shared" si="71"/>
        <v>#VALUE!</v>
      </c>
      <c r="Y78" t="e">
        <f t="shared" si="71"/>
        <v>#VALUE!</v>
      </c>
      <c r="Z78" t="e">
        <f t="shared" si="71"/>
        <v>#VALUE!</v>
      </c>
      <c r="AA78" t="e">
        <f t="shared" si="71"/>
        <v>#VALUE!</v>
      </c>
      <c r="AB78" t="e">
        <f t="shared" si="71"/>
        <v>#VALUE!</v>
      </c>
      <c r="AC78" t="e">
        <f t="shared" si="71"/>
        <v>#VALUE!</v>
      </c>
      <c r="AD78" t="e">
        <f t="shared" si="71"/>
        <v>#VALUE!</v>
      </c>
      <c r="AE78" t="e">
        <f t="shared" si="71"/>
        <v>#VALUE!</v>
      </c>
      <c r="AF78" t="e">
        <f t="shared" si="71"/>
        <v>#VALUE!</v>
      </c>
      <c r="AG78" t="e">
        <f t="shared" si="71"/>
        <v>#VALUE!</v>
      </c>
      <c r="AH78" t="e">
        <f t="shared" si="71"/>
        <v>#VALUE!</v>
      </c>
      <c r="AI78" t="e">
        <f t="shared" si="71"/>
        <v>#VALUE!</v>
      </c>
      <c r="AJ78" t="e">
        <f t="shared" si="71"/>
        <v>#VALUE!</v>
      </c>
      <c r="AK78" t="e">
        <f>SUMPRODUCT($D$10:$R$10,D66:R66,$D$6:$R$6)</f>
        <v>#VALUE!</v>
      </c>
      <c r="AM78">
        <f t="shared" si="38"/>
        <v>2016</v>
      </c>
      <c r="AN78" s="23" t="e">
        <f t="shared" si="39"/>
        <v>#VALUE!</v>
      </c>
    </row>
    <row r="79" spans="2:40" x14ac:dyDescent="0.15">
      <c r="B79" s="27" t="e">
        <f>SUMPRODUCT(pm.rep!B98:P98,$D$6:$R$6)</f>
        <v>#REF!</v>
      </c>
      <c r="C79">
        <f t="shared" si="62"/>
        <v>1999</v>
      </c>
      <c r="D79" s="23" t="e">
        <f>pm.rep!B98*Projections!D$6/Projections!$B79</f>
        <v>#REF!</v>
      </c>
      <c r="E79" s="23" t="e">
        <f>pm.rep!C98*Projections!E$6/Projections!$B79</f>
        <v>#REF!</v>
      </c>
      <c r="F79" s="23" t="e">
        <f>pm.rep!D98*Projections!F$6/Projections!$B79</f>
        <v>#REF!</v>
      </c>
      <c r="G79" s="23" t="e">
        <f>pm.rep!E98*Projections!G$6/Projections!$B79</f>
        <v>#REF!</v>
      </c>
      <c r="H79" s="23" t="e">
        <f>pm.rep!F98*Projections!H$6/Projections!$B79</f>
        <v>#REF!</v>
      </c>
      <c r="I79" s="23" t="e">
        <f>pm.rep!G98*Projections!I$6/Projections!$B79</f>
        <v>#REF!</v>
      </c>
      <c r="J79" s="23" t="e">
        <f>pm.rep!H98*Projections!J$6/Projections!$B79</f>
        <v>#REF!</v>
      </c>
      <c r="K79" s="23" t="e">
        <f>pm.rep!I98*Projections!K$6/Projections!$B79</f>
        <v>#REF!</v>
      </c>
      <c r="L79" s="23" t="e">
        <f>pm.rep!J98*Projections!L$6/Projections!$B79</f>
        <v>#REF!</v>
      </c>
      <c r="M79" s="23" t="e">
        <f>pm.rep!K98*Projections!M$6/Projections!$B79</f>
        <v>#REF!</v>
      </c>
      <c r="N79" s="23" t="e">
        <f>pm.rep!L98*Projections!N$6/Projections!$B79</f>
        <v>#REF!</v>
      </c>
      <c r="O79" s="23" t="e">
        <f>pm.rep!M98*Projections!O$6/Projections!$B79</f>
        <v>#REF!</v>
      </c>
      <c r="P79" s="23" t="e">
        <f>pm.rep!N98*Projections!P$6/Projections!$B79</f>
        <v>#REF!</v>
      </c>
      <c r="Q79" s="23" t="e">
        <f>pm.rep!O98*Projections!Q$6/Projections!$B79</f>
        <v>#REF!</v>
      </c>
      <c r="R79" s="23" t="e">
        <f>pm.rep!P98*Projections!R$6/Projections!$B79</f>
        <v>#REF!</v>
      </c>
      <c r="AN79" s="23"/>
    </row>
    <row r="80" spans="2:40" x14ac:dyDescent="0.15">
      <c r="B80" s="27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U80" t="s">
        <v>797</v>
      </c>
      <c r="AN80" s="23">
        <f t="shared" si="39"/>
        <v>0</v>
      </c>
    </row>
    <row r="81" spans="2:22" x14ac:dyDescent="0.15">
      <c r="B81" s="27" t="e">
        <f>SUMPRODUCT(pm.rep!B99:P99,$D$6:$R$6)</f>
        <v>#REF!</v>
      </c>
      <c r="C81">
        <f t="shared" ref="C81:C91" si="72">C50</f>
        <v>2000</v>
      </c>
      <c r="D81" s="23" t="e">
        <f>pm.rep!B99*Projections!D$6/Projections!$B81</f>
        <v>#REF!</v>
      </c>
      <c r="E81" s="23" t="e">
        <f>pm.rep!C99*Projections!E$6/Projections!$B81</f>
        <v>#REF!</v>
      </c>
      <c r="F81" s="23" t="e">
        <f>pm.rep!D99*Projections!F$6/Projections!$B81</f>
        <v>#REF!</v>
      </c>
      <c r="G81" s="23" t="e">
        <f>pm.rep!E99*Projections!G$6/Projections!$B81</f>
        <v>#REF!</v>
      </c>
      <c r="H81" s="23" t="e">
        <f>pm.rep!F99*Projections!H$6/Projections!$B81</f>
        <v>#REF!</v>
      </c>
      <c r="I81" s="23" t="e">
        <f>pm.rep!G99*Projections!I$6/Projections!$B81</f>
        <v>#REF!</v>
      </c>
      <c r="J81" s="23" t="e">
        <f>pm.rep!H99*Projections!J$6/Projections!$B81</f>
        <v>#REF!</v>
      </c>
      <c r="K81" s="23" t="e">
        <f>pm.rep!I99*Projections!K$6/Projections!$B81</f>
        <v>#REF!</v>
      </c>
      <c r="L81" s="23" t="e">
        <f>pm.rep!J99*Projections!L$6/Projections!$B81</f>
        <v>#REF!</v>
      </c>
      <c r="M81" s="23" t="e">
        <f>pm.rep!K99*Projections!M$6/Projections!$B81</f>
        <v>#REF!</v>
      </c>
      <c r="N81" s="23" t="e">
        <f>pm.rep!L99*Projections!N$6/Projections!$B81</f>
        <v>#REF!</v>
      </c>
      <c r="O81" s="23" t="e">
        <f>pm.rep!M99*Projections!O$6/Projections!$B81</f>
        <v>#REF!</v>
      </c>
      <c r="P81" s="23" t="e">
        <f>pm.rep!N99*Projections!P$6/Projections!$B81</f>
        <v>#REF!</v>
      </c>
      <c r="Q81" s="23" t="e">
        <f>pm.rep!O99*Projections!Q$6/Projections!$B81</f>
        <v>#REF!</v>
      </c>
      <c r="R81" s="23" t="e">
        <f>pm.rep!P99*Projections!R$6/Projections!$B81</f>
        <v>#REF!</v>
      </c>
      <c r="U81" s="27" t="e">
        <f>SUMPRODUCT($D$6:$G$6,pm.rep!B100:E100)</f>
        <v>#REF!</v>
      </c>
    </row>
    <row r="82" spans="2:22" x14ac:dyDescent="0.15">
      <c r="B82" s="27" t="e">
        <f>SUMPRODUCT(pm.rep!B100:P100,$D$6:$R$6)</f>
        <v>#REF!</v>
      </c>
      <c r="C82">
        <f t="shared" si="72"/>
        <v>2001</v>
      </c>
      <c r="D82" s="23" t="e">
        <f>pm.rep!B100*Projections!D$6/Projections!$B82</f>
        <v>#REF!</v>
      </c>
      <c r="E82" s="23" t="e">
        <f>pm.rep!C100*Projections!E$6/Projections!$B82</f>
        <v>#REF!</v>
      </c>
      <c r="F82" s="23" t="e">
        <f>pm.rep!D100*Projections!F$6/Projections!$B82</f>
        <v>#REF!</v>
      </c>
      <c r="G82" s="23" t="e">
        <f>pm.rep!E100*Projections!G$6/Projections!$B82</f>
        <v>#REF!</v>
      </c>
      <c r="H82" s="23" t="e">
        <f>pm.rep!F100*Projections!H$6/Projections!$B82</f>
        <v>#REF!</v>
      </c>
      <c r="I82" s="23" t="e">
        <f>pm.rep!G100*Projections!I$6/Projections!$B82</f>
        <v>#REF!</v>
      </c>
      <c r="J82" s="23" t="e">
        <f>pm.rep!H100*Projections!J$6/Projections!$B82</f>
        <v>#REF!</v>
      </c>
      <c r="K82" s="23" t="e">
        <f>pm.rep!I100*Projections!K$6/Projections!$B82</f>
        <v>#REF!</v>
      </c>
      <c r="L82" s="23" t="e">
        <f>pm.rep!J100*Projections!L$6/Projections!$B82</f>
        <v>#REF!</v>
      </c>
      <c r="M82" s="23" t="e">
        <f>pm.rep!K100*Projections!M$6/Projections!$B82</f>
        <v>#REF!</v>
      </c>
      <c r="N82" s="23" t="e">
        <f>pm.rep!L100*Projections!N$6/Projections!$B82</f>
        <v>#REF!</v>
      </c>
      <c r="O82" s="23" t="e">
        <f>pm.rep!M100*Projections!O$6/Projections!$B82</f>
        <v>#REF!</v>
      </c>
      <c r="P82" s="23" t="e">
        <f>pm.rep!N100*Projections!P$6/Projections!$B82</f>
        <v>#REF!</v>
      </c>
      <c r="Q82" s="23" t="e">
        <f>pm.rep!O100*Projections!Q$6/Projections!$B82</f>
        <v>#REF!</v>
      </c>
      <c r="R82" s="23" t="e">
        <f>pm.rep!P100*Projections!R$6/Projections!$B82</f>
        <v>#REF!</v>
      </c>
      <c r="U82" s="27" t="e">
        <f>SUMPRODUCT($D$6:$G$6,pm.rep!B101:E101)</f>
        <v>#REF!</v>
      </c>
    </row>
    <row r="83" spans="2:22" x14ac:dyDescent="0.15">
      <c r="B83" s="27" t="e">
        <f>SUMPRODUCT(pm.rep!B101:P101,$D$6:$R$6)</f>
        <v>#REF!</v>
      </c>
      <c r="C83">
        <f t="shared" si="72"/>
        <v>2002</v>
      </c>
      <c r="D83" s="23" t="e">
        <f>pm.rep!B101*Projections!D$6/Projections!$B83</f>
        <v>#REF!</v>
      </c>
      <c r="E83" s="23" t="e">
        <f>pm.rep!C101*Projections!E$6/Projections!$B83</f>
        <v>#REF!</v>
      </c>
      <c r="F83" s="23" t="e">
        <f>pm.rep!D101*Projections!F$6/Projections!$B83</f>
        <v>#REF!</v>
      </c>
      <c r="G83" s="23" t="e">
        <f>pm.rep!E101*Projections!G$6/Projections!$B83</f>
        <v>#REF!</v>
      </c>
      <c r="H83" s="23" t="e">
        <f>pm.rep!F101*Projections!H$6/Projections!$B83</f>
        <v>#REF!</v>
      </c>
      <c r="I83" s="23" t="e">
        <f>pm.rep!G101*Projections!I$6/Projections!$B83</f>
        <v>#REF!</v>
      </c>
      <c r="J83" s="23" t="e">
        <f>pm.rep!H101*Projections!J$6/Projections!$B83</f>
        <v>#REF!</v>
      </c>
      <c r="K83" s="23" t="e">
        <f>pm.rep!I101*Projections!K$6/Projections!$B83</f>
        <v>#REF!</v>
      </c>
      <c r="L83" s="23" t="e">
        <f>pm.rep!J101*Projections!L$6/Projections!$B83</f>
        <v>#REF!</v>
      </c>
      <c r="M83" s="23" t="e">
        <f>pm.rep!K101*Projections!M$6/Projections!$B83</f>
        <v>#REF!</v>
      </c>
      <c r="N83" s="23" t="e">
        <f>pm.rep!L101*Projections!N$6/Projections!$B83</f>
        <v>#REF!</v>
      </c>
      <c r="O83" s="23" t="e">
        <f>pm.rep!M101*Projections!O$6/Projections!$B83</f>
        <v>#REF!</v>
      </c>
      <c r="P83" s="23" t="e">
        <f>pm.rep!N101*Projections!P$6/Projections!$B83</f>
        <v>#REF!</v>
      </c>
      <c r="Q83" s="23" t="e">
        <f>pm.rep!O101*Projections!Q$6/Projections!$B83</f>
        <v>#REF!</v>
      </c>
      <c r="R83" s="23" t="e">
        <f>pm.rep!P101*Projections!R$6/Projections!$B83</f>
        <v>#REF!</v>
      </c>
      <c r="U83" s="27" t="e">
        <f>SUMPRODUCT($D$6:$G$6,pm.rep!B102:E102)</f>
        <v>#REF!</v>
      </c>
    </row>
    <row r="84" spans="2:22" x14ac:dyDescent="0.15">
      <c r="B84" s="27" t="e">
        <f>SUMPRODUCT(pm.rep!B102:P102,$D$6:$R$6)</f>
        <v>#REF!</v>
      </c>
      <c r="C84">
        <f t="shared" si="72"/>
        <v>2003</v>
      </c>
      <c r="D84" s="23" t="e">
        <f>pm.rep!B102*Projections!D$6/Projections!$B84</f>
        <v>#REF!</v>
      </c>
      <c r="E84" s="23" t="e">
        <f>pm.rep!C102*Projections!E$6/Projections!$B84</f>
        <v>#REF!</v>
      </c>
      <c r="F84" s="23" t="e">
        <f>pm.rep!D102*Projections!F$6/Projections!$B84</f>
        <v>#REF!</v>
      </c>
      <c r="G84" s="23" t="e">
        <f>pm.rep!E102*Projections!G$6/Projections!$B84</f>
        <v>#REF!</v>
      </c>
      <c r="H84" s="23" t="e">
        <f>pm.rep!F102*Projections!H$6/Projections!$B84</f>
        <v>#REF!</v>
      </c>
      <c r="I84" s="23" t="e">
        <f>pm.rep!G102*Projections!I$6/Projections!$B84</f>
        <v>#REF!</v>
      </c>
      <c r="J84" s="23" t="e">
        <f>pm.rep!H102*Projections!J$6/Projections!$B84</f>
        <v>#REF!</v>
      </c>
      <c r="K84" s="23" t="e">
        <f>pm.rep!I102*Projections!K$6/Projections!$B84</f>
        <v>#REF!</v>
      </c>
      <c r="L84" s="23" t="e">
        <f>pm.rep!J102*Projections!L$6/Projections!$B84</f>
        <v>#REF!</v>
      </c>
      <c r="M84" s="23" t="e">
        <f>pm.rep!K102*Projections!M$6/Projections!$B84</f>
        <v>#REF!</v>
      </c>
      <c r="N84" s="23" t="e">
        <f>pm.rep!L102*Projections!N$6/Projections!$B84</f>
        <v>#REF!</v>
      </c>
      <c r="O84" s="23" t="e">
        <f>pm.rep!M102*Projections!O$6/Projections!$B84</f>
        <v>#REF!</v>
      </c>
      <c r="P84" s="23" t="e">
        <f>pm.rep!N102*Projections!P$6/Projections!$B84</f>
        <v>#REF!</v>
      </c>
      <c r="Q84" s="23" t="e">
        <f>pm.rep!O102*Projections!Q$6/Projections!$B84</f>
        <v>#REF!</v>
      </c>
      <c r="R84" s="23" t="e">
        <f>pm.rep!P102*Projections!R$6/Projections!$B84</f>
        <v>#REF!</v>
      </c>
      <c r="U84" s="27" t="e">
        <f>SUMPRODUCT($D$6:$G$6,pm.rep!B103:E103)</f>
        <v>#REF!</v>
      </c>
      <c r="V84" t="e">
        <f>SUMPRODUCT($D$6:$J$6,pm.rep!B103:H103)</f>
        <v>#REF!</v>
      </c>
    </row>
    <row r="85" spans="2:22" x14ac:dyDescent="0.15">
      <c r="B85" s="27" t="e">
        <f>SUMPRODUCT(pm.rep!B103:P103,$D$6:$R$6)</f>
        <v>#REF!</v>
      </c>
      <c r="C85">
        <f t="shared" si="72"/>
        <v>2004</v>
      </c>
      <c r="D85" s="23" t="e">
        <f>pm.rep!B103*Projections!D$6/Projections!$B85</f>
        <v>#REF!</v>
      </c>
      <c r="E85" s="23" t="e">
        <f>pm.rep!C103*Projections!E$6/Projections!$B85</f>
        <v>#REF!</v>
      </c>
      <c r="F85" s="23" t="e">
        <f>pm.rep!D103*Projections!F$6/Projections!$B85</f>
        <v>#REF!</v>
      </c>
      <c r="G85" s="23" t="e">
        <f>pm.rep!E103*Projections!G$6/Projections!$B85</f>
        <v>#REF!</v>
      </c>
      <c r="H85" s="23" t="e">
        <f>pm.rep!F103*Projections!H$6/Projections!$B85</f>
        <v>#REF!</v>
      </c>
      <c r="I85" s="23" t="e">
        <f>pm.rep!G103*Projections!I$6/Projections!$B85</f>
        <v>#REF!</v>
      </c>
      <c r="J85" s="23" t="e">
        <f>pm.rep!H103*Projections!J$6/Projections!$B85</f>
        <v>#REF!</v>
      </c>
      <c r="K85" s="23" t="e">
        <f>pm.rep!I103*Projections!K$6/Projections!$B85</f>
        <v>#REF!</v>
      </c>
      <c r="L85" s="23" t="e">
        <f>pm.rep!J103*Projections!L$6/Projections!$B85</f>
        <v>#REF!</v>
      </c>
      <c r="M85" s="23" t="e">
        <f>pm.rep!K103*Projections!M$6/Projections!$B85</f>
        <v>#REF!</v>
      </c>
      <c r="N85" s="23" t="e">
        <f>pm.rep!L103*Projections!N$6/Projections!$B85</f>
        <v>#REF!</v>
      </c>
      <c r="O85" s="23" t="e">
        <f>pm.rep!M103*Projections!O$6/Projections!$B85</f>
        <v>#REF!</v>
      </c>
      <c r="P85" s="23" t="e">
        <f>pm.rep!N103*Projections!P$6/Projections!$B85</f>
        <v>#REF!</v>
      </c>
      <c r="Q85" s="23" t="e">
        <f>pm.rep!O103*Projections!Q$6/Projections!$B85</f>
        <v>#REF!</v>
      </c>
      <c r="R85" s="23" t="e">
        <f>pm.rep!P103*Projections!R$6/Projections!$B85</f>
        <v>#REF!</v>
      </c>
      <c r="U85" s="27" t="e">
        <f>SUMPRODUCT($D$6:$G$6,pm.rep!B104:E104)</f>
        <v>#REF!</v>
      </c>
      <c r="V85" t="e">
        <f>SUMPRODUCT($D$6:$J$6,pm.rep!B104:H104)</f>
        <v>#REF!</v>
      </c>
    </row>
    <row r="86" spans="2:22" x14ac:dyDescent="0.15">
      <c r="B86" s="27" t="e">
        <f>SUMPRODUCT(pm.rep!B104:P104,$D$6:$R$6)</f>
        <v>#REF!</v>
      </c>
      <c r="C86">
        <f t="shared" si="72"/>
        <v>2005</v>
      </c>
      <c r="D86" s="23" t="e">
        <f>pm.rep!B104*Projections!D$6/Projections!$B86</f>
        <v>#REF!</v>
      </c>
      <c r="E86" s="23" t="e">
        <f>pm.rep!C104*Projections!E$6/Projections!$B86</f>
        <v>#REF!</v>
      </c>
      <c r="F86" s="23" t="e">
        <f>pm.rep!D104*Projections!F$6/Projections!$B86</f>
        <v>#REF!</v>
      </c>
      <c r="G86" s="23" t="e">
        <f>pm.rep!E104*Projections!G$6/Projections!$B86</f>
        <v>#REF!</v>
      </c>
      <c r="H86" s="23" t="e">
        <f>pm.rep!F104*Projections!H$6/Projections!$B86</f>
        <v>#REF!</v>
      </c>
      <c r="I86" s="23" t="e">
        <f>pm.rep!G104*Projections!I$6/Projections!$B86</f>
        <v>#REF!</v>
      </c>
      <c r="J86" s="23" t="e">
        <f>pm.rep!H104*Projections!J$6/Projections!$B86</f>
        <v>#REF!</v>
      </c>
      <c r="K86" s="23" t="e">
        <f>pm.rep!I104*Projections!K$6/Projections!$B86</f>
        <v>#REF!</v>
      </c>
      <c r="L86" s="23" t="e">
        <f>pm.rep!J104*Projections!L$6/Projections!$B86</f>
        <v>#REF!</v>
      </c>
      <c r="M86" s="23" t="e">
        <f>pm.rep!K104*Projections!M$6/Projections!$B86</f>
        <v>#REF!</v>
      </c>
      <c r="N86" s="23" t="e">
        <f>pm.rep!L104*Projections!N$6/Projections!$B86</f>
        <v>#REF!</v>
      </c>
      <c r="O86" s="23" t="e">
        <f>pm.rep!M104*Projections!O$6/Projections!$B86</f>
        <v>#REF!</v>
      </c>
      <c r="P86" s="23" t="e">
        <f>pm.rep!N104*Projections!P$6/Projections!$B86</f>
        <v>#REF!</v>
      </c>
      <c r="Q86" s="23" t="e">
        <f>pm.rep!O104*Projections!Q$6/Projections!$B86</f>
        <v>#REF!</v>
      </c>
      <c r="R86" s="23" t="e">
        <f>pm.rep!P104*Projections!R$6/Projections!$B86</f>
        <v>#REF!</v>
      </c>
      <c r="U86" s="27" t="e">
        <f>SUMPRODUCT($D$6:$G$6,pm.rep!B105:E105)</f>
        <v>#REF!</v>
      </c>
      <c r="V86" t="e">
        <f>SUMPRODUCT($D$6:$J$6,pm.rep!B105:H105)</f>
        <v>#REF!</v>
      </c>
    </row>
    <row r="87" spans="2:22" x14ac:dyDescent="0.15">
      <c r="B87" s="27" t="e">
        <f>SUMPRODUCT(pm.rep!B105:P105,$D$6:$R$6)</f>
        <v>#REF!</v>
      </c>
      <c r="C87">
        <f t="shared" si="72"/>
        <v>2006</v>
      </c>
      <c r="D87" s="23" t="e">
        <f>pm.rep!B105*Projections!D$6/Projections!$B87</f>
        <v>#REF!</v>
      </c>
      <c r="E87" s="23" t="e">
        <f>pm.rep!C105*Projections!E$6/Projections!$B87</f>
        <v>#REF!</v>
      </c>
      <c r="F87" s="23" t="e">
        <f>pm.rep!D105*Projections!F$6/Projections!$B87</f>
        <v>#REF!</v>
      </c>
      <c r="G87" s="23" t="e">
        <f>pm.rep!E105*Projections!G$6/Projections!$B87</f>
        <v>#REF!</v>
      </c>
      <c r="H87" s="23" t="e">
        <f>pm.rep!F105*Projections!H$6/Projections!$B87</f>
        <v>#REF!</v>
      </c>
      <c r="I87" s="23" t="e">
        <f>pm.rep!G105*Projections!I$6/Projections!$B87</f>
        <v>#REF!</v>
      </c>
      <c r="J87" s="23" t="e">
        <f>pm.rep!H105*Projections!J$6/Projections!$B87</f>
        <v>#REF!</v>
      </c>
      <c r="K87" s="23" t="e">
        <f>pm.rep!I105*Projections!K$6/Projections!$B87</f>
        <v>#REF!</v>
      </c>
      <c r="L87" s="23" t="e">
        <f>pm.rep!J105*Projections!L$6/Projections!$B87</f>
        <v>#REF!</v>
      </c>
      <c r="M87" s="23" t="e">
        <f>pm.rep!K105*Projections!M$6/Projections!$B87</f>
        <v>#REF!</v>
      </c>
      <c r="N87" s="23" t="e">
        <f>pm.rep!L105*Projections!N$6/Projections!$B87</f>
        <v>#REF!</v>
      </c>
      <c r="O87" s="23" t="e">
        <f>pm.rep!M105*Projections!O$6/Projections!$B87</f>
        <v>#REF!</v>
      </c>
      <c r="P87" s="23" t="e">
        <f>pm.rep!N105*Projections!P$6/Projections!$B87</f>
        <v>#REF!</v>
      </c>
      <c r="Q87" s="23" t="e">
        <f>pm.rep!O105*Projections!Q$6/Projections!$B87</f>
        <v>#REF!</v>
      </c>
      <c r="R87" s="23" t="e">
        <f>pm.rep!P105*Projections!R$6/Projections!$B87</f>
        <v>#REF!</v>
      </c>
      <c r="U87" s="27" t="e">
        <f>SUMPRODUCT($D$6:$G$6,pm.rep!B106:E106)</f>
        <v>#REF!</v>
      </c>
      <c r="V87" t="e">
        <f>SUMPRODUCT($D$6:$J$6,pm.rep!B106:H106)</f>
        <v>#REF!</v>
      </c>
    </row>
    <row r="88" spans="2:22" x14ac:dyDescent="0.15">
      <c r="B88" s="27" t="e">
        <f>SUMPRODUCT(pm.rep!B106:P106,$D$6:$R$6)</f>
        <v>#REF!</v>
      </c>
      <c r="C88">
        <f t="shared" si="72"/>
        <v>2007</v>
      </c>
      <c r="D88" s="23" t="e">
        <f>pm.rep!B106*Projections!D$6/Projections!$B88</f>
        <v>#REF!</v>
      </c>
      <c r="E88" s="23" t="e">
        <f>pm.rep!C106*Projections!E$6/Projections!$B88</f>
        <v>#REF!</v>
      </c>
      <c r="F88" s="23" t="e">
        <f>pm.rep!D106*Projections!F$6/Projections!$B88</f>
        <v>#REF!</v>
      </c>
      <c r="G88" s="23" t="e">
        <f>pm.rep!E106*Projections!G$6/Projections!$B88</f>
        <v>#REF!</v>
      </c>
      <c r="H88" s="23" t="e">
        <f>pm.rep!F106*Projections!H$6/Projections!$B88</f>
        <v>#REF!</v>
      </c>
      <c r="I88" s="23" t="e">
        <f>pm.rep!G106*Projections!I$6/Projections!$B88</f>
        <v>#REF!</v>
      </c>
      <c r="J88" s="23" t="e">
        <f>pm.rep!H106*Projections!J$6/Projections!$B88</f>
        <v>#REF!</v>
      </c>
      <c r="K88" s="23" t="e">
        <f>pm.rep!I106*Projections!K$6/Projections!$B88</f>
        <v>#REF!</v>
      </c>
      <c r="L88" s="23" t="e">
        <f>pm.rep!J106*Projections!L$6/Projections!$B88</f>
        <v>#REF!</v>
      </c>
      <c r="M88" s="23" t="e">
        <f>pm.rep!K106*Projections!M$6/Projections!$B88</f>
        <v>#REF!</v>
      </c>
      <c r="N88" s="23" t="e">
        <f>pm.rep!L106*Projections!N$6/Projections!$B88</f>
        <v>#REF!</v>
      </c>
      <c r="O88" s="23" t="e">
        <f>pm.rep!M106*Projections!O$6/Projections!$B88</f>
        <v>#REF!</v>
      </c>
      <c r="P88" s="23" t="e">
        <f>pm.rep!N106*Projections!P$6/Projections!$B88</f>
        <v>#REF!</v>
      </c>
      <c r="Q88" s="23" t="e">
        <f>pm.rep!O106*Projections!Q$6/Projections!$B88</f>
        <v>#REF!</v>
      </c>
      <c r="R88" s="23" t="e">
        <f>pm.rep!P106*Projections!R$6/Projections!$B88</f>
        <v>#REF!</v>
      </c>
      <c r="U88" s="27" t="e">
        <f>SUMPRODUCT($D$6:$G$6,pm.rep!B107:E107)</f>
        <v>#REF!</v>
      </c>
      <c r="V88" t="e">
        <f>SUMPRODUCT($D$6:$J$6,pm.rep!B107:H107)</f>
        <v>#REF!</v>
      </c>
    </row>
    <row r="89" spans="2:22" x14ac:dyDescent="0.15">
      <c r="B89" s="27" t="e">
        <f>SUMPRODUCT(pm.rep!B107:P107,$D$6:$R$6)</f>
        <v>#REF!</v>
      </c>
      <c r="C89">
        <f t="shared" si="72"/>
        <v>2008</v>
      </c>
      <c r="D89" s="23" t="e">
        <f>pm.rep!B107*Projections!D$6/Projections!$B89</f>
        <v>#REF!</v>
      </c>
      <c r="E89" s="23" t="e">
        <f>pm.rep!C107*Projections!E$6/Projections!$B89</f>
        <v>#REF!</v>
      </c>
      <c r="F89" s="23" t="e">
        <f>pm.rep!D107*Projections!F$6/Projections!$B89</f>
        <v>#REF!</v>
      </c>
      <c r="G89" s="23" t="e">
        <f>pm.rep!E107*Projections!G$6/Projections!$B89</f>
        <v>#REF!</v>
      </c>
      <c r="H89" s="23" t="e">
        <f>pm.rep!F107*Projections!H$6/Projections!$B89</f>
        <v>#REF!</v>
      </c>
      <c r="I89" s="23" t="e">
        <f>pm.rep!G107*Projections!I$6/Projections!$B89</f>
        <v>#REF!</v>
      </c>
      <c r="J89" s="23" t="e">
        <f>pm.rep!H107*Projections!J$6/Projections!$B89</f>
        <v>#REF!</v>
      </c>
      <c r="K89" s="23" t="e">
        <f>pm.rep!I107*Projections!K$6/Projections!$B89</f>
        <v>#REF!</v>
      </c>
      <c r="L89" s="23" t="e">
        <f>pm.rep!J107*Projections!L$6/Projections!$B89</f>
        <v>#REF!</v>
      </c>
      <c r="M89" s="23" t="e">
        <f>pm.rep!K107*Projections!M$6/Projections!$B89</f>
        <v>#REF!</v>
      </c>
      <c r="N89" s="23" t="e">
        <f>pm.rep!L107*Projections!N$6/Projections!$B89</f>
        <v>#REF!</v>
      </c>
      <c r="O89" s="23" t="e">
        <f>pm.rep!M107*Projections!O$6/Projections!$B89</f>
        <v>#REF!</v>
      </c>
      <c r="P89" s="23" t="e">
        <f>pm.rep!N107*Projections!P$6/Projections!$B89</f>
        <v>#REF!</v>
      </c>
      <c r="Q89" s="23" t="e">
        <f>pm.rep!O107*Projections!Q$6/Projections!$B89</f>
        <v>#REF!</v>
      </c>
      <c r="R89" s="23" t="e">
        <f>pm.rep!P107*Projections!R$6/Projections!$B89</f>
        <v>#REF!</v>
      </c>
      <c r="U89" s="27" t="e">
        <f>SUMPRODUCT($D$6:$G$6,pm.rep!B108:E108)</f>
        <v>#REF!</v>
      </c>
      <c r="V89" t="e">
        <f>SUMPRODUCT($D$6:$J$6,pm.rep!B108:H108)</f>
        <v>#REF!</v>
      </c>
    </row>
    <row r="90" spans="2:22" x14ac:dyDescent="0.15">
      <c r="B90" s="27" t="e">
        <f>SUMPRODUCT(pm.rep!B108:P108,$D$6:$R$6)</f>
        <v>#REF!</v>
      </c>
      <c r="C90">
        <f t="shared" si="72"/>
        <v>2009</v>
      </c>
      <c r="D90" s="23" t="e">
        <f>pm.rep!B108*Projections!D$6/Projections!$B90</f>
        <v>#REF!</v>
      </c>
      <c r="E90" s="23" t="e">
        <f>pm.rep!C108*Projections!E$6/Projections!$B90</f>
        <v>#REF!</v>
      </c>
      <c r="F90" s="23" t="e">
        <f>pm.rep!D108*Projections!F$6/Projections!$B90</f>
        <v>#REF!</v>
      </c>
      <c r="G90" s="23" t="e">
        <f>pm.rep!E108*Projections!G$6/Projections!$B90</f>
        <v>#REF!</v>
      </c>
      <c r="H90" s="23" t="e">
        <f>pm.rep!F108*Projections!H$6/Projections!$B90</f>
        <v>#REF!</v>
      </c>
      <c r="I90" s="23" t="e">
        <f>pm.rep!G108*Projections!I$6/Projections!$B90</f>
        <v>#REF!</v>
      </c>
      <c r="J90" s="23" t="e">
        <f>pm.rep!H108*Projections!J$6/Projections!$B90</f>
        <v>#REF!</v>
      </c>
      <c r="K90" s="23" t="e">
        <f>pm.rep!I108*Projections!K$6/Projections!$B90</f>
        <v>#REF!</v>
      </c>
      <c r="L90" s="23" t="e">
        <f>pm.rep!J108*Projections!L$6/Projections!$B90</f>
        <v>#REF!</v>
      </c>
      <c r="M90" s="23" t="e">
        <f>pm.rep!K108*Projections!M$6/Projections!$B90</f>
        <v>#REF!</v>
      </c>
      <c r="N90" s="23" t="e">
        <f>pm.rep!L108*Projections!N$6/Projections!$B90</f>
        <v>#REF!</v>
      </c>
      <c r="O90" s="23" t="e">
        <f>pm.rep!M108*Projections!O$6/Projections!$B90</f>
        <v>#REF!</v>
      </c>
      <c r="P90" s="23" t="e">
        <f>pm.rep!N108*Projections!P$6/Projections!$B90</f>
        <v>#REF!</v>
      </c>
      <c r="Q90" s="23" t="e">
        <f>pm.rep!O108*Projections!Q$6/Projections!$B90</f>
        <v>#REF!</v>
      </c>
      <c r="R90" s="23" t="e">
        <f>pm.rep!P108*Projections!R$6/Projections!$B90</f>
        <v>#REF!</v>
      </c>
      <c r="U90" s="27" t="e">
        <f>SUMPRODUCT($D$6:$G$6,pm.rep!B109:E109)</f>
        <v>#REF!</v>
      </c>
      <c r="V90" t="e">
        <f>SUMPRODUCT($D$6:$J$6,pm.rep!B109:H109)</f>
        <v>#REF!</v>
      </c>
    </row>
    <row r="91" spans="2:22" x14ac:dyDescent="0.15">
      <c r="B91" s="157" t="e">
        <f>SUMPRODUCT(pm.rep!B109:P109,$D$6:$R$6)</f>
        <v>#REF!</v>
      </c>
      <c r="C91" s="158">
        <f t="shared" si="72"/>
        <v>2010</v>
      </c>
      <c r="D91" s="23" t="e">
        <f>pm.rep!B109*Projections!D$6/Projections!$B91</f>
        <v>#REF!</v>
      </c>
      <c r="E91" s="23" t="e">
        <f>pm.rep!C109*Projections!E$6/Projections!$B91</f>
        <v>#REF!</v>
      </c>
      <c r="F91" s="23" t="e">
        <f>pm.rep!D109*Projections!F$6/Projections!$B91</f>
        <v>#REF!</v>
      </c>
      <c r="G91" s="23" t="e">
        <f>pm.rep!E109*Projections!G$6/Projections!$B91</f>
        <v>#REF!</v>
      </c>
      <c r="H91" s="23" t="e">
        <f>pm.rep!F109*Projections!H$6/Projections!$B91</f>
        <v>#REF!</v>
      </c>
      <c r="I91" s="23" t="e">
        <f>pm.rep!G109*Projections!I$6/Projections!$B91</f>
        <v>#REF!</v>
      </c>
      <c r="J91" s="23" t="e">
        <f>pm.rep!H109*Projections!J$6/Projections!$B91</f>
        <v>#REF!</v>
      </c>
      <c r="K91" s="23" t="e">
        <f>pm.rep!I109*Projections!K$6/Projections!$B91</f>
        <v>#REF!</v>
      </c>
      <c r="L91" s="23" t="e">
        <f>pm.rep!J109*Projections!L$6/Projections!$B91</f>
        <v>#REF!</v>
      </c>
      <c r="M91" s="23" t="e">
        <f>pm.rep!K109*Projections!M$6/Projections!$B91</f>
        <v>#REF!</v>
      </c>
      <c r="N91" s="23" t="e">
        <f>pm.rep!L109*Projections!N$6/Projections!$B91</f>
        <v>#REF!</v>
      </c>
      <c r="O91" s="23" t="e">
        <f>pm.rep!M109*Projections!O$6/Projections!$B91</f>
        <v>#REF!</v>
      </c>
      <c r="P91" s="23" t="e">
        <f>pm.rep!N109*Projections!P$6/Projections!$B91</f>
        <v>#REF!</v>
      </c>
      <c r="Q91" s="23" t="e">
        <f>pm.rep!O109*Projections!Q$6/Projections!$B91</f>
        <v>#REF!</v>
      </c>
      <c r="R91" s="23" t="e">
        <f>pm.rep!P109*Projections!R$6/Projections!$B91</f>
        <v>#REF!</v>
      </c>
    </row>
    <row r="92" spans="2:22" x14ac:dyDescent="0.15">
      <c r="B92" s="157" t="e">
        <f>SUMPRODUCT(pm.rep!B110:P110,$D$6:$R$6)</f>
        <v>#REF!</v>
      </c>
      <c r="C92">
        <v>2011</v>
      </c>
      <c r="D92" s="23" t="e">
        <f>pm.rep!B110*Projections!D$6/Projections!$B92</f>
        <v>#REF!</v>
      </c>
      <c r="E92" s="23" t="e">
        <f>pm.rep!C110*Projections!E$6/Projections!$B92</f>
        <v>#REF!</v>
      </c>
      <c r="F92" s="23" t="e">
        <f>pm.rep!D110*Projections!F$6/Projections!$B92</f>
        <v>#REF!</v>
      </c>
      <c r="G92" s="23" t="e">
        <f>pm.rep!E110*Projections!G$6/Projections!$B92</f>
        <v>#REF!</v>
      </c>
      <c r="H92" s="23" t="e">
        <f>pm.rep!F110*Projections!H$6/Projections!$B92</f>
        <v>#REF!</v>
      </c>
      <c r="I92" s="23" t="e">
        <f>pm.rep!G110*Projections!I$6/Projections!$B92</f>
        <v>#REF!</v>
      </c>
      <c r="J92" s="23" t="e">
        <f>pm.rep!H110*Projections!J$6/Projections!$B92</f>
        <v>#REF!</v>
      </c>
      <c r="K92" s="23" t="e">
        <f>pm.rep!I110*Projections!K$6/Projections!$B92</f>
        <v>#REF!</v>
      </c>
      <c r="L92" s="23" t="e">
        <f>pm.rep!J110*Projections!L$6/Projections!$B92</f>
        <v>#REF!</v>
      </c>
      <c r="M92" s="23" t="e">
        <f>pm.rep!K110*Projections!M$6/Projections!$B92</f>
        <v>#REF!</v>
      </c>
      <c r="N92" s="23" t="e">
        <f>pm.rep!L110*Projections!N$6/Projections!$B92</f>
        <v>#REF!</v>
      </c>
      <c r="O92" s="23" t="e">
        <f>pm.rep!M110*Projections!O$6/Projections!$B92</f>
        <v>#REF!</v>
      </c>
      <c r="P92" s="23" t="e">
        <f>pm.rep!N110*Projections!P$6/Projections!$B92</f>
        <v>#REF!</v>
      </c>
      <c r="Q92" s="23" t="e">
        <f>pm.rep!O110*Projections!Q$6/Projections!$B92</f>
        <v>#REF!</v>
      </c>
      <c r="R92" s="23" t="e">
        <f>pm.rep!P110*Projections!R$6/Projections!$B92</f>
        <v>#REF!</v>
      </c>
    </row>
    <row r="93" spans="2:22" x14ac:dyDescent="0.15">
      <c r="B93" s="157" t="e">
        <f>SUMPRODUCT(pm.rep!B111:P111,$D$6:$R$6)</f>
        <v>#REF!</v>
      </c>
      <c r="C93">
        <v>2012</v>
      </c>
      <c r="D93" s="23" t="e">
        <f>pm.rep!B111*Projections!D$6/Projections!$B93</f>
        <v>#REF!</v>
      </c>
      <c r="E93" s="23" t="e">
        <f>pm.rep!C111*Projections!E$6/Projections!$B93</f>
        <v>#REF!</v>
      </c>
      <c r="F93" s="23" t="e">
        <f>pm.rep!D111*Projections!F$6/Projections!$B93</f>
        <v>#REF!</v>
      </c>
      <c r="G93" s="23" t="e">
        <f>pm.rep!E111*Projections!G$6/Projections!$B93</f>
        <v>#REF!</v>
      </c>
      <c r="H93" s="23" t="e">
        <f>pm.rep!F111*Projections!H$6/Projections!$B93</f>
        <v>#REF!</v>
      </c>
      <c r="I93" s="23" t="e">
        <f>pm.rep!G111*Projections!I$6/Projections!$B93</f>
        <v>#REF!</v>
      </c>
      <c r="J93" s="23" t="e">
        <f>pm.rep!H111*Projections!J$6/Projections!$B93</f>
        <v>#REF!</v>
      </c>
      <c r="K93" s="23" t="e">
        <f>pm.rep!I111*Projections!K$6/Projections!$B93</f>
        <v>#REF!</v>
      </c>
      <c r="L93" s="23" t="e">
        <f>pm.rep!J111*Projections!L$6/Projections!$B93</f>
        <v>#REF!</v>
      </c>
      <c r="M93" s="23" t="e">
        <f>pm.rep!K111*Projections!M$6/Projections!$B93</f>
        <v>#REF!</v>
      </c>
      <c r="N93" s="23" t="e">
        <f>pm.rep!L111*Projections!N$6/Projections!$B93</f>
        <v>#REF!</v>
      </c>
      <c r="O93" s="23" t="e">
        <f>pm.rep!M111*Projections!O$6/Projections!$B93</f>
        <v>#REF!</v>
      </c>
      <c r="P93" s="23" t="e">
        <f>pm.rep!N111*Projections!P$6/Projections!$B93</f>
        <v>#REF!</v>
      </c>
      <c r="Q93" s="23" t="e">
        <f>pm.rep!O111*Projections!Q$6/Projections!$B93</f>
        <v>#REF!</v>
      </c>
      <c r="R93" s="23" t="e">
        <f>pm.rep!P111*Projections!R$6/Projections!$B93</f>
        <v>#REF!</v>
      </c>
    </row>
    <row r="94" spans="2:22" x14ac:dyDescent="0.15">
      <c r="B94" s="27"/>
      <c r="C94">
        <v>2013</v>
      </c>
      <c r="D94" s="23" t="e">
        <f>D33</f>
        <v>#REF!</v>
      </c>
      <c r="E94" s="23" t="e">
        <f t="shared" ref="E94:L94" si="73">E33</f>
        <v>#REF!</v>
      </c>
      <c r="F94" s="23" t="e">
        <f t="shared" si="73"/>
        <v>#REF!</v>
      </c>
      <c r="G94" s="23" t="e">
        <f t="shared" si="73"/>
        <v>#REF!</v>
      </c>
      <c r="H94" s="23" t="e">
        <f t="shared" si="73"/>
        <v>#REF!</v>
      </c>
      <c r="I94" s="23" t="e">
        <f t="shared" si="73"/>
        <v>#REF!</v>
      </c>
      <c r="J94" s="23" t="e">
        <f t="shared" si="73"/>
        <v>#REF!</v>
      </c>
      <c r="K94" s="23" t="e">
        <f t="shared" si="73"/>
        <v>#REF!</v>
      </c>
      <c r="L94" s="23" t="e">
        <f t="shared" si="73"/>
        <v>#REF!</v>
      </c>
      <c r="M94" s="23" t="e">
        <f>M35</f>
        <v>#REF!</v>
      </c>
      <c r="N94" s="23"/>
      <c r="O94" s="23"/>
      <c r="P94" s="23"/>
      <c r="Q94" s="23"/>
      <c r="R94" s="23"/>
    </row>
    <row r="95" spans="2:22" x14ac:dyDescent="0.15">
      <c r="B95" s="27"/>
      <c r="C95">
        <v>2014</v>
      </c>
      <c r="D95" s="23" t="e">
        <f t="shared" ref="D95:L95" si="74">D34</f>
        <v>#REF!</v>
      </c>
      <c r="E95" s="23" t="e">
        <f t="shared" si="74"/>
        <v>#REF!</v>
      </c>
      <c r="F95" s="23" t="e">
        <f t="shared" si="74"/>
        <v>#REF!</v>
      </c>
      <c r="G95" s="23" t="e">
        <f t="shared" si="74"/>
        <v>#REF!</v>
      </c>
      <c r="H95" s="23" t="e">
        <f t="shared" si="74"/>
        <v>#REF!</v>
      </c>
      <c r="I95" s="23" t="e">
        <f t="shared" si="74"/>
        <v>#REF!</v>
      </c>
      <c r="J95" s="23" t="e">
        <f t="shared" si="74"/>
        <v>#REF!</v>
      </c>
      <c r="K95" s="23" t="e">
        <f t="shared" si="74"/>
        <v>#REF!</v>
      </c>
      <c r="L95" s="23" t="e">
        <f t="shared" si="74"/>
        <v>#REF!</v>
      </c>
      <c r="M95" s="23" t="e">
        <f>M36</f>
        <v>#REF!</v>
      </c>
      <c r="N95" s="23"/>
      <c r="O95" s="23"/>
      <c r="P95" s="23"/>
      <c r="Q95" s="23"/>
      <c r="R95" s="23"/>
    </row>
    <row r="96" spans="2:22" x14ac:dyDescent="0.15">
      <c r="B96" s="27"/>
      <c r="C96">
        <v>2015</v>
      </c>
      <c r="D96" s="23" t="e">
        <f t="shared" ref="D96:L96" si="75">D35</f>
        <v>#REF!</v>
      </c>
      <c r="E96" s="23" t="e">
        <f t="shared" si="75"/>
        <v>#REF!</v>
      </c>
      <c r="F96" s="23" t="e">
        <f t="shared" si="75"/>
        <v>#REF!</v>
      </c>
      <c r="G96" s="23" t="e">
        <f t="shared" si="75"/>
        <v>#REF!</v>
      </c>
      <c r="H96" s="23" t="e">
        <f t="shared" si="75"/>
        <v>#REF!</v>
      </c>
      <c r="I96" s="23" t="e">
        <f t="shared" si="75"/>
        <v>#REF!</v>
      </c>
      <c r="J96" s="23" t="e">
        <f t="shared" si="75"/>
        <v>#REF!</v>
      </c>
      <c r="K96" s="23" t="e">
        <f t="shared" si="75"/>
        <v>#REF!</v>
      </c>
      <c r="L96" s="23" t="e">
        <f t="shared" si="75"/>
        <v>#REF!</v>
      </c>
      <c r="M96" s="23" t="e">
        <f>M37</f>
        <v>#REF!</v>
      </c>
      <c r="N96" s="23"/>
      <c r="O96" s="23"/>
      <c r="P96" s="23"/>
      <c r="Q96" s="23"/>
      <c r="R96" s="23"/>
    </row>
    <row r="97" spans="2:18" x14ac:dyDescent="0.15">
      <c r="B97" s="27"/>
      <c r="C97">
        <v>2016</v>
      </c>
      <c r="D97" s="23" t="e">
        <f t="shared" ref="D97:L97" si="76">D36</f>
        <v>#REF!</v>
      </c>
      <c r="E97" s="23" t="e">
        <f t="shared" si="76"/>
        <v>#REF!</v>
      </c>
      <c r="F97" s="23" t="e">
        <f t="shared" si="76"/>
        <v>#REF!</v>
      </c>
      <c r="G97" s="23" t="e">
        <f t="shared" si="76"/>
        <v>#REF!</v>
      </c>
      <c r="H97" s="23" t="e">
        <f t="shared" si="76"/>
        <v>#REF!</v>
      </c>
      <c r="I97" s="23" t="e">
        <f t="shared" si="76"/>
        <v>#REF!</v>
      </c>
      <c r="J97" s="23" t="e">
        <f t="shared" si="76"/>
        <v>#REF!</v>
      </c>
      <c r="K97" s="23" t="e">
        <f t="shared" si="76"/>
        <v>#REF!</v>
      </c>
      <c r="L97" s="23" t="e">
        <f t="shared" si="76"/>
        <v>#REF!</v>
      </c>
      <c r="M97" s="23">
        <f>M38</f>
        <v>0</v>
      </c>
      <c r="N97" s="23"/>
      <c r="O97" s="23"/>
      <c r="P97" s="23"/>
      <c r="Q97" s="23"/>
      <c r="R97" s="23"/>
    </row>
    <row r="98" spans="2:18" x14ac:dyDescent="0.15">
      <c r="B98" s="27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</row>
    <row r="99" spans="2:18" x14ac:dyDescent="0.15">
      <c r="B99" s="27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</row>
    <row r="100" spans="2:18" x14ac:dyDescent="0.15">
      <c r="B100">
        <v>0.48324118185938397</v>
      </c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2:18" x14ac:dyDescent="0.15">
      <c r="B101">
        <v>0.20077399965799583</v>
      </c>
    </row>
    <row r="102" spans="2:18" x14ac:dyDescent="0.15">
      <c r="B102">
        <v>0.27400000000000002</v>
      </c>
    </row>
    <row r="103" spans="2:18" x14ac:dyDescent="0.15">
      <c r="B103">
        <v>0.27400000000000002</v>
      </c>
    </row>
    <row r="104" spans="2:18" x14ac:dyDescent="0.15">
      <c r="B104">
        <v>0.27400000000000002</v>
      </c>
    </row>
    <row r="105" spans="2:18" ht="30" x14ac:dyDescent="0.3">
      <c r="C105" s="156" t="s">
        <v>155</v>
      </c>
    </row>
    <row r="106" spans="2:18" x14ac:dyDescent="0.15">
      <c r="B106" s="27" t="e">
        <f>SUMPRODUCT(D106:R106,D$6:R$6)</f>
        <v>#VALUE!</v>
      </c>
      <c r="C106">
        <f>C19</f>
        <v>2013</v>
      </c>
      <c r="D106" t="e">
        <f t="shared" ref="D106:R110" si="77">D19*U21*(1-BB21)/AL21</f>
        <v>#VALUE!</v>
      </c>
      <c r="E106">
        <f t="shared" si="77"/>
        <v>0</v>
      </c>
      <c r="F106">
        <f t="shared" si="77"/>
        <v>0</v>
      </c>
      <c r="G106">
        <f t="shared" si="77"/>
        <v>0</v>
      </c>
      <c r="H106">
        <f t="shared" si="77"/>
        <v>0</v>
      </c>
      <c r="I106">
        <f t="shared" si="77"/>
        <v>0</v>
      </c>
      <c r="J106">
        <f t="shared" si="77"/>
        <v>0</v>
      </c>
      <c r="K106">
        <f t="shared" si="77"/>
        <v>0</v>
      </c>
      <c r="L106">
        <f t="shared" si="77"/>
        <v>0</v>
      </c>
      <c r="M106">
        <f t="shared" si="77"/>
        <v>0</v>
      </c>
      <c r="N106">
        <f t="shared" si="77"/>
        <v>0</v>
      </c>
      <c r="O106">
        <f t="shared" si="77"/>
        <v>0</v>
      </c>
      <c r="P106">
        <f t="shared" si="77"/>
        <v>0</v>
      </c>
      <c r="Q106">
        <f t="shared" si="77"/>
        <v>0</v>
      </c>
      <c r="R106">
        <f t="shared" si="77"/>
        <v>0</v>
      </c>
    </row>
    <row r="107" spans="2:18" x14ac:dyDescent="0.15">
      <c r="B107" s="27" t="e">
        <f>SUMPRODUCT(D107:R107,D$6:R$6)</f>
        <v>#VALUE!</v>
      </c>
      <c r="C107">
        <f>C20</f>
        <v>2014</v>
      </c>
      <c r="D107" t="e">
        <f t="shared" si="77"/>
        <v>#VALUE!</v>
      </c>
      <c r="E107" t="e">
        <f t="shared" si="77"/>
        <v>#VALUE!</v>
      </c>
      <c r="F107">
        <f t="shared" si="77"/>
        <v>0</v>
      </c>
      <c r="G107">
        <f t="shared" si="77"/>
        <v>0</v>
      </c>
      <c r="H107">
        <f t="shared" si="77"/>
        <v>0</v>
      </c>
      <c r="I107">
        <f t="shared" si="77"/>
        <v>0</v>
      </c>
      <c r="J107">
        <f t="shared" si="77"/>
        <v>0</v>
      </c>
      <c r="K107">
        <f t="shared" si="77"/>
        <v>0</v>
      </c>
      <c r="L107">
        <f t="shared" si="77"/>
        <v>0</v>
      </c>
      <c r="M107">
        <f t="shared" si="77"/>
        <v>0</v>
      </c>
      <c r="N107">
        <f t="shared" si="77"/>
        <v>0</v>
      </c>
      <c r="O107">
        <f t="shared" si="77"/>
        <v>0</v>
      </c>
      <c r="P107">
        <f t="shared" si="77"/>
        <v>0</v>
      </c>
      <c r="Q107">
        <f t="shared" si="77"/>
        <v>0</v>
      </c>
      <c r="R107">
        <f t="shared" si="77"/>
        <v>0</v>
      </c>
    </row>
    <row r="108" spans="2:18" x14ac:dyDescent="0.15">
      <c r="B108" s="27" t="e">
        <f>SUMPRODUCT(D108:R108,D$6:R$6)</f>
        <v>#VALUE!</v>
      </c>
      <c r="C108">
        <f>C21</f>
        <v>2015</v>
      </c>
      <c r="D108" t="e">
        <f t="shared" si="77"/>
        <v>#VALUE!</v>
      </c>
      <c r="E108" t="e">
        <f t="shared" si="77"/>
        <v>#VALUE!</v>
      </c>
      <c r="F108" t="e">
        <f t="shared" si="77"/>
        <v>#VALUE!</v>
      </c>
      <c r="G108">
        <f t="shared" si="77"/>
        <v>0</v>
      </c>
      <c r="H108">
        <f t="shared" si="77"/>
        <v>0</v>
      </c>
      <c r="I108">
        <f t="shared" si="77"/>
        <v>0</v>
      </c>
      <c r="J108">
        <f t="shared" si="77"/>
        <v>0</v>
      </c>
      <c r="K108">
        <f t="shared" si="77"/>
        <v>0</v>
      </c>
      <c r="L108">
        <f t="shared" si="77"/>
        <v>0</v>
      </c>
      <c r="M108">
        <f t="shared" si="77"/>
        <v>0</v>
      </c>
      <c r="N108">
        <f t="shared" si="77"/>
        <v>0</v>
      </c>
      <c r="O108">
        <f t="shared" si="77"/>
        <v>0</v>
      </c>
      <c r="P108">
        <f t="shared" si="77"/>
        <v>0</v>
      </c>
      <c r="Q108">
        <f t="shared" si="77"/>
        <v>0</v>
      </c>
      <c r="R108">
        <f t="shared" si="77"/>
        <v>0</v>
      </c>
    </row>
    <row r="109" spans="2:18" x14ac:dyDescent="0.15">
      <c r="B109" s="27" t="e">
        <f>SUMPRODUCT(D109:R109,D$6:R$6)</f>
        <v>#VALUE!</v>
      </c>
      <c r="C109">
        <f>C22</f>
        <v>2016</v>
      </c>
      <c r="D109" t="e">
        <f t="shared" si="77"/>
        <v>#VALUE!</v>
      </c>
      <c r="E109" t="e">
        <f t="shared" si="77"/>
        <v>#VALUE!</v>
      </c>
      <c r="F109" t="e">
        <f t="shared" si="77"/>
        <v>#VALUE!</v>
      </c>
      <c r="G109" t="e">
        <f t="shared" si="77"/>
        <v>#VALUE!</v>
      </c>
      <c r="H109">
        <f t="shared" si="77"/>
        <v>0</v>
      </c>
      <c r="I109">
        <f t="shared" si="77"/>
        <v>0</v>
      </c>
      <c r="J109">
        <f t="shared" si="77"/>
        <v>0</v>
      </c>
      <c r="K109">
        <f t="shared" si="77"/>
        <v>0</v>
      </c>
      <c r="L109">
        <f t="shared" si="77"/>
        <v>0</v>
      </c>
      <c r="M109">
        <f t="shared" si="77"/>
        <v>0</v>
      </c>
      <c r="N109">
        <f t="shared" si="77"/>
        <v>0</v>
      </c>
      <c r="O109">
        <f t="shared" si="77"/>
        <v>0</v>
      </c>
      <c r="P109">
        <f t="shared" si="77"/>
        <v>0</v>
      </c>
      <c r="Q109">
        <f t="shared" si="77"/>
        <v>0</v>
      </c>
      <c r="R109">
        <f t="shared" si="77"/>
        <v>0</v>
      </c>
    </row>
    <row r="110" spans="2:18" x14ac:dyDescent="0.15">
      <c r="B110" s="27" t="e">
        <f>SUMPRODUCT(D110:R110,D$6:R$6)</f>
        <v>#VALUE!</v>
      </c>
      <c r="C110">
        <f>C23</f>
        <v>2017</v>
      </c>
      <c r="D110" t="e">
        <f t="shared" si="77"/>
        <v>#VALUE!</v>
      </c>
      <c r="E110" t="e">
        <f t="shared" si="77"/>
        <v>#VALUE!</v>
      </c>
      <c r="F110" t="e">
        <f t="shared" si="77"/>
        <v>#VALUE!</v>
      </c>
      <c r="G110" t="e">
        <f t="shared" si="77"/>
        <v>#VALUE!</v>
      </c>
      <c r="H110" t="e">
        <f t="shared" si="77"/>
        <v>#VALUE!</v>
      </c>
      <c r="I110">
        <f t="shared" si="77"/>
        <v>0</v>
      </c>
      <c r="J110">
        <f t="shared" si="77"/>
        <v>0</v>
      </c>
      <c r="K110">
        <f t="shared" si="77"/>
        <v>0</v>
      </c>
      <c r="L110">
        <f t="shared" si="77"/>
        <v>0</v>
      </c>
      <c r="M110">
        <f t="shared" si="77"/>
        <v>0</v>
      </c>
      <c r="N110">
        <f t="shared" si="77"/>
        <v>0</v>
      </c>
      <c r="O110">
        <f t="shared" si="77"/>
        <v>0</v>
      </c>
      <c r="P110">
        <f t="shared" si="77"/>
        <v>0</v>
      </c>
      <c r="Q110">
        <f t="shared" si="77"/>
        <v>0</v>
      </c>
      <c r="R110">
        <f t="shared" si="77"/>
        <v>0</v>
      </c>
    </row>
    <row r="111" spans="2:18" x14ac:dyDescent="0.15">
      <c r="B111" s="31">
        <f>4/12</f>
        <v>0.33333333333333331</v>
      </c>
    </row>
    <row r="112" spans="2:18" x14ac:dyDescent="0.15">
      <c r="B112" s="31"/>
    </row>
    <row r="113" spans="2:18" x14ac:dyDescent="0.15">
      <c r="B113" s="4" t="s">
        <v>43</v>
      </c>
      <c r="C113" s="4" t="s">
        <v>751</v>
      </c>
      <c r="D113" s="4">
        <v>1</v>
      </c>
      <c r="E113" s="4">
        <v>2</v>
      </c>
      <c r="F113" s="4">
        <v>3</v>
      </c>
      <c r="G113" s="4">
        <v>4</v>
      </c>
      <c r="H113" s="4">
        <v>5</v>
      </c>
      <c r="I113" s="4">
        <v>6</v>
      </c>
      <c r="J113" s="4">
        <v>7</v>
      </c>
      <c r="K113" s="4">
        <v>8</v>
      </c>
      <c r="L113" s="4">
        <v>9</v>
      </c>
      <c r="M113" s="4">
        <v>10</v>
      </c>
      <c r="N113" s="4">
        <v>11</v>
      </c>
      <c r="O113" s="4">
        <v>12</v>
      </c>
      <c r="P113" s="4">
        <v>13</v>
      </c>
      <c r="Q113" s="4">
        <v>14</v>
      </c>
      <c r="R113" s="4">
        <v>15</v>
      </c>
    </row>
    <row r="114" spans="2:18" x14ac:dyDescent="0.15">
      <c r="B114" s="27" t="e">
        <f t="array" ref="B114">SUMPRODUCT(D19:R19,$D$10:$R$10,BB21:BP21^$B$111,$D$6:$R$6)</f>
        <v>#VALUE!</v>
      </c>
      <c r="C114" s="4">
        <f>C106</f>
        <v>2013</v>
      </c>
      <c r="D114" s="23" t="e">
        <f t="shared" ref="D114:R114" si="78">D106*D$6/$B106</f>
        <v>#VALUE!</v>
      </c>
      <c r="E114" s="23" t="e">
        <f t="shared" si="78"/>
        <v>#REF!</v>
      </c>
      <c r="F114" s="154" t="e">
        <f t="shared" si="78"/>
        <v>#REF!</v>
      </c>
      <c r="G114" s="23" t="e">
        <f t="shared" si="78"/>
        <v>#REF!</v>
      </c>
      <c r="H114" s="154" t="e">
        <f t="shared" si="78"/>
        <v>#REF!</v>
      </c>
      <c r="I114" s="23" t="e">
        <f t="shared" si="78"/>
        <v>#REF!</v>
      </c>
      <c r="J114" s="23" t="e">
        <f t="shared" si="78"/>
        <v>#REF!</v>
      </c>
      <c r="K114" s="23" t="e">
        <f t="shared" si="78"/>
        <v>#REF!</v>
      </c>
      <c r="L114" s="23" t="e">
        <f t="shared" si="78"/>
        <v>#REF!</v>
      </c>
      <c r="M114" s="23" t="e">
        <f t="shared" si="78"/>
        <v>#REF!</v>
      </c>
      <c r="N114" s="23" t="e">
        <f t="shared" si="78"/>
        <v>#REF!</v>
      </c>
      <c r="O114" s="23" t="e">
        <f t="shared" si="78"/>
        <v>#REF!</v>
      </c>
      <c r="P114" s="23" t="e">
        <f t="shared" si="78"/>
        <v>#REF!</v>
      </c>
      <c r="Q114" s="23" t="e">
        <f t="shared" si="78"/>
        <v>#REF!</v>
      </c>
      <c r="R114" s="23" t="e">
        <f t="shared" si="78"/>
        <v>#REF!</v>
      </c>
    </row>
    <row r="115" spans="2:18" x14ac:dyDescent="0.15">
      <c r="B115" s="27" t="e">
        <f t="array" ref="B115">SUMPRODUCT(D20:R20,$D$10:$R$10,BB22:BP22^$B$111,$D$6:$R$6)</f>
        <v>#VALUE!</v>
      </c>
      <c r="C115" s="4">
        <f>C107</f>
        <v>2014</v>
      </c>
      <c r="D115" s="23" t="e">
        <f t="shared" ref="D115:R115" si="79">D107*D$6/$B107</f>
        <v>#VALUE!</v>
      </c>
      <c r="E115" s="23" t="e">
        <f t="shared" si="79"/>
        <v>#VALUE!</v>
      </c>
      <c r="F115" s="23" t="e">
        <f t="shared" si="79"/>
        <v>#REF!</v>
      </c>
      <c r="G115" s="154" t="e">
        <f t="shared" si="79"/>
        <v>#REF!</v>
      </c>
      <c r="H115" s="23" t="e">
        <f t="shared" si="79"/>
        <v>#REF!</v>
      </c>
      <c r="I115" s="154" t="e">
        <f t="shared" si="79"/>
        <v>#REF!</v>
      </c>
      <c r="J115" s="23" t="e">
        <f t="shared" si="79"/>
        <v>#REF!</v>
      </c>
      <c r="K115" s="23" t="e">
        <f t="shared" si="79"/>
        <v>#REF!</v>
      </c>
      <c r="L115" s="23" t="e">
        <f t="shared" si="79"/>
        <v>#REF!</v>
      </c>
      <c r="M115" s="23" t="e">
        <f t="shared" si="79"/>
        <v>#REF!</v>
      </c>
      <c r="N115" s="23" t="e">
        <f t="shared" si="79"/>
        <v>#REF!</v>
      </c>
      <c r="O115" s="23" t="e">
        <f t="shared" si="79"/>
        <v>#REF!</v>
      </c>
      <c r="P115" s="23" t="e">
        <f t="shared" si="79"/>
        <v>#REF!</v>
      </c>
      <c r="Q115" s="23" t="e">
        <f t="shared" si="79"/>
        <v>#REF!</v>
      </c>
      <c r="R115" s="23" t="e">
        <f t="shared" si="79"/>
        <v>#REF!</v>
      </c>
    </row>
    <row r="116" spans="2:18" x14ac:dyDescent="0.15">
      <c r="B116" s="27" t="e">
        <f t="array" ref="B116">SUMPRODUCT(D21:R21,$D$10:$R$10,BB23:BP23^$B$111,$D$6:$R$6)</f>
        <v>#VALUE!</v>
      </c>
      <c r="C116" s="4">
        <f>C108</f>
        <v>2015</v>
      </c>
      <c r="D116" s="23" t="e">
        <f t="shared" ref="D116:R116" si="80">D108*D$6/$B108</f>
        <v>#VALUE!</v>
      </c>
      <c r="E116" s="23" t="e">
        <f t="shared" si="80"/>
        <v>#VALUE!</v>
      </c>
      <c r="F116" s="23" t="e">
        <f t="shared" si="80"/>
        <v>#VALUE!</v>
      </c>
      <c r="G116" s="23" t="e">
        <f t="shared" si="80"/>
        <v>#REF!</v>
      </c>
      <c r="H116" s="154" t="e">
        <f t="shared" si="80"/>
        <v>#REF!</v>
      </c>
      <c r="I116" s="23" t="e">
        <f t="shared" si="80"/>
        <v>#REF!</v>
      </c>
      <c r="J116" s="154" t="e">
        <f t="shared" si="80"/>
        <v>#REF!</v>
      </c>
      <c r="K116" s="23" t="e">
        <f t="shared" si="80"/>
        <v>#REF!</v>
      </c>
      <c r="L116" s="23" t="e">
        <f t="shared" si="80"/>
        <v>#REF!</v>
      </c>
      <c r="M116" s="23" t="e">
        <f t="shared" si="80"/>
        <v>#REF!</v>
      </c>
      <c r="N116" s="23" t="e">
        <f t="shared" si="80"/>
        <v>#REF!</v>
      </c>
      <c r="O116" s="23" t="e">
        <f t="shared" si="80"/>
        <v>#REF!</v>
      </c>
      <c r="P116" s="23" t="e">
        <f t="shared" si="80"/>
        <v>#REF!</v>
      </c>
      <c r="Q116" s="23" t="e">
        <f t="shared" si="80"/>
        <v>#REF!</v>
      </c>
      <c r="R116" s="23" t="e">
        <f t="shared" si="80"/>
        <v>#REF!</v>
      </c>
    </row>
    <row r="117" spans="2:18" x14ac:dyDescent="0.15">
      <c r="B117" s="27" t="e">
        <f t="array" ref="B117">SUMPRODUCT(D22:R22,$D$10:$R$10,BB24:BP24^$B$111,$D$6:$R$6)</f>
        <v>#VALUE!</v>
      </c>
      <c r="C117" s="4">
        <f>C109</f>
        <v>2016</v>
      </c>
      <c r="D117" s="23" t="e">
        <f t="shared" ref="D117:R117" si="81">D109*D$6/$B109</f>
        <v>#VALUE!</v>
      </c>
      <c r="E117" s="23" t="e">
        <f t="shared" si="81"/>
        <v>#VALUE!</v>
      </c>
      <c r="F117" s="23" t="e">
        <f t="shared" si="81"/>
        <v>#VALUE!</v>
      </c>
      <c r="G117" s="23" t="e">
        <f t="shared" si="81"/>
        <v>#VALUE!</v>
      </c>
      <c r="H117" s="23" t="e">
        <f t="shared" si="81"/>
        <v>#REF!</v>
      </c>
      <c r="I117" s="154" t="e">
        <f t="shared" si="81"/>
        <v>#REF!</v>
      </c>
      <c r="J117" s="23" t="e">
        <f t="shared" si="81"/>
        <v>#REF!</v>
      </c>
      <c r="K117" s="154" t="e">
        <f t="shared" si="81"/>
        <v>#REF!</v>
      </c>
      <c r="L117" s="23" t="e">
        <f t="shared" si="81"/>
        <v>#REF!</v>
      </c>
      <c r="M117" s="23" t="e">
        <f t="shared" si="81"/>
        <v>#REF!</v>
      </c>
      <c r="N117" s="23" t="e">
        <f t="shared" si="81"/>
        <v>#REF!</v>
      </c>
      <c r="O117" s="23" t="e">
        <f t="shared" si="81"/>
        <v>#REF!</v>
      </c>
      <c r="P117" s="23" t="e">
        <f t="shared" si="81"/>
        <v>#REF!</v>
      </c>
      <c r="Q117" s="23" t="e">
        <f t="shared" si="81"/>
        <v>#REF!</v>
      </c>
      <c r="R117" s="23" t="e">
        <f t="shared" si="81"/>
        <v>#REF!</v>
      </c>
    </row>
    <row r="118" spans="2:18" x14ac:dyDescent="0.15">
      <c r="B118" s="27" t="e">
        <f t="array" ref="B118">SUMPRODUCT(D23:R23,$D$10:$R$10,BB25:BP25^$B$111,$D$6:$R$6)</f>
        <v>#VALUE!</v>
      </c>
      <c r="C118" s="4">
        <f>C110</f>
        <v>2017</v>
      </c>
      <c r="D118" s="23" t="e">
        <f t="shared" ref="D118:R118" si="82">D110*D$6/$B110</f>
        <v>#VALUE!</v>
      </c>
      <c r="E118" s="23" t="e">
        <f t="shared" si="82"/>
        <v>#VALUE!</v>
      </c>
      <c r="F118" s="23" t="e">
        <f t="shared" si="82"/>
        <v>#VALUE!</v>
      </c>
      <c r="G118" s="23" t="e">
        <f t="shared" si="82"/>
        <v>#VALUE!</v>
      </c>
      <c r="H118" s="23" t="e">
        <f t="shared" si="82"/>
        <v>#VALUE!</v>
      </c>
      <c r="I118" s="23" t="e">
        <f t="shared" si="82"/>
        <v>#REF!</v>
      </c>
      <c r="J118" s="154" t="e">
        <f t="shared" si="82"/>
        <v>#REF!</v>
      </c>
      <c r="K118" s="23" t="e">
        <f t="shared" si="82"/>
        <v>#REF!</v>
      </c>
      <c r="L118" s="154" t="e">
        <f t="shared" si="82"/>
        <v>#REF!</v>
      </c>
      <c r="M118" s="23" t="e">
        <f t="shared" si="82"/>
        <v>#REF!</v>
      </c>
      <c r="N118" s="23" t="e">
        <f t="shared" si="82"/>
        <v>#REF!</v>
      </c>
      <c r="O118" s="23" t="e">
        <f t="shared" si="82"/>
        <v>#REF!</v>
      </c>
      <c r="P118" s="23" t="e">
        <f t="shared" si="82"/>
        <v>#REF!</v>
      </c>
      <c r="Q118" s="23" t="e">
        <f t="shared" si="82"/>
        <v>#REF!</v>
      </c>
      <c r="R118" s="23" t="e">
        <f t="shared" si="82"/>
        <v>#REF!</v>
      </c>
    </row>
    <row r="120" spans="2:18" x14ac:dyDescent="0.15">
      <c r="C120" s="4" t="s">
        <v>750</v>
      </c>
      <c r="D120" s="4">
        <f t="shared" ref="D120:R120" si="83">D113</f>
        <v>1</v>
      </c>
      <c r="E120" s="4">
        <f t="shared" si="83"/>
        <v>2</v>
      </c>
      <c r="F120" s="4">
        <f t="shared" si="83"/>
        <v>3</v>
      </c>
      <c r="G120" s="4">
        <f t="shared" si="83"/>
        <v>4</v>
      </c>
      <c r="H120" s="4">
        <f t="shared" si="83"/>
        <v>5</v>
      </c>
      <c r="I120" s="4">
        <f t="shared" si="83"/>
        <v>6</v>
      </c>
      <c r="J120" s="4">
        <f t="shared" si="83"/>
        <v>7</v>
      </c>
      <c r="K120" s="4">
        <f t="shared" si="83"/>
        <v>8</v>
      </c>
      <c r="L120" s="4">
        <f t="shared" si="83"/>
        <v>9</v>
      </c>
      <c r="M120" s="4">
        <f t="shared" si="83"/>
        <v>10</v>
      </c>
      <c r="N120" s="4">
        <f t="shared" si="83"/>
        <v>11</v>
      </c>
      <c r="O120" s="4">
        <f t="shared" si="83"/>
        <v>12</v>
      </c>
      <c r="P120" s="4">
        <f t="shared" si="83"/>
        <v>13</v>
      </c>
      <c r="Q120" s="4">
        <f t="shared" si="83"/>
        <v>14</v>
      </c>
      <c r="R120" s="4">
        <f t="shared" si="83"/>
        <v>15</v>
      </c>
    </row>
    <row r="121" spans="2:18" x14ac:dyDescent="0.15">
      <c r="B121" t="e">
        <f>SUM(D106:R106)</f>
        <v>#VALUE!</v>
      </c>
      <c r="C121" s="4">
        <f>C114</f>
        <v>2013</v>
      </c>
      <c r="D121" s="23" t="e">
        <f t="shared" ref="D121:R121" si="84">D106/$B121</f>
        <v>#VALUE!</v>
      </c>
      <c r="E121" s="23" t="e">
        <f t="shared" si="84"/>
        <v>#VALUE!</v>
      </c>
      <c r="F121" s="154" t="e">
        <f t="shared" si="84"/>
        <v>#VALUE!</v>
      </c>
      <c r="G121" s="23" t="e">
        <f t="shared" si="84"/>
        <v>#VALUE!</v>
      </c>
      <c r="H121" s="154" t="e">
        <f t="shared" si="84"/>
        <v>#VALUE!</v>
      </c>
      <c r="I121" s="23" t="e">
        <f t="shared" si="84"/>
        <v>#VALUE!</v>
      </c>
      <c r="J121" s="23" t="e">
        <f t="shared" si="84"/>
        <v>#VALUE!</v>
      </c>
      <c r="K121" s="23" t="e">
        <f t="shared" si="84"/>
        <v>#VALUE!</v>
      </c>
      <c r="L121" s="23" t="e">
        <f t="shared" si="84"/>
        <v>#VALUE!</v>
      </c>
      <c r="M121" s="23" t="e">
        <f t="shared" si="84"/>
        <v>#VALUE!</v>
      </c>
      <c r="N121" s="23" t="e">
        <f t="shared" si="84"/>
        <v>#VALUE!</v>
      </c>
      <c r="O121" s="23" t="e">
        <f t="shared" si="84"/>
        <v>#VALUE!</v>
      </c>
      <c r="P121" s="23" t="e">
        <f t="shared" si="84"/>
        <v>#VALUE!</v>
      </c>
      <c r="Q121" s="23" t="e">
        <f t="shared" si="84"/>
        <v>#VALUE!</v>
      </c>
      <c r="R121" s="23" t="e">
        <f t="shared" si="84"/>
        <v>#VALUE!</v>
      </c>
    </row>
    <row r="122" spans="2:18" x14ac:dyDescent="0.15">
      <c r="B122" t="e">
        <f>SUM(D107:R107)</f>
        <v>#VALUE!</v>
      </c>
      <c r="C122" s="4">
        <f>C115</f>
        <v>2014</v>
      </c>
      <c r="D122" s="23" t="e">
        <f t="shared" ref="D122:R122" si="85">D107/$B122</f>
        <v>#VALUE!</v>
      </c>
      <c r="E122" s="23" t="e">
        <f t="shared" si="85"/>
        <v>#VALUE!</v>
      </c>
      <c r="F122" s="23" t="e">
        <f t="shared" si="85"/>
        <v>#VALUE!</v>
      </c>
      <c r="G122" s="154" t="e">
        <f t="shared" si="85"/>
        <v>#VALUE!</v>
      </c>
      <c r="H122" s="23" t="e">
        <f t="shared" si="85"/>
        <v>#VALUE!</v>
      </c>
      <c r="I122" s="154" t="e">
        <f t="shared" si="85"/>
        <v>#VALUE!</v>
      </c>
      <c r="J122" s="23" t="e">
        <f t="shared" si="85"/>
        <v>#VALUE!</v>
      </c>
      <c r="K122" s="23" t="e">
        <f t="shared" si="85"/>
        <v>#VALUE!</v>
      </c>
      <c r="L122" s="23" t="e">
        <f t="shared" si="85"/>
        <v>#VALUE!</v>
      </c>
      <c r="M122" s="23" t="e">
        <f t="shared" si="85"/>
        <v>#VALUE!</v>
      </c>
      <c r="N122" s="23" t="e">
        <f t="shared" si="85"/>
        <v>#VALUE!</v>
      </c>
      <c r="O122" s="23" t="e">
        <f t="shared" si="85"/>
        <v>#VALUE!</v>
      </c>
      <c r="P122" s="23" t="e">
        <f t="shared" si="85"/>
        <v>#VALUE!</v>
      </c>
      <c r="Q122" s="23" t="e">
        <f t="shared" si="85"/>
        <v>#VALUE!</v>
      </c>
      <c r="R122" s="23" t="e">
        <f t="shared" si="85"/>
        <v>#VALUE!</v>
      </c>
    </row>
    <row r="123" spans="2:18" x14ac:dyDescent="0.15">
      <c r="B123" t="e">
        <f>SUM(D108:R108)</f>
        <v>#VALUE!</v>
      </c>
      <c r="C123" s="4">
        <f>C116</f>
        <v>2015</v>
      </c>
      <c r="D123" s="23" t="e">
        <f t="shared" ref="D123:R123" si="86">D108/$B123</f>
        <v>#VALUE!</v>
      </c>
      <c r="E123" s="23" t="e">
        <f t="shared" si="86"/>
        <v>#VALUE!</v>
      </c>
      <c r="F123" s="23" t="e">
        <f t="shared" si="86"/>
        <v>#VALUE!</v>
      </c>
      <c r="G123" s="23" t="e">
        <f t="shared" si="86"/>
        <v>#VALUE!</v>
      </c>
      <c r="H123" s="154" t="e">
        <f t="shared" si="86"/>
        <v>#VALUE!</v>
      </c>
      <c r="I123" s="23" t="e">
        <f t="shared" si="86"/>
        <v>#VALUE!</v>
      </c>
      <c r="J123" s="154" t="e">
        <f t="shared" si="86"/>
        <v>#VALUE!</v>
      </c>
      <c r="K123" s="23" t="e">
        <f t="shared" si="86"/>
        <v>#VALUE!</v>
      </c>
      <c r="L123" s="23" t="e">
        <f t="shared" si="86"/>
        <v>#VALUE!</v>
      </c>
      <c r="M123" s="23" t="e">
        <f t="shared" si="86"/>
        <v>#VALUE!</v>
      </c>
      <c r="N123" s="23" t="e">
        <f t="shared" si="86"/>
        <v>#VALUE!</v>
      </c>
      <c r="O123" s="23" t="e">
        <f t="shared" si="86"/>
        <v>#VALUE!</v>
      </c>
      <c r="P123" s="23" t="e">
        <f t="shared" si="86"/>
        <v>#VALUE!</v>
      </c>
      <c r="Q123" s="23" t="e">
        <f t="shared" si="86"/>
        <v>#VALUE!</v>
      </c>
      <c r="R123" s="23" t="e">
        <f t="shared" si="86"/>
        <v>#VALUE!</v>
      </c>
    </row>
    <row r="124" spans="2:18" x14ac:dyDescent="0.15">
      <c r="B124" t="e">
        <f>SUM(D109:R109)</f>
        <v>#VALUE!</v>
      </c>
      <c r="C124" s="4">
        <f>C117</f>
        <v>2016</v>
      </c>
      <c r="D124" s="23" t="e">
        <f t="shared" ref="D124:R124" si="87">D109/$B124</f>
        <v>#VALUE!</v>
      </c>
      <c r="E124" s="23" t="e">
        <f t="shared" si="87"/>
        <v>#VALUE!</v>
      </c>
      <c r="F124" s="23" t="e">
        <f t="shared" si="87"/>
        <v>#VALUE!</v>
      </c>
      <c r="G124" s="23" t="e">
        <f t="shared" si="87"/>
        <v>#VALUE!</v>
      </c>
      <c r="H124" s="23" t="e">
        <f t="shared" si="87"/>
        <v>#VALUE!</v>
      </c>
      <c r="I124" s="154" t="e">
        <f t="shared" si="87"/>
        <v>#VALUE!</v>
      </c>
      <c r="J124" s="23" t="e">
        <f t="shared" si="87"/>
        <v>#VALUE!</v>
      </c>
      <c r="K124" s="154" t="e">
        <f t="shared" si="87"/>
        <v>#VALUE!</v>
      </c>
      <c r="L124" s="23" t="e">
        <f t="shared" si="87"/>
        <v>#VALUE!</v>
      </c>
      <c r="M124" s="23" t="e">
        <f t="shared" si="87"/>
        <v>#VALUE!</v>
      </c>
      <c r="N124" s="23" t="e">
        <f t="shared" si="87"/>
        <v>#VALUE!</v>
      </c>
      <c r="O124" s="23" t="e">
        <f t="shared" si="87"/>
        <v>#VALUE!</v>
      </c>
      <c r="P124" s="23" t="e">
        <f t="shared" si="87"/>
        <v>#VALUE!</v>
      </c>
      <c r="Q124" s="23" t="e">
        <f t="shared" si="87"/>
        <v>#VALUE!</v>
      </c>
      <c r="R124" s="23" t="e">
        <f t="shared" si="87"/>
        <v>#VALUE!</v>
      </c>
    </row>
    <row r="125" spans="2:18" x14ac:dyDescent="0.15">
      <c r="B125" t="e">
        <f>SUM(D110:R110)</f>
        <v>#VALUE!</v>
      </c>
      <c r="C125" s="4">
        <f>C118</f>
        <v>2017</v>
      </c>
      <c r="D125" s="23" t="e">
        <f t="shared" ref="D125:R125" si="88">D110/$B125</f>
        <v>#VALUE!</v>
      </c>
      <c r="E125" s="23" t="e">
        <f t="shared" si="88"/>
        <v>#VALUE!</v>
      </c>
      <c r="F125" s="23" t="e">
        <f t="shared" si="88"/>
        <v>#VALUE!</v>
      </c>
      <c r="G125" s="23" t="e">
        <f t="shared" si="88"/>
        <v>#VALUE!</v>
      </c>
      <c r="H125" s="23" t="e">
        <f t="shared" si="88"/>
        <v>#VALUE!</v>
      </c>
      <c r="I125" s="23" t="e">
        <f t="shared" si="88"/>
        <v>#VALUE!</v>
      </c>
      <c r="J125" s="154" t="e">
        <f t="shared" si="88"/>
        <v>#VALUE!</v>
      </c>
      <c r="K125" s="23" t="e">
        <f t="shared" si="88"/>
        <v>#VALUE!</v>
      </c>
      <c r="L125" s="154" t="e">
        <f t="shared" si="88"/>
        <v>#VALUE!</v>
      </c>
      <c r="M125" s="23" t="e">
        <f t="shared" si="88"/>
        <v>#VALUE!</v>
      </c>
      <c r="N125" s="23" t="e">
        <f t="shared" si="88"/>
        <v>#VALUE!</v>
      </c>
      <c r="O125" s="23" t="e">
        <f t="shared" si="88"/>
        <v>#VALUE!</v>
      </c>
      <c r="P125" s="23" t="e">
        <f t="shared" si="88"/>
        <v>#VALUE!</v>
      </c>
      <c r="Q125" s="23" t="e">
        <f t="shared" si="88"/>
        <v>#VALUE!</v>
      </c>
      <c r="R125" s="23" t="e">
        <f t="shared" si="88"/>
        <v>#VALUE!</v>
      </c>
    </row>
    <row r="126" spans="2:18" x14ac:dyDescent="0.15">
      <c r="D126" s="4">
        <v>1</v>
      </c>
      <c r="E126" s="4">
        <v>2</v>
      </c>
      <c r="F126" s="4">
        <v>3</v>
      </c>
      <c r="G126" s="4">
        <v>4</v>
      </c>
      <c r="H126" s="4">
        <v>5</v>
      </c>
      <c r="I126" s="4">
        <v>6</v>
      </c>
      <c r="J126" s="4">
        <v>7</v>
      </c>
      <c r="K126" s="4">
        <v>8</v>
      </c>
      <c r="L126" s="4">
        <v>9</v>
      </c>
      <c r="M126" s="4">
        <v>10</v>
      </c>
      <c r="N126" s="4">
        <v>11</v>
      </c>
      <c r="O126" s="4">
        <v>12</v>
      </c>
      <c r="P126" s="4">
        <v>13</v>
      </c>
      <c r="Q126" s="4">
        <v>14</v>
      </c>
      <c r="R126" s="4">
        <v>15</v>
      </c>
    </row>
    <row r="127" spans="2:18" x14ac:dyDescent="0.15">
      <c r="B127">
        <f>SUM(pm.rep!B552:P552)</f>
        <v>1890.1127100000003</v>
      </c>
      <c r="C127" s="4">
        <f>pm.rep!A552</f>
        <v>1990</v>
      </c>
      <c r="D127" s="155">
        <f>pm.rep!B552/$B127</f>
        <v>2.7308424374332678E-3</v>
      </c>
      <c r="E127" s="155">
        <f>pm.rep!C552/$B127</f>
        <v>1.2856799423352903E-2</v>
      </c>
      <c r="F127" s="155">
        <f>pm.rep!D552/$B127</f>
        <v>2.9395072424014328E-2</v>
      </c>
      <c r="G127" s="155">
        <f>pm.rep!E552/$B127</f>
        <v>8.5449401586215432E-2</v>
      </c>
      <c r="H127" s="155">
        <f>pm.rep!F552/$B127</f>
        <v>0.1668847568354799</v>
      </c>
      <c r="I127" s="155">
        <f>pm.rep!G552/$B127</f>
        <v>0.29192280284703231</v>
      </c>
      <c r="J127" s="155">
        <f>pm.rep!H552/$B127</f>
        <v>8.1121088276264741E-2</v>
      </c>
      <c r="K127" s="155">
        <f>pm.rep!I552/$B127</f>
        <v>0.19684910747994491</v>
      </c>
      <c r="L127" s="155">
        <f>pm.rep!J552/$B127</f>
        <v>3.7274337994372825E-2</v>
      </c>
      <c r="M127" s="155">
        <f>pm.rep!K552/$B127</f>
        <v>4.1680900606186594E-2</v>
      </c>
      <c r="N127" s="155">
        <f>pm.rep!L552/$B127</f>
        <v>2.0390477137207333E-2</v>
      </c>
      <c r="O127" s="155">
        <f>pm.rep!M552/$B127</f>
        <v>2.6356999630990256E-2</v>
      </c>
      <c r="P127" s="155">
        <f>pm.rep!N552/$B127</f>
        <v>4.9901733108815502E-3</v>
      </c>
      <c r="Q127" s="155">
        <f>pm.rep!O552/$B127</f>
        <v>1.1276205851237305E-3</v>
      </c>
      <c r="R127" s="155">
        <f>pm.rep!P552/$B127</f>
        <v>9.6961942549976272E-4</v>
      </c>
    </row>
    <row r="128" spans="2:18" x14ac:dyDescent="0.15">
      <c r="B128">
        <f>SUM(pm.rep!B553:P553)</f>
        <v>1556.5575200000003</v>
      </c>
      <c r="C128" s="4">
        <f>pm.rep!A553</f>
        <v>1991</v>
      </c>
      <c r="D128" s="155">
        <f>pm.rep!B553/$B128</f>
        <v>1.6283946898409507E-3</v>
      </c>
      <c r="E128" s="155">
        <f>pm.rep!C553/$B128</f>
        <v>7.2896760024647192E-2</v>
      </c>
      <c r="F128" s="155">
        <f>pm.rep!D553/$B128</f>
        <v>5.6958254905992795E-2</v>
      </c>
      <c r="G128" s="155">
        <f>pm.rep!E553/$B128</f>
        <v>6.2056749435125264E-2</v>
      </c>
      <c r="H128" s="155">
        <f>pm.rep!F553/$B128</f>
        <v>9.5913577289453433E-2</v>
      </c>
      <c r="I128" s="155">
        <f>pm.rep!G553/$B128</f>
        <v>0.13108092529725465</v>
      </c>
      <c r="J128" s="155">
        <f>pm.rep!H553/$B128</f>
        <v>0.25989017097164513</v>
      </c>
      <c r="K128" s="155">
        <f>pm.rep!I553/$B128</f>
        <v>5.7411627165567254E-2</v>
      </c>
      <c r="L128" s="155">
        <f>pm.rep!J553/$B128</f>
        <v>0.15181835361920962</v>
      </c>
      <c r="M128" s="155">
        <f>pm.rep!K553/$B128</f>
        <v>2.995623316252392E-2</v>
      </c>
      <c r="N128" s="155">
        <f>pm.rep!L553/$B128</f>
        <v>3.5079911470280903E-2</v>
      </c>
      <c r="O128" s="155">
        <f>pm.rep!M553/$B128</f>
        <v>1.7161267512940989E-2</v>
      </c>
      <c r="P128" s="155">
        <f>pm.rep!N553/$B128</f>
        <v>2.2182797330868947E-2</v>
      </c>
      <c r="Q128" s="155">
        <f>pm.rep!O553/$B128</f>
        <v>4.1998769181366318E-3</v>
      </c>
      <c r="R128" s="155">
        <f>pm.rep!P553/$B128</f>
        <v>1.7651002065121239E-3</v>
      </c>
    </row>
    <row r="129" spans="2:18" x14ac:dyDescent="0.15">
      <c r="B129">
        <f>SUM(pm.rep!B554:P554)</f>
        <v>2017.05756</v>
      </c>
      <c r="C129" s="4">
        <f>pm.rep!A554</f>
        <v>1992</v>
      </c>
      <c r="D129" s="155">
        <f>pm.rep!B554/$B129</f>
        <v>1.2714411580797922E-3</v>
      </c>
      <c r="E129" s="155">
        <f>pm.rep!C554/$B129</f>
        <v>3.5002322888594214E-2</v>
      </c>
      <c r="F129" s="155">
        <f>pm.rep!D554/$B129</f>
        <v>0.34202891066727914</v>
      </c>
      <c r="G129" s="155">
        <f>pm.rep!E554/$B129</f>
        <v>9.9142435974905949E-2</v>
      </c>
      <c r="H129" s="155">
        <f>pm.rep!F554/$B129</f>
        <v>5.2147743369306727E-2</v>
      </c>
      <c r="I129" s="155">
        <f>pm.rep!G554/$B129</f>
        <v>6.6403657811331868E-2</v>
      </c>
      <c r="J129" s="155">
        <f>pm.rep!H554/$B129</f>
        <v>9.0480313313418784E-2</v>
      </c>
      <c r="K129" s="155">
        <f>pm.rep!I554/$B129</f>
        <v>0.13957806935365791</v>
      </c>
      <c r="L129" s="155">
        <f>pm.rep!J554/$B129</f>
        <v>3.546567109368956E-2</v>
      </c>
      <c r="M129" s="155">
        <f>pm.rep!K554/$B129</f>
        <v>8.0019531024191501E-2</v>
      </c>
      <c r="N129" s="155">
        <f>pm.rep!L554/$B129</f>
        <v>1.5870543624942463E-2</v>
      </c>
      <c r="O129" s="155">
        <f>pm.rep!M554/$B129</f>
        <v>1.858504226324607E-2</v>
      </c>
      <c r="P129" s="155">
        <f>pm.rep!N554/$B129</f>
        <v>9.0918575471886885E-3</v>
      </c>
      <c r="Q129" s="155">
        <f>pm.rep!O554/$B129</f>
        <v>1.1752267496025249E-2</v>
      </c>
      <c r="R129" s="155">
        <f>pm.rep!P554/$B129</f>
        <v>3.160192414142113E-3</v>
      </c>
    </row>
    <row r="130" spans="2:18" x14ac:dyDescent="0.15">
      <c r="B130">
        <f>SUM(pm.rep!B555:P555)</f>
        <v>1884.8195899999998</v>
      </c>
      <c r="C130" s="4">
        <f>pm.rep!A555</f>
        <v>1993</v>
      </c>
      <c r="D130" s="155">
        <f>pm.rep!B555/$B130</f>
        <v>1.6584451989911672E-3</v>
      </c>
      <c r="E130" s="155">
        <f>pm.rep!C555/$B130</f>
        <v>1.4686445401387197E-2</v>
      </c>
      <c r="F130" s="155">
        <f>pm.rep!D555/$B130</f>
        <v>0.12151720048707687</v>
      </c>
      <c r="G130" s="155">
        <f>pm.rep!E555/$B130</f>
        <v>0.56616559253822274</v>
      </c>
      <c r="H130" s="155">
        <f>pm.rep!F555/$B130</f>
        <v>7.7598938792863462E-2</v>
      </c>
      <c r="I130" s="155">
        <f>pm.rep!G555/$B130</f>
        <v>3.639828467614771E-2</v>
      </c>
      <c r="J130" s="155">
        <f>pm.rep!H555/$B130</f>
        <v>3.6147650608830954E-2</v>
      </c>
      <c r="K130" s="155">
        <f>pm.rep!I555/$B130</f>
        <v>3.5233398651167466E-2</v>
      </c>
      <c r="L130" s="155">
        <f>pm.rep!J555/$B130</f>
        <v>5.0029615831826121E-2</v>
      </c>
      <c r="M130" s="155">
        <f>pm.rep!K555/$B130</f>
        <v>1.2155168654629699E-2</v>
      </c>
      <c r="N130" s="155">
        <f>pm.rep!L555/$B130</f>
        <v>2.7973022075815757E-2</v>
      </c>
      <c r="O130" s="155">
        <f>pm.rep!M555/$B130</f>
        <v>5.5479580409072467E-3</v>
      </c>
      <c r="P130" s="155">
        <f>pm.rep!N555/$B130</f>
        <v>6.4969082796937612E-3</v>
      </c>
      <c r="Q130" s="155">
        <f>pm.rep!O555/$B130</f>
        <v>3.1783148009407098E-3</v>
      </c>
      <c r="R130" s="155">
        <f>pm.rep!P555/$B130</f>
        <v>5.2130559614992121E-3</v>
      </c>
    </row>
    <row r="131" spans="2:18" x14ac:dyDescent="0.15">
      <c r="B131">
        <f>SUM(pm.rep!B556:P556)</f>
        <v>1818.5588820000003</v>
      </c>
      <c r="C131" s="4">
        <f>pm.rep!A556</f>
        <v>1994</v>
      </c>
      <c r="D131" s="155">
        <f>pm.rep!B556/$B131</f>
        <v>4.9108775571667183E-4</v>
      </c>
      <c r="E131" s="155">
        <f>pm.rep!C556/$B131</f>
        <v>2.7220344906049621E-2</v>
      </c>
      <c r="F131" s="155">
        <f>pm.rep!D556/$B131</f>
        <v>5.2135292917064854E-2</v>
      </c>
      <c r="G131" s="155">
        <f>pm.rep!E556/$B131</f>
        <v>0.1812479118836692</v>
      </c>
      <c r="H131" s="155">
        <f>pm.rep!F556/$B131</f>
        <v>0.53440282281714968</v>
      </c>
      <c r="I131" s="155">
        <f>pm.rep!G556/$B131</f>
        <v>8.1146121503477373E-2</v>
      </c>
      <c r="J131" s="155">
        <f>pm.rep!H556/$B131</f>
        <v>2.8140579063196915E-2</v>
      </c>
      <c r="K131" s="155">
        <f>pm.rep!I556/$B131</f>
        <v>1.896947101435674E-2</v>
      </c>
      <c r="L131" s="155">
        <f>pm.rep!J556/$B131</f>
        <v>1.832786407407621E-2</v>
      </c>
      <c r="M131" s="155">
        <f>pm.rep!K556/$B131</f>
        <v>2.5549131490810863E-2</v>
      </c>
      <c r="N131" s="155">
        <f>pm.rep!L556/$B131</f>
        <v>6.4964627304270033E-3</v>
      </c>
      <c r="O131" s="155">
        <f>pm.rep!M556/$B131</f>
        <v>1.4950519485021546E-2</v>
      </c>
      <c r="P131" s="155">
        <f>pm.rep!N556/$B131</f>
        <v>2.9651830652135018E-3</v>
      </c>
      <c r="Q131" s="155">
        <f>pm.rep!O556/$B131</f>
        <v>3.4723428878229742E-3</v>
      </c>
      <c r="R131" s="155">
        <f>pm.rep!P556/$B131</f>
        <v>4.484864405946685E-3</v>
      </c>
    </row>
    <row r="132" spans="2:18" x14ac:dyDescent="0.15">
      <c r="B132">
        <f>SUM(pm.rep!B557:P557)</f>
        <v>1652.7296940000001</v>
      </c>
      <c r="C132" s="4">
        <f>pm.rep!A557</f>
        <v>1995</v>
      </c>
      <c r="D132" s="155">
        <f>pm.rep!B557/$B132</f>
        <v>3.1758611338896897E-4</v>
      </c>
      <c r="E132" s="155">
        <f>pm.rep!C557/$B132</f>
        <v>1.0535298096967571E-2</v>
      </c>
      <c r="F132" s="155">
        <f>pm.rep!D557/$B132</f>
        <v>7.7136025608310996E-2</v>
      </c>
      <c r="G132" s="155">
        <f>pm.rep!E557/$B132</f>
        <v>8.8120883002662367E-2</v>
      </c>
      <c r="H132" s="155">
        <f>pm.rep!F557/$B132</f>
        <v>0.22849955523337986</v>
      </c>
      <c r="I132" s="155">
        <f>pm.rep!G557/$B132</f>
        <v>0.45374328465353991</v>
      </c>
      <c r="J132" s="155">
        <f>pm.rep!H557/$B132</f>
        <v>6.6427075400510099E-2</v>
      </c>
      <c r="K132" s="155">
        <f>pm.rep!I557/$B132</f>
        <v>1.736049161829847E-2</v>
      </c>
      <c r="L132" s="155">
        <f>pm.rep!J557/$B132</f>
        <v>1.1462854493857724E-2</v>
      </c>
      <c r="M132" s="155">
        <f>pm.rep!K557/$B132</f>
        <v>1.0924774974122297E-2</v>
      </c>
      <c r="N132" s="155">
        <f>pm.rep!L557/$B132</f>
        <v>1.5647567835130816E-2</v>
      </c>
      <c r="O132" s="155">
        <f>pm.rep!M557/$B132</f>
        <v>3.9787570973478254E-3</v>
      </c>
      <c r="P132" s="155">
        <f>pm.rep!N557/$B132</f>
        <v>9.1564277297966901E-3</v>
      </c>
      <c r="Q132" s="155">
        <f>pm.rep!O557/$B132</f>
        <v>1.8160259423523129E-3</v>
      </c>
      <c r="R132" s="155">
        <f>pm.rep!P557/$B132</f>
        <v>4.8733922003340001E-3</v>
      </c>
    </row>
    <row r="133" spans="2:18" x14ac:dyDescent="0.15">
      <c r="B133">
        <f>SUM(pm.rep!B558:P558)</f>
        <v>1521.3051499999999</v>
      </c>
      <c r="C133" s="4">
        <f>pm.rep!A558</f>
        <v>1996</v>
      </c>
      <c r="D133" s="155">
        <f>pm.rep!B558/$B133</f>
        <v>7.3479012412467021E-4</v>
      </c>
      <c r="E133" s="155">
        <f>pm.rep!C558/$B133</f>
        <v>1.1957824503519234E-2</v>
      </c>
      <c r="F133" s="155">
        <f>pm.rep!D558/$B133</f>
        <v>3.7131669474727014E-2</v>
      </c>
      <c r="G133" s="155">
        <f>pm.rep!E558/$B133</f>
        <v>0.11286624514483502</v>
      </c>
      <c r="H133" s="155">
        <f>pm.rep!F558/$B133</f>
        <v>0.13839301076447419</v>
      </c>
      <c r="I133" s="155">
        <f>pm.rep!G558/$B133</f>
        <v>0.25657442887115711</v>
      </c>
      <c r="J133" s="155">
        <f>pm.rep!H558/$B133</f>
        <v>0.33506624229859477</v>
      </c>
      <c r="K133" s="155">
        <f>pm.rep!I558/$B133</f>
        <v>5.3287402596382462E-2</v>
      </c>
      <c r="L133" s="155">
        <f>pm.rep!J558/$B133</f>
        <v>1.2675629212193229E-2</v>
      </c>
      <c r="M133" s="155">
        <f>pm.rep!K558/$B133</f>
        <v>7.9519878046820525E-3</v>
      </c>
      <c r="N133" s="155">
        <f>pm.rep!L558/$B133</f>
        <v>7.8552287816813088E-3</v>
      </c>
      <c r="O133" s="155">
        <f>pm.rep!M558/$B133</f>
        <v>1.1251062944209451E-2</v>
      </c>
      <c r="P133" s="155">
        <f>pm.rep!N558/$B133</f>
        <v>2.8608395889542612E-3</v>
      </c>
      <c r="Q133" s="155">
        <f>pm.rep!O558/$B133</f>
        <v>6.5837547450621602E-3</v>
      </c>
      <c r="R133" s="155">
        <f>pm.rep!P558/$B133</f>
        <v>4.8098831454031436E-3</v>
      </c>
    </row>
    <row r="134" spans="2:18" x14ac:dyDescent="0.15">
      <c r="B134">
        <f>SUM(pm.rep!B559:P559)</f>
        <v>1536.5118500000003</v>
      </c>
      <c r="C134" s="4">
        <f>pm.rep!A559</f>
        <v>1997</v>
      </c>
      <c r="D134" s="155">
        <f>pm.rep!B559/$B134</f>
        <v>9.1629621990874956E-4</v>
      </c>
      <c r="E134" s="155">
        <f>pm.rep!C559/$B134</f>
        <v>3.3981059111259045E-2</v>
      </c>
      <c r="F134" s="155">
        <f>pm.rep!D559/$B134</f>
        <v>2.9814478814465369E-2</v>
      </c>
      <c r="G134" s="155">
        <f>pm.rep!E559/$B134</f>
        <v>6.4578675393879958E-2</v>
      </c>
      <c r="H134" s="155">
        <f>pm.rep!F559/$B134</f>
        <v>0.300087500138707</v>
      </c>
      <c r="I134" s="155">
        <f>pm.rep!G559/$B134</f>
        <v>0.19227121482987583</v>
      </c>
      <c r="J134" s="155">
        <f>pm.rep!H559/$B134</f>
        <v>0.17322157326674698</v>
      </c>
      <c r="K134" s="155">
        <f>pm.rep!I559/$B134</f>
        <v>0.14888788524475094</v>
      </c>
      <c r="L134" s="155">
        <f>pm.rep!J559/$B134</f>
        <v>2.537181864233588E-2</v>
      </c>
      <c r="M134" s="155">
        <f>pm.rep!K559/$B134</f>
        <v>6.6112734503154004E-3</v>
      </c>
      <c r="N134" s="155">
        <f>pm.rep!L559/$B134</f>
        <v>4.6692903800253788E-3</v>
      </c>
      <c r="O134" s="155">
        <f>pm.rep!M559/$B134</f>
        <v>4.6124798842260787E-3</v>
      </c>
      <c r="P134" s="155">
        <f>pm.rep!N559/$B134</f>
        <v>6.6064573468795559E-3</v>
      </c>
      <c r="Q134" s="155">
        <f>pm.rep!O559/$B134</f>
        <v>1.6798438619266096E-3</v>
      </c>
      <c r="R134" s="155">
        <f>pm.rep!P559/$B134</f>
        <v>6.6901534146970613E-3</v>
      </c>
    </row>
    <row r="135" spans="2:18" x14ac:dyDescent="0.15">
      <c r="B135">
        <f>SUM(pm.rep!B560:P560)</f>
        <v>1558.3896069999998</v>
      </c>
      <c r="C135" s="4">
        <f>pm.rep!A560</f>
        <v>1998</v>
      </c>
      <c r="D135" s="155">
        <f>pm.rep!B560/$B135</f>
        <v>3.4451397621519176E-4</v>
      </c>
      <c r="E135" s="155">
        <f>pm.rep!C560/$B135</f>
        <v>2.9913058833688694E-2</v>
      </c>
      <c r="F135" s="155">
        <f>pm.rep!D560/$B135</f>
        <v>7.3685039661587015E-2</v>
      </c>
      <c r="G135" s="155">
        <f>pm.rep!E560/$B135</f>
        <v>5.2293020714427811E-2</v>
      </c>
      <c r="H135" s="155">
        <f>pm.rep!F560/$B135</f>
        <v>0.10155868551040717</v>
      </c>
      <c r="I135" s="155">
        <f>pm.rep!G560/$B135</f>
        <v>0.42604108562949372</v>
      </c>
      <c r="J135" s="155">
        <f>pm.rep!H560/$B135</f>
        <v>0.13348523313143476</v>
      </c>
      <c r="K135" s="155">
        <f>pm.rep!I560/$B135</f>
        <v>8.8177564443934334E-2</v>
      </c>
      <c r="L135" s="155">
        <f>pm.rep!J560/$B135</f>
        <v>7.004987681491899E-2</v>
      </c>
      <c r="M135" s="155">
        <f>pm.rep!K560/$B135</f>
        <v>1.0573671645385918E-2</v>
      </c>
      <c r="N135" s="155">
        <f>pm.rep!L560/$B135</f>
        <v>2.9722926662202774E-3</v>
      </c>
      <c r="O135" s="155">
        <f>pm.rep!M560/$B135</f>
        <v>2.0992054780817082E-3</v>
      </c>
      <c r="P135" s="155">
        <f>pm.rep!N560/$B135</f>
        <v>2.0736662933866709E-3</v>
      </c>
      <c r="Q135" s="155">
        <f>pm.rep!O560/$B135</f>
        <v>2.9701109268242191E-3</v>
      </c>
      <c r="R135" s="155">
        <f>pm.rep!P560/$B135</f>
        <v>3.7629742739936026E-3</v>
      </c>
    </row>
    <row r="136" spans="2:18" x14ac:dyDescent="0.15">
      <c r="B136">
        <f>SUM(pm.rep!B561:P561)</f>
        <v>1474.2833089999999</v>
      </c>
      <c r="C136" s="4">
        <f>pm.rep!A561</f>
        <v>1999</v>
      </c>
      <c r="D136" s="155">
        <f>pm.rep!B561/$B136</f>
        <v>2.6909278398403141E-4</v>
      </c>
      <c r="E136" s="155">
        <f>pm.rep!C561/$B136</f>
        <v>8.6645490198654883E-3</v>
      </c>
      <c r="F136" s="155">
        <f>pm.rep!D561/$B136</f>
        <v>0.18662830835860733</v>
      </c>
      <c r="G136" s="155">
        <f>pm.rep!E561/$B136</f>
        <v>0.15124230101420758</v>
      </c>
      <c r="H136" s="155">
        <f>pm.rep!F561/$B136</f>
        <v>7.1560872564962352E-2</v>
      </c>
      <c r="I136" s="155">
        <f>pm.rep!G561/$B136</f>
        <v>0.10453689535733596</v>
      </c>
      <c r="J136" s="155">
        <f>pm.rep!H561/$B136</f>
        <v>0.31358762401887846</v>
      </c>
      <c r="K136" s="155">
        <f>pm.rep!I561/$B136</f>
        <v>8.7561867662709875E-2</v>
      </c>
      <c r="L136" s="155">
        <f>pm.rep!J561/$B136</f>
        <v>3.9426750370949226E-2</v>
      </c>
      <c r="M136" s="155">
        <f>pm.rep!K561/$B136</f>
        <v>2.6512068448032604E-2</v>
      </c>
      <c r="N136" s="155">
        <f>pm.rep!L561/$B136</f>
        <v>4.3284489222959795E-3</v>
      </c>
      <c r="O136" s="155">
        <f>pm.rep!M561/$B136</f>
        <v>1.2167403571954839E-3</v>
      </c>
      <c r="P136" s="155">
        <f>pm.rep!N561/$B136</f>
        <v>8.5933279734363456E-4</v>
      </c>
      <c r="Q136" s="155">
        <f>pm.rep!O561/$B136</f>
        <v>8.4888026091055747E-4</v>
      </c>
      <c r="R136" s="155">
        <f>pm.rep!P561/$B136</f>
        <v>2.7562680627214505E-3</v>
      </c>
    </row>
    <row r="137" spans="2:18" x14ac:dyDescent="0.15">
      <c r="B137">
        <f>SUM(pm.rep!B562:P562)</f>
        <v>1644.6485870000004</v>
      </c>
      <c r="C137" s="4">
        <f>pm.rep!A562</f>
        <v>2000</v>
      </c>
      <c r="D137" s="155">
        <f>pm.rep!B562/$B137</f>
        <v>3.6828110563414838E-4</v>
      </c>
      <c r="E137" s="155">
        <f>pm.rep!C562/$B137</f>
        <v>8.1874025286837755E-3</v>
      </c>
      <c r="F137" s="155">
        <f>pm.rep!D562/$B137</f>
        <v>5.0104806979048573E-2</v>
      </c>
      <c r="G137" s="155">
        <f>pm.rep!E562/$B137</f>
        <v>0.2567004303150871</v>
      </c>
      <c r="H137" s="155">
        <f>pm.rep!F562/$B137</f>
        <v>0.20931097543939939</v>
      </c>
      <c r="I137" s="155">
        <f>pm.rep!G562/$B137</f>
        <v>6.8594592724384812E-2</v>
      </c>
      <c r="J137" s="155">
        <f>pm.rep!H562/$B137</f>
        <v>0.1018770826329722</v>
      </c>
      <c r="K137" s="155">
        <f>pm.rep!I562/$B137</f>
        <v>0.21146280290453312</v>
      </c>
      <c r="L137" s="155">
        <f>pm.rep!J562/$B137</f>
        <v>5.0948026625459282E-2</v>
      </c>
      <c r="M137" s="155">
        <f>pm.rep!K562/$B137</f>
        <v>2.1351916924730856E-2</v>
      </c>
      <c r="N137" s="155">
        <f>pm.rep!L562/$B137</f>
        <v>1.5312450452371314E-2</v>
      </c>
      <c r="O137" s="155">
        <f>pm.rep!M562/$B137</f>
        <v>2.4999565454282661E-3</v>
      </c>
      <c r="P137" s="155">
        <f>pm.rep!N562/$B137</f>
        <v>7.0274586871365468E-4</v>
      </c>
      <c r="Q137" s="155">
        <f>pm.rep!O562/$B137</f>
        <v>4.963212241521841E-4</v>
      </c>
      <c r="R137" s="155">
        <f>pm.rep!P562/$B137</f>
        <v>2.0822077294011011E-3</v>
      </c>
    </row>
    <row r="138" spans="2:18" x14ac:dyDescent="0.15">
      <c r="B138">
        <f>SUM(pm.rep!B563:P563)</f>
        <v>1789.4031519999999</v>
      </c>
      <c r="C138" s="4">
        <f>pm.rep!A563</f>
        <v>2001</v>
      </c>
      <c r="D138" s="155">
        <f>pm.rep!B563/$B138</f>
        <v>4.9767040982612515E-4</v>
      </c>
      <c r="E138" s="155">
        <f>pm.rep!C563/$B138</f>
        <v>1.0041281071801756E-2</v>
      </c>
      <c r="F138" s="155">
        <f>pm.rep!D563/$B138</f>
        <v>3.7652331127669775E-2</v>
      </c>
      <c r="G138" s="155">
        <f>pm.rep!E563/$B138</f>
        <v>9.6628867456024239E-2</v>
      </c>
      <c r="H138" s="155">
        <f>pm.rep!F563/$B138</f>
        <v>0.33383980537439001</v>
      </c>
      <c r="I138" s="155">
        <f>pm.rep!G563/$B138</f>
        <v>0.22991073841586709</v>
      </c>
      <c r="J138" s="155">
        <f>pm.rep!H563/$B138</f>
        <v>7.4753416998563568E-2</v>
      </c>
      <c r="K138" s="155">
        <f>pm.rep!I563/$B138</f>
        <v>6.5692853993586806E-2</v>
      </c>
      <c r="L138" s="155">
        <f>pm.rep!J563/$B138</f>
        <v>9.5985077375117994E-2</v>
      </c>
      <c r="M138" s="155">
        <f>pm.rep!K563/$B138</f>
        <v>2.8132508844490964E-2</v>
      </c>
      <c r="N138" s="155">
        <f>pm.rep!L563/$B138</f>
        <v>1.3514450319913152E-2</v>
      </c>
      <c r="O138" s="155">
        <f>pm.rep!M563/$B138</f>
        <v>9.6918349454209532E-3</v>
      </c>
      <c r="P138" s="155">
        <f>pm.rep!N563/$B138</f>
        <v>1.5823208966829854E-3</v>
      </c>
      <c r="Q138" s="155">
        <f>pm.rep!O563/$B138</f>
        <v>4.4479579635836033E-4</v>
      </c>
      <c r="R138" s="155">
        <f>pm.rep!P563/$B138</f>
        <v>1.6320469742863179E-3</v>
      </c>
    </row>
    <row r="139" spans="2:18" x14ac:dyDescent="0.15">
      <c r="B139">
        <f>SUM(pm.rep!B564:P564)</f>
        <v>1900.9675509999997</v>
      </c>
      <c r="C139" s="4">
        <f>pm.rep!A564</f>
        <v>2002</v>
      </c>
      <c r="D139" s="155">
        <f>pm.rep!B564/$B139</f>
        <v>3.4754985673082648E-4</v>
      </c>
      <c r="E139" s="155">
        <f>pm.rep!C564/$B139</f>
        <v>2.2226365714540286E-2</v>
      </c>
      <c r="F139" s="155">
        <f>pm.rep!D564/$B139</f>
        <v>6.522888827574734E-2</v>
      </c>
      <c r="G139" s="155">
        <f>pm.rep!E564/$B139</f>
        <v>0.11392672109846026</v>
      </c>
      <c r="H139" s="155">
        <f>pm.rep!F564/$B139</f>
        <v>0.15336558472375525</v>
      </c>
      <c r="I139" s="155">
        <f>pm.rep!G564/$B139</f>
        <v>0.32646533060153227</v>
      </c>
      <c r="J139" s="155">
        <f>pm.rep!H564/$B139</f>
        <v>0.14475944097795915</v>
      </c>
      <c r="K139" s="155">
        <f>pm.rep!I564/$B139</f>
        <v>4.7510174464834937E-2</v>
      </c>
      <c r="L139" s="155">
        <f>pm.rep!J564/$B139</f>
        <v>3.8832803832536338E-2</v>
      </c>
      <c r="M139" s="155">
        <f>pm.rep!K564/$B139</f>
        <v>5.3943056495655041E-2</v>
      </c>
      <c r="N139" s="155">
        <f>pm.rep!L564/$B139</f>
        <v>1.7081722401267863E-2</v>
      </c>
      <c r="O139" s="155">
        <f>pm.rep!M564/$B139</f>
        <v>8.205821289160975E-3</v>
      </c>
      <c r="P139" s="155">
        <f>pm.rep!N564/$B139</f>
        <v>5.8847401125365142E-3</v>
      </c>
      <c r="Q139" s="155">
        <f>pm.rep!O564/$B139</f>
        <v>9.6076337496620436E-4</v>
      </c>
      <c r="R139" s="155">
        <f>pm.rep!P564/$B139</f>
        <v>1.2610367803169305E-3</v>
      </c>
    </row>
    <row r="140" spans="2:18" x14ac:dyDescent="0.15">
      <c r="B140">
        <f>SUM(pm.rep!B565:P565)</f>
        <v>2071.6774220000002</v>
      </c>
      <c r="C140" s="4">
        <f>pm.rep!A565</f>
        <v>2003</v>
      </c>
      <c r="D140" s="155">
        <f>pm.rep!B565/$B140</f>
        <v>1.944231257833344E-4</v>
      </c>
      <c r="E140" s="155">
        <f>pm.rep!C565/$B140</f>
        <v>9.5101195730461531E-3</v>
      </c>
      <c r="F140" s="155">
        <f>pm.rep!D565/$B140</f>
        <v>0.18138827792853165</v>
      </c>
      <c r="G140" s="155">
        <f>pm.rep!E565/$B140</f>
        <v>0.16355828199975428</v>
      </c>
      <c r="H140" s="155">
        <f>pm.rep!F565/$B140</f>
        <v>0.17742965004906056</v>
      </c>
      <c r="I140" s="155">
        <f>pm.rep!G565/$B140</f>
        <v>0.14670430674800294</v>
      </c>
      <c r="J140" s="155">
        <f>pm.rep!H565/$B140</f>
        <v>0.16479496101782584</v>
      </c>
      <c r="K140" s="155">
        <f>pm.rep!I565/$B140</f>
        <v>7.2894070474645536E-2</v>
      </c>
      <c r="L140" s="155">
        <f>pm.rep!J565/$B140</f>
        <v>2.1713467319913669E-2</v>
      </c>
      <c r="M140" s="155">
        <f>pm.rep!K565/$B140</f>
        <v>1.6539978490917782E-2</v>
      </c>
      <c r="N140" s="155">
        <f>pm.rep!L565/$B140</f>
        <v>2.796222007578552E-2</v>
      </c>
      <c r="O140" s="155">
        <f>pm.rep!M565/$B140</f>
        <v>8.8545155752534892E-3</v>
      </c>
      <c r="P140" s="155">
        <f>pm.rep!N565/$B140</f>
        <v>4.2535869273956882E-3</v>
      </c>
      <c r="Q140" s="155">
        <f>pm.rep!O565/$B140</f>
        <v>3.0504411221989945E-3</v>
      </c>
      <c r="R140" s="155">
        <f>pm.rep!P565/$B140</f>
        <v>1.1516995718844107E-3</v>
      </c>
    </row>
    <row r="141" spans="2:18" x14ac:dyDescent="0.15">
      <c r="B141">
        <f>SUM(pm.rep!B566:P566)</f>
        <v>2156.2411250000005</v>
      </c>
      <c r="C141" s="4">
        <f>pm.rep!A566</f>
        <v>2004</v>
      </c>
      <c r="D141" s="155">
        <f>pm.rep!B566/$B141</f>
        <v>7.1501743572393821E-5</v>
      </c>
      <c r="E141" s="155">
        <f>pm.rep!C566/$B141</f>
        <v>3.9381078032263194E-3</v>
      </c>
      <c r="F141" s="155">
        <f>pm.rep!D566/$B141</f>
        <v>5.0445193136736961E-2</v>
      </c>
      <c r="G141" s="155">
        <f>pm.rep!E566/$B141</f>
        <v>0.38593782038175334</v>
      </c>
      <c r="H141" s="155">
        <f>pm.rep!F566/$B141</f>
        <v>0.23128767660435004</v>
      </c>
      <c r="I141" s="155">
        <f>pm.rep!G566/$B141</f>
        <v>0.11732500464204806</v>
      </c>
      <c r="J141" s="155">
        <f>pm.rep!H566/$B141</f>
        <v>7.5077410463544492E-2</v>
      </c>
      <c r="K141" s="155">
        <f>pm.rep!I566/$B141</f>
        <v>6.9291415634232453E-2</v>
      </c>
      <c r="L141" s="155">
        <f>pm.rep!J566/$B141</f>
        <v>2.7922062751678564E-2</v>
      </c>
      <c r="M141" s="155">
        <f>pm.rep!K566/$B141</f>
        <v>8.3886258314454492E-3</v>
      </c>
      <c r="N141" s="155">
        <f>pm.rep!L566/$B141</f>
        <v>8.1118478806492464E-3</v>
      </c>
      <c r="O141" s="155">
        <f>pm.rep!M566/$B141</f>
        <v>1.3713726010118648E-2</v>
      </c>
      <c r="P141" s="155">
        <f>pm.rep!N566/$B141</f>
        <v>4.3425987434498993E-3</v>
      </c>
      <c r="Q141" s="155">
        <f>pm.rep!O566/$B141</f>
        <v>2.0861210501214229E-3</v>
      </c>
      <c r="R141" s="155">
        <f>pm.rep!P566/$B141</f>
        <v>2.0608873230724598E-3</v>
      </c>
    </row>
    <row r="142" spans="2:18" x14ac:dyDescent="0.15">
      <c r="B142">
        <f>SUM(pm.rep!B567:P567)</f>
        <v>2187.0251729999995</v>
      </c>
      <c r="C142" s="4">
        <f>pm.rep!A567</f>
        <v>2005</v>
      </c>
      <c r="D142" s="155">
        <f>pm.rep!B567/$B142</f>
        <v>4.6388583566614496E-5</v>
      </c>
      <c r="E142" s="155">
        <f>pm.rep!C567/$B142</f>
        <v>1.8509434870597173E-3</v>
      </c>
      <c r="F142" s="155">
        <f>pm.rep!D567/$B142</f>
        <v>2.95089881894103E-2</v>
      </c>
      <c r="G142" s="155">
        <f>pm.rep!E567/$B142</f>
        <v>0.18131021302149414</v>
      </c>
      <c r="H142" s="155">
        <f>pm.rep!F567/$B142</f>
        <v>0.40339499100955262</v>
      </c>
      <c r="I142" s="155">
        <f>pm.rep!G567/$B142</f>
        <v>0.2186165966000978</v>
      </c>
      <c r="J142" s="155">
        <f>pm.rep!H567/$B142</f>
        <v>7.2908625821290457E-2</v>
      </c>
      <c r="K142" s="155">
        <f>pm.rep!I567/$B142</f>
        <v>3.1650847395161649E-2</v>
      </c>
      <c r="L142" s="155">
        <f>pm.rep!J567/$B142</f>
        <v>2.8602094192721948E-2</v>
      </c>
      <c r="M142" s="155">
        <f>pm.rep!K567/$B142</f>
        <v>1.193246439143753E-2</v>
      </c>
      <c r="N142" s="155">
        <f>pm.rep!L567/$B142</f>
        <v>4.373328719797045E-3</v>
      </c>
      <c r="O142" s="155">
        <f>pm.rep!M567/$B142</f>
        <v>4.2290231105629808E-3</v>
      </c>
      <c r="P142" s="155">
        <f>pm.rep!N567/$B142</f>
        <v>7.1495290465959371E-3</v>
      </c>
      <c r="Q142" s="155">
        <f>pm.rep!O567/$B142</f>
        <v>2.2639657106498247E-3</v>
      </c>
      <c r="R142" s="155">
        <f>pm.rep!P567/$B142</f>
        <v>2.1620007206016741E-3</v>
      </c>
    </row>
    <row r="143" spans="2:18" x14ac:dyDescent="0.15">
      <c r="B143">
        <f>SUM(pm.rep!B568:P568)</f>
        <v>2113.7006910000005</v>
      </c>
      <c r="C143" s="4">
        <f>pm.rep!A568</f>
        <v>2006</v>
      </c>
      <c r="D143" s="155">
        <f>pm.rep!B568/$B143</f>
        <v>1.451203575350489E-4</v>
      </c>
      <c r="E143" s="155">
        <f>pm.rep!C568/$B143</f>
        <v>2.1767746112734744E-3</v>
      </c>
      <c r="F143" s="155">
        <f>pm.rep!D568/$B143</f>
        <v>3.1409224722631267E-2</v>
      </c>
      <c r="G143" s="155">
        <f>pm.rep!E568/$B143</f>
        <v>0.13489043231807316</v>
      </c>
      <c r="H143" s="155">
        <f>pm.rep!F568/$B143</f>
        <v>0.29091252258099393</v>
      </c>
      <c r="I143" s="155">
        <f>pm.rep!G568/$B143</f>
        <v>0.29507536362914494</v>
      </c>
      <c r="J143" s="155">
        <f>pm.rep!H568/$B143</f>
        <v>0.13290954636869157</v>
      </c>
      <c r="K143" s="155">
        <f>pm.rep!I568/$B143</f>
        <v>4.8031871509663988E-2</v>
      </c>
      <c r="L143" s="155">
        <f>pm.rep!J568/$B143</f>
        <v>2.1121628142572239E-2</v>
      </c>
      <c r="M143" s="155">
        <f>pm.rep!K568/$B143</f>
        <v>1.866967265896588E-2</v>
      </c>
      <c r="N143" s="155">
        <f>pm.rep!L568/$B143</f>
        <v>9.163075965517577E-3</v>
      </c>
      <c r="O143" s="155">
        <f>pm.rep!M568/$B143</f>
        <v>3.3583278986589488E-3</v>
      </c>
      <c r="P143" s="155">
        <f>pm.rep!N568/$B143</f>
        <v>3.2475127766327626E-3</v>
      </c>
      <c r="Q143" s="155">
        <f>pm.rep!O568/$B143</f>
        <v>5.4901812964397601E-3</v>
      </c>
      <c r="R143" s="155">
        <f>pm.rep!P568/$B143</f>
        <v>3.3987451632053228E-3</v>
      </c>
    </row>
    <row r="144" spans="2:18" x14ac:dyDescent="0.15">
      <c r="B144">
        <f>SUM(pm.rep!B569:P569)</f>
        <v>1638.441282</v>
      </c>
      <c r="C144" s="4">
        <f>pm.rep!A569</f>
        <v>2007</v>
      </c>
      <c r="D144" s="155">
        <f>pm.rep!B569/$B144</f>
        <v>4.0639967224653946E-4</v>
      </c>
      <c r="E144" s="155">
        <f>pm.rep!C569/$B144</f>
        <v>7.9916809615640533E-3</v>
      </c>
      <c r="F144" s="155">
        <f>pm.rep!D569/$B144</f>
        <v>2.9005983016973325E-2</v>
      </c>
      <c r="G144" s="155">
        <f>pm.rep!E569/$B144</f>
        <v>7.560417413847853E-2</v>
      </c>
      <c r="H144" s="155">
        <f>pm.rep!F569/$B144</f>
        <v>0.22466474938343262</v>
      </c>
      <c r="I144" s="155">
        <f>pm.rep!G569/$B144</f>
        <v>0.30374722943534821</v>
      </c>
      <c r="J144" s="155">
        <f>pm.rep!H569/$B144</f>
        <v>0.19443052582948772</v>
      </c>
      <c r="K144" s="155">
        <f>pm.rep!I569/$B144</f>
        <v>8.5275561312425474E-2</v>
      </c>
      <c r="L144" s="155">
        <f>pm.rep!J569/$B144</f>
        <v>3.0878494429927333E-2</v>
      </c>
      <c r="M144" s="155">
        <f>pm.rep!K569/$B144</f>
        <v>1.44862072634227E-2</v>
      </c>
      <c r="N144" s="155">
        <f>pm.rep!L569/$B144</f>
        <v>1.4438906209151534E-2</v>
      </c>
      <c r="O144" s="155">
        <f>pm.rep!M569/$B144</f>
        <v>7.0866134340968109E-3</v>
      </c>
      <c r="P144" s="155">
        <f>pm.rep!N569/$B144</f>
        <v>2.5972978383487777E-3</v>
      </c>
      <c r="Q144" s="155">
        <f>pm.rep!O569/$B144</f>
        <v>2.5115944313712671E-3</v>
      </c>
      <c r="R144" s="155">
        <f>pm.rep!P569/$B144</f>
        <v>6.8745826437251597E-3</v>
      </c>
    </row>
    <row r="145" spans="2:21" x14ac:dyDescent="0.15">
      <c r="B145">
        <f>SUM(pm.rep!B570:P570)</f>
        <v>1194.4739439999996</v>
      </c>
      <c r="C145" s="4">
        <f>pm.rep!A570</f>
        <v>2008</v>
      </c>
      <c r="D145" s="155">
        <f>pm.rep!B570/$B145</f>
        <v>3.0574463497882721E-4</v>
      </c>
      <c r="E145" s="155">
        <f>pm.rep!C570/$B145</f>
        <v>2.0337823292024867E-2</v>
      </c>
      <c r="F145" s="155">
        <f>pm.rep!D570/$B145</f>
        <v>5.7177304153902937E-2</v>
      </c>
      <c r="G145" s="155">
        <f>pm.rep!E570/$B145</f>
        <v>6.9394230335760282E-2</v>
      </c>
      <c r="H145" s="155">
        <f>pm.rep!F570/$B145</f>
        <v>0.1279148873589829</v>
      </c>
      <c r="I145" s="155">
        <f>pm.rep!G570/$B145</f>
        <v>0.25913499541351243</v>
      </c>
      <c r="J145" s="155">
        <f>pm.rep!H570/$B145</f>
        <v>0.20171222755445897</v>
      </c>
      <c r="K145" s="155">
        <f>pm.rep!I570/$B145</f>
        <v>0.13468523177764691</v>
      </c>
      <c r="L145" s="155">
        <f>pm.rep!J570/$B145</f>
        <v>6.569904717821122E-2</v>
      </c>
      <c r="M145" s="155">
        <f>pm.rep!K570/$B145</f>
        <v>2.3750204131702691E-2</v>
      </c>
      <c r="N145" s="155">
        <f>pm.rep!L570/$B145</f>
        <v>1.2039358474277445E-2</v>
      </c>
      <c r="O145" s="155">
        <f>pm.rep!M570/$B145</f>
        <v>1.2000010608854273E-2</v>
      </c>
      <c r="P145" s="155">
        <f>pm.rep!N570/$B145</f>
        <v>5.8895968684269618E-3</v>
      </c>
      <c r="Q145" s="155">
        <f>pm.rep!O570/$B145</f>
        <v>2.1585820376840308E-3</v>
      </c>
      <c r="R145" s="155">
        <f>pm.rep!P570/$B145</f>
        <v>7.8007561795755695E-3</v>
      </c>
    </row>
    <row r="146" spans="2:21" x14ac:dyDescent="0.15">
      <c r="B146">
        <f>SUM(pm.rep!B571:P571)</f>
        <v>920.98870999999997</v>
      </c>
      <c r="C146" s="4">
        <f>pm.rep!A571</f>
        <v>2009</v>
      </c>
      <c r="D146" s="155">
        <f>pm.rep!B571/$B146</f>
        <v>1.375000568682324E-3</v>
      </c>
      <c r="E146" s="155">
        <f>pm.rep!C571/$B146</f>
        <v>9.6234404436944723E-3</v>
      </c>
      <c r="F146" s="155">
        <f>pm.rep!D571/$B146</f>
        <v>0.15422990364344424</v>
      </c>
      <c r="G146" s="155">
        <f>pm.rep!E571/$B146</f>
        <v>0.20909376836986418</v>
      </c>
      <c r="H146" s="155">
        <f>pm.rep!F571/$B146</f>
        <v>8.8031698021575094E-2</v>
      </c>
      <c r="I146" s="155">
        <f>pm.rep!G571/$B146</f>
        <v>0.11435427910945836</v>
      </c>
      <c r="J146" s="155">
        <f>pm.rep!H571/$B146</f>
        <v>0.13525464389243164</v>
      </c>
      <c r="K146" s="155">
        <f>pm.rep!I571/$B146</f>
        <v>0.11136401444052446</v>
      </c>
      <c r="L146" s="155">
        <f>pm.rep!J571/$B146</f>
        <v>8.7508021678137621E-2</v>
      </c>
      <c r="M146" s="155">
        <f>pm.rep!K571/$B146</f>
        <v>4.27990045610874E-2</v>
      </c>
      <c r="N146" s="155">
        <f>pm.rep!L571/$B146</f>
        <v>1.7304120915879632E-2</v>
      </c>
      <c r="O146" s="155">
        <f>pm.rep!M571/$B146</f>
        <v>8.7717036183863756E-3</v>
      </c>
      <c r="P146" s="155">
        <f>pm.rep!N571/$B146</f>
        <v>8.743060487679595E-3</v>
      </c>
      <c r="Q146" s="155">
        <f>pm.rep!O571/$B146</f>
        <v>4.291084089402139E-3</v>
      </c>
      <c r="R146" s="155">
        <f>pm.rep!P571/$B146</f>
        <v>7.2562561597524907E-3</v>
      </c>
    </row>
    <row r="147" spans="2:21" x14ac:dyDescent="0.15">
      <c r="B147">
        <f>SUM(pm.rep!B572:P572)</f>
        <v>1133.8647500000002</v>
      </c>
      <c r="C147" s="4">
        <f>pm.rep!A572</f>
        <v>2010</v>
      </c>
      <c r="D147" s="155">
        <f>pm.rep!B572/$B147</f>
        <v>3.7133176598002537E-4</v>
      </c>
      <c r="E147" s="155">
        <f>pm.rep!C572/$B147</f>
        <v>2.6855142996552273E-2</v>
      </c>
      <c r="F147" s="155">
        <f>pm.rep!D572/$B147</f>
        <v>3.5667746087000227E-2</v>
      </c>
      <c r="G147" s="155">
        <f>pm.rep!E572/$B147</f>
        <v>0.48819402843240339</v>
      </c>
      <c r="H147" s="155">
        <f>pm.rep!F572/$B147</f>
        <v>0.1983067204443916</v>
      </c>
      <c r="I147" s="155">
        <f>pm.rep!G572/$B147</f>
        <v>5.4773728524499937E-2</v>
      </c>
      <c r="J147" s="155">
        <f>pm.rep!H572/$B147</f>
        <v>4.4230231162931906E-2</v>
      </c>
      <c r="K147" s="155">
        <f>pm.rep!I572/$B147</f>
        <v>4.8848859619279983E-2</v>
      </c>
      <c r="L147" s="155">
        <f>pm.rep!J572/$B147</f>
        <v>4.0638268364899775E-2</v>
      </c>
      <c r="M147" s="155">
        <f>pm.rep!K572/$B147</f>
        <v>3.0395512339544899E-2</v>
      </c>
      <c r="N147" s="155">
        <f>pm.rep!L572/$B147</f>
        <v>1.5224743515485419E-2</v>
      </c>
      <c r="O147" s="155">
        <f>pm.rep!M572/$B147</f>
        <v>6.1555313365196321E-3</v>
      </c>
      <c r="P147" s="155">
        <f>pm.rep!N572/$B147</f>
        <v>3.1203280638188984E-3</v>
      </c>
      <c r="Q147" s="155">
        <f>pm.rep!O572/$B147</f>
        <v>3.1101328443273323E-3</v>
      </c>
      <c r="R147" s="155">
        <f>pm.rep!P572/$B147</f>
        <v>4.1076945023645886E-3</v>
      </c>
    </row>
    <row r="148" spans="2:21" x14ac:dyDescent="0.15">
      <c r="D148" s="4">
        <v>1</v>
      </c>
      <c r="E148" s="4">
        <v>2</v>
      </c>
      <c r="F148" s="4">
        <v>3</v>
      </c>
      <c r="G148" s="4">
        <v>4</v>
      </c>
      <c r="H148" s="4">
        <v>5</v>
      </c>
      <c r="I148" s="4">
        <v>6</v>
      </c>
      <c r="J148" s="4">
        <v>7</v>
      </c>
      <c r="K148" s="4">
        <v>8</v>
      </c>
      <c r="L148" s="4">
        <v>9</v>
      </c>
      <c r="M148" s="4">
        <v>10</v>
      </c>
      <c r="N148" s="4">
        <v>11</v>
      </c>
      <c r="O148" s="4">
        <v>12</v>
      </c>
      <c r="P148" s="4">
        <v>13</v>
      </c>
      <c r="Q148" s="4">
        <v>14</v>
      </c>
      <c r="R148" s="4">
        <v>15</v>
      </c>
      <c r="T148">
        <f t="shared" ref="T148:T173" si="89">C149</f>
        <v>1990</v>
      </c>
      <c r="U148" s="23" t="e">
        <f t="shared" ref="U148:U173" si="90">MAX(D149:R149)</f>
        <v>#REF!</v>
      </c>
    </row>
    <row r="149" spans="2:21" x14ac:dyDescent="0.15">
      <c r="B149" s="27" t="e">
        <f>SUMPRODUCT(pm.rep!B552:P552,Projections!$D$6:$R$6)</f>
        <v>#REF!</v>
      </c>
      <c r="C149" s="4">
        <f t="shared" ref="C149:C169" si="91">C127</f>
        <v>1990</v>
      </c>
      <c r="D149" s="155" t="e">
        <f>pm.rep!B552*D$6/$B149</f>
        <v>#REF!</v>
      </c>
      <c r="E149" s="155" t="e">
        <f>pm.rep!C552*E$6/$B149</f>
        <v>#REF!</v>
      </c>
      <c r="F149" s="155" t="e">
        <f>pm.rep!D552*F$6/$B149</f>
        <v>#REF!</v>
      </c>
      <c r="G149" s="155" t="e">
        <f>pm.rep!E552*G$6/$B149</f>
        <v>#REF!</v>
      </c>
      <c r="H149" s="155" t="e">
        <f>pm.rep!F552*H$6/$B149</f>
        <v>#REF!</v>
      </c>
      <c r="I149" s="155" t="e">
        <f>pm.rep!G552*I$6/$B149</f>
        <v>#REF!</v>
      </c>
      <c r="J149" s="155" t="e">
        <f>pm.rep!H552*J$6/$B149</f>
        <v>#REF!</v>
      </c>
      <c r="K149" s="155" t="e">
        <f>pm.rep!I552*K$6/$B149</f>
        <v>#REF!</v>
      </c>
      <c r="L149" s="155" t="e">
        <f>pm.rep!J552*L$6/$B149</f>
        <v>#REF!</v>
      </c>
      <c r="M149" s="155" t="e">
        <f>pm.rep!K552*M$6/$B149</f>
        <v>#REF!</v>
      </c>
      <c r="N149" s="155" t="e">
        <f>pm.rep!L552*N$6/$B149</f>
        <v>#REF!</v>
      </c>
      <c r="O149" s="155" t="e">
        <f>pm.rep!M552*O$6/$B149</f>
        <v>#REF!</v>
      </c>
      <c r="P149" s="155" t="e">
        <f>pm.rep!N552*P$6/$B149</f>
        <v>#REF!</v>
      </c>
      <c r="Q149" s="155" t="e">
        <f>pm.rep!O552*Q$6/$B149</f>
        <v>#REF!</v>
      </c>
      <c r="R149" s="155" t="e">
        <f>pm.rep!P552*R$6/$B149</f>
        <v>#REF!</v>
      </c>
      <c r="T149">
        <f t="shared" si="89"/>
        <v>1991</v>
      </c>
      <c r="U149" s="23" t="e">
        <f t="shared" si="90"/>
        <v>#REF!</v>
      </c>
    </row>
    <row r="150" spans="2:21" x14ac:dyDescent="0.15">
      <c r="B150" s="27" t="e">
        <f>SUMPRODUCT(pm.rep!B553:P553,Projections!$D$6:$R$6)</f>
        <v>#REF!</v>
      </c>
      <c r="C150" s="4">
        <f t="shared" si="91"/>
        <v>1991</v>
      </c>
      <c r="D150" s="155" t="e">
        <f>pm.rep!B553*D$6/$B150</f>
        <v>#REF!</v>
      </c>
      <c r="E150" s="155" t="e">
        <f>pm.rep!C553*E$6/$B150</f>
        <v>#REF!</v>
      </c>
      <c r="F150" s="155" t="e">
        <f>pm.rep!D553*F$6/$B150</f>
        <v>#REF!</v>
      </c>
      <c r="G150" s="155" t="e">
        <f>pm.rep!E553*G$6/$B150</f>
        <v>#REF!</v>
      </c>
      <c r="H150" s="155" t="e">
        <f>pm.rep!F553*H$6/$B150</f>
        <v>#REF!</v>
      </c>
      <c r="I150" s="155" t="e">
        <f>pm.rep!G553*I$6/$B150</f>
        <v>#REF!</v>
      </c>
      <c r="J150" s="155" t="e">
        <f>pm.rep!H553*J$6/$B150</f>
        <v>#REF!</v>
      </c>
      <c r="K150" s="155" t="e">
        <f>pm.rep!I553*K$6/$B150</f>
        <v>#REF!</v>
      </c>
      <c r="L150" s="155" t="e">
        <f>pm.rep!J553*L$6/$B150</f>
        <v>#REF!</v>
      </c>
      <c r="M150" s="155" t="e">
        <f>pm.rep!K553*M$6/$B150</f>
        <v>#REF!</v>
      </c>
      <c r="N150" s="155" t="e">
        <f>pm.rep!L553*N$6/$B150</f>
        <v>#REF!</v>
      </c>
      <c r="O150" s="155" t="e">
        <f>pm.rep!M553*O$6/$B150</f>
        <v>#REF!</v>
      </c>
      <c r="P150" s="155" t="e">
        <f>pm.rep!N553*P$6/$B150</f>
        <v>#REF!</v>
      </c>
      <c r="Q150" s="155" t="e">
        <f>pm.rep!O553*Q$6/$B150</f>
        <v>#REF!</v>
      </c>
      <c r="R150" s="155" t="e">
        <f>pm.rep!P553*R$6/$B150</f>
        <v>#REF!</v>
      </c>
      <c r="T150">
        <f t="shared" si="89"/>
        <v>1992</v>
      </c>
      <c r="U150" s="23" t="e">
        <f t="shared" si="90"/>
        <v>#REF!</v>
      </c>
    </row>
    <row r="151" spans="2:21" x14ac:dyDescent="0.15">
      <c r="B151" s="27" t="e">
        <f>SUMPRODUCT(pm.rep!B554:P554,Projections!$D$6:$R$6)</f>
        <v>#REF!</v>
      </c>
      <c r="C151" s="4">
        <f t="shared" si="91"/>
        <v>1992</v>
      </c>
      <c r="D151" s="155" t="e">
        <f>pm.rep!B554*D$6/$B151</f>
        <v>#REF!</v>
      </c>
      <c r="E151" s="155" t="e">
        <f>pm.rep!C554*E$6/$B151</f>
        <v>#REF!</v>
      </c>
      <c r="F151" s="155" t="e">
        <f>pm.rep!D554*F$6/$B151</f>
        <v>#REF!</v>
      </c>
      <c r="G151" s="155" t="e">
        <f>pm.rep!E554*G$6/$B151</f>
        <v>#REF!</v>
      </c>
      <c r="H151" s="155" t="e">
        <f>pm.rep!F554*H$6/$B151</f>
        <v>#REF!</v>
      </c>
      <c r="I151" s="155" t="e">
        <f>pm.rep!G554*I$6/$B151</f>
        <v>#REF!</v>
      </c>
      <c r="J151" s="155" t="e">
        <f>pm.rep!H554*J$6/$B151</f>
        <v>#REF!</v>
      </c>
      <c r="K151" s="155" t="e">
        <f>pm.rep!I554*K$6/$B151</f>
        <v>#REF!</v>
      </c>
      <c r="L151" s="155" t="e">
        <f>pm.rep!J554*L$6/$B151</f>
        <v>#REF!</v>
      </c>
      <c r="M151" s="155" t="e">
        <f>pm.rep!K554*M$6/$B151</f>
        <v>#REF!</v>
      </c>
      <c r="N151" s="155" t="e">
        <f>pm.rep!L554*N$6/$B151</f>
        <v>#REF!</v>
      </c>
      <c r="O151" s="155" t="e">
        <f>pm.rep!M554*O$6/$B151</f>
        <v>#REF!</v>
      </c>
      <c r="P151" s="155" t="e">
        <f>pm.rep!N554*P$6/$B151</f>
        <v>#REF!</v>
      </c>
      <c r="Q151" s="155" t="e">
        <f>pm.rep!O554*Q$6/$B151</f>
        <v>#REF!</v>
      </c>
      <c r="R151" s="155" t="e">
        <f>pm.rep!P554*R$6/$B151</f>
        <v>#REF!</v>
      </c>
      <c r="T151">
        <f t="shared" si="89"/>
        <v>1993</v>
      </c>
      <c r="U151" s="23" t="e">
        <f t="shared" si="90"/>
        <v>#REF!</v>
      </c>
    </row>
    <row r="152" spans="2:21" x14ac:dyDescent="0.15">
      <c r="B152" s="27" t="e">
        <f>SUMPRODUCT(pm.rep!B555:P555,Projections!$D$6:$R$6)</f>
        <v>#REF!</v>
      </c>
      <c r="C152" s="4">
        <f t="shared" si="91"/>
        <v>1993</v>
      </c>
      <c r="D152" s="155" t="e">
        <f>pm.rep!B555*D$6/$B152</f>
        <v>#REF!</v>
      </c>
      <c r="E152" s="155" t="e">
        <f>pm.rep!C555*E$6/$B152</f>
        <v>#REF!</v>
      </c>
      <c r="F152" s="155" t="e">
        <f>pm.rep!D555*F$6/$B152</f>
        <v>#REF!</v>
      </c>
      <c r="G152" s="155" t="e">
        <f>pm.rep!E555*G$6/$B152</f>
        <v>#REF!</v>
      </c>
      <c r="H152" s="155" t="e">
        <f>pm.rep!F555*H$6/$B152</f>
        <v>#REF!</v>
      </c>
      <c r="I152" s="155" t="e">
        <f>pm.rep!G555*I$6/$B152</f>
        <v>#REF!</v>
      </c>
      <c r="J152" s="155" t="e">
        <f>pm.rep!H555*J$6/$B152</f>
        <v>#REF!</v>
      </c>
      <c r="K152" s="155" t="e">
        <f>pm.rep!I555*K$6/$B152</f>
        <v>#REF!</v>
      </c>
      <c r="L152" s="155" t="e">
        <f>pm.rep!J555*L$6/$B152</f>
        <v>#REF!</v>
      </c>
      <c r="M152" s="155" t="e">
        <f>pm.rep!K555*M$6/$B152</f>
        <v>#REF!</v>
      </c>
      <c r="N152" s="155" t="e">
        <f>pm.rep!L555*N$6/$B152</f>
        <v>#REF!</v>
      </c>
      <c r="O152" s="155" t="e">
        <f>pm.rep!M555*O$6/$B152</f>
        <v>#REF!</v>
      </c>
      <c r="P152" s="155" t="e">
        <f>pm.rep!N555*P$6/$B152</f>
        <v>#REF!</v>
      </c>
      <c r="Q152" s="155" t="e">
        <f>pm.rep!O555*Q$6/$B152</f>
        <v>#REF!</v>
      </c>
      <c r="R152" s="155" t="e">
        <f>pm.rep!P555*R$6/$B152</f>
        <v>#REF!</v>
      </c>
      <c r="T152">
        <f t="shared" si="89"/>
        <v>1994</v>
      </c>
      <c r="U152" s="23" t="e">
        <f t="shared" si="90"/>
        <v>#REF!</v>
      </c>
    </row>
    <row r="153" spans="2:21" x14ac:dyDescent="0.15">
      <c r="B153" s="27" t="e">
        <f>SUMPRODUCT(pm.rep!B556:P556,Projections!$D$6:$R$6)</f>
        <v>#REF!</v>
      </c>
      <c r="C153" s="4">
        <f t="shared" si="91"/>
        <v>1994</v>
      </c>
      <c r="D153" s="155" t="e">
        <f>pm.rep!B556*D$6/$B153</f>
        <v>#REF!</v>
      </c>
      <c r="E153" s="155" t="e">
        <f>pm.rep!C556*E$6/$B153</f>
        <v>#REF!</v>
      </c>
      <c r="F153" s="155" t="e">
        <f>pm.rep!D556*F$6/$B153</f>
        <v>#REF!</v>
      </c>
      <c r="G153" s="155" t="e">
        <f>pm.rep!E556*G$6/$B153</f>
        <v>#REF!</v>
      </c>
      <c r="H153" s="155" t="e">
        <f>pm.rep!F556*H$6/$B153</f>
        <v>#REF!</v>
      </c>
      <c r="I153" s="155" t="e">
        <f>pm.rep!G556*I$6/$B153</f>
        <v>#REF!</v>
      </c>
      <c r="J153" s="155" t="e">
        <f>pm.rep!H556*J$6/$B153</f>
        <v>#REF!</v>
      </c>
      <c r="K153" s="155" t="e">
        <f>pm.rep!I556*K$6/$B153</f>
        <v>#REF!</v>
      </c>
      <c r="L153" s="155" t="e">
        <f>pm.rep!J556*L$6/$B153</f>
        <v>#REF!</v>
      </c>
      <c r="M153" s="155" t="e">
        <f>pm.rep!K556*M$6/$B153</f>
        <v>#REF!</v>
      </c>
      <c r="N153" s="155" t="e">
        <f>pm.rep!L556*N$6/$B153</f>
        <v>#REF!</v>
      </c>
      <c r="O153" s="155" t="e">
        <f>pm.rep!M556*O$6/$B153</f>
        <v>#REF!</v>
      </c>
      <c r="P153" s="155" t="e">
        <f>pm.rep!N556*P$6/$B153</f>
        <v>#REF!</v>
      </c>
      <c r="Q153" s="155" t="e">
        <f>pm.rep!O556*Q$6/$B153</f>
        <v>#REF!</v>
      </c>
      <c r="R153" s="155" t="e">
        <f>pm.rep!P556*R$6/$B153</f>
        <v>#REF!</v>
      </c>
      <c r="T153">
        <f t="shared" si="89"/>
        <v>1995</v>
      </c>
      <c r="U153" s="23" t="e">
        <f t="shared" si="90"/>
        <v>#REF!</v>
      </c>
    </row>
    <row r="154" spans="2:21" x14ac:dyDescent="0.15">
      <c r="B154" s="27" t="e">
        <f>SUMPRODUCT(pm.rep!B557:P557,Projections!$D$6:$R$6)</f>
        <v>#REF!</v>
      </c>
      <c r="C154" s="4">
        <f t="shared" si="91"/>
        <v>1995</v>
      </c>
      <c r="D154" s="155" t="e">
        <f>pm.rep!B557*D$6/$B154</f>
        <v>#REF!</v>
      </c>
      <c r="E154" s="155" t="e">
        <f>pm.rep!C557*E$6/$B154</f>
        <v>#REF!</v>
      </c>
      <c r="F154" s="155" t="e">
        <f>pm.rep!D557*F$6/$B154</f>
        <v>#REF!</v>
      </c>
      <c r="G154" s="155" t="e">
        <f>pm.rep!E557*G$6/$B154</f>
        <v>#REF!</v>
      </c>
      <c r="H154" s="155" t="e">
        <f>pm.rep!F557*H$6/$B154</f>
        <v>#REF!</v>
      </c>
      <c r="I154" s="155" t="e">
        <f>pm.rep!G557*I$6/$B154</f>
        <v>#REF!</v>
      </c>
      <c r="J154" s="155" t="e">
        <f>pm.rep!H557*J$6/$B154</f>
        <v>#REF!</v>
      </c>
      <c r="K154" s="155" t="e">
        <f>pm.rep!I557*K$6/$B154</f>
        <v>#REF!</v>
      </c>
      <c r="L154" s="155" t="e">
        <f>pm.rep!J557*L$6/$B154</f>
        <v>#REF!</v>
      </c>
      <c r="M154" s="155" t="e">
        <f>pm.rep!K557*M$6/$B154</f>
        <v>#REF!</v>
      </c>
      <c r="N154" s="155" t="e">
        <f>pm.rep!L557*N$6/$B154</f>
        <v>#REF!</v>
      </c>
      <c r="O154" s="155" t="e">
        <f>pm.rep!M557*O$6/$B154</f>
        <v>#REF!</v>
      </c>
      <c r="P154" s="155" t="e">
        <f>pm.rep!N557*P$6/$B154</f>
        <v>#REF!</v>
      </c>
      <c r="Q154" s="155" t="e">
        <f>pm.rep!O557*Q$6/$B154</f>
        <v>#REF!</v>
      </c>
      <c r="R154" s="155" t="e">
        <f>pm.rep!P557*R$6/$B154</f>
        <v>#REF!</v>
      </c>
      <c r="T154">
        <f t="shared" si="89"/>
        <v>1996</v>
      </c>
      <c r="U154" s="23" t="e">
        <f t="shared" si="90"/>
        <v>#REF!</v>
      </c>
    </row>
    <row r="155" spans="2:21" x14ac:dyDescent="0.15">
      <c r="B155" s="27" t="e">
        <f>SUMPRODUCT(pm.rep!B558:P558,Projections!$D$6:$R$6)</f>
        <v>#REF!</v>
      </c>
      <c r="C155" s="4">
        <f t="shared" si="91"/>
        <v>1996</v>
      </c>
      <c r="D155" s="155" t="e">
        <f>pm.rep!B558*D$6/$B155</f>
        <v>#REF!</v>
      </c>
      <c r="E155" s="155" t="e">
        <f>pm.rep!C558*E$6/$B155</f>
        <v>#REF!</v>
      </c>
      <c r="F155" s="155" t="e">
        <f>pm.rep!D558*F$6/$B155</f>
        <v>#REF!</v>
      </c>
      <c r="G155" s="155" t="e">
        <f>pm.rep!E558*G$6/$B155</f>
        <v>#REF!</v>
      </c>
      <c r="H155" s="155" t="e">
        <f>pm.rep!F558*H$6/$B155</f>
        <v>#REF!</v>
      </c>
      <c r="I155" s="155" t="e">
        <f>pm.rep!G558*I$6/$B155</f>
        <v>#REF!</v>
      </c>
      <c r="J155" s="155" t="e">
        <f>pm.rep!H558*J$6/$B155</f>
        <v>#REF!</v>
      </c>
      <c r="K155" s="155" t="e">
        <f>pm.rep!I558*K$6/$B155</f>
        <v>#REF!</v>
      </c>
      <c r="L155" s="155" t="e">
        <f>pm.rep!J558*L$6/$B155</f>
        <v>#REF!</v>
      </c>
      <c r="M155" s="155" t="e">
        <f>pm.rep!K558*M$6/$B155</f>
        <v>#REF!</v>
      </c>
      <c r="N155" s="155" t="e">
        <f>pm.rep!L558*N$6/$B155</f>
        <v>#REF!</v>
      </c>
      <c r="O155" s="155" t="e">
        <f>pm.rep!M558*O$6/$B155</f>
        <v>#REF!</v>
      </c>
      <c r="P155" s="155" t="e">
        <f>pm.rep!N558*P$6/$B155</f>
        <v>#REF!</v>
      </c>
      <c r="Q155" s="155" t="e">
        <f>pm.rep!O558*Q$6/$B155</f>
        <v>#REF!</v>
      </c>
      <c r="R155" s="155" t="e">
        <f>pm.rep!P558*R$6/$B155</f>
        <v>#REF!</v>
      </c>
      <c r="T155">
        <f t="shared" si="89"/>
        <v>1997</v>
      </c>
      <c r="U155" s="23" t="e">
        <f t="shared" si="90"/>
        <v>#REF!</v>
      </c>
    </row>
    <row r="156" spans="2:21" x14ac:dyDescent="0.15">
      <c r="B156" s="27" t="e">
        <f>SUMPRODUCT(pm.rep!B559:P559,Projections!$D$6:$R$6)</f>
        <v>#REF!</v>
      </c>
      <c r="C156" s="4">
        <f t="shared" si="91"/>
        <v>1997</v>
      </c>
      <c r="D156" s="155" t="e">
        <f>pm.rep!B559*D$6/$B156</f>
        <v>#REF!</v>
      </c>
      <c r="E156" s="155" t="e">
        <f>pm.rep!C559*E$6/$B156</f>
        <v>#REF!</v>
      </c>
      <c r="F156" s="155" t="e">
        <f>pm.rep!D559*F$6/$B156</f>
        <v>#REF!</v>
      </c>
      <c r="G156" s="155" t="e">
        <f>pm.rep!E559*G$6/$B156</f>
        <v>#REF!</v>
      </c>
      <c r="H156" s="155" t="e">
        <f>pm.rep!F559*H$6/$B156</f>
        <v>#REF!</v>
      </c>
      <c r="I156" s="155" t="e">
        <f>pm.rep!G559*I$6/$B156</f>
        <v>#REF!</v>
      </c>
      <c r="J156" s="155" t="e">
        <f>pm.rep!H559*J$6/$B156</f>
        <v>#REF!</v>
      </c>
      <c r="K156" s="155" t="e">
        <f>pm.rep!I559*K$6/$B156</f>
        <v>#REF!</v>
      </c>
      <c r="L156" s="155" t="e">
        <f>pm.rep!J559*L$6/$B156</f>
        <v>#REF!</v>
      </c>
      <c r="M156" s="155" t="e">
        <f>pm.rep!K559*M$6/$B156</f>
        <v>#REF!</v>
      </c>
      <c r="N156" s="155" t="e">
        <f>pm.rep!L559*N$6/$B156</f>
        <v>#REF!</v>
      </c>
      <c r="O156" s="155" t="e">
        <f>pm.rep!M559*O$6/$B156</f>
        <v>#REF!</v>
      </c>
      <c r="P156" s="155" t="e">
        <f>pm.rep!N559*P$6/$B156</f>
        <v>#REF!</v>
      </c>
      <c r="Q156" s="155" t="e">
        <f>pm.rep!O559*Q$6/$B156</f>
        <v>#REF!</v>
      </c>
      <c r="R156" s="155" t="e">
        <f>pm.rep!P559*R$6/$B156</f>
        <v>#REF!</v>
      </c>
      <c r="T156">
        <f t="shared" si="89"/>
        <v>1998</v>
      </c>
      <c r="U156" s="23" t="e">
        <f t="shared" si="90"/>
        <v>#REF!</v>
      </c>
    </row>
    <row r="157" spans="2:21" x14ac:dyDescent="0.15">
      <c r="B157" s="27" t="e">
        <f>SUMPRODUCT(pm.rep!B560:P560,Projections!$D$6:$R$6)</f>
        <v>#REF!</v>
      </c>
      <c r="C157" s="4">
        <f t="shared" si="91"/>
        <v>1998</v>
      </c>
      <c r="D157" s="155" t="e">
        <f>pm.rep!B560*D$6/$B157</f>
        <v>#REF!</v>
      </c>
      <c r="E157" s="155" t="e">
        <f>pm.rep!C560*E$6/$B157</f>
        <v>#REF!</v>
      </c>
      <c r="F157" s="155" t="e">
        <f>pm.rep!D560*F$6/$B157</f>
        <v>#REF!</v>
      </c>
      <c r="G157" s="155" t="e">
        <f>pm.rep!E560*G$6/$B157</f>
        <v>#REF!</v>
      </c>
      <c r="H157" s="155" t="e">
        <f>pm.rep!F560*H$6/$B157</f>
        <v>#REF!</v>
      </c>
      <c r="I157" s="155" t="e">
        <f>pm.rep!G560*I$6/$B157</f>
        <v>#REF!</v>
      </c>
      <c r="J157" s="155" t="e">
        <f>pm.rep!H560*J$6/$B157</f>
        <v>#REF!</v>
      </c>
      <c r="K157" s="155" t="e">
        <f>pm.rep!I560*K$6/$B157</f>
        <v>#REF!</v>
      </c>
      <c r="L157" s="155" t="e">
        <f>pm.rep!J560*L$6/$B157</f>
        <v>#REF!</v>
      </c>
      <c r="M157" s="155" t="e">
        <f>pm.rep!K560*M$6/$B157</f>
        <v>#REF!</v>
      </c>
      <c r="N157" s="155" t="e">
        <f>pm.rep!L560*N$6/$B157</f>
        <v>#REF!</v>
      </c>
      <c r="O157" s="155" t="e">
        <f>pm.rep!M560*O$6/$B157</f>
        <v>#REF!</v>
      </c>
      <c r="P157" s="155" t="e">
        <f>pm.rep!N560*P$6/$B157</f>
        <v>#REF!</v>
      </c>
      <c r="Q157" s="155" t="e">
        <f>pm.rep!O560*Q$6/$B157</f>
        <v>#REF!</v>
      </c>
      <c r="R157" s="155" t="e">
        <f>pm.rep!P560*R$6/$B157</f>
        <v>#REF!</v>
      </c>
      <c r="T157">
        <f t="shared" si="89"/>
        <v>1999</v>
      </c>
      <c r="U157" s="23" t="e">
        <f t="shared" si="90"/>
        <v>#REF!</v>
      </c>
    </row>
    <row r="158" spans="2:21" x14ac:dyDescent="0.15">
      <c r="B158" s="27" t="e">
        <f>SUMPRODUCT(pm.rep!B561:P561,Projections!$D$6:$R$6)</f>
        <v>#REF!</v>
      </c>
      <c r="C158" s="4">
        <f t="shared" si="91"/>
        <v>1999</v>
      </c>
      <c r="D158" s="155" t="e">
        <f>pm.rep!B561*D$6/$B158</f>
        <v>#REF!</v>
      </c>
      <c r="E158" s="155" t="e">
        <f>pm.rep!C561*E$6/$B158</f>
        <v>#REF!</v>
      </c>
      <c r="F158" s="155" t="e">
        <f>pm.rep!D561*F$6/$B158</f>
        <v>#REF!</v>
      </c>
      <c r="G158" s="155" t="e">
        <f>pm.rep!E561*G$6/$B158</f>
        <v>#REF!</v>
      </c>
      <c r="H158" s="155" t="e">
        <f>pm.rep!F561*H$6/$B158</f>
        <v>#REF!</v>
      </c>
      <c r="I158" s="155" t="e">
        <f>pm.rep!G561*I$6/$B158</f>
        <v>#REF!</v>
      </c>
      <c r="J158" s="155" t="e">
        <f>pm.rep!H561*J$6/$B158</f>
        <v>#REF!</v>
      </c>
      <c r="K158" s="155" t="e">
        <f>pm.rep!I561*K$6/$B158</f>
        <v>#REF!</v>
      </c>
      <c r="L158" s="155" t="e">
        <f>pm.rep!J561*L$6/$B158</f>
        <v>#REF!</v>
      </c>
      <c r="M158" s="155" t="e">
        <f>pm.rep!K561*M$6/$B158</f>
        <v>#REF!</v>
      </c>
      <c r="N158" s="155" t="e">
        <f>pm.rep!L561*N$6/$B158</f>
        <v>#REF!</v>
      </c>
      <c r="O158" s="155" t="e">
        <f>pm.rep!M561*O$6/$B158</f>
        <v>#REF!</v>
      </c>
      <c r="P158" s="155" t="e">
        <f>pm.rep!N561*P$6/$B158</f>
        <v>#REF!</v>
      </c>
      <c r="Q158" s="155" t="e">
        <f>pm.rep!O561*Q$6/$B158</f>
        <v>#REF!</v>
      </c>
      <c r="R158" s="155" t="e">
        <f>pm.rep!P561*R$6/$B158</f>
        <v>#REF!</v>
      </c>
      <c r="T158">
        <f t="shared" si="89"/>
        <v>2000</v>
      </c>
      <c r="U158" s="23" t="e">
        <f t="shared" si="90"/>
        <v>#REF!</v>
      </c>
    </row>
    <row r="159" spans="2:21" x14ac:dyDescent="0.15">
      <c r="B159" s="27" t="e">
        <f>SUMPRODUCT(pm.rep!B562:P562,Projections!$D$6:$R$6)</f>
        <v>#REF!</v>
      </c>
      <c r="C159" s="4">
        <f t="shared" si="91"/>
        <v>2000</v>
      </c>
      <c r="D159" s="155" t="e">
        <f>pm.rep!B562*D$6/$B159</f>
        <v>#REF!</v>
      </c>
      <c r="E159" s="155" t="e">
        <f>pm.rep!C562*E$6/$B159</f>
        <v>#REF!</v>
      </c>
      <c r="F159" s="155" t="e">
        <f>pm.rep!D562*F$6/$B159</f>
        <v>#REF!</v>
      </c>
      <c r="G159" s="155" t="e">
        <f>pm.rep!E562*G$6/$B159</f>
        <v>#REF!</v>
      </c>
      <c r="H159" s="155" t="e">
        <f>pm.rep!F562*H$6/$B159</f>
        <v>#REF!</v>
      </c>
      <c r="I159" s="155" t="e">
        <f>pm.rep!G562*I$6/$B159</f>
        <v>#REF!</v>
      </c>
      <c r="J159" s="155" t="e">
        <f>pm.rep!H562*J$6/$B159</f>
        <v>#REF!</v>
      </c>
      <c r="K159" s="155" t="e">
        <f>pm.rep!I562*K$6/$B159</f>
        <v>#REF!</v>
      </c>
      <c r="L159" s="155" t="e">
        <f>pm.rep!J562*L$6/$B159</f>
        <v>#REF!</v>
      </c>
      <c r="M159" s="155" t="e">
        <f>pm.rep!K562*M$6/$B159</f>
        <v>#REF!</v>
      </c>
      <c r="N159" s="155" t="e">
        <f>pm.rep!L562*N$6/$B159</f>
        <v>#REF!</v>
      </c>
      <c r="O159" s="155" t="e">
        <f>pm.rep!M562*O$6/$B159</f>
        <v>#REF!</v>
      </c>
      <c r="P159" s="155" t="e">
        <f>pm.rep!N562*P$6/$B159</f>
        <v>#REF!</v>
      </c>
      <c r="Q159" s="155" t="e">
        <f>pm.rep!O562*Q$6/$B159</f>
        <v>#REF!</v>
      </c>
      <c r="R159" s="155" t="e">
        <f>pm.rep!P562*R$6/$B159</f>
        <v>#REF!</v>
      </c>
      <c r="T159">
        <f t="shared" si="89"/>
        <v>2001</v>
      </c>
      <c r="U159" s="23" t="e">
        <f t="shared" si="90"/>
        <v>#REF!</v>
      </c>
    </row>
    <row r="160" spans="2:21" x14ac:dyDescent="0.15">
      <c r="B160" s="27" t="e">
        <f>SUMPRODUCT(pm.rep!B563:P563,Projections!$D$6:$R$6)</f>
        <v>#REF!</v>
      </c>
      <c r="C160" s="4">
        <f t="shared" si="91"/>
        <v>2001</v>
      </c>
      <c r="D160" s="155" t="e">
        <f>pm.rep!B563*D$6/$B160</f>
        <v>#REF!</v>
      </c>
      <c r="E160" s="155" t="e">
        <f>pm.rep!C563*E$6/$B160</f>
        <v>#REF!</v>
      </c>
      <c r="F160" s="155" t="e">
        <f>pm.rep!D563*F$6/$B160</f>
        <v>#REF!</v>
      </c>
      <c r="G160" s="155" t="e">
        <f>pm.rep!E563*G$6/$B160</f>
        <v>#REF!</v>
      </c>
      <c r="H160" s="155" t="e">
        <f>pm.rep!F563*H$6/$B160</f>
        <v>#REF!</v>
      </c>
      <c r="I160" s="155" t="e">
        <f>pm.rep!G563*I$6/$B160</f>
        <v>#REF!</v>
      </c>
      <c r="J160" s="155" t="e">
        <f>pm.rep!H563*J$6/$B160</f>
        <v>#REF!</v>
      </c>
      <c r="K160" s="155" t="e">
        <f>pm.rep!I563*K$6/$B160</f>
        <v>#REF!</v>
      </c>
      <c r="L160" s="155" t="e">
        <f>pm.rep!J563*L$6/$B160</f>
        <v>#REF!</v>
      </c>
      <c r="M160" s="155" t="e">
        <f>pm.rep!K563*M$6/$B160</f>
        <v>#REF!</v>
      </c>
      <c r="N160" s="155" t="e">
        <f>pm.rep!L563*N$6/$B160</f>
        <v>#REF!</v>
      </c>
      <c r="O160" s="155" t="e">
        <f>pm.rep!M563*O$6/$B160</f>
        <v>#REF!</v>
      </c>
      <c r="P160" s="155" t="e">
        <f>pm.rep!N563*P$6/$B160</f>
        <v>#REF!</v>
      </c>
      <c r="Q160" s="155" t="e">
        <f>pm.rep!O563*Q$6/$B160</f>
        <v>#REF!</v>
      </c>
      <c r="R160" s="155" t="e">
        <f>pm.rep!P563*R$6/$B160</f>
        <v>#REF!</v>
      </c>
      <c r="T160">
        <f t="shared" si="89"/>
        <v>2002</v>
      </c>
      <c r="U160" s="23" t="e">
        <f t="shared" si="90"/>
        <v>#REF!</v>
      </c>
    </row>
    <row r="161" spans="2:21" x14ac:dyDescent="0.15">
      <c r="B161" s="27" t="e">
        <f>SUMPRODUCT(pm.rep!B564:P564,Projections!$D$6:$R$6)</f>
        <v>#REF!</v>
      </c>
      <c r="C161" s="4">
        <f t="shared" si="91"/>
        <v>2002</v>
      </c>
      <c r="D161" s="155" t="e">
        <f>pm.rep!B564*D$6/$B161</f>
        <v>#REF!</v>
      </c>
      <c r="E161" s="155" t="e">
        <f>pm.rep!C564*E$6/$B161</f>
        <v>#REF!</v>
      </c>
      <c r="F161" s="155" t="e">
        <f>pm.rep!D564*F$6/$B161</f>
        <v>#REF!</v>
      </c>
      <c r="G161" s="155" t="e">
        <f>pm.rep!E564*G$6/$B161</f>
        <v>#REF!</v>
      </c>
      <c r="H161" s="155" t="e">
        <f>pm.rep!F564*H$6/$B161</f>
        <v>#REF!</v>
      </c>
      <c r="I161" s="155" t="e">
        <f>pm.rep!G564*I$6/$B161</f>
        <v>#REF!</v>
      </c>
      <c r="J161" s="155" t="e">
        <f>pm.rep!H564*J$6/$B161</f>
        <v>#REF!</v>
      </c>
      <c r="K161" s="155" t="e">
        <f>pm.rep!I564*K$6/$B161</f>
        <v>#REF!</v>
      </c>
      <c r="L161" s="155" t="e">
        <f>pm.rep!J564*L$6/$B161</f>
        <v>#REF!</v>
      </c>
      <c r="M161" s="155" t="e">
        <f>pm.rep!K564*M$6/$B161</f>
        <v>#REF!</v>
      </c>
      <c r="N161" s="155" t="e">
        <f>pm.rep!L564*N$6/$B161</f>
        <v>#REF!</v>
      </c>
      <c r="O161" s="155" t="e">
        <f>pm.rep!M564*O$6/$B161</f>
        <v>#REF!</v>
      </c>
      <c r="P161" s="155" t="e">
        <f>pm.rep!N564*P$6/$B161</f>
        <v>#REF!</v>
      </c>
      <c r="Q161" s="155" t="e">
        <f>pm.rep!O564*Q$6/$B161</f>
        <v>#REF!</v>
      </c>
      <c r="R161" s="155" t="e">
        <f>pm.rep!P564*R$6/$B161</f>
        <v>#REF!</v>
      </c>
      <c r="T161">
        <f t="shared" si="89"/>
        <v>2003</v>
      </c>
      <c r="U161" s="23" t="e">
        <f t="shared" si="90"/>
        <v>#REF!</v>
      </c>
    </row>
    <row r="162" spans="2:21" x14ac:dyDescent="0.15">
      <c r="B162" s="27" t="e">
        <f>SUMPRODUCT(pm.rep!B565:P565,Projections!$D$6:$R$6)</f>
        <v>#REF!</v>
      </c>
      <c r="C162" s="4">
        <f t="shared" si="91"/>
        <v>2003</v>
      </c>
      <c r="D162" s="155" t="e">
        <f>pm.rep!B565*D$6/$B162</f>
        <v>#REF!</v>
      </c>
      <c r="E162" s="155" t="e">
        <f>pm.rep!C565*E$6/$B162</f>
        <v>#REF!</v>
      </c>
      <c r="F162" s="155" t="e">
        <f>pm.rep!D565*F$6/$B162</f>
        <v>#REF!</v>
      </c>
      <c r="G162" s="155" t="e">
        <f>pm.rep!E565*G$6/$B162</f>
        <v>#REF!</v>
      </c>
      <c r="H162" s="155" t="e">
        <f>pm.rep!F565*H$6/$B162</f>
        <v>#REF!</v>
      </c>
      <c r="I162" s="155" t="e">
        <f>pm.rep!G565*I$6/$B162</f>
        <v>#REF!</v>
      </c>
      <c r="J162" s="155" t="e">
        <f>pm.rep!H565*J$6/$B162</f>
        <v>#REF!</v>
      </c>
      <c r="K162" s="155" t="e">
        <f>pm.rep!I565*K$6/$B162</f>
        <v>#REF!</v>
      </c>
      <c r="L162" s="155" t="e">
        <f>pm.rep!J565*L$6/$B162</f>
        <v>#REF!</v>
      </c>
      <c r="M162" s="155" t="e">
        <f>pm.rep!K565*M$6/$B162</f>
        <v>#REF!</v>
      </c>
      <c r="N162" s="155" t="e">
        <f>pm.rep!L565*N$6/$B162</f>
        <v>#REF!</v>
      </c>
      <c r="O162" s="155" t="e">
        <f>pm.rep!M565*O$6/$B162</f>
        <v>#REF!</v>
      </c>
      <c r="P162" s="155" t="e">
        <f>pm.rep!N565*P$6/$B162</f>
        <v>#REF!</v>
      </c>
      <c r="Q162" s="155" t="e">
        <f>pm.rep!O565*Q$6/$B162</f>
        <v>#REF!</v>
      </c>
      <c r="R162" s="155" t="e">
        <f>pm.rep!P565*R$6/$B162</f>
        <v>#REF!</v>
      </c>
      <c r="T162">
        <f t="shared" si="89"/>
        <v>2004</v>
      </c>
      <c r="U162" s="23" t="e">
        <f t="shared" si="90"/>
        <v>#REF!</v>
      </c>
    </row>
    <row r="163" spans="2:21" x14ac:dyDescent="0.15">
      <c r="B163" s="27" t="e">
        <f>SUMPRODUCT(pm.rep!B566:P566,Projections!$D$6:$R$6)</f>
        <v>#REF!</v>
      </c>
      <c r="C163" s="4">
        <f t="shared" si="91"/>
        <v>2004</v>
      </c>
      <c r="D163" s="155" t="e">
        <f>pm.rep!B566*D$6/$B163</f>
        <v>#REF!</v>
      </c>
      <c r="E163" s="155" t="e">
        <f>pm.rep!C566*E$6/$B163</f>
        <v>#REF!</v>
      </c>
      <c r="F163" s="155" t="e">
        <f>pm.rep!D566*F$6/$B163</f>
        <v>#REF!</v>
      </c>
      <c r="G163" s="155" t="e">
        <f>pm.rep!E566*G$6/$B163</f>
        <v>#REF!</v>
      </c>
      <c r="H163" s="155" t="e">
        <f>pm.rep!F566*H$6/$B163</f>
        <v>#REF!</v>
      </c>
      <c r="I163" s="155" t="e">
        <f>pm.rep!G566*I$6/$B163</f>
        <v>#REF!</v>
      </c>
      <c r="J163" s="155" t="e">
        <f>pm.rep!H566*J$6/$B163</f>
        <v>#REF!</v>
      </c>
      <c r="K163" s="155" t="e">
        <f>pm.rep!I566*K$6/$B163</f>
        <v>#REF!</v>
      </c>
      <c r="L163" s="155" t="e">
        <f>pm.rep!J566*L$6/$B163</f>
        <v>#REF!</v>
      </c>
      <c r="M163" s="155" t="e">
        <f>pm.rep!K566*M$6/$B163</f>
        <v>#REF!</v>
      </c>
      <c r="N163" s="155" t="e">
        <f>pm.rep!L566*N$6/$B163</f>
        <v>#REF!</v>
      </c>
      <c r="O163" s="155" t="e">
        <f>pm.rep!M566*O$6/$B163</f>
        <v>#REF!</v>
      </c>
      <c r="P163" s="155" t="e">
        <f>pm.rep!N566*P$6/$B163</f>
        <v>#REF!</v>
      </c>
      <c r="Q163" s="155" t="e">
        <f>pm.rep!O566*Q$6/$B163</f>
        <v>#REF!</v>
      </c>
      <c r="R163" s="155" t="e">
        <f>pm.rep!P566*R$6/$B163</f>
        <v>#REF!</v>
      </c>
      <c r="T163">
        <f t="shared" si="89"/>
        <v>2005</v>
      </c>
      <c r="U163" s="23" t="e">
        <f t="shared" si="90"/>
        <v>#REF!</v>
      </c>
    </row>
    <row r="164" spans="2:21" x14ac:dyDescent="0.15">
      <c r="B164" s="27" t="e">
        <f>SUMPRODUCT(pm.rep!B567:P567,Projections!$D$6:$R$6)</f>
        <v>#REF!</v>
      </c>
      <c r="C164" s="4">
        <f t="shared" si="91"/>
        <v>2005</v>
      </c>
      <c r="D164" s="155" t="e">
        <f>pm.rep!B567*D$6/$B164</f>
        <v>#REF!</v>
      </c>
      <c r="E164" s="155" t="e">
        <f>pm.rep!C567*E$6/$B164</f>
        <v>#REF!</v>
      </c>
      <c r="F164" s="155" t="e">
        <f>pm.rep!D567*F$6/$B164</f>
        <v>#REF!</v>
      </c>
      <c r="G164" s="155" t="e">
        <f>pm.rep!E567*G$6/$B164</f>
        <v>#REF!</v>
      </c>
      <c r="H164" s="155" t="e">
        <f>pm.rep!F567*H$6/$B164</f>
        <v>#REF!</v>
      </c>
      <c r="I164" s="155" t="e">
        <f>pm.rep!G567*I$6/$B164</f>
        <v>#REF!</v>
      </c>
      <c r="J164" s="155" t="e">
        <f>pm.rep!H567*J$6/$B164</f>
        <v>#REF!</v>
      </c>
      <c r="K164" s="155" t="e">
        <f>pm.rep!I567*K$6/$B164</f>
        <v>#REF!</v>
      </c>
      <c r="L164" s="155" t="e">
        <f>pm.rep!J567*L$6/$B164</f>
        <v>#REF!</v>
      </c>
      <c r="M164" s="155" t="e">
        <f>pm.rep!K567*M$6/$B164</f>
        <v>#REF!</v>
      </c>
      <c r="N164" s="155" t="e">
        <f>pm.rep!L567*N$6/$B164</f>
        <v>#REF!</v>
      </c>
      <c r="O164" s="155" t="e">
        <f>pm.rep!M567*O$6/$B164</f>
        <v>#REF!</v>
      </c>
      <c r="P164" s="155" t="e">
        <f>pm.rep!N567*P$6/$B164</f>
        <v>#REF!</v>
      </c>
      <c r="Q164" s="155" t="e">
        <f>pm.rep!O567*Q$6/$B164</f>
        <v>#REF!</v>
      </c>
      <c r="R164" s="155" t="e">
        <f>pm.rep!P567*R$6/$B164</f>
        <v>#REF!</v>
      </c>
      <c r="T164">
        <f t="shared" si="89"/>
        <v>2006</v>
      </c>
      <c r="U164" s="23" t="e">
        <f t="shared" si="90"/>
        <v>#REF!</v>
      </c>
    </row>
    <row r="165" spans="2:21" x14ac:dyDescent="0.15">
      <c r="B165" s="27" t="e">
        <f>SUMPRODUCT(pm.rep!B568:P568,Projections!$D$6:$R$6)</f>
        <v>#REF!</v>
      </c>
      <c r="C165" s="4">
        <f t="shared" si="91"/>
        <v>2006</v>
      </c>
      <c r="D165" s="155" t="e">
        <f>pm.rep!B568*D$6/$B165</f>
        <v>#REF!</v>
      </c>
      <c r="E165" s="155" t="e">
        <f>pm.rep!C568*E$6/$B165</f>
        <v>#REF!</v>
      </c>
      <c r="F165" s="155" t="e">
        <f>pm.rep!D568*F$6/$B165</f>
        <v>#REF!</v>
      </c>
      <c r="G165" s="155" t="e">
        <f>pm.rep!E568*G$6/$B165</f>
        <v>#REF!</v>
      </c>
      <c r="H165" s="155" t="e">
        <f>pm.rep!F568*H$6/$B165</f>
        <v>#REF!</v>
      </c>
      <c r="I165" s="155" t="e">
        <f>pm.rep!G568*I$6/$B165</f>
        <v>#REF!</v>
      </c>
      <c r="J165" s="155" t="e">
        <f>pm.rep!H568*J$6/$B165</f>
        <v>#REF!</v>
      </c>
      <c r="K165" s="155" t="e">
        <f>pm.rep!I568*K$6/$B165</f>
        <v>#REF!</v>
      </c>
      <c r="L165" s="155" t="e">
        <f>pm.rep!J568*L$6/$B165</f>
        <v>#REF!</v>
      </c>
      <c r="M165" s="155" t="e">
        <f>pm.rep!K568*M$6/$B165</f>
        <v>#REF!</v>
      </c>
      <c r="N165" s="155" t="e">
        <f>pm.rep!L568*N$6/$B165</f>
        <v>#REF!</v>
      </c>
      <c r="O165" s="155" t="e">
        <f>pm.rep!M568*O$6/$B165</f>
        <v>#REF!</v>
      </c>
      <c r="P165" s="155" t="e">
        <f>pm.rep!N568*P$6/$B165</f>
        <v>#REF!</v>
      </c>
      <c r="Q165" s="155" t="e">
        <f>pm.rep!O568*Q$6/$B165</f>
        <v>#REF!</v>
      </c>
      <c r="R165" s="155" t="e">
        <f>pm.rep!P568*R$6/$B165</f>
        <v>#REF!</v>
      </c>
      <c r="T165">
        <f t="shared" si="89"/>
        <v>2007</v>
      </c>
      <c r="U165" s="23" t="e">
        <f t="shared" si="90"/>
        <v>#REF!</v>
      </c>
    </row>
    <row r="166" spans="2:21" x14ac:dyDescent="0.15">
      <c r="B166" s="27" t="e">
        <f>SUMPRODUCT(pm.rep!B569:P569,Projections!$D$6:$R$6)</f>
        <v>#REF!</v>
      </c>
      <c r="C166" s="4">
        <f t="shared" si="91"/>
        <v>2007</v>
      </c>
      <c r="D166" s="155" t="e">
        <f>pm.rep!B569*D$6/$B166</f>
        <v>#REF!</v>
      </c>
      <c r="E166" s="155" t="e">
        <f>pm.rep!C569*E$6/$B166</f>
        <v>#REF!</v>
      </c>
      <c r="F166" s="155" t="e">
        <f>pm.rep!D569*F$6/$B166</f>
        <v>#REF!</v>
      </c>
      <c r="G166" s="155" t="e">
        <f>pm.rep!E569*G$6/$B166</f>
        <v>#REF!</v>
      </c>
      <c r="H166" s="155" t="e">
        <f>pm.rep!F569*H$6/$B166</f>
        <v>#REF!</v>
      </c>
      <c r="I166" s="155" t="e">
        <f>pm.rep!G569*I$6/$B166</f>
        <v>#REF!</v>
      </c>
      <c r="J166" s="155" t="e">
        <f>pm.rep!H569*J$6/$B166</f>
        <v>#REF!</v>
      </c>
      <c r="K166" s="155" t="e">
        <f>pm.rep!I569*K$6/$B166</f>
        <v>#REF!</v>
      </c>
      <c r="L166" s="155" t="e">
        <f>pm.rep!J569*L$6/$B166</f>
        <v>#REF!</v>
      </c>
      <c r="M166" s="155" t="e">
        <f>pm.rep!K569*M$6/$B166</f>
        <v>#REF!</v>
      </c>
      <c r="N166" s="155" t="e">
        <f>pm.rep!L569*N$6/$B166</f>
        <v>#REF!</v>
      </c>
      <c r="O166" s="155" t="e">
        <f>pm.rep!M569*O$6/$B166</f>
        <v>#REF!</v>
      </c>
      <c r="P166" s="155" t="e">
        <f>pm.rep!N569*P$6/$B166</f>
        <v>#REF!</v>
      </c>
      <c r="Q166" s="155" t="e">
        <f>pm.rep!O569*Q$6/$B166</f>
        <v>#REF!</v>
      </c>
      <c r="R166" s="155" t="e">
        <f>pm.rep!P569*R$6/$B166</f>
        <v>#REF!</v>
      </c>
      <c r="T166">
        <f t="shared" si="89"/>
        <v>2008</v>
      </c>
      <c r="U166" s="23" t="e">
        <f t="shared" si="90"/>
        <v>#REF!</v>
      </c>
    </row>
    <row r="167" spans="2:21" x14ac:dyDescent="0.15">
      <c r="B167" s="27" t="e">
        <f>SUMPRODUCT(pm.rep!B570:P570,Projections!$D$6:$R$6)</f>
        <v>#REF!</v>
      </c>
      <c r="C167" s="4">
        <f t="shared" si="91"/>
        <v>2008</v>
      </c>
      <c r="D167" s="155" t="e">
        <f>pm.rep!B570*D$6/$B167</f>
        <v>#REF!</v>
      </c>
      <c r="E167" s="155" t="e">
        <f>pm.rep!C570*E$6/$B167</f>
        <v>#REF!</v>
      </c>
      <c r="F167" s="155" t="e">
        <f>pm.rep!D570*F$6/$B167</f>
        <v>#REF!</v>
      </c>
      <c r="G167" s="155" t="e">
        <f>pm.rep!E570*G$6/$B167</f>
        <v>#REF!</v>
      </c>
      <c r="H167" s="155" t="e">
        <f>pm.rep!F570*H$6/$B167</f>
        <v>#REF!</v>
      </c>
      <c r="I167" s="155" t="e">
        <f>pm.rep!G570*I$6/$B167</f>
        <v>#REF!</v>
      </c>
      <c r="J167" s="155" t="e">
        <f>pm.rep!H570*J$6/$B167</f>
        <v>#REF!</v>
      </c>
      <c r="K167" s="155" t="e">
        <f>pm.rep!I570*K$6/$B167</f>
        <v>#REF!</v>
      </c>
      <c r="L167" s="155" t="e">
        <f>pm.rep!J570*L$6/$B167</f>
        <v>#REF!</v>
      </c>
      <c r="M167" s="155" t="e">
        <f>pm.rep!K570*M$6/$B167</f>
        <v>#REF!</v>
      </c>
      <c r="N167" s="155" t="e">
        <f>pm.rep!L570*N$6/$B167</f>
        <v>#REF!</v>
      </c>
      <c r="O167" s="155" t="e">
        <f>pm.rep!M570*O$6/$B167</f>
        <v>#REF!</v>
      </c>
      <c r="P167" s="155" t="e">
        <f>pm.rep!N570*P$6/$B167</f>
        <v>#REF!</v>
      </c>
      <c r="Q167" s="155" t="e">
        <f>pm.rep!O570*Q$6/$B167</f>
        <v>#REF!</v>
      </c>
      <c r="R167" s="155" t="e">
        <f>pm.rep!P570*R$6/$B167</f>
        <v>#REF!</v>
      </c>
      <c r="T167">
        <f t="shared" si="89"/>
        <v>2009</v>
      </c>
      <c r="U167" s="23" t="e">
        <f t="shared" si="90"/>
        <v>#REF!</v>
      </c>
    </row>
    <row r="168" spans="2:21" x14ac:dyDescent="0.15">
      <c r="B168" s="27" t="e">
        <f>SUMPRODUCT(pm.rep!B571:P571,Projections!$D$6:$R$6)</f>
        <v>#REF!</v>
      </c>
      <c r="C168" s="4">
        <f t="shared" si="91"/>
        <v>2009</v>
      </c>
      <c r="D168" s="155" t="e">
        <f>pm.rep!B571*D$6/$B168</f>
        <v>#REF!</v>
      </c>
      <c r="E168" s="155" t="e">
        <f>pm.rep!C571*E$6/$B168</f>
        <v>#REF!</v>
      </c>
      <c r="F168" s="155" t="e">
        <f>pm.rep!D571*F$6/$B168</f>
        <v>#REF!</v>
      </c>
      <c r="G168" s="155" t="e">
        <f>pm.rep!E571*G$6/$B168</f>
        <v>#REF!</v>
      </c>
      <c r="H168" s="155" t="e">
        <f>pm.rep!F571*H$6/$B168</f>
        <v>#REF!</v>
      </c>
      <c r="I168" s="155" t="e">
        <f>pm.rep!G571*I$6/$B168</f>
        <v>#REF!</v>
      </c>
      <c r="J168" s="155" t="e">
        <f>pm.rep!H571*J$6/$B168</f>
        <v>#REF!</v>
      </c>
      <c r="K168" s="155" t="e">
        <f>pm.rep!I571*K$6/$B168</f>
        <v>#REF!</v>
      </c>
      <c r="L168" s="155" t="e">
        <f>pm.rep!J571*L$6/$B168</f>
        <v>#REF!</v>
      </c>
      <c r="M168" s="155" t="e">
        <f>pm.rep!K571*M$6/$B168</f>
        <v>#REF!</v>
      </c>
      <c r="N168" s="155" t="e">
        <f>pm.rep!L571*N$6/$B168</f>
        <v>#REF!</v>
      </c>
      <c r="O168" s="155" t="e">
        <f>pm.rep!M571*O$6/$B168</f>
        <v>#REF!</v>
      </c>
      <c r="P168" s="155" t="e">
        <f>pm.rep!N571*P$6/$B168</f>
        <v>#REF!</v>
      </c>
      <c r="Q168" s="155" t="e">
        <f>pm.rep!O571*Q$6/$B168</f>
        <v>#REF!</v>
      </c>
      <c r="R168" s="155" t="e">
        <f>pm.rep!P571*R$6/$B168</f>
        <v>#REF!</v>
      </c>
      <c r="T168">
        <f t="shared" si="89"/>
        <v>2010</v>
      </c>
      <c r="U168" s="23" t="e">
        <f t="shared" si="90"/>
        <v>#REF!</v>
      </c>
    </row>
    <row r="169" spans="2:21" x14ac:dyDescent="0.15">
      <c r="B169" s="27" t="e">
        <f>SUMPRODUCT(pm.rep!B572:P572,Projections!$D$6:$R$6)</f>
        <v>#REF!</v>
      </c>
      <c r="C169" s="4">
        <f t="shared" si="91"/>
        <v>2010</v>
      </c>
      <c r="D169" s="155" t="e">
        <f>pm.rep!B572*D$6/$B169</f>
        <v>#REF!</v>
      </c>
      <c r="E169" s="155" t="e">
        <f>pm.rep!C572*E$6/$B169</f>
        <v>#REF!</v>
      </c>
      <c r="F169" s="155" t="e">
        <f>pm.rep!D572*F$6/$B169</f>
        <v>#REF!</v>
      </c>
      <c r="G169" s="155" t="e">
        <f>pm.rep!E572*G$6/$B169</f>
        <v>#REF!</v>
      </c>
      <c r="H169" s="155" t="e">
        <f>pm.rep!F572*H$6/$B169</f>
        <v>#REF!</v>
      </c>
      <c r="I169" s="155" t="e">
        <f>pm.rep!G572*I$6/$B169</f>
        <v>#REF!</v>
      </c>
      <c r="J169" s="155" t="e">
        <f>pm.rep!H572*J$6/$B169</f>
        <v>#REF!</v>
      </c>
      <c r="K169" s="155" t="e">
        <f>pm.rep!I572*K$6/$B169</f>
        <v>#REF!</v>
      </c>
      <c r="L169" s="155" t="e">
        <f>pm.rep!J572*L$6/$B169</f>
        <v>#REF!</v>
      </c>
      <c r="M169" s="155" t="e">
        <f>pm.rep!K572*M$6/$B169</f>
        <v>#REF!</v>
      </c>
      <c r="N169" s="155" t="e">
        <f>pm.rep!L572*N$6/$B169</f>
        <v>#REF!</v>
      </c>
      <c r="O169" s="155" t="e">
        <f>pm.rep!M572*O$6/$B169</f>
        <v>#REF!</v>
      </c>
      <c r="P169" s="155" t="e">
        <f>pm.rep!N572*P$6/$B169</f>
        <v>#REF!</v>
      </c>
      <c r="Q169" s="155" t="e">
        <f>pm.rep!O572*Q$6/$B169</f>
        <v>#REF!</v>
      </c>
      <c r="R169" s="155" t="e">
        <f>pm.rep!P572*R$6/$B169</f>
        <v>#REF!</v>
      </c>
      <c r="T169">
        <f t="shared" si="89"/>
        <v>2011</v>
      </c>
      <c r="U169" s="23" t="e">
        <f t="shared" si="90"/>
        <v>#VALUE!</v>
      </c>
    </row>
    <row r="170" spans="2:21" x14ac:dyDescent="0.15">
      <c r="B170" s="27"/>
      <c r="C170" s="4">
        <v>2011</v>
      </c>
      <c r="D170" s="23" t="e">
        <f>D114</f>
        <v>#VALUE!</v>
      </c>
      <c r="E170" s="23" t="e">
        <f t="shared" ref="E170:R170" si="92">E114</f>
        <v>#REF!</v>
      </c>
      <c r="F170" s="23" t="e">
        <f t="shared" si="92"/>
        <v>#REF!</v>
      </c>
      <c r="G170" s="23" t="e">
        <f t="shared" si="92"/>
        <v>#REF!</v>
      </c>
      <c r="H170" s="23" t="e">
        <f t="shared" si="92"/>
        <v>#REF!</v>
      </c>
      <c r="I170" s="23" t="e">
        <f t="shared" si="92"/>
        <v>#REF!</v>
      </c>
      <c r="J170" s="23" t="e">
        <f t="shared" si="92"/>
        <v>#REF!</v>
      </c>
      <c r="K170" s="23" t="e">
        <f t="shared" si="92"/>
        <v>#REF!</v>
      </c>
      <c r="L170" s="23" t="e">
        <f t="shared" si="92"/>
        <v>#REF!</v>
      </c>
      <c r="M170" s="23" t="e">
        <f t="shared" si="92"/>
        <v>#REF!</v>
      </c>
      <c r="N170" s="23" t="e">
        <f t="shared" si="92"/>
        <v>#REF!</v>
      </c>
      <c r="O170" s="23" t="e">
        <f t="shared" si="92"/>
        <v>#REF!</v>
      </c>
      <c r="P170" s="23" t="e">
        <f t="shared" si="92"/>
        <v>#REF!</v>
      </c>
      <c r="Q170" s="23" t="e">
        <f t="shared" si="92"/>
        <v>#REF!</v>
      </c>
      <c r="R170" s="23" t="e">
        <f t="shared" si="92"/>
        <v>#REF!</v>
      </c>
      <c r="T170">
        <f t="shared" si="89"/>
        <v>2012</v>
      </c>
      <c r="U170" s="23" t="e">
        <f t="shared" si="90"/>
        <v>#VALUE!</v>
      </c>
    </row>
    <row r="171" spans="2:21" x14ac:dyDescent="0.15">
      <c r="B171" s="27"/>
      <c r="C171" s="4">
        <v>2012</v>
      </c>
      <c r="D171" s="23" t="e">
        <f t="shared" ref="D171:R171" si="93">D115</f>
        <v>#VALUE!</v>
      </c>
      <c r="E171" s="23" t="e">
        <f t="shared" si="93"/>
        <v>#VALUE!</v>
      </c>
      <c r="F171" s="23" t="e">
        <f t="shared" si="93"/>
        <v>#REF!</v>
      </c>
      <c r="G171" s="23" t="e">
        <f t="shared" si="93"/>
        <v>#REF!</v>
      </c>
      <c r="H171" s="23" t="e">
        <f t="shared" si="93"/>
        <v>#REF!</v>
      </c>
      <c r="I171" s="23" t="e">
        <f t="shared" si="93"/>
        <v>#REF!</v>
      </c>
      <c r="J171" s="23" t="e">
        <f t="shared" si="93"/>
        <v>#REF!</v>
      </c>
      <c r="K171" s="23" t="e">
        <f t="shared" si="93"/>
        <v>#REF!</v>
      </c>
      <c r="L171" s="23" t="e">
        <f t="shared" si="93"/>
        <v>#REF!</v>
      </c>
      <c r="M171" s="23" t="e">
        <f t="shared" si="93"/>
        <v>#REF!</v>
      </c>
      <c r="N171" s="23" t="e">
        <f t="shared" si="93"/>
        <v>#REF!</v>
      </c>
      <c r="O171" s="23" t="e">
        <f t="shared" si="93"/>
        <v>#REF!</v>
      </c>
      <c r="P171" s="23" t="e">
        <f t="shared" si="93"/>
        <v>#REF!</v>
      </c>
      <c r="Q171" s="23" t="e">
        <f t="shared" si="93"/>
        <v>#REF!</v>
      </c>
      <c r="R171" s="23" t="e">
        <f t="shared" si="93"/>
        <v>#REF!</v>
      </c>
      <c r="T171">
        <f t="shared" si="89"/>
        <v>2013</v>
      </c>
      <c r="U171" s="23" t="e">
        <f t="shared" si="90"/>
        <v>#VALUE!</v>
      </c>
    </row>
    <row r="172" spans="2:21" x14ac:dyDescent="0.15">
      <c r="B172" s="27"/>
      <c r="C172" s="4">
        <v>2013</v>
      </c>
      <c r="D172" s="23" t="e">
        <f t="shared" ref="D172:R172" si="94">D116</f>
        <v>#VALUE!</v>
      </c>
      <c r="E172" s="23" t="e">
        <f t="shared" si="94"/>
        <v>#VALUE!</v>
      </c>
      <c r="F172" s="23" t="e">
        <f t="shared" si="94"/>
        <v>#VALUE!</v>
      </c>
      <c r="G172" s="23" t="e">
        <f t="shared" si="94"/>
        <v>#REF!</v>
      </c>
      <c r="H172" s="23" t="e">
        <f t="shared" si="94"/>
        <v>#REF!</v>
      </c>
      <c r="I172" s="23" t="e">
        <f t="shared" si="94"/>
        <v>#REF!</v>
      </c>
      <c r="J172" s="23" t="e">
        <f t="shared" si="94"/>
        <v>#REF!</v>
      </c>
      <c r="K172" s="23" t="e">
        <f t="shared" si="94"/>
        <v>#REF!</v>
      </c>
      <c r="L172" s="23" t="e">
        <f t="shared" si="94"/>
        <v>#REF!</v>
      </c>
      <c r="M172" s="23" t="e">
        <f t="shared" si="94"/>
        <v>#REF!</v>
      </c>
      <c r="N172" s="23" t="e">
        <f t="shared" si="94"/>
        <v>#REF!</v>
      </c>
      <c r="O172" s="23" t="e">
        <f t="shared" si="94"/>
        <v>#REF!</v>
      </c>
      <c r="P172" s="23" t="e">
        <f t="shared" si="94"/>
        <v>#REF!</v>
      </c>
      <c r="Q172" s="23" t="e">
        <f t="shared" si="94"/>
        <v>#REF!</v>
      </c>
      <c r="R172" s="23" t="e">
        <f t="shared" si="94"/>
        <v>#REF!</v>
      </c>
      <c r="T172">
        <f t="shared" si="89"/>
        <v>2014</v>
      </c>
      <c r="U172" s="23" t="e">
        <f t="shared" si="90"/>
        <v>#VALUE!</v>
      </c>
    </row>
    <row r="173" spans="2:21" x14ac:dyDescent="0.15">
      <c r="B173" s="27"/>
      <c r="C173" s="4">
        <v>2014</v>
      </c>
      <c r="D173" s="23" t="e">
        <f t="shared" ref="D173:R173" si="95">D117</f>
        <v>#VALUE!</v>
      </c>
      <c r="E173" s="23" t="e">
        <f t="shared" si="95"/>
        <v>#VALUE!</v>
      </c>
      <c r="F173" s="23" t="e">
        <f t="shared" si="95"/>
        <v>#VALUE!</v>
      </c>
      <c r="G173" s="23" t="e">
        <f t="shared" si="95"/>
        <v>#VALUE!</v>
      </c>
      <c r="H173" s="23" t="e">
        <f t="shared" si="95"/>
        <v>#REF!</v>
      </c>
      <c r="I173" s="23" t="e">
        <f t="shared" si="95"/>
        <v>#REF!</v>
      </c>
      <c r="J173" s="23" t="e">
        <f t="shared" si="95"/>
        <v>#REF!</v>
      </c>
      <c r="K173" s="23" t="e">
        <f t="shared" si="95"/>
        <v>#REF!</v>
      </c>
      <c r="L173" s="23" t="e">
        <f t="shared" si="95"/>
        <v>#REF!</v>
      </c>
      <c r="M173" s="23" t="e">
        <f t="shared" si="95"/>
        <v>#REF!</v>
      </c>
      <c r="N173" s="23" t="e">
        <f t="shared" si="95"/>
        <v>#REF!</v>
      </c>
      <c r="O173" s="23" t="e">
        <f t="shared" si="95"/>
        <v>#REF!</v>
      </c>
      <c r="P173" s="23" t="e">
        <f t="shared" si="95"/>
        <v>#REF!</v>
      </c>
      <c r="Q173" s="23" t="e">
        <f t="shared" si="95"/>
        <v>#REF!</v>
      </c>
      <c r="R173" s="23" t="e">
        <f t="shared" si="95"/>
        <v>#REF!</v>
      </c>
      <c r="T173">
        <f t="shared" si="89"/>
        <v>2015</v>
      </c>
      <c r="U173" s="23" t="e">
        <f t="shared" si="90"/>
        <v>#VALUE!</v>
      </c>
    </row>
    <row r="174" spans="2:21" x14ac:dyDescent="0.15">
      <c r="B174" s="27"/>
      <c r="C174" s="4">
        <v>2015</v>
      </c>
      <c r="D174" s="23" t="e">
        <f t="shared" ref="D174:R174" si="96">D118</f>
        <v>#VALUE!</v>
      </c>
      <c r="E174" s="23" t="e">
        <f t="shared" si="96"/>
        <v>#VALUE!</v>
      </c>
      <c r="F174" s="23" t="e">
        <f t="shared" si="96"/>
        <v>#VALUE!</v>
      </c>
      <c r="G174" s="23" t="e">
        <f t="shared" si="96"/>
        <v>#VALUE!</v>
      </c>
      <c r="H174" s="23" t="e">
        <f t="shared" si="96"/>
        <v>#VALUE!</v>
      </c>
      <c r="I174" s="23" t="e">
        <f t="shared" si="96"/>
        <v>#REF!</v>
      </c>
      <c r="J174" s="23" t="e">
        <f t="shared" si="96"/>
        <v>#REF!</v>
      </c>
      <c r="K174" s="23" t="e">
        <f t="shared" si="96"/>
        <v>#REF!</v>
      </c>
      <c r="L174" s="23" t="e">
        <f t="shared" si="96"/>
        <v>#REF!</v>
      </c>
      <c r="M174" s="23" t="e">
        <f t="shared" si="96"/>
        <v>#REF!</v>
      </c>
      <c r="N174" s="23" t="e">
        <f t="shared" si="96"/>
        <v>#REF!</v>
      </c>
      <c r="O174" s="23" t="e">
        <f t="shared" si="96"/>
        <v>#REF!</v>
      </c>
      <c r="P174" s="23" t="e">
        <f t="shared" si="96"/>
        <v>#REF!</v>
      </c>
      <c r="Q174" s="23" t="e">
        <f t="shared" si="96"/>
        <v>#REF!</v>
      </c>
      <c r="R174" s="23" t="e">
        <f t="shared" si="96"/>
        <v>#REF!</v>
      </c>
    </row>
    <row r="175" spans="2:21" x14ac:dyDescent="0.15"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</row>
    <row r="176" spans="2:21" x14ac:dyDescent="0.15"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</row>
  </sheetData>
  <conditionalFormatting sqref="D40:M6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0:M10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9:R17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3:R3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52:AJ7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>
    <pageSetUpPr fitToPage="1"/>
  </sheetPr>
  <dimension ref="A1:CS513"/>
  <sheetViews>
    <sheetView topLeftCell="D71" workbookViewId="0">
      <selection activeCell="D98" sqref="D98:D99"/>
    </sheetView>
  </sheetViews>
  <sheetFormatPr baseColWidth="10" defaultColWidth="8.83203125" defaultRowHeight="13" x14ac:dyDescent="0.15"/>
  <sheetData>
    <row r="1" spans="1:21" x14ac:dyDescent="0.15">
      <c r="C1" t="s">
        <v>307</v>
      </c>
      <c r="E1" s="21" t="s">
        <v>177</v>
      </c>
      <c r="F1" s="21">
        <v>1</v>
      </c>
      <c r="G1" s="21">
        <v>2</v>
      </c>
      <c r="H1" s="21">
        <v>3</v>
      </c>
      <c r="I1" s="21">
        <v>4</v>
      </c>
      <c r="J1" s="21">
        <v>5</v>
      </c>
      <c r="K1" s="21">
        <v>6</v>
      </c>
      <c r="L1" s="21">
        <v>7</v>
      </c>
      <c r="M1" s="21">
        <v>8</v>
      </c>
      <c r="N1" s="21">
        <v>9</v>
      </c>
      <c r="O1" s="21">
        <v>10</v>
      </c>
      <c r="P1" s="21">
        <v>11</v>
      </c>
      <c r="Q1" s="21">
        <v>12</v>
      </c>
      <c r="R1" s="21">
        <v>13</v>
      </c>
      <c r="S1" s="21">
        <v>14</v>
      </c>
      <c r="T1" s="21">
        <v>15</v>
      </c>
      <c r="U1" s="21" t="s">
        <v>111</v>
      </c>
    </row>
    <row r="2" spans="1:21" x14ac:dyDescent="0.15">
      <c r="A2" t="s">
        <v>296</v>
      </c>
      <c r="C2">
        <f>StdDev!AB68</f>
        <v>1.4779559229638046</v>
      </c>
      <c r="E2" s="21" t="s">
        <v>298</v>
      </c>
      <c r="F2">
        <f>AVERAGE(pm.rep!B189:B208)</f>
        <v>6.7642369999999993E-2</v>
      </c>
      <c r="G2">
        <f>AVERAGE(pm.rep!C189:C208)</f>
        <v>4.5512089999999998E-2</v>
      </c>
      <c r="H2">
        <f>AVERAGE(pm.rep!D189:D208)</f>
        <v>0.10310371999999998</v>
      </c>
      <c r="I2">
        <f>AVERAGE(pm.rep!E189:E208)</f>
        <v>0.21682938499999999</v>
      </c>
      <c r="J2">
        <f>AVERAGE(pm.rep!F189:F208)</f>
        <v>0.39611399999999997</v>
      </c>
      <c r="K2">
        <f>AVERAGE(pm.rep!G189:G208)</f>
        <v>0.60083975000000001</v>
      </c>
      <c r="L2">
        <f>AVERAGE(pm.rep!H189:H208)</f>
        <v>0.7707484</v>
      </c>
      <c r="M2">
        <f>AVERAGE(pm.rep!I189:I208)</f>
        <v>0.88170490000000012</v>
      </c>
      <c r="N2">
        <f>AVERAGE(pm.rep!J189:J208)</f>
        <v>0.94314164999999994</v>
      </c>
      <c r="O2">
        <f>AVERAGE(pm.rep!K189:K208)</f>
        <v>0.97373364999999978</v>
      </c>
      <c r="P2">
        <f>AVERAGE(pm.rep!L189:L208)</f>
        <v>0.98808499999999988</v>
      </c>
      <c r="Q2">
        <f>AVERAGE(pm.rep!M189:M208)</f>
        <v>0.99462755000000025</v>
      </c>
      <c r="R2">
        <f>AVERAGE(pm.rep!N189:N208)</f>
        <v>0.99757759999999995</v>
      </c>
      <c r="S2">
        <f>AVERAGE(pm.rep!O189:O208)</f>
        <v>0.99890470000000009</v>
      </c>
      <c r="T2">
        <f>AVERAGE(pm.rep!P189:P208)</f>
        <v>0.99950290000000008</v>
      </c>
      <c r="U2">
        <f>MAX(F2:T2)</f>
        <v>0.99950290000000008</v>
      </c>
    </row>
    <row r="3" spans="1:21" x14ac:dyDescent="0.15">
      <c r="A3" t="s">
        <v>297</v>
      </c>
      <c r="C3">
        <f>StdDev!AB69</f>
        <v>0.35686418634166889</v>
      </c>
      <c r="E3" s="21" t="s">
        <v>299</v>
      </c>
      <c r="F3">
        <f>AVERAGE(pm.rep!B240:B260)</f>
        <v>0</v>
      </c>
      <c r="G3">
        <f>AVERAGE(pm.rep!C240:C260)</f>
        <v>1.0061700000000005</v>
      </c>
      <c r="H3">
        <f>AVERAGE(pm.rep!D239:D261)</f>
        <v>1.2022021739130433</v>
      </c>
      <c r="I3">
        <f>AVERAGE(pm.rep!E240:E260)</f>
        <v>1.28284</v>
      </c>
      <c r="J3">
        <f>AVERAGE(pm.rep!F240:F260)</f>
        <v>1.3112500000000002</v>
      </c>
      <c r="K3">
        <f>AVERAGE(pm.rep!G240:G260)</f>
        <v>1.10782</v>
      </c>
      <c r="L3">
        <f>AVERAGE(pm.rep!H240:H260)</f>
        <v>1.1216299999999999</v>
      </c>
      <c r="M3">
        <f>AVERAGE(pm.rep!I240:I260)</f>
        <v>0.94114500000000001</v>
      </c>
      <c r="N3">
        <f>AVERAGE(pm.rep!J240:J260)</f>
        <v>0.94114500000000001</v>
      </c>
      <c r="O3">
        <f>AVERAGE(pm.rep!K240:K260)</f>
        <v>0.94114500000000001</v>
      </c>
      <c r="P3">
        <f>AVERAGE(pm.rep!L240:L260)</f>
        <v>0.94114500000000001</v>
      </c>
      <c r="Q3">
        <f>AVERAGE(pm.rep!M240:M260)</f>
        <v>0.94114500000000001</v>
      </c>
      <c r="R3">
        <f>AVERAGE(pm.rep!N240:N260)</f>
        <v>0.94114500000000001</v>
      </c>
      <c r="S3">
        <f>AVERAGE(pm.rep!O240:O260)</f>
        <v>0.94114500000000001</v>
      </c>
      <c r="T3">
        <f>AVERAGE(pm.rep!P240:P260)</f>
        <v>0.94114500000000001</v>
      </c>
      <c r="U3">
        <f>MAX(F3:T3)</f>
        <v>1.3112500000000002</v>
      </c>
    </row>
    <row r="5" spans="1:21" x14ac:dyDescent="0.15">
      <c r="A5" t="s">
        <v>318</v>
      </c>
      <c r="C5">
        <f>BTS_Q*$U$2</f>
        <v>1.4772212310744994</v>
      </c>
      <c r="E5" s="21" t="s">
        <v>305</v>
      </c>
      <c r="F5">
        <f>F2/$U2</f>
        <v>6.767601174543865E-2</v>
      </c>
      <c r="G5">
        <f t="shared" ref="G5:T6" si="0">G2/$U2</f>
        <v>4.5534725311952566E-2</v>
      </c>
      <c r="H5">
        <f t="shared" si="0"/>
        <v>0.1031549983496796</v>
      </c>
      <c r="I5">
        <f t="shared" si="0"/>
        <v>0.21693722449429609</v>
      </c>
      <c r="J5">
        <f t="shared" si="0"/>
        <v>0.39631100620118254</v>
      </c>
      <c r="K5">
        <f t="shared" si="0"/>
        <v>0.60113857598612264</v>
      </c>
      <c r="L5">
        <f t="shared" si="0"/>
        <v>0.77113172958277554</v>
      </c>
      <c r="M5">
        <f t="shared" si="0"/>
        <v>0.88214341349084635</v>
      </c>
      <c r="N5">
        <f t="shared" si="0"/>
        <v>0.94361071888835923</v>
      </c>
      <c r="O5">
        <f t="shared" si="0"/>
        <v>0.97421793373485932</v>
      </c>
      <c r="P5">
        <f t="shared" si="0"/>
        <v>0.98857642133904744</v>
      </c>
      <c r="Q5">
        <f t="shared" si="0"/>
        <v>0.99512222525817595</v>
      </c>
      <c r="R5">
        <f t="shared" si="0"/>
        <v>0.99807374245737546</v>
      </c>
      <c r="S5">
        <f t="shared" si="0"/>
        <v>0.9994015024868862</v>
      </c>
      <c r="T5">
        <f t="shared" si="0"/>
        <v>1</v>
      </c>
    </row>
    <row r="6" spans="1:21" x14ac:dyDescent="0.15">
      <c r="A6" t="s">
        <v>317</v>
      </c>
      <c r="C6">
        <f>EIT_Q*U3</f>
        <v>0.46793816434051344</v>
      </c>
      <c r="E6" s="21" t="s">
        <v>306</v>
      </c>
      <c r="F6">
        <f>F3/$U3</f>
        <v>0</v>
      </c>
      <c r="G6">
        <f t="shared" si="0"/>
        <v>0.76733651096282196</v>
      </c>
      <c r="H6">
        <f t="shared" si="0"/>
        <v>0.91683673892319772</v>
      </c>
      <c r="I6">
        <f t="shared" si="0"/>
        <v>0.97833365109628201</v>
      </c>
      <c r="J6">
        <f t="shared" si="0"/>
        <v>1</v>
      </c>
      <c r="K6">
        <f t="shared" si="0"/>
        <v>0.8448579599618683</v>
      </c>
      <c r="L6">
        <f t="shared" si="0"/>
        <v>0.85538989513822661</v>
      </c>
      <c r="M6">
        <f t="shared" si="0"/>
        <v>0.71774642516682541</v>
      </c>
      <c r="N6">
        <f t="shared" si="0"/>
        <v>0.71774642516682541</v>
      </c>
      <c r="O6">
        <f t="shared" si="0"/>
        <v>0.71774642516682541</v>
      </c>
      <c r="P6">
        <f t="shared" si="0"/>
        <v>0.71774642516682541</v>
      </c>
      <c r="Q6">
        <f t="shared" si="0"/>
        <v>0.71774642516682541</v>
      </c>
      <c r="R6">
        <f t="shared" si="0"/>
        <v>0.71774642516682541</v>
      </c>
      <c r="S6">
        <f t="shared" si="0"/>
        <v>0.71774642516682541</v>
      </c>
      <c r="T6">
        <f t="shared" si="0"/>
        <v>0.71774642516682541</v>
      </c>
    </row>
    <row r="8" spans="1:21" x14ac:dyDescent="0.15">
      <c r="D8" t="s">
        <v>301</v>
      </c>
      <c r="E8" t="s">
        <v>300</v>
      </c>
      <c r="F8">
        <f>AVERAGE(pm.rep!B78:B99)</f>
        <v>25396.372272727269</v>
      </c>
      <c r="G8">
        <f>AVERAGE(pm.rep!C78:C99)</f>
        <v>10309.983636363637</v>
      </c>
      <c r="H8">
        <f>AVERAGE(pm.rep!D78:D99)</f>
        <v>6456.3509090909092</v>
      </c>
      <c r="I8">
        <f>AVERAGE(pm.rep!E78:E99)</f>
        <v>4501.9113636363636</v>
      </c>
      <c r="J8">
        <f>AVERAGE(pm.rep!F78:F99)</f>
        <v>2900.847772727273</v>
      </c>
      <c r="K8">
        <f>AVERAGE(pm.rep!G78:G99)</f>
        <v>1793.5248181818183</v>
      </c>
      <c r="L8">
        <f>AVERAGE(pm.rep!H78:H99)</f>
        <v>1065.7432272727272</v>
      </c>
      <c r="M8">
        <f>AVERAGE(pm.rep!I78:I99)</f>
        <v>596.31182727272733</v>
      </c>
      <c r="N8">
        <f>AVERAGE(pm.rep!J78:J99)</f>
        <v>303.34816818181815</v>
      </c>
      <c r="O8">
        <f>AVERAGE(pm.rep!K78:K99)</f>
        <v>164.41862727272726</v>
      </c>
      <c r="P8">
        <f>AVERAGE(pm.rep!L78:L99)</f>
        <v>89.096512272727267</v>
      </c>
      <c r="Q8">
        <f>AVERAGE(pm.rep!M78:M99)</f>
        <v>47.244670909090907</v>
      </c>
      <c r="R8">
        <f>AVERAGE(pm.rep!N78:N99)</f>
        <v>25.839287272727276</v>
      </c>
      <c r="S8">
        <f>AVERAGE(pm.rep!O78:O99)</f>
        <v>14.049690454545452</v>
      </c>
      <c r="T8">
        <f>AVERAGE(pm.rep!P78:P99)</f>
        <v>15.750603181818184</v>
      </c>
    </row>
    <row r="10" spans="1:21" x14ac:dyDescent="0.15">
      <c r="E10" t="s">
        <v>303</v>
      </c>
      <c r="F10">
        <f>F$8*F5*$C5</f>
        <v>2538.9373384220194</v>
      </c>
      <c r="G10">
        <f t="shared" ref="G10:T10" si="1">G$8*G5*$C5</f>
        <v>693.49963664626773</v>
      </c>
      <c r="H10">
        <f t="shared" si="1"/>
        <v>983.83653008120712</v>
      </c>
      <c r="I10">
        <f t="shared" si="1"/>
        <v>1442.7017560098298</v>
      </c>
      <c r="J10">
        <f t="shared" si="1"/>
        <v>1698.2695134049732</v>
      </c>
      <c r="K10">
        <f t="shared" si="1"/>
        <v>1592.6763446485147</v>
      </c>
      <c r="L10">
        <f t="shared" si="1"/>
        <v>1214.0223875737468</v>
      </c>
      <c r="M10">
        <f t="shared" si="1"/>
        <v>777.0664523006775</v>
      </c>
      <c r="N10">
        <f t="shared" si="1"/>
        <v>422.8436209212997</v>
      </c>
      <c r="O10">
        <f t="shared" si="1"/>
        <v>236.62066946072983</v>
      </c>
      <c r="P10">
        <f t="shared" si="1"/>
        <v>130.11174227358029</v>
      </c>
      <c r="Q10">
        <f t="shared" si="1"/>
        <v>69.45040696975444</v>
      </c>
      <c r="R10">
        <f t="shared" si="1"/>
        <v>38.096817842542983</v>
      </c>
      <c r="S10">
        <f t="shared" si="1"/>
        <v>20.742079512227214</v>
      </c>
      <c r="T10">
        <f t="shared" si="1"/>
        <v>23.267125422411386</v>
      </c>
    </row>
    <row r="11" spans="1:21" x14ac:dyDescent="0.15">
      <c r="E11" t="s">
        <v>302</v>
      </c>
      <c r="F11">
        <f>F$8*F6*$C6</f>
        <v>0</v>
      </c>
      <c r="G11">
        <f t="shared" ref="G11:T11" si="2">G$8*G6*$C6</f>
        <v>3701.9649799830227</v>
      </c>
      <c r="H11">
        <f t="shared" si="2"/>
        <v>2769.9223943849338</v>
      </c>
      <c r="I11">
        <f t="shared" si="2"/>
        <v>2060.9734592385735</v>
      </c>
      <c r="J11">
        <f t="shared" si="2"/>
        <v>1357.4173818012671</v>
      </c>
      <c r="K11">
        <f t="shared" si="2"/>
        <v>709.05440255635472</v>
      </c>
      <c r="L11">
        <f t="shared" si="2"/>
        <v>426.58459111893438</v>
      </c>
      <c r="M11">
        <f t="shared" si="2"/>
        <v>200.27785361648711</v>
      </c>
      <c r="N11">
        <f t="shared" si="2"/>
        <v>101.88280232476667</v>
      </c>
      <c r="O11">
        <f t="shared" si="2"/>
        <v>55.221795474619242</v>
      </c>
      <c r="P11">
        <f t="shared" si="2"/>
        <v>29.924038777342105</v>
      </c>
      <c r="Q11">
        <f t="shared" si="2"/>
        <v>15.867639801419665</v>
      </c>
      <c r="R11">
        <f t="shared" si="2"/>
        <v>8.6784074326179557</v>
      </c>
      <c r="S11">
        <f t="shared" si="2"/>
        <v>4.7187423081673678</v>
      </c>
      <c r="T11">
        <f t="shared" si="2"/>
        <v>5.2900124635241008</v>
      </c>
    </row>
    <row r="13" spans="1:21" x14ac:dyDescent="0.15"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</row>
    <row r="14" spans="1:21" x14ac:dyDescent="0.15"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</row>
    <row r="15" spans="1:21" x14ac:dyDescent="0.15"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spans="1:21" x14ac:dyDescent="0.15">
      <c r="E16" s="21" t="s">
        <v>316</v>
      </c>
      <c r="T16" s="23"/>
    </row>
    <row r="17" spans="3:20" x14ac:dyDescent="0.15">
      <c r="F17" s="23">
        <f t="shared" ref="F17:T17" si="3">F10/F$8</f>
        <v>9.9972441384809152E-2</v>
      </c>
      <c r="G17" s="23">
        <f t="shared" si="3"/>
        <v>6.7264862981961743E-2</v>
      </c>
      <c r="H17" s="23">
        <f t="shared" si="3"/>
        <v>0.15238275365360165</v>
      </c>
      <c r="I17" s="23">
        <f t="shared" si="3"/>
        <v>0.32046427383334913</v>
      </c>
      <c r="J17" s="23">
        <f t="shared" si="3"/>
        <v>0.58543903246888451</v>
      </c>
      <c r="K17" s="23">
        <f t="shared" si="3"/>
        <v>0.88801466726459166</v>
      </c>
      <c r="L17" s="23">
        <f t="shared" si="3"/>
        <v>1.1391321628948756</v>
      </c>
      <c r="M17" s="23">
        <f t="shared" si="3"/>
        <v>1.3031209792612093</v>
      </c>
      <c r="N17" s="23">
        <f t="shared" si="3"/>
        <v>1.3939217878113555</v>
      </c>
      <c r="O17" s="23">
        <f t="shared" si="3"/>
        <v>1.4391354154066642</v>
      </c>
      <c r="P17" s="23">
        <f t="shared" si="3"/>
        <v>1.4603460781416908</v>
      </c>
      <c r="Q17" s="23">
        <f t="shared" si="3"/>
        <v>1.4700156786654781</v>
      </c>
      <c r="R17" s="23">
        <f t="shared" si="3"/>
        <v>1.4743757225360168</v>
      </c>
      <c r="S17" s="23">
        <f t="shared" si="3"/>
        <v>1.4763371178413824</v>
      </c>
      <c r="T17" s="23">
        <f t="shared" si="3"/>
        <v>1.4772212310744994</v>
      </c>
    </row>
    <row r="18" spans="3:20" x14ac:dyDescent="0.15">
      <c r="F18" s="23">
        <f t="shared" ref="F18:T18" si="4">F11/F$8</f>
        <v>0</v>
      </c>
      <c r="G18" s="23">
        <f t="shared" si="4"/>
        <v>0.35906603837139717</v>
      </c>
      <c r="H18" s="23">
        <f t="shared" si="4"/>
        <v>0.4290229006116637</v>
      </c>
      <c r="I18" s="23">
        <f t="shared" si="4"/>
        <v>0.4577996528065465</v>
      </c>
      <c r="J18" s="23">
        <f t="shared" si="4"/>
        <v>0.46793816434051344</v>
      </c>
      <c r="K18" s="23">
        <f t="shared" si="4"/>
        <v>0.39534128291302767</v>
      </c>
      <c r="L18" s="23">
        <f t="shared" si="4"/>
        <v>0.40026957732640606</v>
      </c>
      <c r="M18" s="23">
        <f t="shared" si="4"/>
        <v>0.33586094465452998</v>
      </c>
      <c r="N18" s="23">
        <f t="shared" si="4"/>
        <v>0.33586094465452998</v>
      </c>
      <c r="O18" s="23">
        <f t="shared" si="4"/>
        <v>0.33586094465452998</v>
      </c>
      <c r="P18" s="23">
        <f t="shared" si="4"/>
        <v>0.33586094465452998</v>
      </c>
      <c r="Q18" s="23">
        <f t="shared" si="4"/>
        <v>0.33586094465453004</v>
      </c>
      <c r="R18" s="23">
        <f t="shared" si="4"/>
        <v>0.33586094465452992</v>
      </c>
      <c r="S18" s="23">
        <f t="shared" si="4"/>
        <v>0.33586094465452998</v>
      </c>
      <c r="T18" s="23">
        <f t="shared" si="4"/>
        <v>0.33586094465452998</v>
      </c>
    </row>
    <row r="19" spans="3:20" x14ac:dyDescent="0.15">
      <c r="E19" t="s">
        <v>304</v>
      </c>
      <c r="F19" s="23">
        <f>SUM(F17:F18)/2</f>
        <v>4.9986220692404576E-2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</row>
    <row r="24" spans="3:20" x14ac:dyDescent="0.15">
      <c r="C24">
        <v>-0.1</v>
      </c>
      <c r="D24">
        <f>EXP(C24)</f>
        <v>0.90483741803595952</v>
      </c>
    </row>
    <row r="25" spans="3:20" x14ac:dyDescent="0.15">
      <c r="C25">
        <v>-2</v>
      </c>
      <c r="D25">
        <f>EXP(C25)</f>
        <v>0.1353352832366127</v>
      </c>
    </row>
    <row r="26" spans="3:20" x14ac:dyDescent="0.15">
      <c r="D26">
        <f>SUM(D24:D25)</f>
        <v>1.0401727012725721</v>
      </c>
    </row>
    <row r="27" spans="3:20" x14ac:dyDescent="0.15">
      <c r="D27">
        <f>LN(D26)</f>
        <v>3.9386758282960434E-2</v>
      </c>
    </row>
    <row r="38" spans="4:97" x14ac:dyDescent="0.15">
      <c r="F38" t="s">
        <v>73</v>
      </c>
      <c r="Z38" s="59" t="s">
        <v>74</v>
      </c>
    </row>
    <row r="39" spans="4:97" x14ac:dyDescent="0.15">
      <c r="F39">
        <v>1</v>
      </c>
      <c r="G39">
        <v>2</v>
      </c>
      <c r="H39">
        <v>3</v>
      </c>
      <c r="I39">
        <v>4</v>
      </c>
      <c r="J39">
        <v>5</v>
      </c>
      <c r="K39">
        <v>6</v>
      </c>
      <c r="L39">
        <v>7</v>
      </c>
      <c r="M39">
        <v>8</v>
      </c>
      <c r="N39">
        <v>9</v>
      </c>
      <c r="O39">
        <v>10</v>
      </c>
      <c r="P39">
        <v>11</v>
      </c>
      <c r="Q39">
        <v>12</v>
      </c>
      <c r="R39">
        <v>13</v>
      </c>
      <c r="S39">
        <v>14</v>
      </c>
      <c r="T39">
        <v>15</v>
      </c>
      <c r="Z39">
        <v>1</v>
      </c>
      <c r="AA39">
        <v>2</v>
      </c>
      <c r="AB39">
        <v>3</v>
      </c>
      <c r="AC39">
        <v>4</v>
      </c>
      <c r="AD39">
        <v>5</v>
      </c>
      <c r="AE39">
        <v>6</v>
      </c>
      <c r="AF39">
        <v>7</v>
      </c>
      <c r="AG39">
        <v>8</v>
      </c>
      <c r="AH39">
        <v>9</v>
      </c>
      <c r="AI39">
        <v>10</v>
      </c>
      <c r="AJ39">
        <v>11</v>
      </c>
      <c r="AK39">
        <v>12</v>
      </c>
      <c r="AL39">
        <v>13</v>
      </c>
      <c r="AM39">
        <v>14</v>
      </c>
      <c r="AN39">
        <v>15</v>
      </c>
      <c r="AS39" t="s">
        <v>474</v>
      </c>
      <c r="AT39" t="s">
        <v>475</v>
      </c>
      <c r="AU39" t="s">
        <v>128</v>
      </c>
      <c r="AV39">
        <v>1</v>
      </c>
      <c r="AW39">
        <v>2</v>
      </c>
      <c r="AX39">
        <v>3</v>
      </c>
      <c r="AY39">
        <v>4</v>
      </c>
      <c r="AZ39">
        <v>5</v>
      </c>
      <c r="BA39">
        <v>6</v>
      </c>
      <c r="BB39">
        <v>7</v>
      </c>
      <c r="BC39">
        <v>8</v>
      </c>
      <c r="BD39">
        <v>9</v>
      </c>
      <c r="BE39">
        <v>10</v>
      </c>
      <c r="BF39">
        <v>11</v>
      </c>
      <c r="BG39">
        <v>12</v>
      </c>
      <c r="BH39">
        <v>13</v>
      </c>
      <c r="BI39">
        <v>14</v>
      </c>
      <c r="BJ39">
        <v>15</v>
      </c>
      <c r="BN39" t="s">
        <v>127</v>
      </c>
      <c r="CE39">
        <f>pm.rep!B506</f>
        <v>12241.7</v>
      </c>
      <c r="CF39">
        <f>pm.rep!C506</f>
        <v>10850</v>
      </c>
      <c r="CG39">
        <f>pm.rep!D506</f>
        <v>10486.4</v>
      </c>
      <c r="CH39">
        <f>pm.rep!E506</f>
        <v>7497.98</v>
      </c>
      <c r="CI39">
        <f>pm.rep!F506</f>
        <v>8498.82</v>
      </c>
      <c r="CJ39">
        <f>pm.rep!G506</f>
        <v>11604.5</v>
      </c>
      <c r="CK39">
        <f>pm.rep!H506</f>
        <v>8449.0300000000007</v>
      </c>
      <c r="CL39">
        <f>pm.rep!I506</f>
        <v>8385.24</v>
      </c>
      <c r="CM39">
        <f>pm.rep!J506</f>
        <v>8346.23</v>
      </c>
      <c r="CN39">
        <f>pm.rep!K506</f>
        <v>7707.07</v>
      </c>
      <c r="CO39">
        <f>pm.rep!L506</f>
        <v>9644.23</v>
      </c>
      <c r="CP39">
        <f>pm.rep!M506</f>
        <v>8255.52</v>
      </c>
      <c r="CQ39">
        <f>pm.rep!N506</f>
        <v>4366.5</v>
      </c>
      <c r="CR39">
        <f>pm.rep!O506</f>
        <v>3938.44</v>
      </c>
      <c r="CS39">
        <f>pm.rep!P506</f>
        <v>5496.39</v>
      </c>
    </row>
    <row r="40" spans="4:97" x14ac:dyDescent="0.15">
      <c r="D40" s="6">
        <f>SUM(F40:T40)</f>
        <v>8254.1060828184309</v>
      </c>
      <c r="E40">
        <v>1982</v>
      </c>
      <c r="F40">
        <f>pm.rep!B81*Z40</f>
        <v>493.49462884797407</v>
      </c>
      <c r="G40">
        <f>pm.rep!C81*AA40</f>
        <v>906.34194636914788</v>
      </c>
      <c r="H40">
        <f>pm.rep!D81*AB40</f>
        <v>1234.9177746138876</v>
      </c>
      <c r="I40">
        <f>pm.rep!E81*AC40</f>
        <v>3674.5625692562862</v>
      </c>
      <c r="J40">
        <f>pm.rep!F81*AD40</f>
        <v>1028.7132631100005</v>
      </c>
      <c r="K40">
        <f>pm.rep!G81*AE40</f>
        <v>377.45106865364477</v>
      </c>
      <c r="L40">
        <f>pm.rep!H81*AF40</f>
        <v>229.36134024097848</v>
      </c>
      <c r="M40">
        <f>pm.rep!I81*AG40</f>
        <v>148.23777922583503</v>
      </c>
      <c r="N40">
        <f>pm.rep!J81*AH40</f>
        <v>80.712644937778805</v>
      </c>
      <c r="O40">
        <f>pm.rep!K81*AI40</f>
        <v>50.810486625595892</v>
      </c>
      <c r="P40">
        <f>pm.rep!L81*AJ40</f>
        <v>11.377982012125567</v>
      </c>
      <c r="Q40">
        <f>pm.rep!M81*AK40</f>
        <v>5.7573596738825277</v>
      </c>
      <c r="R40">
        <f>pm.rep!N81*AL40</f>
        <v>5.8654864600744476</v>
      </c>
      <c r="S40">
        <f>pm.rep!O81*AM40</f>
        <v>3.5137000784304133</v>
      </c>
      <c r="T40">
        <f>pm.rep!P81*AN40</f>
        <v>2.9880527127897722</v>
      </c>
      <c r="Y40" s="31">
        <v>1982</v>
      </c>
      <c r="Z40" s="31">
        <v>3.0265717421711462E-2</v>
      </c>
      <c r="AA40" s="31">
        <v>7.2587492301032161E-2</v>
      </c>
      <c r="AB40" s="31">
        <v>0.1780980707325564</v>
      </c>
      <c r="AC40" s="31">
        <v>0.34603333326329783</v>
      </c>
      <c r="AD40" s="31">
        <v>0.44175431060677656</v>
      </c>
      <c r="AE40" s="31">
        <v>0.69780623550573906</v>
      </c>
      <c r="AF40" s="31">
        <v>1.0085319308286327</v>
      </c>
      <c r="AG40" s="31">
        <v>1.1221123887320412</v>
      </c>
      <c r="AH40" s="31">
        <v>1.217831647765</v>
      </c>
      <c r="AI40" s="31">
        <v>1.4113475205296433</v>
      </c>
      <c r="AJ40" s="31">
        <v>1.5379891229643803</v>
      </c>
      <c r="AK40" s="31">
        <v>1.2879250141787117</v>
      </c>
      <c r="AL40" s="31">
        <v>1.6598616925150966</v>
      </c>
      <c r="AM40" s="31">
        <v>1.7544639682184295</v>
      </c>
      <c r="AN40" s="31">
        <v>1.6462374731635918</v>
      </c>
      <c r="AR40" s="143">
        <v>1979</v>
      </c>
      <c r="AS40" s="27">
        <f>SUMPRODUCT(AV40:BJ40,$Z$40:$AN$40)</f>
        <v>6539.5114589822242</v>
      </c>
      <c r="AT40" s="27">
        <f>SUMPRODUCT(BO40:CC40,$Z$40:$AN$40)</f>
        <v>1175.6538012082065</v>
      </c>
      <c r="AV40">
        <v>69110</v>
      </c>
      <c r="AW40">
        <v>41132</v>
      </c>
      <c r="AX40">
        <v>3884</v>
      </c>
      <c r="AY40">
        <v>413</v>
      </c>
      <c r="AZ40">
        <v>534</v>
      </c>
      <c r="BA40">
        <v>128</v>
      </c>
      <c r="BB40">
        <v>30</v>
      </c>
      <c r="BC40">
        <v>4</v>
      </c>
      <c r="BD40">
        <v>28</v>
      </c>
      <c r="BE40">
        <v>59</v>
      </c>
      <c r="BF40">
        <v>69</v>
      </c>
      <c r="BG40">
        <v>29</v>
      </c>
      <c r="BH40">
        <v>3</v>
      </c>
      <c r="BI40">
        <v>1</v>
      </c>
      <c r="BJ40">
        <v>0</v>
      </c>
      <c r="BN40">
        <f t="shared" ref="BN40:BN52" si="5">AR40</f>
        <v>1979</v>
      </c>
      <c r="BO40">
        <f>pm.rep!B460*$CE40</f>
        <v>0</v>
      </c>
      <c r="BP40">
        <f>pm.rep!C460*$CE40</f>
        <v>10872.000670400001</v>
      </c>
      <c r="BQ40">
        <f>pm.rep!D460*$CE40</f>
        <v>1026.6171179100002</v>
      </c>
      <c r="BR40">
        <f>pm.rep!E460*$CE40</f>
        <v>109.16401316300002</v>
      </c>
      <c r="BS40">
        <f>pm.rep!F460*$CE40</f>
        <v>141.14680100000001</v>
      </c>
      <c r="BT40">
        <f>pm.rep!G460*$CE40</f>
        <v>33.832875958000002</v>
      </c>
      <c r="BU40">
        <f>pm.rep!H460*$CE40</f>
        <v>7.9295856584000006</v>
      </c>
      <c r="BV40">
        <f>pm.rep!I460*$CE40</f>
        <v>1.0572789038999999</v>
      </c>
      <c r="BW40">
        <f>pm.rep!J460*$CE40</f>
        <v>7.4009523273000006</v>
      </c>
      <c r="BX40">
        <f>pm.rep!K460*$CE40</f>
        <v>15.594824047000001</v>
      </c>
      <c r="BY40">
        <f>pm.rep!L460*$CE40</f>
        <v>18.238051910999999</v>
      </c>
      <c r="BZ40">
        <f>pm.rep!M460*$CE40</f>
        <v>7.6652751136999999</v>
      </c>
      <c r="CA40">
        <f>pm.rep!N460*$CE40</f>
        <v>0.79295856584000013</v>
      </c>
      <c r="CB40">
        <f>pm.rep!O460*$CE40</f>
        <v>0.26431911389000001</v>
      </c>
      <c r="CC40">
        <f>pm.rep!P460*$CE40</f>
        <v>0</v>
      </c>
      <c r="CE40">
        <f t="array" ref="CE40:CE54">TRANSPOSE(CE39:CS39)</f>
        <v>12241.7</v>
      </c>
    </row>
    <row r="41" spans="4:97" x14ac:dyDescent="0.15">
      <c r="D41" s="6">
        <f t="shared" ref="D41:D67" si="6">SUM(F41:T41)</f>
        <v>12009.640244611657</v>
      </c>
      <c r="E41">
        <v>1983</v>
      </c>
      <c r="F41">
        <f>pm.rep!B82*Z41</f>
        <v>876.41993700281864</v>
      </c>
      <c r="G41">
        <f>pm.rep!C82*AA41</f>
        <v>1239.1491008993394</v>
      </c>
      <c r="H41">
        <f>pm.rep!D82*AB41</f>
        <v>2631.8343244418907</v>
      </c>
      <c r="I41">
        <f>pm.rep!E82*AC41</f>
        <v>1961.2606861256966</v>
      </c>
      <c r="J41">
        <f>pm.rep!F82*AD41</f>
        <v>3804.3879092314196</v>
      </c>
      <c r="K41">
        <f>pm.rep!G82*AE41</f>
        <v>934.54724223036249</v>
      </c>
      <c r="L41">
        <f>pm.rep!H82*AF41</f>
        <v>253.48965934297777</v>
      </c>
      <c r="M41">
        <f>pm.rep!I82*AG41</f>
        <v>140.33806998435486</v>
      </c>
      <c r="N41">
        <f>pm.rep!J82*AH41</f>
        <v>88.89762153537653</v>
      </c>
      <c r="O41">
        <f>pm.rep!K82*AI41</f>
        <v>39.612881227194677</v>
      </c>
      <c r="P41">
        <f>pm.rep!L82*AJ41</f>
        <v>23.590170419174463</v>
      </c>
      <c r="Q41">
        <f>pm.rep!M82*AK41</f>
        <v>4.9664137463501161</v>
      </c>
      <c r="R41">
        <f>pm.rep!N82*AL41</f>
        <v>3.7417923924511358</v>
      </c>
      <c r="S41">
        <f>pm.rep!O82*AM41</f>
        <v>3.3493446620344733</v>
      </c>
      <c r="T41">
        <f>pm.rep!P82*AN41</f>
        <v>4.0550913702175553</v>
      </c>
      <c r="Y41" s="31">
        <v>1983</v>
      </c>
      <c r="Z41" s="31">
        <v>1.6801788590664495E-2</v>
      </c>
      <c r="AA41" s="31">
        <v>0.18701286308039669</v>
      </c>
      <c r="AB41" s="31">
        <v>0.33334823587162887</v>
      </c>
      <c r="AC41" s="31">
        <v>0.39718115536319659</v>
      </c>
      <c r="AD41" s="31">
        <v>0.550340442749081</v>
      </c>
      <c r="AE41" s="31">
        <v>0.66749560184443923</v>
      </c>
      <c r="AF41" s="31">
        <v>0.79215023450783983</v>
      </c>
      <c r="AG41" s="31">
        <v>1.0409986572635381</v>
      </c>
      <c r="AH41" s="31">
        <v>1.1388560344378849</v>
      </c>
      <c r="AI41" s="31">
        <v>1.0177111828893775</v>
      </c>
      <c r="AJ41" s="31">
        <v>1.1154061306313401</v>
      </c>
      <c r="AK41" s="31">
        <v>1.1427524893753389</v>
      </c>
      <c r="AL41" s="31">
        <v>1.4248476419219129</v>
      </c>
      <c r="AM41" s="31">
        <v>1.6134266551863623</v>
      </c>
      <c r="AN41" s="31">
        <v>1.8080405251526235</v>
      </c>
      <c r="AR41" s="143">
        <v>1982</v>
      </c>
      <c r="AS41" s="27">
        <f>SUMPRODUCT(AV41:BJ41,$Z$40:$AN$40)</f>
        <v>5329.4442225035309</v>
      </c>
      <c r="AT41" s="27">
        <f>SUMPRODUCT(BO41:CC41,$Z$40:$AN$40)</f>
        <v>3245.6626143678545</v>
      </c>
      <c r="AV41">
        <v>108</v>
      </c>
      <c r="AW41">
        <v>3401</v>
      </c>
      <c r="AX41">
        <v>4108</v>
      </c>
      <c r="AY41">
        <v>7637</v>
      </c>
      <c r="AZ41">
        <v>1790</v>
      </c>
      <c r="BA41">
        <v>283</v>
      </c>
      <c r="BB41">
        <v>141</v>
      </c>
      <c r="BC41">
        <v>178</v>
      </c>
      <c r="BD41">
        <v>90</v>
      </c>
      <c r="BE41">
        <v>55</v>
      </c>
      <c r="BF41">
        <v>122</v>
      </c>
      <c r="BG41">
        <v>0</v>
      </c>
      <c r="BH41">
        <v>0</v>
      </c>
      <c r="BI41">
        <v>0</v>
      </c>
      <c r="BJ41">
        <v>0</v>
      </c>
      <c r="BN41">
        <f t="shared" si="5"/>
        <v>1982</v>
      </c>
      <c r="BO41">
        <f>pm.rep!B461*$CE41</f>
        <v>0</v>
      </c>
      <c r="BP41">
        <f>pm.rep!C461*$CE41</f>
        <v>2072.5018999999998</v>
      </c>
      <c r="BQ41">
        <f>pm.rep!D461*$CE41</f>
        <v>2503.3337000000001</v>
      </c>
      <c r="BR41">
        <f>pm.rep!E461*$CE41</f>
        <v>4653.8254000000006</v>
      </c>
      <c r="BS41">
        <f>pm.rep!F461*$CE41</f>
        <v>1090.7938999999999</v>
      </c>
      <c r="BT41">
        <f>pm.rep!G461*$CE41</f>
        <v>172.45424</v>
      </c>
      <c r="BU41">
        <f>pm.rep!H461*$CE41</f>
        <v>85.922451999999993</v>
      </c>
      <c r="BV41">
        <f>pm.rep!I461*$CE41</f>
        <v>108.4695115</v>
      </c>
      <c r="BW41">
        <f>pm.rep!J461*$CE41</f>
        <v>54.844146000000002</v>
      </c>
      <c r="BX41">
        <f>pm.rep!K461*$CE41</f>
        <v>33.515867</v>
      </c>
      <c r="BY41">
        <f>pm.rep!L461*$CE41</f>
        <v>74.344308500000011</v>
      </c>
      <c r="BZ41">
        <f>pm.rep!M461*$CE41</f>
        <v>0</v>
      </c>
      <c r="CA41">
        <f>pm.rep!N461*$CE41</f>
        <v>0</v>
      </c>
      <c r="CB41">
        <f>pm.rep!O461*$CE41</f>
        <v>0</v>
      </c>
      <c r="CC41">
        <f>pm.rep!P461*$CE41</f>
        <v>0</v>
      </c>
      <c r="CE41">
        <v>10850</v>
      </c>
    </row>
    <row r="42" spans="4:97" x14ac:dyDescent="0.15">
      <c r="D42" s="6">
        <f t="shared" si="6"/>
        <v>11499.468121875776</v>
      </c>
      <c r="E42">
        <v>1984</v>
      </c>
      <c r="F42">
        <f>pm.rep!B83*Z42</f>
        <v>201.82567223662736</v>
      </c>
      <c r="G42">
        <f>pm.rep!C83*AA42</f>
        <v>1213.6331721742836</v>
      </c>
      <c r="H42">
        <f>pm.rep!D83*AB42</f>
        <v>1162.3240712537884</v>
      </c>
      <c r="I42">
        <f>pm.rep!E83*AC42</f>
        <v>2351.4880954117398</v>
      </c>
      <c r="J42">
        <f>pm.rep!F83*AD42</f>
        <v>2088.4155926176918</v>
      </c>
      <c r="K42">
        <f>pm.rep!G83*AE42</f>
        <v>3292.8395946264818</v>
      </c>
      <c r="L42">
        <f>pm.rep!H83*AF42</f>
        <v>750.62029291199224</v>
      </c>
      <c r="M42">
        <f>pm.rep!I83*AG42</f>
        <v>208.68036231550818</v>
      </c>
      <c r="N42">
        <f>pm.rep!J83*AH42</f>
        <v>101.05843105572627</v>
      </c>
      <c r="O42">
        <f>pm.rep!K83*AI42</f>
        <v>64.44640379703884</v>
      </c>
      <c r="P42">
        <f>pm.rep!L83*AJ42</f>
        <v>37.376085359793038</v>
      </c>
      <c r="Q42">
        <f>pm.rep!M83*AK42</f>
        <v>16.388330635418438</v>
      </c>
      <c r="R42">
        <f>pm.rep!N83*AL42</f>
        <v>3.7118530102643028</v>
      </c>
      <c r="S42">
        <f>pm.rep!O83*AM42</f>
        <v>2.3826304062803572</v>
      </c>
      <c r="T42">
        <f>pm.rep!P83*AN42</f>
        <v>4.2775340631440821</v>
      </c>
      <c r="Y42" s="31">
        <v>1984</v>
      </c>
      <c r="Z42" s="31">
        <v>1.4869862683943429E-2</v>
      </c>
      <c r="AA42" s="31">
        <v>5.7246577713043034E-2</v>
      </c>
      <c r="AB42" s="31">
        <v>0.27719261453157218</v>
      </c>
      <c r="AC42" s="31">
        <v>0.41416938414325416</v>
      </c>
      <c r="AD42" s="31">
        <v>0.62529472306503864</v>
      </c>
      <c r="AE42" s="31">
        <v>0.75059028826680685</v>
      </c>
      <c r="AF42" s="31">
        <v>0.87808073645421292</v>
      </c>
      <c r="AG42" s="31">
        <v>1.0667857553344724</v>
      </c>
      <c r="AH42" s="31">
        <v>1.2282602826248945</v>
      </c>
      <c r="AI42" s="31">
        <v>1.3667160888539904</v>
      </c>
      <c r="AJ42" s="31">
        <v>1.596013620050603</v>
      </c>
      <c r="AK42" s="31">
        <v>1.2879250141787117</v>
      </c>
      <c r="AL42" s="31">
        <v>1.4195606569798349</v>
      </c>
      <c r="AM42" s="31">
        <v>1.5079939280255423</v>
      </c>
      <c r="AN42" s="31">
        <v>1.6462374731635918</v>
      </c>
      <c r="AR42" s="143">
        <v>1985</v>
      </c>
      <c r="AS42" s="27">
        <f>SUMPRODUCT(AV42:BJ42,$Z$43:$AN$43)</f>
        <v>6052.5789768630229</v>
      </c>
      <c r="AT42" s="27">
        <f>SUMPRODUCT(BO42:CC42,$Z$43:$AN$43)</f>
        <v>4205.5558932668355</v>
      </c>
      <c r="AV42">
        <v>2076</v>
      </c>
      <c r="AW42">
        <v>929</v>
      </c>
      <c r="AX42">
        <v>8149</v>
      </c>
      <c r="AY42">
        <v>898</v>
      </c>
      <c r="AZ42">
        <v>2186</v>
      </c>
      <c r="BA42">
        <v>1510</v>
      </c>
      <c r="BB42">
        <v>1127</v>
      </c>
      <c r="BC42">
        <v>130</v>
      </c>
      <c r="BD42">
        <v>21</v>
      </c>
      <c r="BE42">
        <v>7</v>
      </c>
      <c r="BF42">
        <v>8</v>
      </c>
      <c r="BG42">
        <v>0</v>
      </c>
      <c r="BH42">
        <v>0</v>
      </c>
      <c r="BI42">
        <v>0</v>
      </c>
      <c r="BJ42">
        <v>0</v>
      </c>
      <c r="BN42">
        <f t="shared" si="5"/>
        <v>1985</v>
      </c>
      <c r="BO42">
        <f>pm.rep!B462*$CE42</f>
        <v>0</v>
      </c>
      <c r="BP42">
        <f>pm.rep!C462*$CE42</f>
        <v>650.97683647999997</v>
      </c>
      <c r="BQ42">
        <f>pm.rep!D462*$CE42</f>
        <v>5710.2327968</v>
      </c>
      <c r="BR42">
        <f>pm.rep!E462*$CE42</f>
        <v>629.25425888000007</v>
      </c>
      <c r="BS42">
        <f>pm.rep!F462*$CE42</f>
        <v>1531.7903936</v>
      </c>
      <c r="BT42">
        <f>pm.rep!G462*$CE42</f>
        <v>1058.0987328000001</v>
      </c>
      <c r="BU42">
        <f>pm.rep!H462*$CE42</f>
        <v>789.72134624</v>
      </c>
      <c r="BV42">
        <f>pm.rep!I462*$CE42</f>
        <v>91.094727616</v>
      </c>
      <c r="BW42">
        <f>pm.rep!J462*$CE42</f>
        <v>14.715250528</v>
      </c>
      <c r="BX42">
        <f>pm.rep!K462*$CE42</f>
        <v>4.9050974911999994</v>
      </c>
      <c r="BY42">
        <f>pm.rep!L462*$CE42</f>
        <v>5.6058301983999996</v>
      </c>
      <c r="BZ42">
        <f>pm.rep!M462*$CE42</f>
        <v>0</v>
      </c>
      <c r="CA42">
        <f>pm.rep!N462*$CE42</f>
        <v>0</v>
      </c>
      <c r="CB42">
        <f>pm.rep!O462*$CE42</f>
        <v>0</v>
      </c>
      <c r="CC42">
        <f>pm.rep!P462*$CE42</f>
        <v>0</v>
      </c>
      <c r="CE42">
        <v>10486.4</v>
      </c>
    </row>
    <row r="43" spans="4:97" x14ac:dyDescent="0.15">
      <c r="D43" s="6">
        <f t="shared" si="6"/>
        <v>12856.811964577493</v>
      </c>
      <c r="E43">
        <v>1985</v>
      </c>
      <c r="F43">
        <f>pm.rep!B84*Z43</f>
        <v>848.85056537254241</v>
      </c>
      <c r="G43">
        <f>pm.rep!C84*AA43</f>
        <v>489.74090703697402</v>
      </c>
      <c r="H43">
        <f>pm.rep!D84*AB43</f>
        <v>3575.310306625604</v>
      </c>
      <c r="I43">
        <f>pm.rep!E84*AC43</f>
        <v>1255.3904686542817</v>
      </c>
      <c r="J43">
        <f>pm.rep!F84*AD43</f>
        <v>1938.6486690470831</v>
      </c>
      <c r="K43">
        <f>pm.rep!G84*AE43</f>
        <v>1570.243017050735</v>
      </c>
      <c r="L43">
        <f>pm.rep!H84*AF43</f>
        <v>2367.9017221541785</v>
      </c>
      <c r="M43">
        <f>pm.rep!I84*AG43</f>
        <v>519.99023592465733</v>
      </c>
      <c r="N43">
        <f>pm.rep!J84*AH43</f>
        <v>160.64593092549939</v>
      </c>
      <c r="O43">
        <f>pm.rep!K84*AI43</f>
        <v>56.788072467898196</v>
      </c>
      <c r="P43">
        <f>pm.rep!L84*AJ43</f>
        <v>36.257578199073059</v>
      </c>
      <c r="Q43">
        <f>pm.rep!M84*AK43</f>
        <v>18.120332194485968</v>
      </c>
      <c r="R43">
        <f>pm.rep!N84*AL43</f>
        <v>12.195958653835625</v>
      </c>
      <c r="S43">
        <f>pm.rep!O84*AM43</f>
        <v>2.5956668041388302</v>
      </c>
      <c r="T43">
        <f>pm.rep!P84*AN43</f>
        <v>4.1325334665078328</v>
      </c>
      <c r="Y43" s="31">
        <v>1985</v>
      </c>
      <c r="Z43" s="31">
        <v>2.4510655360304875E-2</v>
      </c>
      <c r="AA43" s="31">
        <v>8.8775859594129355E-2</v>
      </c>
      <c r="AB43" s="31">
        <v>0.26609138657866721</v>
      </c>
      <c r="AC43" s="31">
        <v>0.41606142823906034</v>
      </c>
      <c r="AD43" s="31">
        <v>0.4995821893466072</v>
      </c>
      <c r="AE43" s="31">
        <v>0.74320476005809111</v>
      </c>
      <c r="AF43" s="31">
        <v>0.8758101847319304</v>
      </c>
      <c r="AG43" s="31">
        <v>0.99563108097822073</v>
      </c>
      <c r="AH43" s="31">
        <v>1.3429463721179999</v>
      </c>
      <c r="AI43" s="31">
        <v>1.1405013730644196</v>
      </c>
      <c r="AJ43" s="31">
        <v>1.2798569048081871</v>
      </c>
      <c r="AK43" s="31">
        <v>1.2879250141787117</v>
      </c>
      <c r="AL43" s="31">
        <v>1.5953461483608435</v>
      </c>
      <c r="AM43" s="31">
        <v>1.6523227179861675</v>
      </c>
      <c r="AN43" s="31">
        <v>1.6462374731635918</v>
      </c>
      <c r="AR43" s="143">
        <v>1988</v>
      </c>
      <c r="AS43" s="27">
        <f>SUMPRODUCT(AV43:BJ43,$Z$46:$AN$46)</f>
        <v>5280.9401296507776</v>
      </c>
      <c r="AT43" s="27">
        <f>SUMPRODUCT(BO43:CC43,$Z$46:$AN$46)</f>
        <v>3224.3251939855554</v>
      </c>
      <c r="AV43">
        <v>10.85474</v>
      </c>
      <c r="AW43">
        <v>1112</v>
      </c>
      <c r="AX43">
        <v>3586</v>
      </c>
      <c r="AY43">
        <v>3864</v>
      </c>
      <c r="AZ43">
        <v>739</v>
      </c>
      <c r="BA43">
        <v>1882</v>
      </c>
      <c r="BB43">
        <v>403</v>
      </c>
      <c r="BC43">
        <v>151</v>
      </c>
      <c r="BD43">
        <v>129.52866</v>
      </c>
      <c r="BE43">
        <v>254.51902999999999</v>
      </c>
      <c r="BF43">
        <v>159</v>
      </c>
      <c r="BG43">
        <v>0</v>
      </c>
      <c r="BH43">
        <v>0</v>
      </c>
      <c r="BI43">
        <v>0</v>
      </c>
      <c r="BJ43">
        <v>0</v>
      </c>
      <c r="BN43">
        <f t="shared" si="5"/>
        <v>1988</v>
      </c>
      <c r="BO43">
        <f>pm.rep!B463*$CE43</f>
        <v>0</v>
      </c>
      <c r="BP43">
        <f>pm.rep!C463*$CE43</f>
        <v>678.96758213199996</v>
      </c>
      <c r="BQ43">
        <f>pm.rep!D463*$CE43</f>
        <v>2189.5451236399999</v>
      </c>
      <c r="BR43">
        <f>pm.rep!E463*$CE43</f>
        <v>2359.2918928600002</v>
      </c>
      <c r="BS43">
        <f>pm.rep!F463*$CE43</f>
        <v>451.22018862199997</v>
      </c>
      <c r="BT43">
        <f>pm.rep!G463*$CE43</f>
        <v>1149.1179208599999</v>
      </c>
      <c r="BU43">
        <f>pm.rep!H463*$CE43</f>
        <v>246.06495864999999</v>
      </c>
      <c r="BV43">
        <f>pm.rep!I463*$CE43</f>
        <v>92.198161272000007</v>
      </c>
      <c r="BW43">
        <f>pm.rep!J463*$CE43</f>
        <v>79.087943241999994</v>
      </c>
      <c r="BX43">
        <f>pm.rep!K463*$CE43</f>
        <v>155.40463307599998</v>
      </c>
      <c r="BY43">
        <f>pm.rep!L463*$CE43</f>
        <v>97.082345443999998</v>
      </c>
      <c r="BZ43">
        <f>pm.rep!M463*$CE43</f>
        <v>0</v>
      </c>
      <c r="CA43">
        <f>pm.rep!N463*$CE43</f>
        <v>0</v>
      </c>
      <c r="CB43">
        <f>pm.rep!O463*$CE43</f>
        <v>0</v>
      </c>
      <c r="CC43">
        <f>pm.rep!P463*$CE43</f>
        <v>0</v>
      </c>
      <c r="CE43">
        <v>7497.98</v>
      </c>
    </row>
    <row r="44" spans="4:97" x14ac:dyDescent="0.15">
      <c r="D44" s="6">
        <f t="shared" si="6"/>
        <v>12176.837267064009</v>
      </c>
      <c r="E44">
        <v>1986</v>
      </c>
      <c r="F44">
        <f>pm.rep!B85*Z44</f>
        <v>225.87698227753813</v>
      </c>
      <c r="G44">
        <f>pm.rep!C85*AA44</f>
        <v>1297.7311083331831</v>
      </c>
      <c r="H44">
        <f>pm.rep!D85*AB44</f>
        <v>546.96763957949145</v>
      </c>
      <c r="I44">
        <f>pm.rep!E85*AC44</f>
        <v>3901.3560280316096</v>
      </c>
      <c r="J44">
        <f>pm.rep!F85*AD44</f>
        <v>1079.8158414559255</v>
      </c>
      <c r="K44">
        <f>pm.rep!G85*AE44</f>
        <v>1880.18273008606</v>
      </c>
      <c r="L44">
        <f>pm.rep!H85*AF44</f>
        <v>1086.4522361756096</v>
      </c>
      <c r="M44">
        <f>pm.rep!I85*AG44</f>
        <v>1615.4298140404203</v>
      </c>
      <c r="N44">
        <f>pm.rep!J85*AH44</f>
        <v>352.57312997140747</v>
      </c>
      <c r="O44">
        <f>pm.rep!K85*AI44</f>
        <v>100.27848701282157</v>
      </c>
      <c r="P44">
        <f>pm.rep!L85*AJ44</f>
        <v>42.408966000421458</v>
      </c>
      <c r="Q44">
        <f>pm.rep!M85*AK44</f>
        <v>24.416123513832151</v>
      </c>
      <c r="R44">
        <f>pm.rep!N85*AL44</f>
        <v>11.970843215130534</v>
      </c>
      <c r="S44">
        <f>pm.rep!O85*AM44</f>
        <v>7.3653249494588469</v>
      </c>
      <c r="T44">
        <f>pm.rep!P85*AN44</f>
        <v>4.0120124210975261</v>
      </c>
      <c r="Y44" s="31">
        <v>1986</v>
      </c>
      <c r="Z44" s="31">
        <v>1.5529100765708619E-2</v>
      </c>
      <c r="AA44" s="31">
        <v>9.2190664530723554E-2</v>
      </c>
      <c r="AB44" s="31">
        <v>0.15647407285185619</v>
      </c>
      <c r="AC44" s="31">
        <v>0.40453922179517826</v>
      </c>
      <c r="AD44" s="31">
        <v>0.51934697402626306</v>
      </c>
      <c r="AE44" s="31">
        <v>0.74238057129558888</v>
      </c>
      <c r="AF44" s="31">
        <v>0.84753936466905078</v>
      </c>
      <c r="AG44" s="31">
        <v>0.98212569933696514</v>
      </c>
      <c r="AH44" s="31">
        <v>1.1096452388670037</v>
      </c>
      <c r="AI44" s="31">
        <v>1.3895646253304432</v>
      </c>
      <c r="AJ44" s="31">
        <v>1.4263121147138549</v>
      </c>
      <c r="AK44" s="31">
        <v>1.4433062703248931</v>
      </c>
      <c r="AL44" s="31">
        <v>1.4248476419219129</v>
      </c>
      <c r="AM44" s="31">
        <v>1.6134266551863623</v>
      </c>
      <c r="AN44" s="31">
        <v>1.6462374731635918</v>
      </c>
      <c r="AR44" s="143">
        <v>1991</v>
      </c>
      <c r="AS44" s="27">
        <f>SUMPRODUCT(AV44:BJ44,$Z$49:$AN$49)</f>
        <v>1013.6579616444506</v>
      </c>
      <c r="AT44" s="27">
        <f>SUMPRODUCT(BO44:CC44,$Z$49:$AN$49)</f>
        <v>1101.2184900194509</v>
      </c>
      <c r="AV44">
        <v>639.26753799999994</v>
      </c>
      <c r="AW44">
        <v>5942.3292549999996</v>
      </c>
      <c r="AX44">
        <v>967.02642100000003</v>
      </c>
      <c r="AY44">
        <v>214.547946</v>
      </c>
      <c r="AZ44">
        <v>224.12922699999999</v>
      </c>
      <c r="BA44">
        <v>133.045368</v>
      </c>
      <c r="BB44">
        <v>119.732088</v>
      </c>
      <c r="BC44">
        <v>38.685293000000001</v>
      </c>
      <c r="BD44">
        <v>37.037005999999998</v>
      </c>
      <c r="BE44">
        <v>14.667192999999999</v>
      </c>
      <c r="BF44">
        <v>16.038739</v>
      </c>
      <c r="BG44">
        <v>5.2750120000000003</v>
      </c>
      <c r="BH44">
        <v>7.8624049999999999</v>
      </c>
      <c r="BI44">
        <v>4.59</v>
      </c>
      <c r="BJ44">
        <v>4.5552210000000004</v>
      </c>
      <c r="BN44">
        <f t="shared" si="5"/>
        <v>1991</v>
      </c>
      <c r="BO44">
        <f>pm.rep!B464*$CE44</f>
        <v>0</v>
      </c>
      <c r="BP44">
        <f>pm.rep!C464*$CE44</f>
        <v>6533.7568348799996</v>
      </c>
      <c r="BQ44">
        <f>pm.rep!D464*$CE44</f>
        <v>1063.2703725599999</v>
      </c>
      <c r="BR44">
        <f>pm.rep!E464*$CE44</f>
        <v>235.90174673999999</v>
      </c>
      <c r="BS44">
        <f>pm.rep!F464*$CE44</f>
        <v>246.43603413</v>
      </c>
      <c r="BT44">
        <f>pm.rep!G464*$CE44</f>
        <v>146.286789132</v>
      </c>
      <c r="BU44">
        <f>pm.rep!H464*$CE44</f>
        <v>131.64842156399999</v>
      </c>
      <c r="BV44">
        <f>pm.rep!I464*$CE44</f>
        <v>42.535574241599996</v>
      </c>
      <c r="BW44">
        <f>pm.rep!J464*$CE44</f>
        <v>40.723200876599996</v>
      </c>
      <c r="BX44">
        <f>pm.rep!K464*$CE44</f>
        <v>16.1270208792</v>
      </c>
      <c r="BY44">
        <f>pm.rep!L464*$CE44</f>
        <v>17.635051499999999</v>
      </c>
      <c r="BZ44">
        <f>pm.rep!M464*$CE44</f>
        <v>5.8000197089999999</v>
      </c>
      <c r="CA44">
        <f>pm.rep!N464*$CE44</f>
        <v>8.6449147158000006</v>
      </c>
      <c r="CB44">
        <f>pm.rep!O464*$CE44</f>
        <v>5.0468287841399997</v>
      </c>
      <c r="CC44">
        <f>pm.rep!P464*$CE44</f>
        <v>5.0085925929599995</v>
      </c>
      <c r="CE44">
        <v>8498.82</v>
      </c>
    </row>
    <row r="45" spans="4:97" x14ac:dyDescent="0.15">
      <c r="D45" s="6">
        <f t="shared" si="6"/>
        <v>10750.37546382441</v>
      </c>
      <c r="E45">
        <v>1987</v>
      </c>
      <c r="F45">
        <f>pm.rep!B86*Z45</f>
        <v>222.25038600484274</v>
      </c>
      <c r="G45">
        <f>pm.rep!C86*AA45</f>
        <v>621.83321527419571</v>
      </c>
      <c r="H45">
        <f>pm.rep!D86*AB45</f>
        <v>1971.1835002842311</v>
      </c>
      <c r="I45">
        <f>pm.rep!E86*AC45</f>
        <v>886.58850727708398</v>
      </c>
      <c r="J45">
        <f>pm.rep!F86*AD45</f>
        <v>3038.8122245003847</v>
      </c>
      <c r="K45">
        <f>pm.rep!G86*AE45</f>
        <v>841.25181949442413</v>
      </c>
      <c r="L45">
        <f>pm.rep!H86*AF45</f>
        <v>1198.0268203498733</v>
      </c>
      <c r="M45">
        <f>pm.rep!I86*AG45</f>
        <v>683.97356056580441</v>
      </c>
      <c r="N45">
        <f>pm.rep!J86*AH45</f>
        <v>976.17060269982426</v>
      </c>
      <c r="O45">
        <f>pm.rep!K86*AI45</f>
        <v>200.12080846600648</v>
      </c>
      <c r="P45">
        <f>pm.rep!L86*AJ45</f>
        <v>52.466202250211957</v>
      </c>
      <c r="Q45">
        <f>pm.rep!M86*AK45</f>
        <v>24.292876707506938</v>
      </c>
      <c r="R45">
        <f>pm.rep!N86*AL45</f>
        <v>16.637469408007863</v>
      </c>
      <c r="S45">
        <f>pm.rep!O86*AM45</f>
        <v>9.7809539425301217</v>
      </c>
      <c r="T45">
        <f>pm.rep!P86*AN45</f>
        <v>6.9865165994831617</v>
      </c>
      <c r="Y45" s="31">
        <v>1987</v>
      </c>
      <c r="Z45" s="31">
        <v>2.8365159604616875E-2</v>
      </c>
      <c r="AA45" s="31">
        <v>0.10517281471498401</v>
      </c>
      <c r="AB45" s="31">
        <v>0.22085545233442214</v>
      </c>
      <c r="AC45" s="31">
        <v>0.35335343664269386</v>
      </c>
      <c r="AD45" s="31">
        <v>0.45969893448853405</v>
      </c>
      <c r="AE45" s="31">
        <v>0.61187290490400914</v>
      </c>
      <c r="AF45" s="31">
        <v>0.76215690687635473</v>
      </c>
      <c r="AG45" s="31">
        <v>0.86598334128761056</v>
      </c>
      <c r="AH45" s="31">
        <v>0.95178584924223819</v>
      </c>
      <c r="AI45" s="31">
        <v>1.0338794525090358</v>
      </c>
      <c r="AJ45" s="31">
        <v>1.199529075886782</v>
      </c>
      <c r="AK45" s="31">
        <v>1.3480165975355103</v>
      </c>
      <c r="AL45" s="31">
        <v>1.6226611602239169</v>
      </c>
      <c r="AM45" s="31">
        <v>1.9208094779226883</v>
      </c>
      <c r="AN45" s="31">
        <v>1.6462374731635918</v>
      </c>
      <c r="AR45" s="143">
        <v>1994</v>
      </c>
      <c r="AS45" s="27">
        <f>SUMPRODUCT(AV45:BJ45,$Z$52:$AN$52)</f>
        <v>2969.1654985988871</v>
      </c>
      <c r="AT45" s="27">
        <f>SUMPRODUCT(BO45:CC45,$Z$52:$AN$52)</f>
        <v>3762.5946252663025</v>
      </c>
      <c r="AV45">
        <v>452.85523499999999</v>
      </c>
      <c r="AW45">
        <v>3905.6106049999999</v>
      </c>
      <c r="AX45">
        <v>1127.234019</v>
      </c>
      <c r="AY45">
        <v>1670.3028260000001</v>
      </c>
      <c r="AZ45">
        <v>1908.487018</v>
      </c>
      <c r="BA45">
        <v>293.253466</v>
      </c>
      <c r="BB45">
        <v>69.328886999999995</v>
      </c>
      <c r="BC45">
        <v>66.771671999999995</v>
      </c>
      <c r="BD45">
        <v>30.09459</v>
      </c>
      <c r="BE45">
        <v>21.061381999999998</v>
      </c>
      <c r="BF45">
        <v>6.3904139999999998</v>
      </c>
      <c r="BG45">
        <v>13.009868000000001</v>
      </c>
      <c r="BH45">
        <v>2.9810840000000001</v>
      </c>
      <c r="BI45">
        <v>5.6638380000000002</v>
      </c>
      <c r="BJ45">
        <v>9.4310960000000001</v>
      </c>
      <c r="BN45">
        <f t="shared" si="5"/>
        <v>1994</v>
      </c>
      <c r="BO45">
        <f>pm.rep!B465*$CE45</f>
        <v>0</v>
      </c>
      <c r="BP45">
        <f>pm.rep!C465*$CE45</f>
        <v>4964.3470774999996</v>
      </c>
      <c r="BQ45">
        <f>pm.rep!D465*$CE45</f>
        <v>1432.8076149999999</v>
      </c>
      <c r="BR45">
        <f>pm.rep!E465*$CE45</f>
        <v>2123.0896929999999</v>
      </c>
      <c r="BS45">
        <f>pm.rep!F465*$CE45</f>
        <v>2425.8394935000001</v>
      </c>
      <c r="BT45">
        <f>pm.rep!G465*$CE45</f>
        <v>372.74930495000001</v>
      </c>
      <c r="BU45">
        <f>pm.rep!H465*$CE45</f>
        <v>88.122716280000006</v>
      </c>
      <c r="BV45">
        <f>pm.rep!I465*$CE45</f>
        <v>84.872295829999999</v>
      </c>
      <c r="BW45">
        <f>pm.rep!J465*$CE45</f>
        <v>38.252725665</v>
      </c>
      <c r="BX45">
        <f>pm.rep!K465*$CE45</f>
        <v>26.770769184999999</v>
      </c>
      <c r="BY45">
        <f>pm.rep!L465*$CE45</f>
        <v>8.1227438425000003</v>
      </c>
      <c r="BZ45">
        <f>pm.rep!M465*$CE45</f>
        <v>16.536644589999998</v>
      </c>
      <c r="CA45">
        <f>pm.rep!N465*$CE45</f>
        <v>3.7892057804999997</v>
      </c>
      <c r="CB45">
        <f>pm.rep!O465*$CE45</f>
        <v>7.1991997100000003</v>
      </c>
      <c r="CC45">
        <f>pm.rep!P465*$CE45</f>
        <v>11.98768059</v>
      </c>
      <c r="CE45">
        <v>11604.5</v>
      </c>
    </row>
    <row r="46" spans="4:97" x14ac:dyDescent="0.15">
      <c r="D46" s="6">
        <f t="shared" si="6"/>
        <v>10655.57510768075</v>
      </c>
      <c r="E46">
        <v>1988</v>
      </c>
      <c r="F46">
        <f>pm.rep!B87*Z46</f>
        <v>104.27135843297604</v>
      </c>
      <c r="G46">
        <f>pm.rep!C87*AA46</f>
        <v>300.14954081790529</v>
      </c>
      <c r="H46">
        <f>pm.rep!D87*AB46</f>
        <v>1187.4033336693903</v>
      </c>
      <c r="I46">
        <f>pm.rep!E87*AC46</f>
        <v>2573.1579856369799</v>
      </c>
      <c r="J46">
        <f>pm.rep!F87*AD46</f>
        <v>913.87597788765811</v>
      </c>
      <c r="K46">
        <f>pm.rep!G87*AE46</f>
        <v>2681.5607617654814</v>
      </c>
      <c r="L46">
        <f>pm.rep!H87*AF46</f>
        <v>625.00776929020162</v>
      </c>
      <c r="M46">
        <f>pm.rep!I87*AG46</f>
        <v>868.64896090781883</v>
      </c>
      <c r="N46">
        <f>pm.rep!J87*AH46</f>
        <v>461.37933754487085</v>
      </c>
      <c r="O46">
        <f>pm.rep!K87*AI46</f>
        <v>715.80813326719408</v>
      </c>
      <c r="P46">
        <f>pm.rep!L87*AJ46</f>
        <v>152.6340431372771</v>
      </c>
      <c r="Q46">
        <f>pm.rep!M87*AK46</f>
        <v>34.649504419623234</v>
      </c>
      <c r="R46">
        <f>pm.rep!N87*AL46</f>
        <v>16.432242776995114</v>
      </c>
      <c r="S46">
        <f>pm.rep!O87*AM46</f>
        <v>10.577334734603857</v>
      </c>
      <c r="T46">
        <f>pm.rep!P87*AN46</f>
        <v>10.018823391774321</v>
      </c>
      <c r="Y46" s="31">
        <v>1988</v>
      </c>
      <c r="Z46" s="31">
        <v>1.8748918167707049E-2</v>
      </c>
      <c r="AA46" s="31">
        <v>9.4232852928053043E-2</v>
      </c>
      <c r="AB46" s="31">
        <v>0.31617463678079799</v>
      </c>
      <c r="AC46" s="31">
        <v>0.39919545035681508</v>
      </c>
      <c r="AD46" s="31">
        <v>0.51767703552157551</v>
      </c>
      <c r="AE46" s="31">
        <v>0.59458373690470501</v>
      </c>
      <c r="AF46" s="31">
        <v>0.69051026338518351</v>
      </c>
      <c r="AG46" s="31">
        <v>0.84365156503580774</v>
      </c>
      <c r="AH46" s="31">
        <v>0.90807867522603758</v>
      </c>
      <c r="AI46" s="31">
        <v>1.0950302487841204</v>
      </c>
      <c r="AJ46" s="31">
        <v>1.2332768528338607</v>
      </c>
      <c r="AK46" s="31">
        <v>1.2389690635771224</v>
      </c>
      <c r="AL46" s="31">
        <v>1.4260881031186636</v>
      </c>
      <c r="AM46" s="31">
        <v>1.6134266551863623</v>
      </c>
      <c r="AN46" s="31">
        <v>1.6783663643645867</v>
      </c>
      <c r="AR46" s="143">
        <v>1996</v>
      </c>
      <c r="AS46" s="27">
        <f>SUMPRODUCT(AV46:BJ46,$Z$54:$AN$54)</f>
        <v>2313.1306625878051</v>
      </c>
      <c r="AT46" s="27">
        <f>SUMPRODUCT(BO46:CC46,$Z$54:$AN$54)</f>
        <v>3491.7831130207342</v>
      </c>
      <c r="AV46">
        <v>972.33634400000005</v>
      </c>
      <c r="AW46">
        <v>446.39659899999998</v>
      </c>
      <c r="AX46">
        <v>520.37133100000005</v>
      </c>
      <c r="AY46">
        <v>2686.4816000000001</v>
      </c>
      <c r="AZ46">
        <v>820.73635899999999</v>
      </c>
      <c r="BA46">
        <v>509.29505599999999</v>
      </c>
      <c r="BB46">
        <v>434.35403400000001</v>
      </c>
      <c r="BC46">
        <v>84.868859999999998</v>
      </c>
      <c r="BD46">
        <v>16.722781000000001</v>
      </c>
      <c r="BE46">
        <v>6.2749439999999996</v>
      </c>
      <c r="BF46">
        <v>5.6988880000000002</v>
      </c>
      <c r="BG46">
        <v>12.145110000000001</v>
      </c>
      <c r="BH46">
        <v>1.3079369999999999</v>
      </c>
      <c r="BI46">
        <v>4.7831780000000004</v>
      </c>
      <c r="BJ46">
        <v>3.4673310000000002</v>
      </c>
      <c r="BN46">
        <f t="shared" si="5"/>
        <v>1996</v>
      </c>
      <c r="BO46">
        <f>pm.rep!B466*$CE46</f>
        <v>0</v>
      </c>
      <c r="BP46">
        <f>pm.rep!C466*$CE46</f>
        <v>679.21583189400008</v>
      </c>
      <c r="BQ46">
        <f>pm.rep!D466*$CE46</f>
        <v>791.77211974800014</v>
      </c>
      <c r="BR46">
        <f>pm.rep!E466*$CE46</f>
        <v>4087.6238159400004</v>
      </c>
      <c r="BS46">
        <f>pm.rep!F466*$CE46</f>
        <v>1248.79198109</v>
      </c>
      <c r="BT46">
        <f>pm.rep!G466*$CE46</f>
        <v>774.91883960700011</v>
      </c>
      <c r="BU46">
        <f>pm.rep!H466*$CE46</f>
        <v>660.89242053300006</v>
      </c>
      <c r="BV46">
        <f>pm.rep!I466*$CE46</f>
        <v>129.13243981100001</v>
      </c>
      <c r="BW46">
        <f>pm.rep!J466*$CE46</f>
        <v>25.444591806200002</v>
      </c>
      <c r="BX46">
        <f>pm.rep!K466*$CE46</f>
        <v>9.5476573708999997</v>
      </c>
      <c r="BY46">
        <f>pm.rep!L466*$CE46</f>
        <v>8.6711549987000005</v>
      </c>
      <c r="BZ46">
        <f>pm.rep!M466*$CE46</f>
        <v>18.479380454800001</v>
      </c>
      <c r="CA46">
        <f>pm.rep!N466*$CE46</f>
        <v>1.9900929752300001</v>
      </c>
      <c r="CB46">
        <f>pm.rep!O466*$CE46</f>
        <v>7.2778508084900002</v>
      </c>
      <c r="CC46">
        <f>pm.rep!P466*$CE46</f>
        <v>5.2757264145400002</v>
      </c>
      <c r="CE46">
        <v>8449.0300000000007</v>
      </c>
    </row>
    <row r="47" spans="4:97" x14ac:dyDescent="0.15">
      <c r="D47" s="6">
        <f t="shared" si="6"/>
        <v>8361.2782629177909</v>
      </c>
      <c r="E47">
        <v>1989</v>
      </c>
      <c r="F47">
        <f>pm.rep!B88*Z47</f>
        <v>278.48125722557552</v>
      </c>
      <c r="G47">
        <f>pm.rep!C88*AA47</f>
        <v>212.11848531951594</v>
      </c>
      <c r="H47">
        <f>pm.rep!D88*AB47</f>
        <v>353.93468393748014</v>
      </c>
      <c r="I47">
        <f>pm.rep!E88*AC47</f>
        <v>978.10563663810399</v>
      </c>
      <c r="J47">
        <f>pm.rep!F88*AD47</f>
        <v>2091.3265283513624</v>
      </c>
      <c r="K47">
        <f>pm.rep!G88*AE47</f>
        <v>650.82962729159954</v>
      </c>
      <c r="L47">
        <f>pm.rep!H88*AF47</f>
        <v>1889.4897220262837</v>
      </c>
      <c r="M47">
        <f>pm.rep!I88*AG47</f>
        <v>407.53906175667447</v>
      </c>
      <c r="N47">
        <f>pm.rep!J88*AH47</f>
        <v>620.53520565963515</v>
      </c>
      <c r="O47">
        <f>pm.rep!K88*AI47</f>
        <v>299.50494332067711</v>
      </c>
      <c r="P47">
        <f>pm.rep!L88*AJ47</f>
        <v>445.973420737933</v>
      </c>
      <c r="Q47">
        <f>pm.rep!M88*AK47</f>
        <v>84.863353190399167</v>
      </c>
      <c r="R47">
        <f>pm.rep!N88*AL47</f>
        <v>24.484011939729381</v>
      </c>
      <c r="S47">
        <f>pm.rep!O88*AM47</f>
        <v>11.422947778853581</v>
      </c>
      <c r="T47">
        <f>pm.rep!P88*AN47</f>
        <v>12.669377743968077</v>
      </c>
      <c r="Y47" s="31">
        <v>1989</v>
      </c>
      <c r="Z47" s="31">
        <v>2.5082074542059258E-2</v>
      </c>
      <c r="AA47" s="31">
        <v>9.3825354664989924E-2</v>
      </c>
      <c r="AB47" s="31">
        <v>0.17513109246425237</v>
      </c>
      <c r="AC47" s="31">
        <v>0.37219056406203421</v>
      </c>
      <c r="AD47" s="31">
        <v>0.4718899339889035</v>
      </c>
      <c r="AE47" s="31">
        <v>0.56663354834327273</v>
      </c>
      <c r="AF47" s="31">
        <v>0.65884316414725941</v>
      </c>
      <c r="AG47" s="31">
        <v>0.73462626295238187</v>
      </c>
      <c r="AH47" s="31">
        <v>0.97515071259693631</v>
      </c>
      <c r="AI47" s="31">
        <v>0.96388141178354414</v>
      </c>
      <c r="AJ47" s="31">
        <v>1.1103505798265982</v>
      </c>
      <c r="AK47" s="31">
        <v>1.1159681711837417</v>
      </c>
      <c r="AL47" s="31">
        <v>1.4248476419219129</v>
      </c>
      <c r="AM47" s="31">
        <v>1.6134266551863623</v>
      </c>
      <c r="AN47" s="31">
        <v>1.6462374731635918</v>
      </c>
      <c r="AR47" s="143">
        <v>1997</v>
      </c>
      <c r="AS47" s="27">
        <f>SUMPRODUCT(AV47:BJ47,$Z$55:$AN$55)</f>
        <v>2173.246975885861</v>
      </c>
      <c r="AT47" s="27">
        <f>SUMPRODUCT(BO47:CC47,$Z$55:$AN$55)</f>
        <v>2520.1619209802284</v>
      </c>
      <c r="AV47">
        <v>12383.79911</v>
      </c>
      <c r="AW47">
        <v>2742.751722</v>
      </c>
      <c r="AX47">
        <v>385.32888200000002</v>
      </c>
      <c r="AY47">
        <v>490.90981099999999</v>
      </c>
      <c r="AZ47">
        <v>1918.113717</v>
      </c>
      <c r="BA47">
        <v>384.006258</v>
      </c>
      <c r="BB47">
        <v>205.28550100000001</v>
      </c>
      <c r="BC47">
        <v>142.672406</v>
      </c>
      <c r="BD47">
        <v>32.735835999999999</v>
      </c>
      <c r="BE47">
        <v>3.8884780000000001</v>
      </c>
      <c r="BF47">
        <v>4.9455340000000003</v>
      </c>
      <c r="BG47">
        <v>2.0102259999999998</v>
      </c>
      <c r="BH47">
        <v>2.2329599999999998</v>
      </c>
      <c r="BI47">
        <v>2.2997890000000001</v>
      </c>
      <c r="BJ47">
        <v>2.3064290000000001</v>
      </c>
      <c r="BN47">
        <f t="shared" si="5"/>
        <v>1997</v>
      </c>
      <c r="BO47">
        <f>pm.rep!B467*$CE47</f>
        <v>0</v>
      </c>
      <c r="BP47">
        <f>pm.rep!C467*$CE47</f>
        <v>3639.3199385999997</v>
      </c>
      <c r="BQ47">
        <f>pm.rep!D467*$CE47</f>
        <v>511.287493428</v>
      </c>
      <c r="BR47">
        <f>pm.rep!E467*$CE47</f>
        <v>651.38137515599999</v>
      </c>
      <c r="BS47">
        <f>pm.rep!F467*$CE47</f>
        <v>2545.12158576</v>
      </c>
      <c r="BT47">
        <f>pm.rep!G467*$CE47</f>
        <v>509.53246269599998</v>
      </c>
      <c r="BU47">
        <f>pm.rep!H467*$CE47</f>
        <v>272.39032878</v>
      </c>
      <c r="BV47">
        <f>pm.rep!I467*$CE47</f>
        <v>189.31020938399999</v>
      </c>
      <c r="BW47">
        <f>pm.rep!J467*$CE47</f>
        <v>43.436717133599998</v>
      </c>
      <c r="BX47">
        <f>pm.rep!K467*$CE47</f>
        <v>5.1595639505999999</v>
      </c>
      <c r="BY47">
        <f>pm.rep!L467*$CE47</f>
        <v>6.5621630454000002</v>
      </c>
      <c r="BZ47">
        <f>pm.rep!M467*$CE47</f>
        <v>2.6673448439999996</v>
      </c>
      <c r="CA47">
        <f>pm.rep!N467*$CE47</f>
        <v>2.9628826278</v>
      </c>
      <c r="CB47">
        <f>pm.rep!O467*$CE47</f>
        <v>3.0515565408000001</v>
      </c>
      <c r="CC47">
        <f>pm.rep!P467*$CE47</f>
        <v>3.06036942804</v>
      </c>
      <c r="CE47">
        <v>8385.24</v>
      </c>
    </row>
    <row r="48" spans="4:97" x14ac:dyDescent="0.15">
      <c r="D48" s="6">
        <f t="shared" si="6"/>
        <v>8536.134758289767</v>
      </c>
      <c r="E48">
        <v>1990</v>
      </c>
      <c r="F48">
        <f>pm.rep!B89*Z48</f>
        <v>1252.6636581044611</v>
      </c>
      <c r="G48">
        <f>pm.rep!C89*AA48</f>
        <v>439.78867887641513</v>
      </c>
      <c r="H48">
        <f>pm.rep!D89*AB48</f>
        <v>234.66711262960808</v>
      </c>
      <c r="I48">
        <f>pm.rep!E89*AC48</f>
        <v>526.67355333492912</v>
      </c>
      <c r="J48">
        <f>pm.rep!F89*AD48</f>
        <v>943.18470616105185</v>
      </c>
      <c r="K48">
        <f>pm.rep!G89*AE48</f>
        <v>1888.9056219281249</v>
      </c>
      <c r="L48">
        <f>pm.rep!H89*AF48</f>
        <v>506.18235044939553</v>
      </c>
      <c r="M48">
        <f>pm.rep!I89*AG48</f>
        <v>1404.2517446562242</v>
      </c>
      <c r="N48">
        <f>pm.rep!J89*AH48</f>
        <v>304.32566767936817</v>
      </c>
      <c r="O48">
        <f>pm.rep!K89*AI48</f>
        <v>429.87294515736693</v>
      </c>
      <c r="P48">
        <f>pm.rep!L89*AJ48</f>
        <v>224.81479725342797</v>
      </c>
      <c r="Q48">
        <f>pm.rep!M89*AK48</f>
        <v>296.33149958457045</v>
      </c>
      <c r="R48">
        <f>pm.rep!N89*AL48</f>
        <v>55.758467458631166</v>
      </c>
      <c r="S48">
        <f>pm.rep!O89*AM48</f>
        <v>14.470729369466268</v>
      </c>
      <c r="T48">
        <f>pm.rep!P89*AN48</f>
        <v>14.2432256467252</v>
      </c>
      <c r="Y48" s="31">
        <v>1990</v>
      </c>
      <c r="Z48" s="31">
        <v>2.5644061040336494E-2</v>
      </c>
      <c r="AA48" s="31">
        <v>9.7439581445771001E-2</v>
      </c>
      <c r="AB48" s="31">
        <v>0.16356870404316537</v>
      </c>
      <c r="AC48" s="31">
        <v>0.36674643529558387</v>
      </c>
      <c r="AD48" s="31">
        <v>0.5297421487486671</v>
      </c>
      <c r="AE48" s="31">
        <v>0.65758246194190595</v>
      </c>
      <c r="AF48" s="31">
        <v>0.70172408118961149</v>
      </c>
      <c r="AG48" s="31">
        <v>0.81519316420307919</v>
      </c>
      <c r="AH48" s="31">
        <v>0.90180721882572912</v>
      </c>
      <c r="AI48" s="31">
        <v>1.099624597833782</v>
      </c>
      <c r="AJ48" s="31">
        <v>1.1755452343532991</v>
      </c>
      <c r="AK48" s="31">
        <v>1.1987374731883127</v>
      </c>
      <c r="AL48" s="31">
        <v>1.1913413312073595</v>
      </c>
      <c r="AM48" s="31">
        <v>1.368261097718066</v>
      </c>
      <c r="AN48" s="31">
        <v>1.5662050831555845</v>
      </c>
      <c r="AR48" s="143">
        <v>1999</v>
      </c>
      <c r="AS48" s="27">
        <f>SUMPRODUCT(AV48:BJ48,$Z$57:$AN$57)</f>
        <v>3397.6628083514029</v>
      </c>
      <c r="AT48" s="27">
        <f>SUMPRODUCT(BO48:CC48,$Z$57:$AN$57)</f>
        <v>2986.9726549944021</v>
      </c>
      <c r="AV48">
        <v>111.865503</v>
      </c>
      <c r="AW48">
        <v>1587.614967</v>
      </c>
      <c r="AX48">
        <v>3596.9569740000002</v>
      </c>
      <c r="AY48">
        <v>1683.5934110000001</v>
      </c>
      <c r="AZ48">
        <v>582.56553599999995</v>
      </c>
      <c r="BA48">
        <v>273.94560999999999</v>
      </c>
      <c r="BB48">
        <v>1169.058192</v>
      </c>
      <c r="BC48">
        <v>400.23503799999997</v>
      </c>
      <c r="BD48">
        <v>104.643576</v>
      </c>
      <c r="BE48">
        <v>66.873683</v>
      </c>
      <c r="BF48">
        <v>14.464537</v>
      </c>
      <c r="BG48">
        <v>6.471546</v>
      </c>
      <c r="BH48">
        <v>1.67028</v>
      </c>
      <c r="BI48">
        <v>0</v>
      </c>
      <c r="BJ48">
        <v>0.69325400000000004</v>
      </c>
      <c r="BN48">
        <f t="shared" si="5"/>
        <v>1999</v>
      </c>
      <c r="BO48">
        <f>pm.rep!B468*$CE48</f>
        <v>0</v>
      </c>
      <c r="BP48">
        <f>pm.rep!C468*$CE48</f>
        <v>1396.4494724499998</v>
      </c>
      <c r="BQ48">
        <f>pm.rep!D468*$CE48</f>
        <v>3163.8387910199999</v>
      </c>
      <c r="BR48">
        <f>pm.rep!E468*$CE48</f>
        <v>1480.8715889</v>
      </c>
      <c r="BS48">
        <f>pm.rep!F468*$CE48</f>
        <v>512.41846009599999</v>
      </c>
      <c r="BT48">
        <f>pm.rep!G468*$CE48</f>
        <v>240.959833215</v>
      </c>
      <c r="BU48">
        <f>pm.rep!H468*$CE48</f>
        <v>1028.28892092</v>
      </c>
      <c r="BV48">
        <f>pm.rep!I468*$CE48</f>
        <v>352.042312154</v>
      </c>
      <c r="BW48">
        <f>pm.rep!J468*$CE48</f>
        <v>92.043059063000001</v>
      </c>
      <c r="BX48">
        <f>pm.rep!K468*$CE48</f>
        <v>58.821307859499996</v>
      </c>
      <c r="BY48">
        <f>pm.rep!L468*$CE48</f>
        <v>12.7228260874</v>
      </c>
      <c r="BZ48">
        <f>pm.rep!M468*$CE48</f>
        <v>5.6922957845999997</v>
      </c>
      <c r="CA48">
        <f>pm.rep!N468*$CE48</f>
        <v>1.4691618282099999</v>
      </c>
      <c r="CB48">
        <f>pm.rep!O468*$CE48</f>
        <v>0</v>
      </c>
      <c r="CC48">
        <f>pm.rep!P468*$CE48</f>
        <v>0.609778067669</v>
      </c>
      <c r="CE48">
        <v>8346.23</v>
      </c>
    </row>
    <row r="49" spans="4:83" x14ac:dyDescent="0.15">
      <c r="D49" s="6">
        <f t="shared" si="6"/>
        <v>6989.2666650401125</v>
      </c>
      <c r="E49">
        <v>1991</v>
      </c>
      <c r="F49">
        <f>pm.rep!B90*Z49</f>
        <v>484.98732796873975</v>
      </c>
      <c r="G49">
        <f>pm.rep!C90*AA49</f>
        <v>1180.6121939308798</v>
      </c>
      <c r="H49">
        <f>pm.rep!D90*AB49</f>
        <v>399.21904769122204</v>
      </c>
      <c r="I49">
        <f>pm.rep!E90*AC49</f>
        <v>383.64333967405344</v>
      </c>
      <c r="J49">
        <f>pm.rep!F90*AD49</f>
        <v>507.38086656855148</v>
      </c>
      <c r="K49">
        <f>pm.rep!G90*AE49</f>
        <v>671.45730652775103</v>
      </c>
      <c r="L49">
        <f>pm.rep!H90*AF49</f>
        <v>1273.5577690466512</v>
      </c>
      <c r="M49">
        <f>pm.rep!I90*AG49</f>
        <v>324.91727728932977</v>
      </c>
      <c r="N49">
        <f>pm.rep!J90*AH49</f>
        <v>932.30020685147088</v>
      </c>
      <c r="O49">
        <f>pm.rep!K90*AI49</f>
        <v>191.99841296033082</v>
      </c>
      <c r="P49">
        <f>pm.rep!L90*AJ49</f>
        <v>261.26120445636445</v>
      </c>
      <c r="Q49">
        <f>pm.rep!M90*AK49</f>
        <v>135.55481435718602</v>
      </c>
      <c r="R49">
        <f>pm.rep!N90*AL49</f>
        <v>184.88446116377935</v>
      </c>
      <c r="S49">
        <f>pm.rep!O90*AM49</f>
        <v>37.689787026373978</v>
      </c>
      <c r="T49">
        <f>pm.rep!P90*AN49</f>
        <v>19.802649527427686</v>
      </c>
      <c r="Y49" s="31">
        <v>1991</v>
      </c>
      <c r="Z49" s="31">
        <v>1.8958666211988436E-2</v>
      </c>
      <c r="AA49" s="31">
        <v>5.9455718080821868E-2</v>
      </c>
      <c r="AB49" s="31">
        <v>0.13965251120847602</v>
      </c>
      <c r="AC49" s="31">
        <v>0.37788438169699129</v>
      </c>
      <c r="AD49" s="31">
        <v>0.54801449751585996</v>
      </c>
      <c r="AE49" s="31">
        <v>0.63945269894552736</v>
      </c>
      <c r="AF49" s="31">
        <v>0.76822160034180909</v>
      </c>
      <c r="AG49" s="31">
        <v>0.80461116809592859</v>
      </c>
      <c r="AH49" s="31">
        <v>0.97180606709084805</v>
      </c>
      <c r="AI49" s="31">
        <v>1.0105339187478266</v>
      </c>
      <c r="AJ49" s="31">
        <v>1.1742393253587262</v>
      </c>
      <c r="AK49" s="31">
        <v>1.2453931219365706</v>
      </c>
      <c r="AL49" s="31">
        <v>1.3140891663026097</v>
      </c>
      <c r="AM49" s="31">
        <v>1.4149092645874244</v>
      </c>
      <c r="AN49" s="31">
        <v>1.7688675873755202</v>
      </c>
      <c r="AR49" s="143">
        <v>2000</v>
      </c>
      <c r="AS49" s="27">
        <f>SUMPRODUCT(AV49:BJ49,$Z$58:$AN$58)</f>
        <v>2944.6019749621587</v>
      </c>
      <c r="AT49" s="27">
        <f>SUMPRODUCT(BO49:CC49,$Z$58:$AN$58)</f>
        <v>3074.4317430206547</v>
      </c>
      <c r="AV49">
        <v>257.92201599999999</v>
      </c>
      <c r="AW49">
        <v>1272.3294330000001</v>
      </c>
      <c r="AX49">
        <v>1184.944489</v>
      </c>
      <c r="AY49">
        <v>2480.0247760000002</v>
      </c>
      <c r="AZ49">
        <v>899.71374900000001</v>
      </c>
      <c r="BA49">
        <v>243.88862</v>
      </c>
      <c r="BB49">
        <v>233.99312599999999</v>
      </c>
      <c r="BC49">
        <v>725.12436600000001</v>
      </c>
      <c r="BD49">
        <v>190.427626</v>
      </c>
      <c r="BE49">
        <v>84.693968999999996</v>
      </c>
      <c r="BF49">
        <v>35.625883999999999</v>
      </c>
      <c r="BG49">
        <v>18.077577999999999</v>
      </c>
      <c r="BH49">
        <v>1.166461</v>
      </c>
      <c r="BI49">
        <v>1.3551070000000001</v>
      </c>
      <c r="BJ49">
        <v>0.46836699999999998</v>
      </c>
      <c r="BN49">
        <f t="shared" si="5"/>
        <v>2000</v>
      </c>
      <c r="BO49">
        <f>pm.rep!B469*$CE49</f>
        <v>0</v>
      </c>
      <c r="BP49">
        <f>pm.rep!C469*$CE49</f>
        <v>1330.1863325099998</v>
      </c>
      <c r="BQ49">
        <f>pm.rep!D469*$CE49</f>
        <v>1238.8267247299998</v>
      </c>
      <c r="BR49">
        <f>pm.rep!E469*$CE49</f>
        <v>2592.8047823300003</v>
      </c>
      <c r="BS49">
        <f>pm.rep!F469*$CE49</f>
        <v>940.62477229000001</v>
      </c>
      <c r="BT49">
        <f>pm.rep!G469*$CE49</f>
        <v>254.97916246599996</v>
      </c>
      <c r="BU49">
        <f>pm.rep!H469*$CE49</f>
        <v>244.63396240499998</v>
      </c>
      <c r="BV49">
        <f>pm.rep!I469*$CE49</f>
        <v>758.09977489400001</v>
      </c>
      <c r="BW49">
        <f>pm.rep!J469*$CE49</f>
        <v>199.08749082599999</v>
      </c>
      <c r="BX49">
        <f>pm.rep!K469*$CE49</f>
        <v>88.545756522999994</v>
      </c>
      <c r="BY49">
        <f>pm.rep!L469*$CE49</f>
        <v>37.245957188999995</v>
      </c>
      <c r="BZ49">
        <f>pm.rep!M469*$CE49</f>
        <v>18.899662407499999</v>
      </c>
      <c r="CA49">
        <f>pm.rep!N469*$CE49</f>
        <v>1.2195051002400001</v>
      </c>
      <c r="CB49">
        <f>pm.rep!O469*$CE49</f>
        <v>1.4167290215399999</v>
      </c>
      <c r="CC49">
        <f>pm.rep!P469*$CE49</f>
        <v>0.48966638032900001</v>
      </c>
      <c r="CE49">
        <v>7707.07</v>
      </c>
    </row>
    <row r="50" spans="4:83" x14ac:dyDescent="0.15">
      <c r="D50" s="6">
        <f t="shared" si="6"/>
        <v>8661.6141848808329</v>
      </c>
      <c r="E50">
        <v>1992</v>
      </c>
      <c r="F50">
        <f>pm.rep!B91*Z50</f>
        <v>667.53706155756936</v>
      </c>
      <c r="G50">
        <f>pm.rep!C91*AA50</f>
        <v>818.16512897648988</v>
      </c>
      <c r="H50">
        <f>pm.rep!D91*AB50</f>
        <v>3001.4935836668083</v>
      </c>
      <c r="I50">
        <f>pm.rep!E91*AC50</f>
        <v>755.64621292984248</v>
      </c>
      <c r="J50">
        <f>pm.rep!F91*AD50</f>
        <v>401.18922821982346</v>
      </c>
      <c r="K50">
        <f>pm.rep!G91*AE50</f>
        <v>373.68203511993499</v>
      </c>
      <c r="L50">
        <f>pm.rep!H91*AF50</f>
        <v>525.66694932806706</v>
      </c>
      <c r="M50">
        <f>pm.rep!I91*AG50</f>
        <v>845.48755909904253</v>
      </c>
      <c r="N50">
        <f>pm.rep!J91*AH50</f>
        <v>234.72317496766746</v>
      </c>
      <c r="O50">
        <f>pm.rep!K91*AI50</f>
        <v>540.19480421698734</v>
      </c>
      <c r="P50">
        <f>pm.rep!L91*AJ50</f>
        <v>121.63173107086739</v>
      </c>
      <c r="Q50">
        <f>pm.rep!M91*AK50</f>
        <v>154.78825203104498</v>
      </c>
      <c r="R50">
        <f>pm.rep!N91*AL50</f>
        <v>82.091056320964583</v>
      </c>
      <c r="S50">
        <f>pm.rep!O91*AM50</f>
        <v>105.67308663437031</v>
      </c>
      <c r="T50">
        <f>pm.rep!P91*AN50</f>
        <v>33.644320741354605</v>
      </c>
      <c r="Y50" s="31">
        <v>1992</v>
      </c>
      <c r="Z50" s="31">
        <v>2.9302617184540022E-2</v>
      </c>
      <c r="AA50" s="31">
        <v>7.867728906399557E-2</v>
      </c>
      <c r="AB50" s="31">
        <v>0.23875381487227526</v>
      </c>
      <c r="AC50" s="31">
        <v>0.3700882617934384</v>
      </c>
      <c r="AD50" s="31">
        <v>0.59922007922078901</v>
      </c>
      <c r="AE50" s="31">
        <v>0.6690539782962116</v>
      </c>
      <c r="AF50" s="31">
        <v>0.87025908983430933</v>
      </c>
      <c r="AG50" s="31">
        <v>0.95636032420474737</v>
      </c>
      <c r="AH50" s="31">
        <v>1.0521739567502262</v>
      </c>
      <c r="AI50" s="31">
        <v>1.0597603141585641</v>
      </c>
      <c r="AJ50" s="31">
        <v>1.2031190942448085</v>
      </c>
      <c r="AK50" s="31">
        <v>1.3074546793286959</v>
      </c>
      <c r="AL50" s="31">
        <v>1.4174109544646329</v>
      </c>
      <c r="AM50" s="31">
        <v>1.4115491541153771</v>
      </c>
      <c r="AN50" s="31">
        <v>1.6712941299286463</v>
      </c>
      <c r="AR50" s="143">
        <v>2002</v>
      </c>
      <c r="AS50" s="27">
        <f>SUMPRODUCT(AV50:BJ50,$Z$60:$AN$60)</f>
        <v>3488.7114272255922</v>
      </c>
      <c r="AT50" s="27">
        <f>SUMPRODUCT(BO50:CC50,$Z$60:$AN$60)</f>
        <v>2900.8024364744606</v>
      </c>
      <c r="AV50">
        <v>561.31366190000006</v>
      </c>
      <c r="AW50">
        <v>4187.5517739999996</v>
      </c>
      <c r="AX50">
        <v>3841.0404589999998</v>
      </c>
      <c r="AY50">
        <v>1295.262536</v>
      </c>
      <c r="AZ50">
        <v>685.34618369999998</v>
      </c>
      <c r="BA50">
        <v>593.33517889999996</v>
      </c>
      <c r="BB50">
        <v>287.57275440000001</v>
      </c>
      <c r="BC50">
        <v>99.991476300000002</v>
      </c>
      <c r="BD50">
        <v>131.71430459999999</v>
      </c>
      <c r="BE50">
        <v>237.8775143</v>
      </c>
      <c r="BF50">
        <v>117.87598</v>
      </c>
      <c r="BG50">
        <v>48.101307900000002</v>
      </c>
      <c r="BH50">
        <v>25.200015480000001</v>
      </c>
      <c r="BI50">
        <v>6.4256788309999999</v>
      </c>
      <c r="BJ50">
        <v>3.1541752280000002</v>
      </c>
      <c r="BN50">
        <f t="shared" si="5"/>
        <v>2002</v>
      </c>
      <c r="BO50">
        <f>pm.rep!B470*$CE50</f>
        <v>0</v>
      </c>
      <c r="BP50">
        <f>pm.rep!C470*$CE50</f>
        <v>3493.43907713</v>
      </c>
      <c r="BQ50">
        <f>pm.rep!D470*$CE50</f>
        <v>3204.3629271099999</v>
      </c>
      <c r="BR50">
        <f>pm.rep!E470*$CE50</f>
        <v>1080.56846189</v>
      </c>
      <c r="BS50">
        <f>pm.rep!F470*$CE50</f>
        <v>571.74563805100001</v>
      </c>
      <c r="BT50">
        <f>pm.rep!G470*$CE50</f>
        <v>494.98624705799995</v>
      </c>
      <c r="BU50">
        <f>pm.rep!H470*$CE50</f>
        <v>239.90600778800001</v>
      </c>
      <c r="BV50">
        <f>pm.rep!I470*$CE50</f>
        <v>83.417285173499991</v>
      </c>
      <c r="BW50">
        <f>pm.rep!J470*$CE50</f>
        <v>109.881534505</v>
      </c>
      <c r="BX50">
        <f>pm.rep!K470*$CE50</f>
        <v>198.447391864</v>
      </c>
      <c r="BY50">
        <f>pm.rep!L470*$CE50</f>
        <v>98.337391195000009</v>
      </c>
      <c r="BZ50">
        <f>pm.rep!M470*$CE50</f>
        <v>40.128194395499996</v>
      </c>
      <c r="CA50">
        <f>pm.rep!N470*$CE50</f>
        <v>21.022974765499999</v>
      </c>
      <c r="CB50">
        <f>pm.rep!O470*$CE50</f>
        <v>5.3605812935900001</v>
      </c>
      <c r="CC50">
        <f>pm.rep!P470*$CE50</f>
        <v>2.6313510016599997</v>
      </c>
      <c r="CE50">
        <v>9644.23</v>
      </c>
    </row>
    <row r="51" spans="4:83" x14ac:dyDescent="0.15">
      <c r="D51" s="6">
        <f t="shared" si="6"/>
        <v>9709.4342402902985</v>
      </c>
      <c r="E51">
        <v>1993</v>
      </c>
      <c r="F51">
        <f>pm.rep!B92*Z51</f>
        <v>925.51000512393068</v>
      </c>
      <c r="G51">
        <f>pm.rep!C92*AA51</f>
        <v>813.20270679087491</v>
      </c>
      <c r="H51">
        <f>pm.rep!D92*AB51</f>
        <v>1836.9690792734834</v>
      </c>
      <c r="I51">
        <f>pm.rep!E92*AC51</f>
        <v>3686.7194955676891</v>
      </c>
      <c r="J51">
        <f>pm.rep!F92*AD51</f>
        <v>678.18969045857273</v>
      </c>
      <c r="K51">
        <f>pm.rep!G92*AE51</f>
        <v>238.31027628187334</v>
      </c>
      <c r="L51">
        <f>pm.rep!H92*AF51</f>
        <v>215.19290815589108</v>
      </c>
      <c r="M51">
        <f>pm.rep!I92*AG51</f>
        <v>242.82148026799081</v>
      </c>
      <c r="N51">
        <f>pm.rep!J92*AH51</f>
        <v>421.2229941137104</v>
      </c>
      <c r="O51">
        <f>pm.rep!K92*AI51</f>
        <v>110.06893326095845</v>
      </c>
      <c r="P51">
        <f>pm.rep!L92*AJ51</f>
        <v>280.22245794586195</v>
      </c>
      <c r="Q51">
        <f>pm.rep!M92*AK51</f>
        <v>60.994343691511553</v>
      </c>
      <c r="R51">
        <f>pm.rep!N92*AL51</f>
        <v>77.356099374091698</v>
      </c>
      <c r="S51">
        <f>pm.rep!O92*AM51</f>
        <v>40.909688871778975</v>
      </c>
      <c r="T51">
        <f>pm.rep!P92*AN51</f>
        <v>81.744081112079755</v>
      </c>
      <c r="Y51" s="31">
        <v>1993</v>
      </c>
      <c r="Z51" s="31">
        <v>1.9749184970807174E-2</v>
      </c>
      <c r="AA51" s="31">
        <v>8.7815073516357284E-2</v>
      </c>
      <c r="AB51" s="31">
        <v>0.27939458103392695</v>
      </c>
      <c r="AC51" s="31">
        <v>0.42266194051416761</v>
      </c>
      <c r="AD51" s="31">
        <v>0.50549681391931656</v>
      </c>
      <c r="AE51" s="31">
        <v>0.58661857475279222</v>
      </c>
      <c r="AF51" s="31">
        <v>0.71772118733370827</v>
      </c>
      <c r="AG51" s="31">
        <v>0.82980145396509819</v>
      </c>
      <c r="AH51" s="31">
        <v>1.012024934322183</v>
      </c>
      <c r="AI51" s="31">
        <v>1.0521333772495192</v>
      </c>
      <c r="AJ51" s="31">
        <v>1.1639417076666208</v>
      </c>
      <c r="AK51" s="31">
        <v>1.2773845051772703</v>
      </c>
      <c r="AL51" s="31">
        <v>1.3834216979619915</v>
      </c>
      <c r="AM51" s="31">
        <v>1.4955323372222211</v>
      </c>
      <c r="AN51" s="31">
        <v>1.8219280428307738</v>
      </c>
      <c r="AR51" s="143">
        <v>2004</v>
      </c>
      <c r="AS51" s="27">
        <f>SUMPRODUCT(AV51:BJ51,$Z$62:$AN$62)</f>
        <v>3323.2187529525368</v>
      </c>
      <c r="AT51" s="27">
        <f>SUMPRODUCT(BO51:CC51,$Z$62:$AN$62)</f>
        <v>4022.9249650631059</v>
      </c>
      <c r="AV51">
        <v>15.75365101</v>
      </c>
      <c r="AW51">
        <v>275.06652259999998</v>
      </c>
      <c r="AX51">
        <v>1188.7984510000001</v>
      </c>
      <c r="AY51">
        <v>2928.9407609999998</v>
      </c>
      <c r="AZ51">
        <v>1444.3430269999999</v>
      </c>
      <c r="BA51">
        <v>417.0268039</v>
      </c>
      <c r="BB51">
        <v>202.4937822</v>
      </c>
      <c r="BC51">
        <v>192.76933399999999</v>
      </c>
      <c r="BD51">
        <v>67.997976129999998</v>
      </c>
      <c r="BE51">
        <v>34.699289149999998</v>
      </c>
      <c r="BF51">
        <v>24.599876630000001</v>
      </c>
      <c r="BG51">
        <v>19.81017834</v>
      </c>
      <c r="BH51">
        <v>12.142736169999999</v>
      </c>
      <c r="BI51">
        <v>5.7995326230000002</v>
      </c>
      <c r="BJ51">
        <v>4.2507374899999997</v>
      </c>
      <c r="BN51">
        <f t="shared" si="5"/>
        <v>2004</v>
      </c>
      <c r="BO51">
        <f>pm.rep!B471*$CE51</f>
        <v>0</v>
      </c>
      <c r="BP51">
        <f>pm.rep!C471*$CE51</f>
        <v>333.02602569600003</v>
      </c>
      <c r="BQ51">
        <f>pm.rep!D471*$CE51</f>
        <v>1439.29212336</v>
      </c>
      <c r="BR51">
        <f>pm.rep!E471*$CE51</f>
        <v>3546.10082736</v>
      </c>
      <c r="BS51">
        <f>pm.rep!F471*$CE51</f>
        <v>1748.6842464000001</v>
      </c>
      <c r="BT51">
        <f>pm.rep!G471*$CE51</f>
        <v>504.89852212800002</v>
      </c>
      <c r="BU51">
        <f>pm.rep!H471*$CE51</f>
        <v>245.161700784</v>
      </c>
      <c r="BV51">
        <f>pm.rep!I471*$CE51</f>
        <v>233.38767816000001</v>
      </c>
      <c r="BW51">
        <f>pm.rep!J471*$CE51</f>
        <v>82.325861654400001</v>
      </c>
      <c r="BX51">
        <f>pm.rep!K471*$CE51</f>
        <v>42.010772731199999</v>
      </c>
      <c r="BY51">
        <f>pm.rep!L471*$CE51</f>
        <v>29.783356948800002</v>
      </c>
      <c r="BZ51">
        <f>pm.rep!M471*$CE51</f>
        <v>23.984432035200001</v>
      </c>
      <c r="CA51">
        <f>pm.rep!N471*$CE51</f>
        <v>14.701347460800001</v>
      </c>
      <c r="CB51">
        <f>pm.rep!O471*$CE51</f>
        <v>7.0215591700800006</v>
      </c>
      <c r="CC51">
        <f>pm.rep!P471*$CE51</f>
        <v>5.1464168683200011</v>
      </c>
      <c r="CE51">
        <v>8255.52</v>
      </c>
    </row>
    <row r="52" spans="4:83" x14ac:dyDescent="0.15">
      <c r="D52" s="6">
        <f t="shared" si="6"/>
        <v>10491.791937762948</v>
      </c>
      <c r="E52">
        <v>1994</v>
      </c>
      <c r="F52">
        <f>pm.rep!B93*Z52</f>
        <v>317.26036850107971</v>
      </c>
      <c r="G52">
        <f>pm.rep!C93*AA52</f>
        <v>1363.2471881186291</v>
      </c>
      <c r="H52">
        <f>pm.rep!D93*AB52</f>
        <v>1307.1759525996943</v>
      </c>
      <c r="I52">
        <f>pm.rep!E93*AC52</f>
        <v>2245.9321229292041</v>
      </c>
      <c r="J52">
        <f>pm.rep!F93*AD52</f>
        <v>3476.9152285757314</v>
      </c>
      <c r="K52">
        <f>pm.rep!G93*AE52</f>
        <v>596.8193827840081</v>
      </c>
      <c r="L52">
        <f>pm.rep!H93*AF52</f>
        <v>179.31246036319598</v>
      </c>
      <c r="M52">
        <f>pm.rep!I93*AG52</f>
        <v>166.74322285263219</v>
      </c>
      <c r="N52">
        <f>pm.rep!J93*AH52</f>
        <v>188.83505942927505</v>
      </c>
      <c r="O52">
        <f>pm.rep!K93*AI52</f>
        <v>259.76634345478283</v>
      </c>
      <c r="P52">
        <f>pm.rep!L93*AJ52</f>
        <v>69.296292088342994</v>
      </c>
      <c r="Q52">
        <f>pm.rep!M93*AK52</f>
        <v>174.8355275846759</v>
      </c>
      <c r="R52">
        <f>pm.rep!N93*AL52</f>
        <v>36.524217053860667</v>
      </c>
      <c r="S52">
        <f>pm.rep!O93*AM52</f>
        <v>44.141771315819831</v>
      </c>
      <c r="T52">
        <f>pm.rep!P93*AN52</f>
        <v>64.986800112013526</v>
      </c>
      <c r="Y52" s="31">
        <v>1994</v>
      </c>
      <c r="Z52" s="31">
        <v>1.9899915228258507E-2</v>
      </c>
      <c r="AA52" s="31">
        <v>7.1557024655592771E-2</v>
      </c>
      <c r="AB52" s="31">
        <v>0.22220377994752386</v>
      </c>
      <c r="AC52" s="31">
        <v>0.48045953576904815</v>
      </c>
      <c r="AD52" s="31">
        <v>0.6264373508775618</v>
      </c>
      <c r="AE52" s="31">
        <v>0.68685904860682867</v>
      </c>
      <c r="AF52" s="31">
        <v>0.73960972258600399</v>
      </c>
      <c r="AG52" s="31">
        <v>1.0159030959808946</v>
      </c>
      <c r="AH52" s="31">
        <v>1.1782749677362043</v>
      </c>
      <c r="AI52" s="31">
        <v>1.1388914907679211</v>
      </c>
      <c r="AJ52" s="31">
        <v>1.1948357588534309</v>
      </c>
      <c r="AK52" s="31">
        <v>1.3099335994476313</v>
      </c>
      <c r="AL52" s="31">
        <v>1.3797666549757914</v>
      </c>
      <c r="AM52" s="31">
        <v>1.4239740416084337</v>
      </c>
      <c r="AN52" s="31">
        <v>1.6231199232736118</v>
      </c>
      <c r="AR52" s="143">
        <v>2006</v>
      </c>
      <c r="AS52" s="27">
        <f>SUMPRODUCT(AV52:BJ52,$Z$64:$AN$64)</f>
        <v>1603.6118012645211</v>
      </c>
      <c r="AT52" s="27">
        <f>SUMPRODUCT(BO52:CC52,$Z$64:$AN$64)</f>
        <v>2367.159825804436</v>
      </c>
      <c r="AV52">
        <v>455.56513039999999</v>
      </c>
      <c r="AW52">
        <v>208.61292040000001</v>
      </c>
      <c r="AX52">
        <v>281.97304760000003</v>
      </c>
      <c r="AY52">
        <v>610.07403790000001</v>
      </c>
      <c r="AZ52">
        <v>695.2963532</v>
      </c>
      <c r="BA52">
        <v>551.77971460000003</v>
      </c>
      <c r="BB52">
        <v>319.70128</v>
      </c>
      <c r="BC52">
        <v>110.07219309999999</v>
      </c>
      <c r="BD52">
        <v>52.989148999999998</v>
      </c>
      <c r="BE52">
        <v>40.326140600000002</v>
      </c>
      <c r="BF52">
        <v>23.321421600000001</v>
      </c>
      <c r="BG52">
        <v>16.230236900000001</v>
      </c>
      <c r="BH52">
        <v>8.5639041999999996</v>
      </c>
      <c r="BI52">
        <v>9.8944229000000004</v>
      </c>
      <c r="BJ52">
        <v>11.257948399999998</v>
      </c>
      <c r="BN52">
        <f t="shared" si="5"/>
        <v>2006</v>
      </c>
      <c r="BO52">
        <f>pm.rep!B472*$CE52</f>
        <v>0</v>
      </c>
      <c r="BP52">
        <f>pm.rep!C472*$CE52</f>
        <v>309.82282425</v>
      </c>
      <c r="BQ52">
        <f>pm.rep!D472*$CE52</f>
        <v>418.77442229999997</v>
      </c>
      <c r="BR52">
        <f>pm.rep!E472*$CE52</f>
        <v>906.05748299999993</v>
      </c>
      <c r="BS52">
        <f>pm.rep!F472*$CE52</f>
        <v>1032.6248519999999</v>
      </c>
      <c r="BT52">
        <f>pm.rep!G472*$CE52</f>
        <v>819.478521</v>
      </c>
      <c r="BU52">
        <f>pm.rep!H472*$CE52</f>
        <v>474.80884350000002</v>
      </c>
      <c r="BV52">
        <f>pm.rep!I472*$CE52</f>
        <v>163.47433695000001</v>
      </c>
      <c r="BW52">
        <f>pm.rep!J472*$CE52</f>
        <v>78.697429499999998</v>
      </c>
      <c r="BX52">
        <f>pm.rep!K472*$CE52</f>
        <v>59.890477349999998</v>
      </c>
      <c r="BY52">
        <f>pm.rep!L472*$CE52</f>
        <v>34.635994965000002</v>
      </c>
      <c r="BZ52">
        <f>pm.rep!M472*$CE52</f>
        <v>24.104433614999998</v>
      </c>
      <c r="CA52">
        <f>pm.rep!N472*$CE52</f>
        <v>12.7187412</v>
      </c>
      <c r="CB52">
        <f>pm.rep!O472*$CE52</f>
        <v>14.694757110000001</v>
      </c>
      <c r="CC52">
        <f>pm.rep!P472*$CE52</f>
        <v>16.719808815</v>
      </c>
      <c r="CE52">
        <v>4366.5</v>
      </c>
    </row>
    <row r="53" spans="4:83" x14ac:dyDescent="0.15">
      <c r="D53" s="6">
        <f t="shared" si="6"/>
        <v>9674.8325886292077</v>
      </c>
      <c r="E53">
        <v>1995</v>
      </c>
      <c r="F53">
        <f>pm.rep!B94*Z53</f>
        <v>169.07608244482358</v>
      </c>
      <c r="G53">
        <f>pm.rep!C94*AA53</f>
        <v>516.23627182966095</v>
      </c>
      <c r="H53">
        <f>pm.rep!D94*AB53</f>
        <v>1931.4813092034044</v>
      </c>
      <c r="I53">
        <f>pm.rep!E94*AC53</f>
        <v>1609.6272685963447</v>
      </c>
      <c r="J53">
        <f>pm.rep!F94*AD53</f>
        <v>1967.8720487168664</v>
      </c>
      <c r="K53">
        <f>pm.rep!G94*AE53</f>
        <v>2354.8241241248047</v>
      </c>
      <c r="L53">
        <f>pm.rep!H94*AF53</f>
        <v>390.31789960126406</v>
      </c>
      <c r="M53">
        <f>pm.rep!I94*AG53</f>
        <v>127.39975115114025</v>
      </c>
      <c r="N53">
        <f>pm.rep!J94*AH53</f>
        <v>99.921944457692661</v>
      </c>
      <c r="O53">
        <f>pm.rep!K94*AI53</f>
        <v>109.32844767958969</v>
      </c>
      <c r="P53">
        <f>pm.rep!L94*AJ53</f>
        <v>160.69593105305086</v>
      </c>
      <c r="Q53">
        <f>pm.rep!M94*AK53</f>
        <v>43.370697149903194</v>
      </c>
      <c r="R53">
        <f>pm.rep!N94*AL53</f>
        <v>106.61583378126976</v>
      </c>
      <c r="S53">
        <f>pm.rep!O94*AM53</f>
        <v>21.275814116975727</v>
      </c>
      <c r="T53">
        <f>pm.rep!P94*AN53</f>
        <v>66.789164722415805</v>
      </c>
      <c r="Y53" s="31">
        <v>1995</v>
      </c>
      <c r="Z53" s="31">
        <v>1.5504597240215278E-2</v>
      </c>
      <c r="AA53" s="31">
        <v>7.9649743467723591E-2</v>
      </c>
      <c r="AB53" s="31">
        <v>0.15951581622703284</v>
      </c>
      <c r="AC53" s="31">
        <v>0.37636165006075661</v>
      </c>
      <c r="AD53" s="31">
        <v>0.6186428735808065</v>
      </c>
      <c r="AE53" s="31">
        <v>0.71726284365694448</v>
      </c>
      <c r="AF53" s="31">
        <v>0.75372771961236662</v>
      </c>
      <c r="AG53" s="31">
        <v>0.93659070870163752</v>
      </c>
      <c r="AH53" s="31">
        <v>1.0835769974016418</v>
      </c>
      <c r="AI53" s="31">
        <v>1.2101927245672688</v>
      </c>
      <c r="AJ53" s="31">
        <v>1.2419117660250927</v>
      </c>
      <c r="AK53" s="31">
        <v>1.3182061848590541</v>
      </c>
      <c r="AL53" s="31">
        <v>1.4080850349297154</v>
      </c>
      <c r="AM53" s="31">
        <v>1.4167630528311355</v>
      </c>
      <c r="AN53" s="31">
        <v>1.6573281601024286</v>
      </c>
      <c r="AR53" s="143">
        <v>2007</v>
      </c>
      <c r="AS53" s="27">
        <f>SUMPRODUCT(AV53:BJ53,$Z$65:$AN$65)</f>
        <v>1919.0763941309619</v>
      </c>
      <c r="AT53" s="27">
        <f>SUMPRODUCT(BO53:CC53,$Z$64:$AN$64)</f>
        <v>1711.8362035279347</v>
      </c>
      <c r="AV53">
        <v>5588.5405741148843</v>
      </c>
      <c r="AW53">
        <v>1026.2114373699133</v>
      </c>
      <c r="AX53">
        <v>319.70633954042341</v>
      </c>
      <c r="AY53">
        <v>430.07133277953471</v>
      </c>
      <c r="AZ53">
        <v>669.18903196939925</v>
      </c>
      <c r="BA53">
        <v>588.82871281673692</v>
      </c>
      <c r="BB53">
        <v>305.66895225821224</v>
      </c>
      <c r="BC53">
        <v>166.21070973416897</v>
      </c>
      <c r="BD53">
        <v>60.198139202546479</v>
      </c>
      <c r="BE53">
        <v>18.777363453729254</v>
      </c>
      <c r="BF53">
        <v>20.17779365033401</v>
      </c>
      <c r="BG53">
        <v>5.7336171031807694</v>
      </c>
      <c r="BH53">
        <v>1.7040964370501244</v>
      </c>
      <c r="BI53">
        <v>2.1000291078449309</v>
      </c>
      <c r="BJ53">
        <v>3.5426663069909754</v>
      </c>
      <c r="BN53">
        <v>2007</v>
      </c>
      <c r="BO53">
        <f>pm.rep!B473*$CE53</f>
        <v>0</v>
      </c>
      <c r="BP53">
        <f>pm.rep!C473*$CE53</f>
        <v>1117.0636756400002</v>
      </c>
      <c r="BQ53">
        <f>pm.rep!D473*$CE53</f>
        <v>348.01079834400002</v>
      </c>
      <c r="BR53">
        <f>pm.rep!E473*$CE53</f>
        <v>468.14660903999999</v>
      </c>
      <c r="BS53">
        <f>pm.rep!F473*$CE53</f>
        <v>728.43417020000004</v>
      </c>
      <c r="BT53">
        <f>pm.rep!G473*$CE53</f>
        <v>640.95747935999998</v>
      </c>
      <c r="BU53">
        <f>pm.rep!H473*$CE53</f>
        <v>332.730438832</v>
      </c>
      <c r="BV53">
        <f>pm.rep!I473*$CE53</f>
        <v>180.92563209599999</v>
      </c>
      <c r="BW53">
        <f>pm.rep!J473*$CE53</f>
        <v>65.527764720000008</v>
      </c>
      <c r="BX53">
        <f>pm.rep!K473*$CE53</f>
        <v>20.439755296400001</v>
      </c>
      <c r="BY53">
        <f>pm.rep!L473*$CE53</f>
        <v>21.964167882800002</v>
      </c>
      <c r="BZ53">
        <f>pm.rep!M473*$CE53</f>
        <v>6.241245868</v>
      </c>
      <c r="CA53">
        <f>pm.rep!N473*$CE53</f>
        <v>1.85496191716</v>
      </c>
      <c r="CB53">
        <f>pm.rep!O473*$CE53</f>
        <v>2.2859493448000001</v>
      </c>
      <c r="CC53">
        <f>pm.rep!P473*$CE53</f>
        <v>3.8563077722400001</v>
      </c>
      <c r="CE53">
        <v>3938.44</v>
      </c>
    </row>
    <row r="54" spans="4:83" x14ac:dyDescent="0.15">
      <c r="D54" s="6">
        <f t="shared" si="6"/>
        <v>9491.3930787555128</v>
      </c>
      <c r="E54">
        <v>1996</v>
      </c>
      <c r="F54">
        <f>pm.rep!B95*Z54</f>
        <v>429.36712561504208</v>
      </c>
      <c r="G54">
        <f>pm.rep!C95*AA54</f>
        <v>287.8789966070886</v>
      </c>
      <c r="H54">
        <f>pm.rep!D95*AB54</f>
        <v>599.89842464837648</v>
      </c>
      <c r="I54">
        <f>pm.rep!E95*AC54</f>
        <v>3141.1641541948452</v>
      </c>
      <c r="J54">
        <f>pm.rep!F95*AD54</f>
        <v>1462.971175316783</v>
      </c>
      <c r="K54">
        <f>pm.rep!G95*AE54</f>
        <v>1396.1822168908031</v>
      </c>
      <c r="L54">
        <f>pm.rep!H95*AF54</f>
        <v>1471.6185982904246</v>
      </c>
      <c r="M54">
        <f>pm.rep!I95*AG54</f>
        <v>255.69433161216611</v>
      </c>
      <c r="N54">
        <f>pm.rep!J95*AH54</f>
        <v>75.529964878646595</v>
      </c>
      <c r="O54">
        <f>pm.rep!K95*AI54</f>
        <v>58.098794940443064</v>
      </c>
      <c r="P54">
        <f>pm.rep!L95*AJ54</f>
        <v>66.966968203727063</v>
      </c>
      <c r="Q54">
        <f>pm.rep!M95*AK54</f>
        <v>102.93169066813381</v>
      </c>
      <c r="R54">
        <f>pm.rep!N95*AL54</f>
        <v>27.791990256612177</v>
      </c>
      <c r="S54">
        <f>pm.rep!O95*AM54</f>
        <v>65.133103856776572</v>
      </c>
      <c r="T54">
        <f>pm.rep!P95*AN54</f>
        <v>50.16554277564326</v>
      </c>
      <c r="Y54" s="31">
        <v>1996</v>
      </c>
      <c r="Z54" s="31">
        <v>1.8767604198558538E-2</v>
      </c>
      <c r="AA54" s="31">
        <v>6.4935893200314121E-2</v>
      </c>
      <c r="AB54" s="31">
        <v>0.14564565323385098</v>
      </c>
      <c r="AC54" s="31">
        <v>0.35449919073168434</v>
      </c>
      <c r="AD54" s="31">
        <v>0.48067446077211146</v>
      </c>
      <c r="AE54" s="31">
        <v>0.68646580995383344</v>
      </c>
      <c r="AF54" s="31">
        <v>0.82031393963690846</v>
      </c>
      <c r="AG54" s="31">
        <v>0.88126699711924461</v>
      </c>
      <c r="AH54" s="31">
        <v>0.98943836448037226</v>
      </c>
      <c r="AI54" s="31">
        <v>1.1134751482992429</v>
      </c>
      <c r="AJ54" s="31">
        <v>1.2992421527561799</v>
      </c>
      <c r="AK54" s="31">
        <v>1.394264154984332</v>
      </c>
      <c r="AL54" s="31">
        <v>1.4805181312720239</v>
      </c>
      <c r="AM54" s="31">
        <v>1.5077107374253835</v>
      </c>
      <c r="AN54" s="31">
        <v>1.5894939838356963</v>
      </c>
      <c r="AR54" s="143">
        <v>2008</v>
      </c>
      <c r="AS54" s="27">
        <f>SUMPRODUCT(AV54:BJ54,$Z$66:$AN$66)</f>
        <v>903.74949398554395</v>
      </c>
      <c r="AT54" s="27">
        <f>SUMPRODUCT(BO54:CC54,$Z$64:$AN$64)</f>
        <v>1046.1297977493805</v>
      </c>
      <c r="AV54">
        <v>52.179521262442861</v>
      </c>
      <c r="AW54">
        <v>2636.8557082594743</v>
      </c>
      <c r="AX54">
        <v>1080.1000902426499</v>
      </c>
      <c r="AY54">
        <v>84.882319285405487</v>
      </c>
      <c r="AZ54">
        <v>107.51404274751043</v>
      </c>
      <c r="BA54">
        <v>175.16709222375735</v>
      </c>
      <c r="BB54">
        <v>121.54736974182052</v>
      </c>
      <c r="BC54">
        <v>78.363394425955406</v>
      </c>
      <c r="BD54">
        <v>49.451760247223845</v>
      </c>
      <c r="BE54">
        <v>17.360727468391563</v>
      </c>
      <c r="BF54">
        <v>13.699229353138493</v>
      </c>
      <c r="BG54">
        <v>10.421497299704379</v>
      </c>
      <c r="BH54">
        <v>4.3102288197389225</v>
      </c>
      <c r="BI54">
        <v>2.1718156109102287</v>
      </c>
      <c r="BJ54">
        <v>11.007253019876702</v>
      </c>
      <c r="BN54">
        <v>2008</v>
      </c>
      <c r="BO54">
        <f>pm.rep!B474*$CE54</f>
        <v>0</v>
      </c>
      <c r="BP54">
        <f>pm.rep!C474*$CE54</f>
        <v>3421.2334518900002</v>
      </c>
      <c r="BQ54">
        <f>pm.rep!D474*$CE54</f>
        <v>1214.8066214099999</v>
      </c>
      <c r="BR54">
        <f>pm.rep!E474*$CE54</f>
        <v>170.029725372</v>
      </c>
      <c r="BS54">
        <f>pm.rep!F474*$CE54</f>
        <v>125.84534544</v>
      </c>
      <c r="BT54">
        <f>pm.rep!G474*$CE54</f>
        <v>200.39728012200001</v>
      </c>
      <c r="BU54">
        <f>pm.rep!H474*$CE54</f>
        <v>155.88586498500001</v>
      </c>
      <c r="BV54">
        <f>pm.rep!I474*$CE54</f>
        <v>83.244475467000001</v>
      </c>
      <c r="BW54">
        <f>pm.rep!J474*$CE54</f>
        <v>68.556472470000003</v>
      </c>
      <c r="BX54">
        <f>pm.rep!K474*$CE54</f>
        <v>17.625933379799999</v>
      </c>
      <c r="BY54">
        <f>pm.rep!L474*$CE54</f>
        <v>17.838698636700002</v>
      </c>
      <c r="BZ54">
        <f>pm.rep!M474*$CE54</f>
        <v>8.1590611716000012</v>
      </c>
      <c r="CA54">
        <f>pm.rep!N474*$CE54</f>
        <v>5.2462987586100009</v>
      </c>
      <c r="CB54">
        <f>pm.rep!O474*$CE54</f>
        <v>2.2698936458100003</v>
      </c>
      <c r="CC54">
        <f>pm.rep!P474*$CE54</f>
        <v>5.2481345528699999</v>
      </c>
      <c r="CE54">
        <v>5496.39</v>
      </c>
    </row>
    <row r="55" spans="4:83" x14ac:dyDescent="0.15">
      <c r="D55" s="6">
        <f t="shared" si="6"/>
        <v>9284.863454395032</v>
      </c>
      <c r="E55">
        <v>1997</v>
      </c>
      <c r="F55">
        <f>pm.rep!B96*Z55</f>
        <v>689.6989632763084</v>
      </c>
      <c r="G55">
        <f>pm.rep!C96*AA55</f>
        <v>702.09310485426749</v>
      </c>
      <c r="H55">
        <f>pm.rep!D96*AB55</f>
        <v>547.05542185406318</v>
      </c>
      <c r="I55">
        <f>pm.rep!E96*AC55</f>
        <v>894.34193100002517</v>
      </c>
      <c r="J55">
        <f>pm.rep!F96*AD55</f>
        <v>2853.3101966391873</v>
      </c>
      <c r="K55">
        <f>pm.rep!G96*AE55</f>
        <v>1458.1637755958777</v>
      </c>
      <c r="L55">
        <f>pm.rep!H96*AF55</f>
        <v>938.69249705670063</v>
      </c>
      <c r="M55">
        <f>pm.rep!I96*AG55</f>
        <v>800.2012776228737</v>
      </c>
      <c r="N55">
        <f>pm.rep!J96*AH55</f>
        <v>151.08129222804956</v>
      </c>
      <c r="O55">
        <f>pm.rep!K96*AI55</f>
        <v>44.512591303582781</v>
      </c>
      <c r="P55">
        <f>pm.rep!L96*AJ55</f>
        <v>33.605656293256693</v>
      </c>
      <c r="Q55">
        <f>pm.rep!M96*AK55</f>
        <v>36.771892650236381</v>
      </c>
      <c r="R55">
        <f>pm.rep!N96*AL55</f>
        <v>52.724928944896185</v>
      </c>
      <c r="S55">
        <f>pm.rep!O96*AM55</f>
        <v>14.950083579773786</v>
      </c>
      <c r="T55">
        <f>pm.rep!P96*AN55</f>
        <v>67.65984149593433</v>
      </c>
      <c r="Y55" s="31">
        <v>1997</v>
      </c>
      <c r="Z55" s="31">
        <v>2.2121050575921418E-2</v>
      </c>
      <c r="AA55" s="31">
        <v>7.5486901733201814E-2</v>
      </c>
      <c r="AB55" s="31">
        <v>0.1945168938244701</v>
      </c>
      <c r="AC55" s="31">
        <v>0.29782310310264482</v>
      </c>
      <c r="AD55" s="31">
        <v>0.44463961251200884</v>
      </c>
      <c r="AE55" s="31">
        <v>0.70287179843432301</v>
      </c>
      <c r="AF55" s="31">
        <v>0.79950642374664693</v>
      </c>
      <c r="AG55" s="31">
        <v>0.89292033987479236</v>
      </c>
      <c r="AH55" s="31">
        <v>1.0341375568336111</v>
      </c>
      <c r="AI55" s="31">
        <v>1.1084916650956964</v>
      </c>
      <c r="AJ55" s="31">
        <v>1.1849458328751854</v>
      </c>
      <c r="AK55" s="31">
        <v>1.3125552872601376</v>
      </c>
      <c r="AL55" s="31">
        <v>1.3139645258979376</v>
      </c>
      <c r="AM55" s="31">
        <v>1.465249147785848</v>
      </c>
      <c r="AN55" s="31">
        <v>1.6650590621392423</v>
      </c>
    </row>
    <row r="56" spans="4:83" x14ac:dyDescent="0.15">
      <c r="D56" s="6">
        <f t="shared" si="6"/>
        <v>8332.6665480865158</v>
      </c>
      <c r="E56">
        <v>1998</v>
      </c>
      <c r="F56">
        <f>pm.rep!B97*Z56</f>
        <v>308.29100122634719</v>
      </c>
      <c r="G56">
        <f>pm.rep!C97*AA56</f>
        <v>752.41022810913137</v>
      </c>
      <c r="H56">
        <f>pm.rep!D97*AB56</f>
        <v>986.35704741447887</v>
      </c>
      <c r="I56">
        <f>pm.rep!E97*AC56</f>
        <v>686.55993396968609</v>
      </c>
      <c r="J56">
        <f>pm.rep!F97*AD56</f>
        <v>1036.6722550035927</v>
      </c>
      <c r="K56">
        <f>pm.rep!G97*AE56</f>
        <v>2418.1568153147664</v>
      </c>
      <c r="L56">
        <f>pm.rep!H97*AF56</f>
        <v>942.6227874847898</v>
      </c>
      <c r="M56">
        <f>pm.rep!I97*AG56</f>
        <v>543.586388816973</v>
      </c>
      <c r="N56">
        <f>pm.rep!J97*AH56</f>
        <v>438.24942986396451</v>
      </c>
      <c r="O56">
        <f>pm.rep!K97*AI56</f>
        <v>76.507448503575233</v>
      </c>
      <c r="P56">
        <f>pm.rep!L97*AJ56</f>
        <v>22.882577728443732</v>
      </c>
      <c r="Q56">
        <f>pm.rep!M97*AK56</f>
        <v>18.935509737262237</v>
      </c>
      <c r="R56">
        <f>pm.rep!N97*AL56</f>
        <v>19.665550641653422</v>
      </c>
      <c r="S56">
        <f>pm.rep!O97*AM56</f>
        <v>34.478554477882184</v>
      </c>
      <c r="T56">
        <f>pm.rep!P97*AN56</f>
        <v>47.291019793967209</v>
      </c>
      <c r="Y56" s="31">
        <v>1998</v>
      </c>
      <c r="Z56" s="31">
        <v>1.9911580522272633E-2</v>
      </c>
      <c r="AA56" s="31">
        <v>5.9360348718304999E-2</v>
      </c>
      <c r="AB56" s="31">
        <v>0.1674868822403329</v>
      </c>
      <c r="AC56" s="31">
        <v>0.3358575158838108</v>
      </c>
      <c r="AD56" s="31">
        <v>0.48451232228320573</v>
      </c>
      <c r="AE56" s="31">
        <v>0.55469945756635464</v>
      </c>
      <c r="AF56" s="31">
        <v>0.73373559962698376</v>
      </c>
      <c r="AG56" s="31">
        <v>0.84503743972890499</v>
      </c>
      <c r="AH56" s="31">
        <v>0.93361758348557655</v>
      </c>
      <c r="AI56" s="31">
        <v>1.0187084367952985</v>
      </c>
      <c r="AJ56" s="31">
        <v>1.0838864760815727</v>
      </c>
      <c r="AK56" s="31">
        <v>1.2699702041060641</v>
      </c>
      <c r="AL56" s="31">
        <v>1.3351767042565192</v>
      </c>
      <c r="AM56" s="31">
        <v>1.6343567994976409</v>
      </c>
      <c r="AN56" s="31">
        <v>1.7693702312952606</v>
      </c>
    </row>
    <row r="57" spans="4:83" x14ac:dyDescent="0.15">
      <c r="D57" s="6">
        <f t="shared" si="6"/>
        <v>9016.9321814484156</v>
      </c>
      <c r="E57">
        <v>1999</v>
      </c>
      <c r="F57">
        <f>pm.rep!B98*Z57</f>
        <v>268.86177789646661</v>
      </c>
      <c r="G57">
        <f>pm.rep!C98*AA57</f>
        <v>355.62990831292086</v>
      </c>
      <c r="H57">
        <f>pm.rep!D98*AB57</f>
        <v>1532.0543948333418</v>
      </c>
      <c r="I57">
        <f>pm.rep!E98*AC57</f>
        <v>1561.1423437526055</v>
      </c>
      <c r="J57">
        <f>pm.rep!F98*AD57</f>
        <v>700.36411934750095</v>
      </c>
      <c r="K57">
        <f>pm.rep!G98*AE57</f>
        <v>849.96538646564204</v>
      </c>
      <c r="L57">
        <f>pm.rep!H98*AF57</f>
        <v>2156.8280121708212</v>
      </c>
      <c r="M57">
        <f>pm.rep!I98*AG57</f>
        <v>758.26006501153154</v>
      </c>
      <c r="N57">
        <f>pm.rep!J98*AH57</f>
        <v>402.26886485110413</v>
      </c>
      <c r="O57">
        <f>pm.rep!K98*AI57</f>
        <v>291.49413739583599</v>
      </c>
      <c r="P57">
        <f>pm.rep!L98*AJ57</f>
        <v>49.872820490206891</v>
      </c>
      <c r="Q57">
        <f>pm.rep!M98*AK57</f>
        <v>14.83951631694811</v>
      </c>
      <c r="R57">
        <f>pm.rep!N98*AL57</f>
        <v>12.71436023940508</v>
      </c>
      <c r="S57">
        <f>pm.rep!O98*AM57</f>
        <v>13.684120459339294</v>
      </c>
      <c r="T57">
        <f>pm.rep!P98*AN57</f>
        <v>48.952353904743845</v>
      </c>
      <c r="Y57" s="31">
        <v>1999</v>
      </c>
      <c r="Z57" s="31">
        <v>1.5977903375891663E-2</v>
      </c>
      <c r="AA57" s="31">
        <v>5.6497618325695172E-2</v>
      </c>
      <c r="AB57" s="31">
        <v>0.19043015486609355</v>
      </c>
      <c r="AC57" s="31">
        <v>0.36608893760701566</v>
      </c>
      <c r="AD57" s="31">
        <v>0.48482196856352783</v>
      </c>
      <c r="AE57" s="31">
        <v>0.58632050719868245</v>
      </c>
      <c r="AF57" s="31">
        <v>0.80994544061271656</v>
      </c>
      <c r="AG57" s="31">
        <v>0.97933772077464043</v>
      </c>
      <c r="AH57" s="31">
        <v>1.1188524820841921</v>
      </c>
      <c r="AI57" s="31">
        <v>1.1437377134823923</v>
      </c>
      <c r="AJ57" s="31">
        <v>1.1985950407890258</v>
      </c>
      <c r="AK57" s="31">
        <v>1.2687034109867918</v>
      </c>
      <c r="AL57" s="31">
        <v>1.5391215899938238</v>
      </c>
      <c r="AM57" s="31">
        <v>1.6769159502100164</v>
      </c>
      <c r="AN57" s="31">
        <v>1.8475375115015038</v>
      </c>
    </row>
    <row r="58" spans="4:83" x14ac:dyDescent="0.15">
      <c r="D58" s="6">
        <f t="shared" si="6"/>
        <v>8712.3474956196842</v>
      </c>
      <c r="E58">
        <v>2000</v>
      </c>
      <c r="F58">
        <f>pm.rep!B99*Z58</f>
        <v>390.60587696835904</v>
      </c>
      <c r="G58">
        <f>pm.rep!C99*AA58</f>
        <v>405.37873143675472</v>
      </c>
      <c r="H58">
        <f>pm.rep!D99*AB58</f>
        <v>765.10692712433661</v>
      </c>
      <c r="I58">
        <f>pm.rep!E99*AC58</f>
        <v>2243.0444735779529</v>
      </c>
      <c r="J58">
        <f>pm.rep!F99*AD58</f>
        <v>1477.9812079809392</v>
      </c>
      <c r="K58">
        <f>pm.rep!G99*AE58</f>
        <v>569.36915399711302</v>
      </c>
      <c r="L58">
        <f>pm.rep!H99*AF58</f>
        <v>682.63576526807708</v>
      </c>
      <c r="M58">
        <f>pm.rep!I99*AG58</f>
        <v>1264.1460794133741</v>
      </c>
      <c r="N58">
        <f>pm.rep!J99*AH58</f>
        <v>415.27869955277083</v>
      </c>
      <c r="O58">
        <f>pm.rep!K99*AI58</f>
        <v>222.50808837745032</v>
      </c>
      <c r="P58">
        <f>pm.rep!L99*AJ58</f>
        <v>187.92674079709022</v>
      </c>
      <c r="Q58">
        <f>pm.rep!M99*AK58</f>
        <v>31.140281233253255</v>
      </c>
      <c r="R58">
        <f>pm.rep!N99*AL58</f>
        <v>9.3507433742517776</v>
      </c>
      <c r="S58">
        <f>pm.rep!O99*AM58</f>
        <v>6.9966633136864713</v>
      </c>
      <c r="T58">
        <f>pm.rep!P99*AN58</f>
        <v>40.878063204274461</v>
      </c>
      <c r="Y58" s="31">
        <v>2000</v>
      </c>
      <c r="Z58" s="31">
        <v>1.5110303438194491E-2</v>
      </c>
      <c r="AA58" s="31">
        <v>5.9255933788435383E-2</v>
      </c>
      <c r="AB58" s="31">
        <v>0.19110951095899503</v>
      </c>
      <c r="AC58" s="31">
        <v>0.39184196549098116</v>
      </c>
      <c r="AD58" s="31">
        <v>0.49793351862252561</v>
      </c>
      <c r="AE58" s="31">
        <v>0.58104347958901548</v>
      </c>
      <c r="AF58" s="31">
        <v>0.72450413470876174</v>
      </c>
      <c r="AG58" s="31">
        <v>0.80084768510391069</v>
      </c>
      <c r="AH58" s="31">
        <v>0.89600906962339111</v>
      </c>
      <c r="AI58" s="31">
        <v>1.0264992728379727</v>
      </c>
      <c r="AJ58" s="31">
        <v>1.2089130388166704</v>
      </c>
      <c r="AK58" s="31">
        <v>1.2269856078036705</v>
      </c>
      <c r="AL58" s="31">
        <v>1.3106797716166865</v>
      </c>
      <c r="AM58" s="31">
        <v>1.3886015499592095</v>
      </c>
      <c r="AN58" s="31">
        <v>1.9338204321155457</v>
      </c>
    </row>
    <row r="59" spans="4:83" x14ac:dyDescent="0.15">
      <c r="D59" s="6">
        <f t="shared" si="6"/>
        <v>8806.3259016372522</v>
      </c>
      <c r="E59">
        <v>2001</v>
      </c>
      <c r="F59">
        <f>pm.rep!B100*Z59</f>
        <v>747.89553444192927</v>
      </c>
      <c r="G59">
        <f>pm.rep!C100*AA59</f>
        <v>591.77475672496712</v>
      </c>
      <c r="H59">
        <f>pm.rep!D100*AB59</f>
        <v>505.14572016411347</v>
      </c>
      <c r="I59">
        <f>pm.rep!E100*AC59</f>
        <v>1150.4982444105738</v>
      </c>
      <c r="J59">
        <f>pm.rep!F100*AD59</f>
        <v>2228.0186160897738</v>
      </c>
      <c r="K59">
        <f>pm.rep!G100*AE59</f>
        <v>1243.8044246189411</v>
      </c>
      <c r="L59">
        <f>pm.rep!H100*AF59</f>
        <v>466.94889578931708</v>
      </c>
      <c r="M59">
        <f>pm.rep!I100*AG59</f>
        <v>489.84511172742901</v>
      </c>
      <c r="N59">
        <f>pm.rep!J100*AH59</f>
        <v>796.41118396817262</v>
      </c>
      <c r="O59">
        <f>pm.rep!K100*AI59</f>
        <v>265.92880247471129</v>
      </c>
      <c r="P59">
        <f>pm.rep!L100*AJ59</f>
        <v>150.23582528839594</v>
      </c>
      <c r="Q59">
        <f>pm.rep!M100*AK59</f>
        <v>115.04936469395339</v>
      </c>
      <c r="R59">
        <f>pm.rep!N100*AL59</f>
        <v>20.485031946383636</v>
      </c>
      <c r="S59">
        <f>pm.rep!O100*AM59</f>
        <v>6.0064853319510503</v>
      </c>
      <c r="T59">
        <f>pm.rep!P100*AN59</f>
        <v>28.277903966640903</v>
      </c>
      <c r="Y59" s="31">
        <v>2001</v>
      </c>
      <c r="Z59" s="31">
        <v>2.0796018575605455E-2</v>
      </c>
      <c r="AA59" s="31">
        <v>5.6308019023080524E-2</v>
      </c>
      <c r="AB59" s="31">
        <v>0.11608675732551528</v>
      </c>
      <c r="AC59" s="31">
        <v>0.39737440442468658</v>
      </c>
      <c r="AD59" s="31">
        <v>0.57430561053995977</v>
      </c>
      <c r="AE59" s="31">
        <v>0.65298769135649659</v>
      </c>
      <c r="AF59" s="31">
        <v>0.74173030433223797</v>
      </c>
      <c r="AG59" s="31">
        <v>0.88236532779866528</v>
      </c>
      <c r="AH59" s="31">
        <v>0.91192572783930537</v>
      </c>
      <c r="AI59" s="31">
        <v>0.97797784792679865</v>
      </c>
      <c r="AJ59" s="31">
        <v>1.1501307199111652</v>
      </c>
      <c r="AK59" s="31">
        <v>1.2281469204241096</v>
      </c>
      <c r="AL59" s="31">
        <v>1.3394162381576851</v>
      </c>
      <c r="AM59" s="31">
        <v>1.3971104832855845</v>
      </c>
      <c r="AN59" s="31">
        <v>1.7926112044375426</v>
      </c>
    </row>
    <row r="60" spans="4:83" x14ac:dyDescent="0.15">
      <c r="D60" s="6">
        <f t="shared" si="6"/>
        <v>9541.0874118186439</v>
      </c>
      <c r="E60">
        <v>2002</v>
      </c>
      <c r="F60">
        <f>pm.rep!B101*Z60</f>
        <v>492.77060212000265</v>
      </c>
      <c r="G60">
        <f>pm.rep!C101*AA60</f>
        <v>1100.9502393884609</v>
      </c>
      <c r="H60">
        <f>pm.rep!D101*AB60</f>
        <v>1698.2129453353614</v>
      </c>
      <c r="I60">
        <f>pm.rep!E101*AC60</f>
        <v>1179.2571741138888</v>
      </c>
      <c r="J60">
        <f>pm.rep!F101*AD60</f>
        <v>1185.7371107133488</v>
      </c>
      <c r="K60">
        <f>pm.rep!G101*AE60</f>
        <v>1634.0182323198071</v>
      </c>
      <c r="L60">
        <f>pm.rep!H101*AF60</f>
        <v>802.60332249292378</v>
      </c>
      <c r="M60">
        <f>pm.rep!I101*AG60</f>
        <v>305.02105296929363</v>
      </c>
      <c r="N60">
        <f>pm.rep!J101*AH60</f>
        <v>294.87411454065062</v>
      </c>
      <c r="O60">
        <f>pm.rep!K101*AI60</f>
        <v>493.92269437209615</v>
      </c>
      <c r="P60">
        <f>pm.rep!L101*AJ60</f>
        <v>161.3207771371585</v>
      </c>
      <c r="Q60">
        <f>pm.rep!M101*AK60</f>
        <v>89.778124297286766</v>
      </c>
      <c r="R60">
        <f>pm.rep!N101*AL60</f>
        <v>68.604212985615376</v>
      </c>
      <c r="S60">
        <f>pm.rep!O101*AM60</f>
        <v>12.82926001189467</v>
      </c>
      <c r="T60">
        <f>pm.rep!P101*AN60</f>
        <v>21.18754902085341</v>
      </c>
      <c r="Y60" s="31">
        <v>2002</v>
      </c>
      <c r="Z60" s="31">
        <v>2.0573426720330107E-2</v>
      </c>
      <c r="AA60" s="31">
        <v>7.5298728508009713E-2</v>
      </c>
      <c r="AB60" s="31">
        <v>0.2539585111545829</v>
      </c>
      <c r="AC60" s="31">
        <v>0.37248836002321273</v>
      </c>
      <c r="AD60" s="31">
        <v>0.59380379633590352</v>
      </c>
      <c r="AE60" s="31">
        <v>0.69113597644910951</v>
      </c>
      <c r="AF60" s="31">
        <v>0.75658052891879357</v>
      </c>
      <c r="AG60" s="31">
        <v>0.86538405638309646</v>
      </c>
      <c r="AH60" s="31">
        <v>0.94764855362654632</v>
      </c>
      <c r="AI60" s="31">
        <v>0.98659044569726528</v>
      </c>
      <c r="AJ60" s="31">
        <v>1.0175912568891989</v>
      </c>
      <c r="AK60" s="31">
        <v>1.1788666767855944</v>
      </c>
      <c r="AL60" s="31">
        <v>1.2561400232832198</v>
      </c>
      <c r="AM60" s="31">
        <v>1.4387982046951118</v>
      </c>
      <c r="AN60" s="31">
        <v>1.8103755336785388</v>
      </c>
    </row>
    <row r="61" spans="4:83" x14ac:dyDescent="0.15">
      <c r="D61" s="6">
        <f t="shared" si="6"/>
        <v>10632.45264674914</v>
      </c>
      <c r="E61">
        <v>2003</v>
      </c>
      <c r="F61">
        <f>pm.rep!B102*Z61</f>
        <v>318.51179736431766</v>
      </c>
      <c r="G61">
        <f>pm.rep!C102*AA61</f>
        <v>1046.955239160754</v>
      </c>
      <c r="H61">
        <f>pm.rep!D102*AB61</f>
        <v>2637.0885385398578</v>
      </c>
      <c r="I61">
        <f>pm.rep!E102*AC61</f>
        <v>2251.8378453810101</v>
      </c>
      <c r="J61">
        <f>pm.rep!F102*AD61</f>
        <v>1287.2127683425881</v>
      </c>
      <c r="K61">
        <f>pm.rep!G102*AE61</f>
        <v>853.24363111512662</v>
      </c>
      <c r="L61">
        <f>pm.rep!H102*AF61</f>
        <v>919.73582775301759</v>
      </c>
      <c r="M61">
        <f>pm.rep!I102*AG61</f>
        <v>469.97848656216877</v>
      </c>
      <c r="N61">
        <f>pm.rep!J102*AH61</f>
        <v>165.96292119589347</v>
      </c>
      <c r="O61">
        <f>pm.rep!K102*AI61</f>
        <v>163.96971358480513</v>
      </c>
      <c r="P61">
        <f>pm.rep!L102*AJ61</f>
        <v>287.13048349821827</v>
      </c>
      <c r="Q61">
        <f>pm.rep!M102*AK61</f>
        <v>96.956801108731213</v>
      </c>
      <c r="R61">
        <f>pm.rep!N102*AL61</f>
        <v>61.455246128498224</v>
      </c>
      <c r="S61">
        <f>pm.rep!O102*AM61</f>
        <v>49.905383899565926</v>
      </c>
      <c r="T61">
        <f>pm.rep!P102*AN61</f>
        <v>22.50796311458561</v>
      </c>
      <c r="Y61" s="31">
        <v>2003</v>
      </c>
      <c r="Z61" s="31">
        <v>2.1777839893632193E-2</v>
      </c>
      <c r="AA61" s="31">
        <v>0.10751610131805321</v>
      </c>
      <c r="AB61" s="31">
        <v>0.28388299919153198</v>
      </c>
      <c r="AC61" s="31">
        <v>0.46453016473875725</v>
      </c>
      <c r="AD61" s="31">
        <v>0.59592631935935225</v>
      </c>
      <c r="AE61" s="31">
        <v>0.69344031136179984</v>
      </c>
      <c r="AF61" s="31">
        <v>0.75139974326856174</v>
      </c>
      <c r="AG61" s="31">
        <v>0.85144886373869966</v>
      </c>
      <c r="AH61" s="31">
        <v>0.90031366773115551</v>
      </c>
      <c r="AI61" s="31">
        <v>0.97766874510213841</v>
      </c>
      <c r="AJ61" s="31">
        <v>1.0126809159300201</v>
      </c>
      <c r="AK61" s="31">
        <v>1.0798847139228107</v>
      </c>
      <c r="AL61" s="31">
        <v>1.4248476419219129</v>
      </c>
      <c r="AM61" s="31">
        <v>1.6134266551863623</v>
      </c>
      <c r="AN61" s="31">
        <v>1.9273486594325846</v>
      </c>
    </row>
    <row r="62" spans="4:83" x14ac:dyDescent="0.15">
      <c r="D62" s="6">
        <f t="shared" si="6"/>
        <v>10137.667905724347</v>
      </c>
      <c r="E62">
        <v>2004</v>
      </c>
      <c r="F62">
        <f>pm.rep!B103*Z62</f>
        <v>185.81294156038106</v>
      </c>
      <c r="G62">
        <f>pm.rep!C103*AA62</f>
        <v>593.93035049806758</v>
      </c>
      <c r="H62">
        <f>pm.rep!D103*AB62</f>
        <v>1732.167120461613</v>
      </c>
      <c r="I62">
        <f>pm.rep!E103*AC62</f>
        <v>3018.9911367723589</v>
      </c>
      <c r="J62">
        <f>pm.rep!F103*AD62</f>
        <v>1872.4184829637006</v>
      </c>
      <c r="K62">
        <f>pm.rep!G103*AE62</f>
        <v>899.96510190336289</v>
      </c>
      <c r="L62">
        <f>pm.rep!H103*AF62</f>
        <v>519.89573354591084</v>
      </c>
      <c r="M62">
        <f>pm.rep!I103*AG62</f>
        <v>516.76929709590195</v>
      </c>
      <c r="N62">
        <f>pm.rep!J103*AH62</f>
        <v>275.00555776228543</v>
      </c>
      <c r="O62">
        <f>pm.rep!K103*AI62</f>
        <v>99.564046215145424</v>
      </c>
      <c r="P62">
        <f>pm.rep!L103*AJ62</f>
        <v>104.27054680489566</v>
      </c>
      <c r="Q62">
        <f>pm.rep!M103*AK62</f>
        <v>180.58377729245996</v>
      </c>
      <c r="R62">
        <f>pm.rep!N103*AL62</f>
        <v>59.619274020512179</v>
      </c>
      <c r="S62">
        <f>pm.rep!O103*AM62</f>
        <v>35.352612405008998</v>
      </c>
      <c r="T62">
        <f>pm.rep!P103*AN62</f>
        <v>43.321926422740439</v>
      </c>
      <c r="Y62" s="31">
        <v>2004</v>
      </c>
      <c r="Z62" s="31">
        <v>2.7981938233252075E-2</v>
      </c>
      <c r="AA62" s="31">
        <v>9.9887042172422488E-2</v>
      </c>
      <c r="AB62" s="31">
        <v>0.2796790654036489</v>
      </c>
      <c r="AC62" s="31">
        <v>0.46022048219972911</v>
      </c>
      <c r="AD62" s="31">
        <v>0.56718985192253191</v>
      </c>
      <c r="AE62" s="31">
        <v>0.6994366222921915</v>
      </c>
      <c r="AF62" s="31">
        <v>0.79606623611146365</v>
      </c>
      <c r="AG62" s="31">
        <v>0.8377877993079117</v>
      </c>
      <c r="AH62" s="31">
        <v>0.97997176940941133</v>
      </c>
      <c r="AI62" s="31">
        <v>1.0128333075470657</v>
      </c>
      <c r="AJ62" s="31">
        <v>1.0969057762658023</v>
      </c>
      <c r="AK62" s="31">
        <v>1.1236973167758311</v>
      </c>
      <c r="AL62" s="31">
        <v>1.1715598328219996</v>
      </c>
      <c r="AM62" s="31">
        <v>1.4461334600740807</v>
      </c>
      <c r="AN62" s="31">
        <v>1.7938240218769073</v>
      </c>
    </row>
    <row r="63" spans="4:83" x14ac:dyDescent="0.15">
      <c r="D63" s="6">
        <f t="shared" si="6"/>
        <v>8202.8606674980801</v>
      </c>
      <c r="E63">
        <v>2005</v>
      </c>
      <c r="F63">
        <f>pm.rep!B104*Z63</f>
        <v>106.8360115945466</v>
      </c>
      <c r="G63">
        <f>pm.rep!C104*AA63</f>
        <v>167.52836964573208</v>
      </c>
      <c r="H63">
        <f>pm.rep!D104*AB63</f>
        <v>693.4651355234389</v>
      </c>
      <c r="I63">
        <f>pm.rep!E104*AC63</f>
        <v>1844.3931504339687</v>
      </c>
      <c r="J63">
        <f>pm.rep!F104*AD63</f>
        <v>2405.3482269520055</v>
      </c>
      <c r="K63">
        <f>pm.rep!G104*AE63</f>
        <v>1330.6116924798412</v>
      </c>
      <c r="L63">
        <f>pm.rep!H104*AF63</f>
        <v>561.29897097663581</v>
      </c>
      <c r="M63">
        <f>pm.rep!I104*AG63</f>
        <v>301.69607973576331</v>
      </c>
      <c r="N63">
        <f>pm.rep!J104*AH63</f>
        <v>309.26134791092079</v>
      </c>
      <c r="O63">
        <f>pm.rep!K104*AI63</f>
        <v>154.2726079054103</v>
      </c>
      <c r="P63">
        <f>pm.rep!L104*AJ63</f>
        <v>64.255578765005822</v>
      </c>
      <c r="Q63">
        <f>pm.rep!M104*AK63</f>
        <v>64.063436122983688</v>
      </c>
      <c r="R63">
        <f>pm.rep!N104*AL63</f>
        <v>108.35708517755484</v>
      </c>
      <c r="S63">
        <f>pm.rep!O104*AM63</f>
        <v>47.947006625500727</v>
      </c>
      <c r="T63">
        <f>pm.rep!P104*AN63</f>
        <v>43.525967648770525</v>
      </c>
      <c r="Y63" s="31">
        <v>2005</v>
      </c>
      <c r="Z63" s="31">
        <v>2.2111474552341123E-2</v>
      </c>
      <c r="AA63" s="31">
        <v>6.205420939498394E-2</v>
      </c>
      <c r="AB63" s="31">
        <v>0.18323243430607009</v>
      </c>
      <c r="AC63" s="31">
        <v>0.41032379536102992</v>
      </c>
      <c r="AD63" s="31">
        <v>0.57975425520245205</v>
      </c>
      <c r="AE63" s="31">
        <v>0.65872192064309287</v>
      </c>
      <c r="AF63" s="31">
        <v>0.76091930143418007</v>
      </c>
      <c r="AG63" s="31">
        <v>0.87157361884196005</v>
      </c>
      <c r="AH63" s="31">
        <v>0.93751640149669957</v>
      </c>
      <c r="AI63" s="31">
        <v>0.9849555823341164</v>
      </c>
      <c r="AJ63" s="31">
        <v>1.1193240177370161</v>
      </c>
      <c r="AK63" s="31">
        <v>1.154059096383512</v>
      </c>
      <c r="AL63" s="31">
        <v>1.1546179586235301</v>
      </c>
      <c r="AM63" s="31">
        <v>1.6134266551863623</v>
      </c>
      <c r="AN63" s="31">
        <v>1.5337331926935851</v>
      </c>
    </row>
    <row r="64" spans="4:83" x14ac:dyDescent="0.15">
      <c r="D64" s="6">
        <f t="shared" si="6"/>
        <v>6935.1403351757563</v>
      </c>
      <c r="E64">
        <v>2006</v>
      </c>
      <c r="F64">
        <f>pm.rep!B105*Z64</f>
        <v>260.85308050277939</v>
      </c>
      <c r="G64">
        <f>pm.rep!C105*AA64</f>
        <v>142.47644834940979</v>
      </c>
      <c r="H64">
        <f>pm.rep!D105*AB64</f>
        <v>269.48739729244397</v>
      </c>
      <c r="I64">
        <f>pm.rep!E105*AC64</f>
        <v>1016.5962694464642</v>
      </c>
      <c r="J64">
        <f>pm.rep!F105*AD64</f>
        <v>1726.6188092026264</v>
      </c>
      <c r="K64">
        <f>pm.rep!G105*AE64</f>
        <v>1546.8887834529055</v>
      </c>
      <c r="L64">
        <f>pm.rep!H105*AF64</f>
        <v>850.05295611433212</v>
      </c>
      <c r="M64">
        <f>pm.rep!I105*AG64</f>
        <v>350.90294802019309</v>
      </c>
      <c r="N64">
        <f>pm.rep!J105*AH64</f>
        <v>214.68119746930049</v>
      </c>
      <c r="O64">
        <f>pm.rep!K105*AI64</f>
        <v>223.6869291685388</v>
      </c>
      <c r="P64">
        <f>pm.rep!L105*AJ64</f>
        <v>113.87999992876325</v>
      </c>
      <c r="Q64">
        <f>pm.rep!M105*AK64</f>
        <v>44.322301721271337</v>
      </c>
      <c r="R64">
        <f>pm.rep!N105*AL64</f>
        <v>45.419912372232695</v>
      </c>
      <c r="S64">
        <f>pm.rep!O105*AM64</f>
        <v>75.395503461036668</v>
      </c>
      <c r="T64">
        <f>pm.rep!P105*AN64</f>
        <v>53.877798673459182</v>
      </c>
      <c r="Y64" s="31">
        <v>2006</v>
      </c>
      <c r="Z64" s="31">
        <v>2.1368263813457251E-2</v>
      </c>
      <c r="AA64" s="31">
        <v>7.2530721634226816E-2</v>
      </c>
      <c r="AB64" s="31">
        <v>0.15684194440286342</v>
      </c>
      <c r="AC64" s="31">
        <v>0.36988523162354392</v>
      </c>
      <c r="AD64" s="31">
        <v>0.57730229942177658</v>
      </c>
      <c r="AE64" s="31">
        <v>0.66609344212618604</v>
      </c>
      <c r="AF64" s="31">
        <v>0.78008695694585806</v>
      </c>
      <c r="AG64" s="31">
        <v>0.85438131046284027</v>
      </c>
      <c r="AH64" s="31">
        <v>1.0871970823359338</v>
      </c>
      <c r="AI64" s="31">
        <v>1.1707373363438558</v>
      </c>
      <c r="AJ64" s="31">
        <v>1.2144026353514361</v>
      </c>
      <c r="AK64" s="31">
        <v>1.2896011440912258</v>
      </c>
      <c r="AL64" s="31">
        <v>1.3666289265001563</v>
      </c>
      <c r="AM64" s="31">
        <v>1.3418817269132151</v>
      </c>
      <c r="AN64" s="31">
        <v>1.5489826457825064</v>
      </c>
    </row>
    <row r="65" spans="4:40" x14ac:dyDescent="0.15">
      <c r="D65" s="6">
        <f t="shared" si="6"/>
        <v>6649.5438491667719</v>
      </c>
      <c r="E65">
        <v>2007</v>
      </c>
      <c r="F65">
        <f>pm.rep!B106*Z65</f>
        <v>552.1959575595514</v>
      </c>
      <c r="G65">
        <f>pm.rep!C106*AA65</f>
        <v>470.89519081818685</v>
      </c>
      <c r="H65">
        <f>pm.rep!D106*AB65</f>
        <v>329.73638669221276</v>
      </c>
      <c r="I65">
        <f>pm.rep!E106*AC65</f>
        <v>550.08828731595486</v>
      </c>
      <c r="J65">
        <f>pm.rep!F106*AD65</f>
        <v>1023.1434433545516</v>
      </c>
      <c r="K65">
        <f>pm.rep!G106*AE65</f>
        <v>1281.9699016326456</v>
      </c>
      <c r="L65">
        <f>pm.rep!H106*AF65</f>
        <v>1126.8250763471976</v>
      </c>
      <c r="M65">
        <f>pm.rep!I106*AG65</f>
        <v>592.30317221499411</v>
      </c>
      <c r="N65">
        <f>pm.rep!J106*AH65</f>
        <v>240.15091111842338</v>
      </c>
      <c r="O65">
        <f>pm.rep!K106*AI65</f>
        <v>139.80757102819038</v>
      </c>
      <c r="P65">
        <f>pm.rep!L106*AJ65</f>
        <v>140.90089906229053</v>
      </c>
      <c r="Q65">
        <f>pm.rep!M106*AK65</f>
        <v>67.419144204148608</v>
      </c>
      <c r="R65">
        <f>pm.rep!N106*AL65</f>
        <v>28.772589463978594</v>
      </c>
      <c r="S65">
        <f>pm.rep!O106*AM65</f>
        <v>26.743599007149232</v>
      </c>
      <c r="T65">
        <f>pm.rep!P106*AN65</f>
        <v>78.591719347297342</v>
      </c>
      <c r="Y65" s="31">
        <v>2007</v>
      </c>
      <c r="Z65" s="31">
        <v>2.0924043029103331E-2</v>
      </c>
      <c r="AA65" s="31">
        <v>9.4880776385786639E-2</v>
      </c>
      <c r="AB65" s="31">
        <v>0.26402356227707224</v>
      </c>
      <c r="AC65" s="31">
        <v>0.45236779601976523</v>
      </c>
      <c r="AD65" s="31">
        <v>0.57083590537311235</v>
      </c>
      <c r="AE65" s="31">
        <v>0.75769677329005658</v>
      </c>
      <c r="AF65" s="31">
        <v>0.94653003523553325</v>
      </c>
      <c r="AG65" s="31">
        <v>1.0419526122824041</v>
      </c>
      <c r="AH65" s="31">
        <v>1.1019938653770276</v>
      </c>
      <c r="AI65" s="31">
        <v>1.291083611404789</v>
      </c>
      <c r="AJ65" s="31">
        <v>1.3054478154252223</v>
      </c>
      <c r="AK65" s="31">
        <v>1.2726908674332471</v>
      </c>
      <c r="AL65" s="31">
        <v>1.4819620433463778</v>
      </c>
      <c r="AM65" s="31">
        <v>1.4244563935928984</v>
      </c>
      <c r="AN65" s="31">
        <v>1.5293520458172356</v>
      </c>
    </row>
    <row r="66" spans="4:40" x14ac:dyDescent="0.15">
      <c r="D66" s="6">
        <f t="shared" si="6"/>
        <v>5161.98838266642</v>
      </c>
      <c r="E66">
        <v>2008</v>
      </c>
      <c r="F66">
        <f>pm.rep!B107*Z66</f>
        <v>332.30907325574071</v>
      </c>
      <c r="G66">
        <f>pm.rep!C107*AA66</f>
        <v>727.21232481378513</v>
      </c>
      <c r="H66">
        <f>pm.rep!D107*AB66</f>
        <v>587.49740984928644</v>
      </c>
      <c r="I66">
        <f>pm.rep!E107*AC66</f>
        <v>369.65592072065169</v>
      </c>
      <c r="J66">
        <f>pm.rep!F107*AD66</f>
        <v>441.6542560314349</v>
      </c>
      <c r="K66">
        <f>pm.rep!G107*AE66</f>
        <v>695.50559047148317</v>
      </c>
      <c r="L66">
        <f>pm.rep!H107*AF66</f>
        <v>678.29562062133175</v>
      </c>
      <c r="M66">
        <f>pm.rep!I107*AG66</f>
        <v>585.09065436973265</v>
      </c>
      <c r="N66">
        <f>pm.rep!J107*AH66</f>
        <v>324.66238069042117</v>
      </c>
      <c r="O66">
        <f>pm.rep!K107*AI66</f>
        <v>139.23633606112546</v>
      </c>
      <c r="P66">
        <f>pm.rep!L107*AJ66</f>
        <v>80.616877867654509</v>
      </c>
      <c r="Q66">
        <f>pm.rep!M107*AK66</f>
        <v>77.042515215657772</v>
      </c>
      <c r="R66">
        <f>pm.rep!N107*AL66</f>
        <v>41.832386888713827</v>
      </c>
      <c r="S66">
        <f>pm.rep!O107*AM66</f>
        <v>17.361116180467334</v>
      </c>
      <c r="T66">
        <f>pm.rep!P107*AN66</f>
        <v>64.015919628934071</v>
      </c>
      <c r="Y66" s="31">
        <v>2008</v>
      </c>
      <c r="Z66">
        <v>2.2726028097695368E-2</v>
      </c>
      <c r="AA66">
        <v>6.7778802223258494E-2</v>
      </c>
      <c r="AB66">
        <v>0.18625935972445745</v>
      </c>
      <c r="AC66">
        <v>0.41792973004947653</v>
      </c>
      <c r="AD66">
        <v>0.55556929552433576</v>
      </c>
      <c r="AE66">
        <v>0.68571360025977357</v>
      </c>
      <c r="AF66">
        <v>0.81624807533806798</v>
      </c>
      <c r="AG66">
        <v>0.95721761853300524</v>
      </c>
      <c r="AH66">
        <v>1.0739847920767362</v>
      </c>
      <c r="AI66">
        <v>1.1760520981909863</v>
      </c>
      <c r="AJ66">
        <v>1.3432765731899892</v>
      </c>
      <c r="AK66">
        <v>1.2879250141787117</v>
      </c>
      <c r="AL66">
        <v>1.4248476419219129</v>
      </c>
      <c r="AM66">
        <v>1.6134266551863623</v>
      </c>
      <c r="AN66">
        <v>1.6462374731635918</v>
      </c>
    </row>
    <row r="67" spans="4:40" x14ac:dyDescent="0.15">
      <c r="D67" s="6">
        <f t="shared" si="6"/>
        <v>6507.3907671550623</v>
      </c>
      <c r="E67">
        <v>2009</v>
      </c>
      <c r="F67">
        <f>pm.rep!B108*Z67</f>
        <v>1225.9074106069374</v>
      </c>
      <c r="G67">
        <f>pm.rep!C108*AA67</f>
        <v>340.10892794215431</v>
      </c>
      <c r="H67">
        <f>pm.rep!D108*AB67</f>
        <v>1528.5121784980208</v>
      </c>
      <c r="I67">
        <f>pm.rep!E108*AC67</f>
        <v>977.38438868287164</v>
      </c>
      <c r="J67">
        <f>pm.rep!F108*AD67</f>
        <v>349.78457854991922</v>
      </c>
      <c r="K67">
        <f>pm.rep!G108*AE67</f>
        <v>309.35437705119375</v>
      </c>
      <c r="L67">
        <f>pm.rep!H108*AF67</f>
        <v>464.73757500892106</v>
      </c>
      <c r="M67">
        <f>pm.rep!I108*AG67</f>
        <v>447.89149356537706</v>
      </c>
      <c r="N67">
        <f>pm.rep!J108*AH67</f>
        <v>390.3483263775434</v>
      </c>
      <c r="O67">
        <f>pm.rep!K108*AI67</f>
        <v>213.04140116177703</v>
      </c>
      <c r="P67">
        <f>pm.rep!L108*AJ67</f>
        <v>88.160650059072054</v>
      </c>
      <c r="Q67">
        <f>pm.rep!M108*AK67</f>
        <v>41.506345809441598</v>
      </c>
      <c r="R67">
        <f>pm.rep!N108*AL67</f>
        <v>51.29983980515027</v>
      </c>
      <c r="S67">
        <f>pm.rep!O108*AM67</f>
        <v>26.724658048055826</v>
      </c>
      <c r="T67">
        <f>pm.rep!P108*AN67</f>
        <v>52.628615988625228</v>
      </c>
      <c r="Y67" s="31">
        <v>2009</v>
      </c>
      <c r="Z67">
        <v>2.1533365371293075E-2</v>
      </c>
      <c r="AA67">
        <v>5.7211067795632543E-2</v>
      </c>
      <c r="AB67">
        <v>0.22405664307599701</v>
      </c>
      <c r="AC67">
        <v>0.42902359302369969</v>
      </c>
      <c r="AD67">
        <v>0.59856286992562846</v>
      </c>
      <c r="AE67">
        <v>0.6743934186830467</v>
      </c>
      <c r="AF67">
        <v>0.95078412380045796</v>
      </c>
      <c r="AG67">
        <v>1.0895721020587126</v>
      </c>
      <c r="AH67">
        <v>1.2349121665629319</v>
      </c>
      <c r="AI67">
        <v>1.3548459792537524</v>
      </c>
      <c r="AJ67">
        <v>1.3867101120727836</v>
      </c>
      <c r="AK67">
        <v>1.2879250141787117</v>
      </c>
      <c r="AL67">
        <v>1.5970313120338171</v>
      </c>
      <c r="AM67">
        <v>1.695135457045817</v>
      </c>
      <c r="AN67">
        <v>1.9741036399266763</v>
      </c>
    </row>
    <row r="68" spans="4:40" x14ac:dyDescent="0.15">
      <c r="Y68" s="31"/>
    </row>
    <row r="69" spans="4:40" x14ac:dyDescent="0.15">
      <c r="E69" t="s">
        <v>84</v>
      </c>
    </row>
    <row r="70" spans="4:40" x14ac:dyDescent="0.15">
      <c r="F70">
        <v>1</v>
      </c>
      <c r="G70">
        <v>2</v>
      </c>
      <c r="H70">
        <v>3</v>
      </c>
      <c r="I70">
        <v>4</v>
      </c>
      <c r="J70">
        <v>5</v>
      </c>
      <c r="K70">
        <v>6</v>
      </c>
      <c r="L70">
        <v>7</v>
      </c>
      <c r="M70">
        <v>8</v>
      </c>
      <c r="N70">
        <v>9</v>
      </c>
      <c r="O70">
        <v>10</v>
      </c>
      <c r="P70">
        <v>11</v>
      </c>
      <c r="Q70">
        <v>12</v>
      </c>
      <c r="R70">
        <v>13</v>
      </c>
      <c r="S70">
        <v>14</v>
      </c>
      <c r="T70">
        <v>15</v>
      </c>
      <c r="W70" t="s">
        <v>75</v>
      </c>
      <c r="X70" t="s">
        <v>81</v>
      </c>
      <c r="Y70" t="s">
        <v>80</v>
      </c>
      <c r="Z70" t="s">
        <v>76</v>
      </c>
      <c r="AA70" t="s">
        <v>78</v>
      </c>
      <c r="AB70" t="s">
        <v>79</v>
      </c>
      <c r="AC70" t="s">
        <v>77</v>
      </c>
      <c r="AD70" t="s">
        <v>149</v>
      </c>
    </row>
    <row r="71" spans="4:40" x14ac:dyDescent="0.15">
      <c r="D71" s="27">
        <f t="shared" ref="D71:D95" si="7">SUM(F71:T71)</f>
        <v>3556.0472032403318</v>
      </c>
      <c r="E71">
        <v>1982</v>
      </c>
      <c r="F71">
        <f>F40*pm.rep!B189*BTS_Q*pm.rep!B27^(0.5)</f>
        <v>31.849939917677716</v>
      </c>
      <c r="G71">
        <f>G40*pm.rep!C189*BTS_Q*pm.rep!C27^(0.5)</f>
        <v>120.69838833581974</v>
      </c>
      <c r="H71">
        <f>H40*pm.rep!D189*BTS_Q*pm.rep!D27^(0.5)</f>
        <v>326.0712418629887</v>
      </c>
      <c r="I71">
        <f>I40*pm.rep!E189*BTS_Q*pm.rep!E27^(0.5)</f>
        <v>1580.7949962989967</v>
      </c>
      <c r="J71">
        <f>J40*pm.rep!F189*BTS_Q*pm.rep!F27^(0.5)</f>
        <v>639.60649475805837</v>
      </c>
      <c r="K71">
        <f>K40*pm.rep!G189*BTS_Q*pm.rep!G27^(0.5)</f>
        <v>306.21724650415831</v>
      </c>
      <c r="L71">
        <f>L40*pm.rep!H189*BTS_Q*pm.rep!H27^(0.5)</f>
        <v>219.15215713409603</v>
      </c>
      <c r="M71">
        <f>M40*pm.rep!I189*BTS_Q*pm.rep!I27^(0.5)</f>
        <v>154.38477582142792</v>
      </c>
      <c r="N71">
        <f>N40*pm.rep!J189*BTS_Q*pm.rep!J27^(0.5)</f>
        <v>87.629760510050417</v>
      </c>
      <c r="O71">
        <f>O40*pm.rep!K189*BTS_Q*pm.rep!K27^(0.5)</f>
        <v>56.397629620319442</v>
      </c>
      <c r="P71">
        <f>P40*pm.rep!L189*BTS_Q*pm.rep!L27^(0.5)</f>
        <v>12.763966497101858</v>
      </c>
      <c r="Q71">
        <f>Q40*pm.rep!M189*BTS_Q*pm.rep!M27^(0.5)</f>
        <v>6.4916613647122619</v>
      </c>
      <c r="R71">
        <f>R40*pm.rep!N189*BTS_Q*pm.rep!N27^(0.5)</f>
        <v>6.629691435070284</v>
      </c>
      <c r="S71">
        <f>S40*pm.rep!O189*BTS_Q*pm.rep!O27^(0.5)</f>
        <v>3.9761037031111801</v>
      </c>
      <c r="T71">
        <f>T40*pm.rep!P189*BTS_Q*pm.rep!P27^(0.5)</f>
        <v>3.3831494767427714</v>
      </c>
      <c r="W71">
        <f t="shared" ref="W71:W95" si="8">D71/D40</f>
        <v>0.43082160170469858</v>
      </c>
      <c r="X71">
        <f t="shared" ref="X71:X95" si="9">SUM(G71:T71)/SUM(G40:T40)</f>
        <v>0.45411334973091783</v>
      </c>
      <c r="Y71">
        <f t="shared" ref="Y71:Y95" si="10">SUM(H71:T71)/SUM(H40:T40)</f>
        <v>0.49655165604626295</v>
      </c>
      <c r="Z71">
        <f t="shared" ref="Z71:Z95" si="11">SUM(I71:T71)/SUM(I40:T40)</f>
        <v>0.54764815931673128</v>
      </c>
      <c r="AA71">
        <f t="shared" ref="AA71:AA95" si="12">SUM(J71:T71)/SUM(J40:T40)</f>
        <v>0.7695603537575838</v>
      </c>
      <c r="AB71">
        <f t="shared" ref="AB71:AB95" si="13">SUM(K71:T71)/SUM(K40:T40)</f>
        <v>0.9355405392562921</v>
      </c>
      <c r="AC71">
        <f t="shared" ref="AC71:AC95" si="14">SUM(L71:T71)/SUM(L40:T40)</f>
        <v>1.0226206867415217</v>
      </c>
      <c r="AD71">
        <f t="shared" ref="AD71:AD95" si="15">SUM(M71:T71)/SUM(M40:T40)</f>
        <v>1.0724083097458732</v>
      </c>
    </row>
    <row r="72" spans="4:40" x14ac:dyDescent="0.15">
      <c r="D72" s="27">
        <f t="shared" si="7"/>
        <v>5755.8398836093129</v>
      </c>
      <c r="E72">
        <v>1983</v>
      </c>
      <c r="F72">
        <f>F41*pm.rep!B190*BTS_Q*pm.rep!B28^(0.5)</f>
        <v>61.336649147773585</v>
      </c>
      <c r="G72">
        <f>G41*pm.rep!C190*BTS_Q*pm.rep!C28^(0.5)</f>
        <v>131.86227179836251</v>
      </c>
      <c r="H72">
        <f>H41*pm.rep!D190*BTS_Q*pm.rep!D28^(0.5)</f>
        <v>638.69984228927262</v>
      </c>
      <c r="I72">
        <f>I41*pm.rep!E190*BTS_Q*pm.rep!E28^(0.5)</f>
        <v>874.5457895844545</v>
      </c>
      <c r="J72">
        <f>J41*pm.rep!F190*BTS_Q*pm.rep!F28^(0.5)</f>
        <v>2611.4077394938136</v>
      </c>
      <c r="K72">
        <f>K41*pm.rep!G190*BTS_Q*pm.rep!G28^(0.5)</f>
        <v>832.49749437745891</v>
      </c>
      <c r="L72">
        <f>L41*pm.rep!H190*BTS_Q*pm.rep!H28^(0.5)</f>
        <v>260.8716690313986</v>
      </c>
      <c r="M72">
        <f>M41*pm.rep!I190*BTS_Q*pm.rep!I28^(0.5)</f>
        <v>154.18768162748589</v>
      </c>
      <c r="N72">
        <f>N41*pm.rep!J190*BTS_Q*pm.rep!J28^(0.5)</f>
        <v>100.00763842899036</v>
      </c>
      <c r="O72">
        <f>O41*pm.rep!K190*BTS_Q*pm.rep!K28^(0.5)</f>
        <v>45.018365390700495</v>
      </c>
      <c r="P72">
        <f>P41*pm.rep!L190*BTS_Q*pm.rep!L28^(0.5)</f>
        <v>26.945991428975454</v>
      </c>
      <c r="Q72">
        <f>Q41*pm.rep!M190*BTS_Q*pm.rep!M28^(0.5)</f>
        <v>5.6849301269379344</v>
      </c>
      <c r="R72">
        <f>R41*pm.rep!N190*BTS_Q*pm.rep!N28^(0.5)</f>
        <v>4.2869028055849645</v>
      </c>
      <c r="S72">
        <f>S41*pm.rep!O190*BTS_Q*pm.rep!O28^(0.5)</f>
        <v>3.8386802905087261</v>
      </c>
      <c r="T72">
        <f>T41*pm.rep!P190*BTS_Q*pm.rep!P28^(0.5)</f>
        <v>4.6482377875948755</v>
      </c>
      <c r="W72">
        <f t="shared" si="8"/>
        <v>0.47926830166222295</v>
      </c>
      <c r="X72">
        <f t="shared" si="9"/>
        <v>0.51148751907565437</v>
      </c>
      <c r="Y72">
        <f t="shared" si="10"/>
        <v>0.5622196208665815</v>
      </c>
      <c r="Z72">
        <f t="shared" si="11"/>
        <v>0.67801989940548713</v>
      </c>
      <c r="AA72">
        <f t="shared" si="12"/>
        <v>0.7638961543982461</v>
      </c>
      <c r="AB72">
        <f t="shared" si="13"/>
        <v>0.96084380979899864</v>
      </c>
      <c r="AC72">
        <f t="shared" si="14"/>
        <v>1.0773058349551208</v>
      </c>
      <c r="AD72">
        <f t="shared" si="15"/>
        <v>1.1168915268690645</v>
      </c>
    </row>
    <row r="73" spans="4:40" x14ac:dyDescent="0.15">
      <c r="D73" s="27">
        <f t="shared" si="7"/>
        <v>5315.50556765699</v>
      </c>
      <c r="E73">
        <v>1984</v>
      </c>
      <c r="F73">
        <f>F42*pm.rep!B191*BTS_Q*pm.rep!B29^(0.5)</f>
        <v>8.9987617068507415</v>
      </c>
      <c r="G73">
        <f>G42*pm.rep!C191*BTS_Q*pm.rep!C29^(0.5)</f>
        <v>51.062179460032397</v>
      </c>
      <c r="H73">
        <f>H42*pm.rep!D191*BTS_Q*pm.rep!D29^(0.5)</f>
        <v>128.03246767975048</v>
      </c>
      <c r="I73">
        <f>I42*pm.rep!E191*BTS_Q*pm.rep!E29^(0.5)</f>
        <v>574.99311183627344</v>
      </c>
      <c r="J73">
        <f>J42*pm.rep!F191*BTS_Q*pm.rep!F29^(0.5)</f>
        <v>966.9615615736443</v>
      </c>
      <c r="K73">
        <f>K42*pm.rep!G191*BTS_Q*pm.rep!G29^(0.5)</f>
        <v>2399.1705058489224</v>
      </c>
      <c r="L73">
        <f>L42*pm.rep!H191*BTS_Q*pm.rep!H29^(0.5)</f>
        <v>706.08496303102561</v>
      </c>
      <c r="M73">
        <f>M42*pm.rep!I191*BTS_Q*pm.rep!I29^(0.5)</f>
        <v>221.71322473270422</v>
      </c>
      <c r="N73">
        <f>N42*pm.rep!J191*BTS_Q*pm.rep!J29^(0.5)</f>
        <v>112.39145345952905</v>
      </c>
      <c r="O73">
        <f>O42*pm.rep!K191*BTS_Q*pm.rep!K29^(0.5)</f>
        <v>72.878968363588328</v>
      </c>
      <c r="P73">
        <f>P42*pm.rep!L191*BTS_Q*pm.rep!L29^(0.5)</f>
        <v>42.603270810971622</v>
      </c>
      <c r="Q73">
        <f>Q42*pm.rep!M191*BTS_Q*pm.rep!M29^(0.5)</f>
        <v>18.737748177415622</v>
      </c>
      <c r="R73">
        <f>R42*pm.rep!N191*BTS_Q*pm.rep!N29^(0.5)</f>
        <v>4.2490157618813083</v>
      </c>
      <c r="S73">
        <f>S42*pm.rep!O191*BTS_Q*pm.rep!O29^(0.5)</f>
        <v>2.7286786463124661</v>
      </c>
      <c r="T73">
        <f>T42*pm.rep!P191*BTS_Q*pm.rep!P29^(0.5)</f>
        <v>4.899656568087674</v>
      </c>
      <c r="W73">
        <f t="shared" si="8"/>
        <v>0.46223925413951517</v>
      </c>
      <c r="X73">
        <f t="shared" si="9"/>
        <v>0.46970036709912266</v>
      </c>
      <c r="Y73">
        <f t="shared" si="10"/>
        <v>0.52116618320003516</v>
      </c>
      <c r="Z73">
        <f t="shared" si="11"/>
        <v>0.57471341347493032</v>
      </c>
      <c r="AA73">
        <f t="shared" si="12"/>
        <v>0.69288926499500836</v>
      </c>
      <c r="AB73">
        <f t="shared" si="13"/>
        <v>0.80000720045254081</v>
      </c>
      <c r="AC73">
        <f t="shared" si="14"/>
        <v>0.99776696914201568</v>
      </c>
      <c r="AD73">
        <f t="shared" si="15"/>
        <v>1.0955471574967985</v>
      </c>
    </row>
    <row r="74" spans="4:40" x14ac:dyDescent="0.15">
      <c r="D74" s="27">
        <f t="shared" si="7"/>
        <v>5825.8980066961249</v>
      </c>
      <c r="E74">
        <v>1985</v>
      </c>
      <c r="F74">
        <f>F43*pm.rep!B192*BTS_Q*pm.rep!B30^(0.5)</f>
        <v>87.865646478580288</v>
      </c>
      <c r="G74">
        <f>G43*pm.rep!C192*BTS_Q*pm.rep!C30^(0.5)</f>
        <v>30.467563932923252</v>
      </c>
      <c r="H74">
        <f>H43*pm.rep!D192*BTS_Q*pm.rep!D30^(0.5)</f>
        <v>498.11302703179012</v>
      </c>
      <c r="I74">
        <f>I43*pm.rep!E192*BTS_Q*pm.rep!E30^(0.5)</f>
        <v>337.61719088248725</v>
      </c>
      <c r="J74">
        <f>J43*pm.rep!F192*BTS_Q*pm.rep!F30^(0.5)</f>
        <v>894.25351474398667</v>
      </c>
      <c r="K74">
        <f>K43*pm.rep!G192*BTS_Q*pm.rep!G30^(0.5)</f>
        <v>1058.1384714922392</v>
      </c>
      <c r="L74">
        <f>L43*pm.rep!H192*BTS_Q*pm.rep!H30^(0.5)</f>
        <v>2074.3730202489451</v>
      </c>
      <c r="M74">
        <f>M43*pm.rep!I192*BTS_Q*pm.rep!I30^(0.5)</f>
        <v>525.41551337895964</v>
      </c>
      <c r="N74">
        <f>N43*pm.rep!J192*BTS_Q*pm.rep!J30^(0.5)</f>
        <v>173.5120457189245</v>
      </c>
      <c r="O74">
        <f>O43*pm.rep!K192*BTS_Q*pm.rep!K30^(0.5)</f>
        <v>63.089862969458871</v>
      </c>
      <c r="P74">
        <f>P43*pm.rep!L192*BTS_Q*pm.rep!L30^(0.5)</f>
        <v>40.898634383148988</v>
      </c>
      <c r="Q74">
        <f>Q43*pm.rep!M192*BTS_Q*pm.rep!M30^(0.5)</f>
        <v>20.580463310674801</v>
      </c>
      <c r="R74">
        <f>R43*pm.rep!N192*BTS_Q*pm.rep!N30^(0.5)</f>
        <v>13.894423620802579</v>
      </c>
      <c r="S74">
        <f>S43*pm.rep!O192*BTS_Q*pm.rep!O30^(0.5)</f>
        <v>2.9612155574548691</v>
      </c>
      <c r="T74">
        <f>T43*pm.rep!P192*BTS_Q*pm.rep!P30^(0.5)</f>
        <v>4.7174129457478022</v>
      </c>
      <c r="W74">
        <f t="shared" si="8"/>
        <v>0.45313706249631525</v>
      </c>
      <c r="X74">
        <f t="shared" si="9"/>
        <v>0.47785233225328833</v>
      </c>
      <c r="Y74">
        <f t="shared" si="10"/>
        <v>0.49552487731638623</v>
      </c>
      <c r="Z74">
        <f t="shared" si="11"/>
        <v>0.6558618500729162</v>
      </c>
      <c r="AA74">
        <f t="shared" si="12"/>
        <v>0.72849648070082351</v>
      </c>
      <c r="AB74">
        <f t="shared" si="13"/>
        <v>0.83758455926797437</v>
      </c>
      <c r="AC74">
        <f t="shared" si="14"/>
        <v>0.91845996570044763</v>
      </c>
      <c r="AD74">
        <f t="shared" si="15"/>
        <v>1.0423611061874285</v>
      </c>
    </row>
    <row r="75" spans="4:40" x14ac:dyDescent="0.15">
      <c r="D75" s="27">
        <f t="shared" si="7"/>
        <v>5615.7966023278705</v>
      </c>
      <c r="E75">
        <v>1986</v>
      </c>
      <c r="F75">
        <f>F44*pm.rep!B193*BTS_Q*pm.rep!B31^(0.5)</f>
        <v>30.361122876886046</v>
      </c>
      <c r="G75">
        <f>G44*pm.rep!C193*BTS_Q*pm.rep!C31^(0.5)</f>
        <v>54.688891011446458</v>
      </c>
      <c r="H75">
        <f>H44*pm.rep!D193*BTS_Q*pm.rep!D31^(0.5)</f>
        <v>54.566962522329611</v>
      </c>
      <c r="I75">
        <f>I44*pm.rep!E193*BTS_Q*pm.rep!E31^(0.5)</f>
        <v>801.57011882324389</v>
      </c>
      <c r="J75">
        <f>J44*pm.rep!F193*BTS_Q*pm.rep!F31^(0.5)</f>
        <v>415.15849611071604</v>
      </c>
      <c r="K75">
        <f>K44*pm.rep!G193*BTS_Q*pm.rep!G31^(0.5)</f>
        <v>1144.9520790324782</v>
      </c>
      <c r="L75">
        <f>L44*pm.rep!H193*BTS_Q*pm.rep!H31^(0.5)</f>
        <v>905.9396073701198</v>
      </c>
      <c r="M75">
        <f>M44*pm.rep!I193*BTS_Q*pm.rep!I31^(0.5)</f>
        <v>1614.32736437575</v>
      </c>
      <c r="N75">
        <f>N44*pm.rep!J193*BTS_Q*pm.rep!J31^(0.5)</f>
        <v>379.39378631733416</v>
      </c>
      <c r="O75">
        <f>O44*pm.rep!K193*BTS_Q*pm.rep!K31^(0.5)</f>
        <v>111.92465295052185</v>
      </c>
      <c r="P75">
        <f>P44*pm.rep!L193*BTS_Q*pm.rep!L31^(0.5)</f>
        <v>48.158295643398631</v>
      </c>
      <c r="Q75">
        <f>Q44*pm.rep!M193*BTS_Q*pm.rep!M31^(0.5)</f>
        <v>27.934809814275731</v>
      </c>
      <c r="R75">
        <f>R44*pm.rep!N193*BTS_Q*pm.rep!N31^(0.5)</f>
        <v>13.7403656958328</v>
      </c>
      <c r="S75">
        <f>S44*pm.rep!O193*BTS_Q*pm.rep!O31^(0.5)</f>
        <v>8.465825487928873</v>
      </c>
      <c r="T75">
        <f>T44*pm.rep!P193*BTS_Q*pm.rep!P31^(0.5)</f>
        <v>4.6142242956082535</v>
      </c>
      <c r="W75">
        <f t="shared" si="8"/>
        <v>0.46118679909745652</v>
      </c>
      <c r="X75">
        <f t="shared" si="9"/>
        <v>0.46736290192188357</v>
      </c>
      <c r="Y75">
        <f t="shared" si="10"/>
        <v>0.51916151401906241</v>
      </c>
      <c r="Z75">
        <f t="shared" si="11"/>
        <v>0.541860074166572</v>
      </c>
      <c r="AA75">
        <f t="shared" si="12"/>
        <v>0.75337319809826286</v>
      </c>
      <c r="AB75">
        <f t="shared" si="13"/>
        <v>0.83109785143632897</v>
      </c>
      <c r="AC75">
        <f t="shared" si="14"/>
        <v>0.95981148061585686</v>
      </c>
      <c r="AD75">
        <f t="shared" si="15"/>
        <v>1.0232131920257372</v>
      </c>
    </row>
    <row r="76" spans="4:40" x14ac:dyDescent="0.15">
      <c r="D76" s="27">
        <f t="shared" si="7"/>
        <v>6217.0232959176083</v>
      </c>
      <c r="E76">
        <v>1987</v>
      </c>
      <c r="F76">
        <f>F45*pm.rep!B194*BTS_Q*pm.rep!B32^(0.5)</f>
        <v>18.093387110935932</v>
      </c>
      <c r="G76">
        <f>G45*pm.rep!C194*BTS_Q*pm.rep!C32^(0.5)</f>
        <v>40.570921315771436</v>
      </c>
      <c r="H76">
        <f>H45*pm.rep!D194*BTS_Q*pm.rep!D32^(0.5)</f>
        <v>298.98519335644943</v>
      </c>
      <c r="I76">
        <f>I45*pm.rep!E194*BTS_Q*pm.rep!E32^(0.5)</f>
        <v>267.53169303234301</v>
      </c>
      <c r="J76">
        <f>J45*pm.rep!F194*BTS_Q*pm.rep!F32^(0.5)</f>
        <v>1594.1681261334452</v>
      </c>
      <c r="K76">
        <f>K45*pm.rep!G194*BTS_Q*pm.rep!G32^(0.5)</f>
        <v>643.976622215269</v>
      </c>
      <c r="L76">
        <f>L45*pm.rep!H194*BTS_Q*pm.rep!H32^(0.5)</f>
        <v>1153.9330147562487</v>
      </c>
      <c r="M76">
        <f>M45*pm.rep!I194*BTS_Q*pm.rep!I32^(0.5)</f>
        <v>734.89368957681904</v>
      </c>
      <c r="N76">
        <f>N45*pm.rep!J194*BTS_Q*pm.rep!J32^(0.5)</f>
        <v>1103.1745668010185</v>
      </c>
      <c r="O76">
        <f>O45*pm.rep!K194*BTS_Q*pm.rep!K32^(0.5)</f>
        <v>232.13438644383382</v>
      </c>
      <c r="P76">
        <f>P45*pm.rep!L194*BTS_Q*pm.rep!L32^(0.5)</f>
        <v>61.510522779673671</v>
      </c>
      <c r="Q76">
        <f>Q45*pm.rep!M194*BTS_Q*pm.rep!M32^(0.5)</f>
        <v>28.611259081564576</v>
      </c>
      <c r="R76">
        <f>R45*pm.rep!N194*BTS_Q*pm.rep!N32^(0.5)</f>
        <v>19.633480154659804</v>
      </c>
      <c r="S76">
        <f>S45*pm.rep!O194*BTS_Q*pm.rep!O32^(0.5)</f>
        <v>11.551945091068054</v>
      </c>
      <c r="T76">
        <f>T45*pm.rep!P194*BTS_Q*pm.rep!P32^(0.5)</f>
        <v>8.2544880685076425</v>
      </c>
      <c r="W76">
        <f t="shared" si="8"/>
        <v>0.5783075499863447</v>
      </c>
      <c r="X76">
        <f t="shared" si="9"/>
        <v>0.58879713747573592</v>
      </c>
      <c r="Y76">
        <f t="shared" si="10"/>
        <v>0.62166137167581303</v>
      </c>
      <c r="Z76">
        <f t="shared" si="11"/>
        <v>0.73841131420476269</v>
      </c>
      <c r="AA76">
        <f t="shared" si="12"/>
        <v>0.79333565289570362</v>
      </c>
      <c r="AB76">
        <f t="shared" si="13"/>
        <v>0.9969988695875166</v>
      </c>
      <c r="AC76">
        <f t="shared" si="14"/>
        <v>1.058464297062836</v>
      </c>
      <c r="AD76">
        <f t="shared" si="15"/>
        <v>1.1163885369364939</v>
      </c>
    </row>
    <row r="77" spans="4:40" x14ac:dyDescent="0.15">
      <c r="D77" s="27">
        <f t="shared" si="7"/>
        <v>7641.1232255065661</v>
      </c>
      <c r="E77">
        <v>1988</v>
      </c>
      <c r="F77">
        <f>F46*pm.rep!B195*BTS_Q*pm.rep!B33^(0.5)</f>
        <v>11.5553371514773</v>
      </c>
      <c r="G77">
        <f>G46*pm.rep!C195*BTS_Q*pm.rep!C33^(0.5)</f>
        <v>30.881623997715806</v>
      </c>
      <c r="H77">
        <f>H46*pm.rep!D195*BTS_Q*pm.rep!D33^(0.5)</f>
        <v>273.57580322626723</v>
      </c>
      <c r="I77">
        <f>I46*pm.rep!E195*BTS_Q*pm.rep!E33^(0.5)</f>
        <v>1116.032485163124</v>
      </c>
      <c r="J77">
        <f>J46*pm.rep!F195*BTS_Q*pm.rep!F33^(0.5)</f>
        <v>617.86422071191646</v>
      </c>
      <c r="K77">
        <f>K46*pm.rep!G195*BTS_Q*pm.rep!G33^(0.5)</f>
        <v>2395.8025250664264</v>
      </c>
      <c r="L77">
        <f>L46*pm.rep!H195*BTS_Q*pm.rep!H33^(0.5)</f>
        <v>638.03227826565944</v>
      </c>
      <c r="M77">
        <f>M46*pm.rep!I195*BTS_Q*pm.rep!I33^(0.5)</f>
        <v>955.94681274557274</v>
      </c>
      <c r="N77">
        <f>N46*pm.rep!J195*BTS_Q*pm.rep!J33^(0.5)</f>
        <v>521.10782072106645</v>
      </c>
      <c r="O77">
        <f>O46*pm.rep!K195*BTS_Q*pm.rep!K33^(0.5)</f>
        <v>821.26150204203361</v>
      </c>
      <c r="P77">
        <f>P46*pm.rep!L195*BTS_Q*pm.rep!L33^(0.5)</f>
        <v>176.11008526909879</v>
      </c>
      <c r="Q77">
        <f>Q46*pm.rep!M195*BTS_Q*pm.rep!M33^(0.5)</f>
        <v>40.073543279188257</v>
      </c>
      <c r="R77">
        <f>R46*pm.rep!N195*BTS_Q*pm.rep!N33^(0.5)</f>
        <v>19.023395220131544</v>
      </c>
      <c r="S77">
        <f>S46*pm.rep!O195*BTS_Q*pm.rep!O33^(0.5)</f>
        <v>12.250316945866363</v>
      </c>
      <c r="T77">
        <f>T46*pm.rep!P195*BTS_Q*pm.rep!P33^(0.5)</f>
        <v>11.605475701021829</v>
      </c>
      <c r="W77">
        <f t="shared" si="8"/>
        <v>0.71710096811186597</v>
      </c>
      <c r="X77">
        <f t="shared" si="9"/>
        <v>0.72309243195647899</v>
      </c>
      <c r="Y77">
        <f t="shared" si="10"/>
        <v>0.74125177612767901</v>
      </c>
      <c r="Z77">
        <f t="shared" si="11"/>
        <v>0.80817650025323329</v>
      </c>
      <c r="AA77">
        <f t="shared" si="12"/>
        <v>0.95662724223125117</v>
      </c>
      <c r="AB77">
        <f t="shared" si="13"/>
        <v>1.0025995301986759</v>
      </c>
      <c r="AC77">
        <f t="shared" si="14"/>
        <v>1.1037094599454365</v>
      </c>
      <c r="AD77">
        <f t="shared" si="15"/>
        <v>1.1265250211182354</v>
      </c>
    </row>
    <row r="78" spans="4:40" x14ac:dyDescent="0.15">
      <c r="D78" s="27">
        <f t="shared" si="7"/>
        <v>6859.1710446897005</v>
      </c>
      <c r="E78">
        <v>1989</v>
      </c>
      <c r="F78">
        <f>F47*pm.rep!B196*BTS_Q*pm.rep!B34^(0.5)</f>
        <v>18.838342321518695</v>
      </c>
      <c r="G78">
        <f>G47*pm.rep!C196*BTS_Q*pm.rep!C34^(0.5)</f>
        <v>21.078474517940609</v>
      </c>
      <c r="H78">
        <f>H47*pm.rep!D196*BTS_Q*pm.rep!D34^(0.5)</f>
        <v>84.550536175866355</v>
      </c>
      <c r="I78">
        <f>I47*pm.rep!E196*BTS_Q*pm.rep!E34^(0.5)</f>
        <v>451.06381557837369</v>
      </c>
      <c r="J78">
        <f>J47*pm.rep!F196*BTS_Q*pm.rep!F34^(0.5)</f>
        <v>1520.6117035883842</v>
      </c>
      <c r="K78">
        <f>K47*pm.rep!G196*BTS_Q*pm.rep!G34^(0.5)</f>
        <v>611.14278579852339</v>
      </c>
      <c r="L78">
        <f>L47*pm.rep!H196*BTS_Q*pm.rep!H34^(0.5)</f>
        <v>1974.5477756003045</v>
      </c>
      <c r="M78">
        <f>M47*pm.rep!I196*BTS_Q*pm.rep!I34^(0.5)</f>
        <v>452.86646181302325</v>
      </c>
      <c r="N78">
        <f>N47*pm.rep!J196*BTS_Q*pm.rep!J34^(0.5)</f>
        <v>708.55292004076239</v>
      </c>
      <c r="O78">
        <f>O47*pm.rep!K196*BTS_Q*pm.rep!K34^(0.5)</f>
        <v>345.32423938568087</v>
      </c>
      <c r="P78">
        <f>P47*pm.rep!L196*BTS_Q*pm.rep!L34^(0.5)</f>
        <v>515.96844608271238</v>
      </c>
      <c r="Q78">
        <f>Q47*pm.rep!M196*BTS_Q*pm.rep!M34^(0.5)</f>
        <v>98.313921624663422</v>
      </c>
      <c r="R78">
        <f>R47*pm.rep!N196*BTS_Q*pm.rep!N34^(0.5)</f>
        <v>28.379411235403197</v>
      </c>
      <c r="S78">
        <f>S47*pm.rep!O196*BTS_Q*pm.rep!O34^(0.5)</f>
        <v>13.243010936141772</v>
      </c>
      <c r="T78">
        <f>T47*pm.rep!P196*BTS_Q*pm.rep!P34^(0.5)</f>
        <v>14.689199990401038</v>
      </c>
      <c r="W78">
        <f t="shared" si="8"/>
        <v>0.82034957203972925</v>
      </c>
      <c r="X78">
        <f t="shared" si="9"/>
        <v>0.84628287677532388</v>
      </c>
      <c r="Y78">
        <f t="shared" si="10"/>
        <v>0.8664124967369814</v>
      </c>
      <c r="Z78">
        <f t="shared" si="11"/>
        <v>0.8959602506380312</v>
      </c>
      <c r="AA78">
        <f t="shared" si="12"/>
        <v>0.96100131007263467</v>
      </c>
      <c r="AB78">
        <f t="shared" si="13"/>
        <v>1.0709904149711253</v>
      </c>
      <c r="AC78">
        <f t="shared" si="14"/>
        <v>1.0936138610485966</v>
      </c>
      <c r="AD78">
        <f t="shared" si="15"/>
        <v>1.1417652739572965</v>
      </c>
    </row>
    <row r="79" spans="4:40" x14ac:dyDescent="0.15">
      <c r="D79" s="27">
        <f t="shared" si="7"/>
        <v>6137.8600473284823</v>
      </c>
      <c r="E79">
        <v>1990</v>
      </c>
      <c r="F79">
        <f>F48*pm.rep!B197*BTS_Q*pm.rep!B35^(0.5)</f>
        <v>43.790685569502678</v>
      </c>
      <c r="G79">
        <f>G48*pm.rep!C197*BTS_Q*pm.rep!C35^(0.5)</f>
        <v>29.033753346165387</v>
      </c>
      <c r="H79">
        <f>H48*pm.rep!D197*BTS_Q*pm.rep!D35^(0.5)</f>
        <v>42.371389907608282</v>
      </c>
      <c r="I79">
        <f>I48*pm.rep!E197*BTS_Q*pm.rep!E35^(0.5)</f>
        <v>204.25416106220678</v>
      </c>
      <c r="J79">
        <f>J48*pm.rep!F197*BTS_Q*pm.rep!F35^(0.5)</f>
        <v>622.04914879700118</v>
      </c>
      <c r="K79">
        <f>K48*pm.rep!G197*BTS_Q*pm.rep!G35^(0.5)</f>
        <v>1693.5101234266401</v>
      </c>
      <c r="L79">
        <f>L48*pm.rep!H197*BTS_Q*pm.rep!H35^(0.5)</f>
        <v>514.32389155043086</v>
      </c>
      <c r="M79">
        <f>M48*pm.rep!I197*BTS_Q*pm.rep!I35^(0.5)</f>
        <v>1502.3872008828839</v>
      </c>
      <c r="N79">
        <f>N48*pm.rep!J197*BTS_Q*pm.rep!J35^(0.5)</f>
        <v>333.87781708660293</v>
      </c>
      <c r="O79">
        <f>O48*pm.rep!K197*BTS_Q*pm.rep!K35^(0.5)</f>
        <v>477.4974299253808</v>
      </c>
      <c r="P79">
        <f>P48*pm.rep!L197*BTS_Q*pm.rep!L35^(0.5)</f>
        <v>250.335316415926</v>
      </c>
      <c r="Q79">
        <f>Q48*pm.rep!M197*BTS_Q*pm.rep!M35^(0.5)</f>
        <v>330.25426964816478</v>
      </c>
      <c r="R79">
        <f>R48*pm.rep!N197*BTS_Q*pm.rep!N35^(0.5)</f>
        <v>62.160235159554233</v>
      </c>
      <c r="S79">
        <f>S48*pm.rep!O197*BTS_Q*pm.rep!O35^(0.5)</f>
        <v>16.133843786515957</v>
      </c>
      <c r="T79">
        <f>T48*pm.rep!P197*BTS_Q*pm.rep!P35^(0.5)</f>
        <v>15.88078076389877</v>
      </c>
      <c r="W79">
        <f t="shared" si="8"/>
        <v>0.71904441777559469</v>
      </c>
      <c r="X79">
        <f t="shared" si="9"/>
        <v>0.83669850239454291</v>
      </c>
      <c r="Y79">
        <f t="shared" si="10"/>
        <v>0.88622399974732369</v>
      </c>
      <c r="Z79">
        <f t="shared" si="11"/>
        <v>0.91128011318054425</v>
      </c>
      <c r="AA79">
        <f t="shared" si="12"/>
        <v>0.95660689443018465</v>
      </c>
      <c r="AB79">
        <f t="shared" si="13"/>
        <v>1.0111309809984863</v>
      </c>
      <c r="AC79">
        <f t="shared" si="14"/>
        <v>1.0777168670232697</v>
      </c>
      <c r="AD79">
        <f t="shared" si="15"/>
        <v>1.0890858830520795</v>
      </c>
    </row>
    <row r="80" spans="4:40" x14ac:dyDescent="0.15">
      <c r="D80" s="27">
        <f t="shared" si="7"/>
        <v>4416.5979265958231</v>
      </c>
      <c r="E80">
        <v>1991</v>
      </c>
      <c r="F80">
        <f>F49*pm.rep!B198*BTS_Q*pm.rep!B36^(0.5)</f>
        <v>37.270141350462247</v>
      </c>
      <c r="G80">
        <f>G49*pm.rep!C198*BTS_Q*pm.rep!C36^(0.5)</f>
        <v>39.528548320908747</v>
      </c>
      <c r="H80">
        <f>H49*pm.rep!D198*BTS_Q*pm.rep!D36^(0.5)</f>
        <v>40.078976098816199</v>
      </c>
      <c r="I80">
        <f>I49*pm.rep!E198*BTS_Q*pm.rep!E36^(0.5)</f>
        <v>95.204409193478384</v>
      </c>
      <c r="J80">
        <f>J49*pm.rep!F198*BTS_Q*pm.rep!F36^(0.5)</f>
        <v>254.73812276888498</v>
      </c>
      <c r="K80">
        <f>K49*pm.rep!G198*BTS_Q*pm.rep!G36^(0.5)</f>
        <v>525.85345621570104</v>
      </c>
      <c r="L80">
        <f>L49*pm.rep!H198*BTS_Q*pm.rep!H36^(0.5)</f>
        <v>1200.8588451611968</v>
      </c>
      <c r="M80">
        <f>M49*pm.rep!I198*BTS_Q*pm.rep!I36^(0.5)</f>
        <v>340.41548474741222</v>
      </c>
      <c r="N80">
        <f>N49*pm.rep!J198*BTS_Q*pm.rep!J36^(0.5)</f>
        <v>988.31584063531488</v>
      </c>
      <c r="O80">
        <f>O49*pm.rep!K198*BTS_Q*pm.rep!K36^(0.5)</f>
        <v>205.87032699053995</v>
      </c>
      <c r="P80">
        <f>P49*pm.rep!L198*BTS_Q*pm.rep!L36^(0.5)</f>
        <v>281.15079559580033</v>
      </c>
      <c r="Q80">
        <f>Q49*pm.rep!M198*BTS_Q*pm.rep!M36^(0.5)</f>
        <v>146.05160909435895</v>
      </c>
      <c r="R80">
        <f>R49*pm.rep!N198*BTS_Q*pm.rep!N36^(0.5)</f>
        <v>199.2822608817122</v>
      </c>
      <c r="S80">
        <f>S49*pm.rep!O198*BTS_Q*pm.rep!O36^(0.5)</f>
        <v>40.63043010545956</v>
      </c>
      <c r="T80">
        <f>T49*pm.rep!P198*BTS_Q*pm.rep!P36^(0.5)</f>
        <v>21.348679435775651</v>
      </c>
      <c r="W80">
        <f t="shared" si="8"/>
        <v>0.63191149204356123</v>
      </c>
      <c r="X80">
        <f t="shared" si="9"/>
        <v>0.67329946306045407</v>
      </c>
      <c r="Y80">
        <f t="shared" si="10"/>
        <v>0.81518981563606063</v>
      </c>
      <c r="Z80">
        <f t="shared" si="11"/>
        <v>0.87313749226010684</v>
      </c>
      <c r="AA80">
        <f t="shared" si="12"/>
        <v>0.92594068183280698</v>
      </c>
      <c r="AB80">
        <f t="shared" si="13"/>
        <v>0.9792617481720115</v>
      </c>
      <c r="AC80">
        <f t="shared" si="14"/>
        <v>1.0184290023249687</v>
      </c>
      <c r="AD80">
        <f t="shared" si="15"/>
        <v>1.0644780911549159</v>
      </c>
    </row>
    <row r="81" spans="4:30" x14ac:dyDescent="0.15">
      <c r="D81" s="27">
        <f t="shared" si="7"/>
        <v>3765.7280096772552</v>
      </c>
      <c r="E81">
        <v>1992</v>
      </c>
      <c r="F81">
        <f>F50*pm.rep!B199*BTS_Q*pm.rep!B37^(0.5)</f>
        <v>35.661943313751664</v>
      </c>
      <c r="G81">
        <f>G50*pm.rep!C199*BTS_Q*pm.rep!C37^(0.5)</f>
        <v>32.203153341929415</v>
      </c>
      <c r="H81">
        <f>H50*pm.rep!D199*BTS_Q*pm.rep!D37^(0.5)</f>
        <v>351.31784870795997</v>
      </c>
      <c r="I81">
        <f>I50*pm.rep!E199*BTS_Q*pm.rep!E37^(0.5)</f>
        <v>218.71071144924764</v>
      </c>
      <c r="J81">
        <f>J50*pm.rep!F199*BTS_Q*pm.rep!F37^(0.5)</f>
        <v>226.91970604371824</v>
      </c>
      <c r="K81">
        <f>K50*pm.rep!G199*BTS_Q*pm.rep!G37^(0.5)</f>
        <v>301.63857953070158</v>
      </c>
      <c r="L81">
        <f>L50*pm.rep!H199*BTS_Q*pm.rep!H37^(0.5)</f>
        <v>486.00833523095258</v>
      </c>
      <c r="M81">
        <f>M50*pm.rep!I199*BTS_Q*pm.rep!I37^(0.5)</f>
        <v>826.69274661704765</v>
      </c>
      <c r="N81">
        <f>N50*pm.rep!J199*BTS_Q*pm.rep!J37^(0.5)</f>
        <v>234.6878382635733</v>
      </c>
      <c r="O81">
        <f>O50*pm.rep!K199*BTS_Q*pm.rep!K37^(0.5)</f>
        <v>546.48125784873639</v>
      </c>
      <c r="P81">
        <f>P50*pm.rep!L199*BTS_Q*pm.rep!L37^(0.5)</f>
        <v>123.38003487446113</v>
      </c>
      <c r="Q81">
        <f>Q50*pm.rep!M199*BTS_Q*pm.rep!M37^(0.5)</f>
        <v>157.15338168136105</v>
      </c>
      <c r="R81">
        <f>R50*pm.rep!N199*BTS_Q*pm.rep!N37^(0.5)</f>
        <v>83.369903490175531</v>
      </c>
      <c r="S81">
        <f>S50*pm.rep!O199*BTS_Q*pm.rep!O37^(0.5)</f>
        <v>107.32971554581631</v>
      </c>
      <c r="T81">
        <f>T50*pm.rep!P199*BTS_Q*pm.rep!P37^(0.5)</f>
        <v>34.172853737822777</v>
      </c>
      <c r="W81">
        <f t="shared" si="8"/>
        <v>0.43476053415660931</v>
      </c>
      <c r="X81">
        <f t="shared" si="9"/>
        <v>0.4666037128264352</v>
      </c>
      <c r="Y81">
        <f t="shared" si="10"/>
        <v>0.51531609026626468</v>
      </c>
      <c r="Z81">
        <f t="shared" si="11"/>
        <v>0.80167935627911779</v>
      </c>
      <c r="AA81">
        <f t="shared" si="12"/>
        <v>0.91489990322337844</v>
      </c>
      <c r="AB81">
        <f t="shared" si="13"/>
        <v>0.96133716159996319</v>
      </c>
      <c r="AC81">
        <f t="shared" si="14"/>
        <v>0.98312158124397653</v>
      </c>
      <c r="AD81">
        <f t="shared" si="15"/>
        <v>0.99765547476894434</v>
      </c>
    </row>
    <row r="82" spans="4:30" x14ac:dyDescent="0.15">
      <c r="D82" s="27">
        <f t="shared" si="7"/>
        <v>3714.0237603718406</v>
      </c>
      <c r="E82">
        <v>1993</v>
      </c>
      <c r="F82">
        <f>F51*pm.rep!B200*BTS_Q*pm.rep!B38^(0.5)</f>
        <v>41.501162798601754</v>
      </c>
      <c r="G82">
        <f>G51*pm.rep!C200*BTS_Q*pm.rep!C38^(0.5)</f>
        <v>33.412922086007804</v>
      </c>
      <c r="H82">
        <f>H51*pm.rep!D200*BTS_Q*pm.rep!D38^(0.5)</f>
        <v>231.81306565594161</v>
      </c>
      <c r="I82">
        <f>I51*pm.rep!E200*BTS_Q*pm.rep!E38^(0.5)</f>
        <v>1129.8586195850025</v>
      </c>
      <c r="J82">
        <f>J51*pm.rep!F200*BTS_Q*pm.rep!F38^(0.5)</f>
        <v>421.62599335144756</v>
      </c>
      <c r="K82">
        <f>K51*pm.rep!G200*BTS_Q*pm.rep!G38^(0.5)</f>
        <v>210.44775209939399</v>
      </c>
      <c r="L82">
        <f>L51*pm.rep!H200*BTS_Q*pm.rep!H38^(0.5)</f>
        <v>215.10575634626844</v>
      </c>
      <c r="M82">
        <f>M51*pm.rep!I200*BTS_Q*pm.rep!I38^(0.5)</f>
        <v>257.81913944399969</v>
      </c>
      <c r="N82">
        <f>N51*pm.rep!J200*BTS_Q*pm.rep!J38^(0.5)</f>
        <v>456.44227888376037</v>
      </c>
      <c r="O82">
        <f>O51*pm.rep!K200*BTS_Q*pm.rep!K38^(0.5)</f>
        <v>120.74966244370579</v>
      </c>
      <c r="P82">
        <f>P51*pm.rep!L200*BTS_Q*pm.rep!L38^(0.5)</f>
        <v>308.06097512231196</v>
      </c>
      <c r="Q82">
        <f>Q51*pm.rep!M200*BTS_Q*pm.rep!M38^(0.5)</f>
        <v>67.099093293712556</v>
      </c>
      <c r="R82">
        <f>R51*pm.rep!N200*BTS_Q*pm.rep!N38^(0.5)</f>
        <v>85.116922614196952</v>
      </c>
      <c r="S82">
        <f>S51*pm.rep!O200*BTS_Q*pm.rep!O38^(0.5)</f>
        <v>45.017098068890981</v>
      </c>
      <c r="T82">
        <f>T51*pm.rep!P200*BTS_Q*pm.rep!P38^(0.5)</f>
        <v>89.953318578599152</v>
      </c>
      <c r="W82">
        <f t="shared" si="8"/>
        <v>0.3825170106163463</v>
      </c>
      <c r="X82">
        <f t="shared" si="9"/>
        <v>0.41809588735639647</v>
      </c>
      <c r="Y82">
        <f t="shared" si="10"/>
        <v>0.45655963045906534</v>
      </c>
      <c r="Z82">
        <f t="shared" si="11"/>
        <v>0.55549953117689377</v>
      </c>
      <c r="AA82">
        <f t="shared" si="12"/>
        <v>0.93069363326591803</v>
      </c>
      <c r="AB82">
        <f t="shared" si="13"/>
        <v>1.0491670096692833</v>
      </c>
      <c r="AC82">
        <f t="shared" si="14"/>
        <v>1.0750269736048728</v>
      </c>
      <c r="AD82">
        <f t="shared" si="15"/>
        <v>1.0873678310860793</v>
      </c>
    </row>
    <row r="83" spans="4:30" x14ac:dyDescent="0.15">
      <c r="D83" s="27">
        <f t="shared" si="7"/>
        <v>4160.7316940710834</v>
      </c>
      <c r="E83">
        <v>1994</v>
      </c>
      <c r="F83">
        <f>F52*pm.rep!B201*BTS_Q*pm.rep!B39^(0.5)</f>
        <v>21.187430566554092</v>
      </c>
      <c r="G83">
        <f>G52*pm.rep!C201*BTS_Q*pm.rep!C39^(0.5)</f>
        <v>38.64521265571517</v>
      </c>
      <c r="H83">
        <f>H52*pm.rep!D201*BTS_Q*pm.rep!D39^(0.5)</f>
        <v>117.7603805844023</v>
      </c>
      <c r="I83">
        <f>I52*pm.rep!E201*BTS_Q*pm.rep!E39^(0.5)</f>
        <v>530.79379009278477</v>
      </c>
      <c r="J83">
        <f>J52*pm.rep!F201*BTS_Q*pm.rep!F39^(0.5)</f>
        <v>1695.0702516630288</v>
      </c>
      <c r="K83">
        <f>K52*pm.rep!G201*BTS_Q*pm.rep!G39^(0.5)</f>
        <v>477.40910911229298</v>
      </c>
      <c r="L83">
        <f>L52*pm.rep!H201*BTS_Q*pm.rep!H39^(0.5)</f>
        <v>174.66387082772042</v>
      </c>
      <c r="M83">
        <f>M52*pm.rep!I201*BTS_Q*pm.rep!I39^(0.5)</f>
        <v>176.98304209056516</v>
      </c>
      <c r="N83">
        <f>N52*pm.rep!J201*BTS_Q*pm.rep!J39^(0.5)</f>
        <v>206.64721179394593</v>
      </c>
      <c r="O83">
        <f>O52*pm.rep!K201*BTS_Q*pm.rep!K39^(0.5)</f>
        <v>287.8781151568856</v>
      </c>
      <c r="P83">
        <f>P52*pm.rep!L201*BTS_Q*pm.rep!L39^(0.5)</f>
        <v>77.029077706913981</v>
      </c>
      <c r="Q83">
        <f>Q52*pm.rep!M201*BTS_Q*pm.rep!M39^(0.5)</f>
        <v>194.53501947284659</v>
      </c>
      <c r="R83">
        <f>R52*pm.rep!N201*BTS_Q*pm.rep!N39^(0.5)</f>
        <v>40.652247438721581</v>
      </c>
      <c r="S83">
        <f>S52*pm.rep!O201*BTS_Q*pm.rep!O39^(0.5)</f>
        <v>49.13566469805923</v>
      </c>
      <c r="T83">
        <f>T52*pm.rep!P201*BTS_Q*pm.rep!P39^(0.5)</f>
        <v>72.341270210646584</v>
      </c>
      <c r="W83">
        <f t="shared" si="8"/>
        <v>0.39657016825652297</v>
      </c>
      <c r="X83">
        <f t="shared" si="9"/>
        <v>0.40685354753927416</v>
      </c>
      <c r="Y83">
        <f t="shared" si="10"/>
        <v>0.46541444736763049</v>
      </c>
      <c r="Z83">
        <f t="shared" si="11"/>
        <v>0.53079439192451694</v>
      </c>
      <c r="AA83">
        <f t="shared" si="12"/>
        <v>0.65656696913822343</v>
      </c>
      <c r="AB83">
        <f t="shared" si="13"/>
        <v>0.98653400737308683</v>
      </c>
      <c r="AC83">
        <f t="shared" si="14"/>
        <v>1.0805643921558832</v>
      </c>
      <c r="AD83">
        <f t="shared" si="15"/>
        <v>1.0995617392300361</v>
      </c>
    </row>
    <row r="84" spans="4:30" x14ac:dyDescent="0.15">
      <c r="D84" s="27">
        <f t="shared" si="7"/>
        <v>3367.6650911433312</v>
      </c>
      <c r="E84">
        <v>1995</v>
      </c>
      <c r="F84">
        <f>F53*pm.rep!B202*BTS_Q*pm.rep!B40^(0.5)</f>
        <v>12.126989431041032</v>
      </c>
      <c r="G84">
        <f>G53*pm.rep!C202*BTS_Q*pm.rep!C40^(0.5)</f>
        <v>7.4410297929122402</v>
      </c>
      <c r="H84">
        <f>H53*pm.rep!D202*BTS_Q*pm.rep!D40^(0.5)</f>
        <v>88.620517660055981</v>
      </c>
      <c r="I84">
        <f>I53*pm.rep!E202*BTS_Q*pm.rep!E40^(0.5)</f>
        <v>206.16569511967032</v>
      </c>
      <c r="J84">
        <f>J53*pm.rep!F202*BTS_Q*pm.rep!F40^(0.5)</f>
        <v>600.5129632893196</v>
      </c>
      <c r="K84">
        <f>K53*pm.rep!G202*BTS_Q*pm.rep!G40^(0.5)</f>
        <v>1322.8186806444676</v>
      </c>
      <c r="L84">
        <f>L53*pm.rep!H202*BTS_Q*pm.rep!H40^(0.5)</f>
        <v>329.42750047065886</v>
      </c>
      <c r="M84">
        <f>M53*pm.rep!I202*BTS_Q*pm.rep!I40^(0.5)</f>
        <v>127.97364070945001</v>
      </c>
      <c r="N84">
        <f>N53*pm.rep!J202*BTS_Q*pm.rep!J40^(0.5)</f>
        <v>107.47443248184089</v>
      </c>
      <c r="O84">
        <f>O53*pm.rep!K202*BTS_Q*pm.rep!K40^(0.5)</f>
        <v>120.71598204384898</v>
      </c>
      <c r="P84">
        <f>P53*pm.rep!L202*BTS_Q*pm.rep!L40^(0.5)</f>
        <v>178.74558913180454</v>
      </c>
      <c r="Q84">
        <f>Q53*pm.rep!M202*BTS_Q*pm.rep!M40^(0.5)</f>
        <v>48.359778862947813</v>
      </c>
      <c r="R84">
        <f>R53*pm.rep!N202*BTS_Q*pm.rep!N40^(0.5)</f>
        <v>118.97567891889837</v>
      </c>
      <c r="S84">
        <f>S53*pm.rep!O202*BTS_Q*pm.rep!O40^(0.5)</f>
        <v>23.748564039882073</v>
      </c>
      <c r="T84">
        <f>T53*pm.rep!P202*BTS_Q*pm.rep!P40^(0.5)</f>
        <v>74.558048546532916</v>
      </c>
      <c r="W84">
        <f t="shared" si="8"/>
        <v>0.34808510227880685</v>
      </c>
      <c r="X84">
        <f t="shared" si="9"/>
        <v>0.35300063698551493</v>
      </c>
      <c r="Y84">
        <f t="shared" si="10"/>
        <v>0.37244446696100103</v>
      </c>
      <c r="Z84">
        <f t="shared" si="11"/>
        <v>0.46181050980665161</v>
      </c>
      <c r="AA84">
        <f t="shared" si="12"/>
        <v>0.56040384824194023</v>
      </c>
      <c r="AB84">
        <f t="shared" si="13"/>
        <v>0.70471770823313706</v>
      </c>
      <c r="AC84">
        <f t="shared" si="14"/>
        <v>1.0037875747062643</v>
      </c>
      <c r="AD84">
        <f t="shared" si="15"/>
        <v>1.0885971507532741</v>
      </c>
    </row>
    <row r="85" spans="4:30" x14ac:dyDescent="0.15">
      <c r="D85" s="27">
        <f t="shared" si="7"/>
        <v>2697.8110470871698</v>
      </c>
      <c r="E85">
        <v>1996</v>
      </c>
      <c r="F85">
        <f>F54*pm.rep!B203*BTS_Q*pm.rep!B41^(0.5)</f>
        <v>22.670129950410374</v>
      </c>
      <c r="G85">
        <f>G54*pm.rep!C203*BTS_Q*pm.rep!C41^(0.5)</f>
        <v>3.3980196130736036</v>
      </c>
      <c r="H85">
        <f>H54*pm.rep!D203*BTS_Q*pm.rep!D41^(0.5)</f>
        <v>19.894992908051567</v>
      </c>
      <c r="I85">
        <f>I54*pm.rep!E203*BTS_Q*pm.rep!E41^(0.5)</f>
        <v>265.06171082753627</v>
      </c>
      <c r="J85">
        <f>J54*pm.rep!F203*BTS_Q*pm.rep!F41^(0.5)</f>
        <v>287.06864515703421</v>
      </c>
      <c r="K85">
        <f>K54*pm.rep!G203*BTS_Q*pm.rep!G41^(0.5)</f>
        <v>529.94692174948341</v>
      </c>
      <c r="L85">
        <f>L54*pm.rep!H203*BTS_Q*pm.rep!H41^(0.5)</f>
        <v>886.03132770338539</v>
      </c>
      <c r="M85">
        <f>M54*pm.rep!I203*BTS_Q*pm.rep!I41^(0.5)</f>
        <v>210.18361255948795</v>
      </c>
      <c r="N85">
        <f>N54*pm.rep!J203*BTS_Q*pm.rep!J41^(0.5)</f>
        <v>73.368936512013974</v>
      </c>
      <c r="O85">
        <f>O54*pm.rep!K203*BTS_Q*pm.rep!K41^(0.5)</f>
        <v>60.938312815086967</v>
      </c>
      <c r="P85">
        <f>P54*pm.rep!L203*BTS_Q*pm.rep!L41^(0.5)</f>
        <v>71.920084778353583</v>
      </c>
      <c r="Q85">
        <f>Q54*pm.rep!M203*BTS_Q*pm.rep!M41^(0.5)</f>
        <v>111.54622071490425</v>
      </c>
      <c r="R85">
        <f>R54*pm.rep!N203*BTS_Q*pm.rep!N41^(0.5)</f>
        <v>30.220699038002433</v>
      </c>
      <c r="S85">
        <f>S54*pm.rep!O203*BTS_Q*pm.rep!O41^(0.5)</f>
        <v>70.915779060302185</v>
      </c>
      <c r="T85">
        <f>T54*pm.rep!P203*BTS_Q*pm.rep!P41^(0.5)</f>
        <v>54.645653700043624</v>
      </c>
      <c r="W85">
        <f t="shared" si="8"/>
        <v>0.28423762715355794</v>
      </c>
      <c r="X85">
        <f t="shared" si="9"/>
        <v>0.29520340495269515</v>
      </c>
      <c r="Y85">
        <f t="shared" si="10"/>
        <v>0.3045017265791588</v>
      </c>
      <c r="Z85">
        <f t="shared" si="11"/>
        <v>0.3244148858787036</v>
      </c>
      <c r="AA85">
        <f t="shared" si="12"/>
        <v>0.47421938808891356</v>
      </c>
      <c r="AB85">
        <f t="shared" si="13"/>
        <v>0.58813752662946162</v>
      </c>
      <c r="AC85">
        <f t="shared" si="14"/>
        <v>0.72208852873639862</v>
      </c>
      <c r="AD85">
        <f t="shared" si="15"/>
        <v>0.97355437786280663</v>
      </c>
    </row>
    <row r="86" spans="4:30" x14ac:dyDescent="0.15">
      <c r="D86" s="27">
        <f t="shared" si="7"/>
        <v>3147.2894434564814</v>
      </c>
      <c r="E86">
        <v>1997</v>
      </c>
      <c r="F86">
        <f>F55*pm.rep!B204*BTS_Q*pm.rep!B42^(0.5)</f>
        <v>34.937239879802483</v>
      </c>
      <c r="G86">
        <f>G55*pm.rep!C204*BTS_Q*pm.rep!C42^(0.5)</f>
        <v>15.689332647799267</v>
      </c>
      <c r="H86">
        <f>H55*pm.rep!D204*BTS_Q*pm.rep!D42^(0.5)</f>
        <v>29.877363945103191</v>
      </c>
      <c r="I86">
        <f>I55*pm.rep!E204*BTS_Q*pm.rep!E42^(0.5)</f>
        <v>106.91432928619018</v>
      </c>
      <c r="J86">
        <f>J55*pm.rep!F204*BTS_Q*pm.rep!F42^(0.5)</f>
        <v>690.47594466114845</v>
      </c>
      <c r="K86">
        <f>K55*pm.rep!G204*BTS_Q*pm.rep!G42^(0.5)</f>
        <v>622.45695947729678</v>
      </c>
      <c r="L86">
        <f>L55*pm.rep!H204*BTS_Q*pm.rep!H42^(0.5)</f>
        <v>591.10659607146636</v>
      </c>
      <c r="M86">
        <f>M55*pm.rep!I204*BTS_Q*pm.rep!I42^(0.5)</f>
        <v>650.81334392641884</v>
      </c>
      <c r="N86">
        <f>N55*pm.rep!J204*BTS_Q*pm.rep!J42^(0.5)</f>
        <v>141.08645444643349</v>
      </c>
      <c r="O86">
        <f>O55*pm.rep!K204*BTS_Q*pm.rep!K42^(0.5)</f>
        <v>45.103074589991031</v>
      </c>
      <c r="P86">
        <f>P55*pm.rep!L204*BTS_Q*pm.rep!L42^(0.5)</f>
        <v>35.147400021945849</v>
      </c>
      <c r="Q86">
        <f>Q55*pm.rep!M204*BTS_Q*pm.rep!M42^(0.5)</f>
        <v>38.995487171042612</v>
      </c>
      <c r="R86">
        <f>R55*pm.rep!N204*BTS_Q*pm.rep!N42^(0.5)</f>
        <v>56.248654195252151</v>
      </c>
      <c r="S86">
        <f>S55*pm.rep!O204*BTS_Q*pm.rep!O42^(0.5)</f>
        <v>15.990261030531954</v>
      </c>
      <c r="T86">
        <f>T55*pm.rep!P204*BTS_Q*pm.rep!P42^(0.5)</f>
        <v>72.447002106058804</v>
      </c>
      <c r="W86">
        <f t="shared" si="8"/>
        <v>0.33896992227351475</v>
      </c>
      <c r="X86">
        <f t="shared" si="9"/>
        <v>0.36210501925735494</v>
      </c>
      <c r="Y86">
        <f t="shared" si="10"/>
        <v>0.39232672801080959</v>
      </c>
      <c r="Z86">
        <f t="shared" si="11"/>
        <v>0.41747601990542677</v>
      </c>
      <c r="AA86">
        <f t="shared" si="12"/>
        <v>0.45877568556156462</v>
      </c>
      <c r="AB86">
        <f t="shared" si="13"/>
        <v>0.63067419971427074</v>
      </c>
      <c r="AC86">
        <f t="shared" si="14"/>
        <v>0.76952538383477798</v>
      </c>
      <c r="AD86">
        <f t="shared" si="15"/>
        <v>0.87875574737825912</v>
      </c>
    </row>
    <row r="87" spans="4:30" x14ac:dyDescent="0.15">
      <c r="D87" s="27">
        <f t="shared" si="7"/>
        <v>2644.4197538965532</v>
      </c>
      <c r="E87">
        <v>1998</v>
      </c>
      <c r="F87">
        <f>F56*pm.rep!B205*BTS_Q*pm.rep!B43^(0.5)</f>
        <v>11.486783458500996</v>
      </c>
      <c r="G87">
        <f>G56*pm.rep!C205*BTS_Q*pm.rep!C43^(0.5)</f>
        <v>16.801838084665338</v>
      </c>
      <c r="H87">
        <f>H56*pm.rep!D205*BTS_Q*pm.rep!D43^(0.5)</f>
        <v>49.167278455102171</v>
      </c>
      <c r="I87">
        <f>I56*pm.rep!E205*BTS_Q*pm.rep!E43^(0.5)</f>
        <v>69.070810345756911</v>
      </c>
      <c r="J87">
        <f>J56*pm.rep!F205*BTS_Q*pm.rep!F43^(0.5)</f>
        <v>199.66689646852697</v>
      </c>
      <c r="K87">
        <f>K56*pm.rep!G205*BTS_Q*pm.rep!G43^(0.5)</f>
        <v>800.31926677516185</v>
      </c>
      <c r="L87">
        <f>L56*pm.rep!H205*BTS_Q*pm.rep!H43^(0.5)</f>
        <v>499.22913027156761</v>
      </c>
      <c r="M87">
        <f>M56*pm.rep!I205*BTS_Q*pm.rep!I43^(0.5)</f>
        <v>388.41264138350124</v>
      </c>
      <c r="N87">
        <f>N56*pm.rep!J205*BTS_Q*pm.rep!J43^(0.5)</f>
        <v>380.0103342892744</v>
      </c>
      <c r="O87">
        <f>O56*pm.rep!K205*BTS_Q*pm.rep!K43^(0.5)</f>
        <v>75.156035226954415</v>
      </c>
      <c r="P87">
        <f>P56*pm.rep!L205*BTS_Q*pm.rep!L43^(0.5)</f>
        <v>23.834655211242151</v>
      </c>
      <c r="Q87">
        <f>Q56*pm.rep!M205*BTS_Q*pm.rep!M43^(0.5)</f>
        <v>20.297022104486508</v>
      </c>
      <c r="R87">
        <f>R56*pm.rep!N205*BTS_Q*pm.rep!N43^(0.5)</f>
        <v>21.370683162331279</v>
      </c>
      <c r="S87">
        <f>S56*pm.rep!O205*BTS_Q*pm.rep!O43^(0.5)</f>
        <v>37.712035486703911</v>
      </c>
      <c r="T87">
        <f>T56*pm.rep!P205*BTS_Q*pm.rep!P43^(0.5)</f>
        <v>51.884343172777989</v>
      </c>
      <c r="W87">
        <f t="shared" si="8"/>
        <v>0.31735576344451327</v>
      </c>
      <c r="X87">
        <f t="shared" si="9"/>
        <v>0.32811686779394117</v>
      </c>
      <c r="Y87">
        <f t="shared" si="10"/>
        <v>0.3597557218277147</v>
      </c>
      <c r="Z87">
        <f t="shared" si="11"/>
        <v>0.40838750095262483</v>
      </c>
      <c r="AA87">
        <f t="shared" si="12"/>
        <v>0.44612814411372637</v>
      </c>
      <c r="AB87">
        <f t="shared" si="13"/>
        <v>0.50373448080447059</v>
      </c>
      <c r="AC87">
        <f t="shared" si="14"/>
        <v>0.69857915341404797</v>
      </c>
      <c r="AD87">
        <f t="shared" si="15"/>
        <v>0.83112572899670456</v>
      </c>
    </row>
    <row r="88" spans="4:30" x14ac:dyDescent="0.15">
      <c r="D88" s="27">
        <f t="shared" si="7"/>
        <v>4319.738108822452</v>
      </c>
      <c r="E88">
        <v>1999</v>
      </c>
      <c r="F88">
        <f>F57*pm.rep!B206*BTS_Q*pm.rep!B44^(0.5)</f>
        <v>11.972228373464448</v>
      </c>
      <c r="G88">
        <f>G57*pm.rep!C206*BTS_Q*pm.rep!C44^(0.5)</f>
        <v>18.103418518579279</v>
      </c>
      <c r="H88">
        <f>H57*pm.rep!D206*BTS_Q*pm.rep!D44^(0.5)</f>
        <v>163.28667244939876</v>
      </c>
      <c r="I88">
        <f>I57*pm.rep!E206*BTS_Q*pm.rep!E44^(0.5)</f>
        <v>312.24037937015402</v>
      </c>
      <c r="J88">
        <f>J57*pm.rep!F206*BTS_Q*pm.rep!F44^(0.5)</f>
        <v>244.0042532257927</v>
      </c>
      <c r="K88">
        <f>K57*pm.rep!G206*BTS_Q*pm.rep!G44^(0.5)</f>
        <v>459.47405276637954</v>
      </c>
      <c r="L88">
        <f>L57*pm.rep!H206*BTS_Q*pm.rep!H44^(0.5)</f>
        <v>1551.9375469450777</v>
      </c>
      <c r="M88">
        <f>M57*pm.rep!I206*BTS_Q*pm.rep!I44^(0.5)</f>
        <v>677.00524748286455</v>
      </c>
      <c r="N88">
        <f>N57*pm.rep!J206*BTS_Q*pm.rep!J44^(0.5)</f>
        <v>406.53065538343913</v>
      </c>
      <c r="O88">
        <f>O57*pm.rep!K206*BTS_Q*pm.rep!K44^(0.5)</f>
        <v>315.79418730463811</v>
      </c>
      <c r="P88">
        <f>P57*pm.rep!L206*BTS_Q*pm.rep!L44^(0.5)</f>
        <v>55.803172366744555</v>
      </c>
      <c r="Q88">
        <f>Q57*pm.rep!M206*BTS_Q*pm.rep!M44^(0.5)</f>
        <v>16.871370615352252</v>
      </c>
      <c r="R88">
        <f>R57*pm.rep!N206*BTS_Q*pm.rep!N44^(0.5)</f>
        <v>14.568457969197487</v>
      </c>
      <c r="S88">
        <f>S57*pm.rep!O206*BTS_Q*pm.rep!O44^(0.5)</f>
        <v>15.739167430430077</v>
      </c>
      <c r="T88">
        <f>T57*pm.rep!P206*BTS_Q*pm.rep!P44^(0.5)</f>
        <v>56.40729862093918</v>
      </c>
      <c r="W88">
        <f t="shared" si="8"/>
        <v>0.47906960171109553</v>
      </c>
      <c r="X88">
        <f t="shared" si="9"/>
        <v>0.49242469272994421</v>
      </c>
      <c r="Y88">
        <f t="shared" si="10"/>
        <v>0.51113409315966007</v>
      </c>
      <c r="Z88">
        <f t="shared" si="11"/>
        <v>0.60147865281765955</v>
      </c>
      <c r="AA88">
        <f t="shared" si="12"/>
        <v>0.71975088998732972</v>
      </c>
      <c r="AB88">
        <f t="shared" si="13"/>
        <v>0.7763045433771677</v>
      </c>
      <c r="AC88">
        <f t="shared" si="14"/>
        <v>0.82974880084860492</v>
      </c>
      <c r="AD88">
        <f t="shared" si="15"/>
        <v>0.97904216449769599</v>
      </c>
    </row>
    <row r="89" spans="4:30" x14ac:dyDescent="0.15">
      <c r="D89" s="27">
        <f t="shared" si="7"/>
        <v>4093.4917231695499</v>
      </c>
      <c r="E89">
        <v>2000</v>
      </c>
      <c r="F89">
        <f>F58*pm.rep!B207*BTS_Q*pm.rep!B45^(0.5)</f>
        <v>11.720549451420473</v>
      </c>
      <c r="G89">
        <f>G58*pm.rep!C207*BTS_Q*pm.rep!C45^(0.5)</f>
        <v>19.988222860322367</v>
      </c>
      <c r="H89">
        <f>H58*pm.rep!D207*BTS_Q*pm.rep!D45^(0.5)</f>
        <v>83.133975697088843</v>
      </c>
      <c r="I89">
        <f>I58*pm.rep!E207*BTS_Q*pm.rep!E45^(0.5)</f>
        <v>464.5299624220869</v>
      </c>
      <c r="J89">
        <f>J58*pm.rep!F207*BTS_Q*pm.rep!F45^(0.5)</f>
        <v>538.58302683469731</v>
      </c>
      <c r="K89">
        <f>K58*pm.rep!G207*BTS_Q*pm.rep!G45^(0.5)</f>
        <v>331.02873090530005</v>
      </c>
      <c r="L89">
        <f>L58*pm.rep!H207*BTS_Q*pm.rep!H45^(0.5)</f>
        <v>523.73770993108656</v>
      </c>
      <c r="M89">
        <f>M58*pm.rep!I207*BTS_Q*pm.rep!I45^(0.5)</f>
        <v>1138.3381818068622</v>
      </c>
      <c r="N89">
        <f>N58*pm.rep!J207*BTS_Q*pm.rep!J45^(0.5)</f>
        <v>426.65269985454</v>
      </c>
      <c r="O89">
        <f>O58*pm.rep!K207*BTS_Q*pm.rep!K45^(0.5)</f>
        <v>243.82686532297814</v>
      </c>
      <c r="P89">
        <f>P58*pm.rep!L207*BTS_Q*pm.rep!L45^(0.5)</f>
        <v>211.03487535831155</v>
      </c>
      <c r="Q89">
        <f>Q58*pm.rep!M207*BTS_Q*pm.rep!M45^(0.5)</f>
        <v>35.373800827979998</v>
      </c>
      <c r="R89">
        <f>R58*pm.rep!N207*BTS_Q*pm.rep!N45^(0.5)</f>
        <v>10.678943281354037</v>
      </c>
      <c r="S89">
        <f>S58*pm.rep!O207*BTS_Q*pm.rep!O45^(0.5)</f>
        <v>8.0103041113558575</v>
      </c>
      <c r="T89">
        <f>T58*pm.rep!P207*BTS_Q*pm.rep!P45^(0.5)</f>
        <v>46.853874504165965</v>
      </c>
      <c r="W89">
        <f t="shared" si="8"/>
        <v>0.46984945506680476</v>
      </c>
      <c r="X89">
        <f t="shared" si="9"/>
        <v>0.49049482196968858</v>
      </c>
      <c r="Y89">
        <f t="shared" si="10"/>
        <v>0.51308700835554732</v>
      </c>
      <c r="Z89">
        <f t="shared" si="11"/>
        <v>0.55635667320045368</v>
      </c>
      <c r="AA89">
        <f t="shared" si="12"/>
        <v>0.715967317707356</v>
      </c>
      <c r="AB89">
        <f t="shared" si="13"/>
        <v>0.86744496558345197</v>
      </c>
      <c r="AC89">
        <f t="shared" si="14"/>
        <v>0.92437456411980912</v>
      </c>
      <c r="AD89">
        <f t="shared" si="15"/>
        <v>0.97362264930293529</v>
      </c>
    </row>
    <row r="90" spans="4:30" x14ac:dyDescent="0.15">
      <c r="D90" s="27">
        <f t="shared" si="7"/>
        <v>3709.3432114409429</v>
      </c>
      <c r="E90">
        <v>2001</v>
      </c>
      <c r="F90">
        <f>F59*pm.rep!B208*BTS_Q*pm.rep!B46^(0.5)</f>
        <v>25.469384188600284</v>
      </c>
      <c r="G90">
        <f>G59*pm.rep!C208*BTS_Q*pm.rep!C46^(0.5)</f>
        <v>22.680256711956488</v>
      </c>
      <c r="H90">
        <f>H59*pm.rep!D208*BTS_Q*pm.rep!D46^(0.5)</f>
        <v>43.402176332001709</v>
      </c>
      <c r="I90">
        <f>I59*pm.rep!E208*BTS_Q*pm.rep!E46^(0.5)</f>
        <v>193.94307797757764</v>
      </c>
      <c r="J90">
        <f>J59*pm.rep!F208*BTS_Q*pm.rep!F46^(0.5)</f>
        <v>661.56876225253507</v>
      </c>
      <c r="K90">
        <f>K59*pm.rep!G208*BTS_Q*pm.rep!G46^(0.5)</f>
        <v>589.87115806443398</v>
      </c>
      <c r="L90">
        <f>L59*pm.rep!H208*BTS_Q*pm.rep!H46^(0.5)</f>
        <v>320.93117936839388</v>
      </c>
      <c r="M90">
        <f>M59*pm.rep!I208*BTS_Q*pm.rep!I46^(0.5)</f>
        <v>423.51277995883294</v>
      </c>
      <c r="N90">
        <f>N59*pm.rep!J208*BTS_Q*pm.rep!J46^(0.5)</f>
        <v>789.68180280766137</v>
      </c>
      <c r="O90">
        <f>O59*pm.rep!K208*BTS_Q*pm.rep!K46^(0.5)</f>
        <v>283.36605645467341</v>
      </c>
      <c r="P90">
        <f>P59*pm.rep!L208*BTS_Q*pm.rep!L46^(0.5)</f>
        <v>165.06264549140326</v>
      </c>
      <c r="Q90">
        <f>Q59*pm.rep!M208*BTS_Q*pm.rep!M46^(0.5)</f>
        <v>128.23465743429645</v>
      </c>
      <c r="R90">
        <f>R59*pm.rep!N208*BTS_Q*pm.rep!N46^(0.5)</f>
        <v>22.985697123177161</v>
      </c>
      <c r="S90">
        <f>S59*pm.rep!O208*BTS_Q*pm.rep!O46^(0.5)</f>
        <v>6.760523215658619</v>
      </c>
      <c r="T90">
        <f>T59*pm.rep!P208*BTS_Q*pm.rep!P46^(0.5)</f>
        <v>31.873054059740618</v>
      </c>
      <c r="W90">
        <f t="shared" si="8"/>
        <v>0.42121348367896655</v>
      </c>
      <c r="X90">
        <f t="shared" si="9"/>
        <v>0.45714533220375603</v>
      </c>
      <c r="Y90">
        <f t="shared" si="10"/>
        <v>0.49033915069102146</v>
      </c>
      <c r="Z90">
        <f t="shared" si="11"/>
        <v>0.5196848745767183</v>
      </c>
      <c r="AA90">
        <f t="shared" si="12"/>
        <v>0.58920004379083946</v>
      </c>
      <c r="AB90">
        <f t="shared" si="13"/>
        <v>0.77094192787975213</v>
      </c>
      <c r="AC90">
        <f t="shared" si="14"/>
        <v>0.92870168360802718</v>
      </c>
      <c r="AD90">
        <f t="shared" si="15"/>
        <v>0.98891034478759421</v>
      </c>
    </row>
    <row r="91" spans="4:30" x14ac:dyDescent="0.15">
      <c r="D91" s="27">
        <f t="shared" si="7"/>
        <v>3638.8295204782225</v>
      </c>
      <c r="E91">
        <v>2002</v>
      </c>
      <c r="F91">
        <f>F60*pm.rep!B209*BTS_Q*pm.rep!B47^(0.5)</f>
        <v>10.295006691567636</v>
      </c>
      <c r="G91">
        <f>G60*pm.rep!C209*BTS_Q*pm.rep!C47^(0.5)</f>
        <v>32.861116951645847</v>
      </c>
      <c r="H91">
        <f>H60*pm.rep!D209*BTS_Q*pm.rep!D47^(0.5)</f>
        <v>126.81074679446638</v>
      </c>
      <c r="I91">
        <f>I60*pm.rep!E209*BTS_Q*pm.rep!E47^(0.5)</f>
        <v>191.13411087836235</v>
      </c>
      <c r="J91">
        <f>J60*pm.rep!F209*BTS_Q*pm.rep!F47^(0.5)</f>
        <v>372.63893379815983</v>
      </c>
      <c r="K91">
        <f>K60*pm.rep!G209*BTS_Q*pm.rep!G47^(0.5)</f>
        <v>823.87386685374975</v>
      </c>
      <c r="L91">
        <f>L60*pm.rep!H209*BTS_Q*pm.rep!H47^(0.5)</f>
        <v>587.25346581367478</v>
      </c>
      <c r="M91">
        <f>M60*pm.rep!I209*BTS_Q*pm.rep!I47^(0.5)</f>
        <v>274.34631713523248</v>
      </c>
      <c r="N91">
        <f>N60*pm.rep!J209*BTS_Q*pm.rep!J47^(0.5)</f>
        <v>296.91215227077743</v>
      </c>
      <c r="O91">
        <f>O60*pm.rep!K209*BTS_Q*pm.rep!K47^(0.5)</f>
        <v>532.34309234679381</v>
      </c>
      <c r="P91">
        <f>P60*pm.rep!L209*BTS_Q*pm.rep!L47^(0.5)</f>
        <v>177.09582086629695</v>
      </c>
      <c r="Q91">
        <f>Q60*pm.rep!M209*BTS_Q*pm.rep!M47^(0.5)</f>
        <v>99.316745683090261</v>
      </c>
      <c r="R91">
        <f>R60*pm.rep!N209*BTS_Q*pm.rep!N47^(0.5)</f>
        <v>76.134913267664942</v>
      </c>
      <c r="S91">
        <f>S60*pm.rep!O209*BTS_Q*pm.rep!O47^(0.5)</f>
        <v>14.256252287745582</v>
      </c>
      <c r="T91">
        <f>T60*pm.rep!P209*BTS_Q*pm.rep!P47^(0.5)</f>
        <v>23.556978838994734</v>
      </c>
      <c r="W91">
        <f t="shared" si="8"/>
        <v>0.38138519892090778</v>
      </c>
      <c r="X91">
        <f t="shared" si="9"/>
        <v>0.40101762461470503</v>
      </c>
      <c r="Y91">
        <f t="shared" si="10"/>
        <v>0.45243583079050975</v>
      </c>
      <c r="Z91">
        <f t="shared" si="11"/>
        <v>0.55509319472915375</v>
      </c>
      <c r="AA91">
        <f t="shared" si="12"/>
        <v>0.64650798510994911</v>
      </c>
      <c r="AB91">
        <f t="shared" si="13"/>
        <v>0.74793265439353485</v>
      </c>
      <c r="AC91">
        <f t="shared" si="14"/>
        <v>0.92492676626819248</v>
      </c>
      <c r="AD91">
        <f t="shared" si="15"/>
        <v>1.0320713475199601</v>
      </c>
    </row>
    <row r="92" spans="4:30" x14ac:dyDescent="0.15">
      <c r="D92" s="27">
        <f t="shared" si="7"/>
        <v>2907.5133611155284</v>
      </c>
      <c r="E92">
        <v>2003</v>
      </c>
      <c r="F92">
        <f>F61*pm.rep!B210*BTS_Q*pm.rep!B48^(0.5)</f>
        <v>4.4708088064817391</v>
      </c>
      <c r="G92">
        <f>G61*pm.rep!C210*BTS_Q*pm.rep!C48^(0.5)</f>
        <v>14.048610227366385</v>
      </c>
      <c r="H92">
        <f>H61*pm.rep!D210*BTS_Q*pm.rep!D48^(0.5)</f>
        <v>99.713638954228315</v>
      </c>
      <c r="I92">
        <f>I61*pm.rep!E210*BTS_Q*pm.rep!E48^(0.5)</f>
        <v>216.6186363658054</v>
      </c>
      <c r="J92">
        <f>J61*pm.rep!F210*BTS_Q*pm.rep!F48^(0.5)</f>
        <v>277.93986873925127</v>
      </c>
      <c r="K92">
        <f>K61*pm.rep!G210*BTS_Q*pm.rep!G48^(0.5)</f>
        <v>357.39240995210002</v>
      </c>
      <c r="L92">
        <f>L61*pm.rep!H210*BTS_Q*pm.rep!H48^(0.5)</f>
        <v>612.28924576991074</v>
      </c>
      <c r="M92">
        <f>M61*pm.rep!I210*BTS_Q*pm.rep!I48^(0.5)</f>
        <v>408.90117514914886</v>
      </c>
      <c r="N92">
        <f>N61*pm.rep!J210*BTS_Q*pm.rep!J48^(0.5)</f>
        <v>166.24362168252162</v>
      </c>
      <c r="O92">
        <f>O61*pm.rep!K210*BTS_Q*pm.rep!K48^(0.5)</f>
        <v>177.40708143922333</v>
      </c>
      <c r="P92">
        <f>P61*pm.rep!L210*BTS_Q*pm.rep!L48^(0.5)</f>
        <v>316.19185116321023</v>
      </c>
      <c r="Q92">
        <f>Q61*pm.rep!M210*BTS_Q*pm.rep!M48^(0.5)</f>
        <v>107.47176687872611</v>
      </c>
      <c r="R92">
        <f>R61*pm.rep!N210*BTS_Q*pm.rep!N48^(0.5)</f>
        <v>68.284659447039743</v>
      </c>
      <c r="S92">
        <f>S61*pm.rep!O210*BTS_Q*pm.rep!O48^(0.5)</f>
        <v>55.50042449583993</v>
      </c>
      <c r="T92">
        <f>T61*pm.rep!P210*BTS_Q*pm.rep!P48^(0.5)</f>
        <v>25.039562044674241</v>
      </c>
      <c r="W92">
        <f t="shared" si="8"/>
        <v>0.27345650695227852</v>
      </c>
      <c r="X92">
        <f t="shared" si="9"/>
        <v>0.28146783026026367</v>
      </c>
      <c r="Y92">
        <f t="shared" si="10"/>
        <v>0.31175120622765568</v>
      </c>
      <c r="Z92">
        <f t="shared" si="11"/>
        <v>0.4207124594799907</v>
      </c>
      <c r="AA92">
        <f t="shared" si="12"/>
        <v>0.58762605386998923</v>
      </c>
      <c r="AB92">
        <f t="shared" si="13"/>
        <v>0.74242503768255375</v>
      </c>
      <c r="AC92">
        <f t="shared" si="14"/>
        <v>0.86580574748445982</v>
      </c>
      <c r="AD92">
        <f t="shared" si="15"/>
        <v>1.00544299478844</v>
      </c>
    </row>
    <row r="93" spans="4:30" x14ac:dyDescent="0.15">
      <c r="D93" s="27">
        <f t="shared" si="7"/>
        <v>3284.8969353185016</v>
      </c>
      <c r="E93">
        <v>2004</v>
      </c>
      <c r="F93">
        <f>F62*pm.rep!B211*BTS_Q*pm.rep!B49^(0.5)</f>
        <v>6.8831443946072213</v>
      </c>
      <c r="G93">
        <f>G62*pm.rep!C211*BTS_Q*pm.rep!C49^(0.5)</f>
        <v>10.496153492869901</v>
      </c>
      <c r="H93">
        <f>H62*pm.rep!D211*BTS_Q*pm.rep!D49^(0.5)</f>
        <v>89.088022040608251</v>
      </c>
      <c r="I93">
        <f>I62*pm.rep!E211*BTS_Q*pm.rep!E49^(0.5)</f>
        <v>377.92367296004721</v>
      </c>
      <c r="J93">
        <f>J62*pm.rep!F211*BTS_Q*pm.rep!F49^(0.5)</f>
        <v>541.53597356423575</v>
      </c>
      <c r="K93">
        <f>K62*pm.rep!G211*BTS_Q*pm.rep!G49^(0.5)</f>
        <v>486.31336376853136</v>
      </c>
      <c r="L93">
        <f>L62*pm.rep!H211*BTS_Q*pm.rep!H49^(0.5)</f>
        <v>404.59953825703843</v>
      </c>
      <c r="M93">
        <f>M62*pm.rep!I211*BTS_Q*pm.rep!I49^(0.5)</f>
        <v>491.36427973782435</v>
      </c>
      <c r="N93">
        <f>N62*pm.rep!J211*BTS_Q*pm.rep!J49^(0.5)</f>
        <v>289.51101755861919</v>
      </c>
      <c r="O93">
        <f>O62*pm.rep!K211*BTS_Q*pm.rep!K49^(0.5)</f>
        <v>110.52132645726071</v>
      </c>
      <c r="P93">
        <f>P62*pm.rep!L211*BTS_Q*pm.rep!L49^(0.5)</f>
        <v>117.03591159094557</v>
      </c>
      <c r="Q93">
        <f>Q62*pm.rep!M211*BTS_Q*pm.rep!M49^(0.5)</f>
        <v>203.50213617805625</v>
      </c>
      <c r="R93">
        <f>R62*pm.rep!N211*BTS_Q*pm.rep!N49^(0.5)</f>
        <v>67.281866769046033</v>
      </c>
      <c r="S93">
        <f>S62*pm.rep!O211*BTS_Q*pm.rep!O49^(0.5)</f>
        <v>39.916725308966193</v>
      </c>
      <c r="T93">
        <f>T62*pm.rep!P211*BTS_Q*pm.rep!P49^(0.5)</f>
        <v>48.923803239844773</v>
      </c>
      <c r="W93">
        <f t="shared" si="8"/>
        <v>0.32402885613008175</v>
      </c>
      <c r="X93">
        <f t="shared" si="9"/>
        <v>0.32938721501949397</v>
      </c>
      <c r="Y93">
        <f t="shared" si="10"/>
        <v>0.34917118616870307</v>
      </c>
      <c r="Z93">
        <f t="shared" si="11"/>
        <v>0.41680182174988972</v>
      </c>
      <c r="AA93">
        <f t="shared" si="12"/>
        <v>0.60791143412783022</v>
      </c>
      <c r="AB93">
        <f t="shared" si="13"/>
        <v>0.82614578444288234</v>
      </c>
      <c r="AC93">
        <f t="shared" si="14"/>
        <v>0.966350443634726</v>
      </c>
      <c r="AD93">
        <f t="shared" si="15"/>
        <v>1.0407535618626926</v>
      </c>
    </row>
    <row r="94" spans="4:30" x14ac:dyDescent="0.15">
      <c r="D94" s="27">
        <f t="shared" si="7"/>
        <v>3987.5173141693981</v>
      </c>
      <c r="E94">
        <v>2005</v>
      </c>
      <c r="F94">
        <f>F63*pm.rep!B212*BTS_Q*pm.rep!B50^(0.5)</f>
        <v>5.3364218583969514</v>
      </c>
      <c r="G94">
        <f>G63*pm.rep!C212*BTS_Q*pm.rep!C50^(0.5)</f>
        <v>4.2298275466639499</v>
      </c>
      <c r="H94">
        <f>H63*pm.rep!D212*BTS_Q*pm.rep!D50^(0.5)</f>
        <v>52.884868931165627</v>
      </c>
      <c r="I94">
        <f>I63*pm.rep!E212*BTS_Q*pm.rep!E50^(0.5)</f>
        <v>354.77319686957009</v>
      </c>
      <c r="J94">
        <f>J63*pm.rep!F212*BTS_Q*pm.rep!F50^(0.5)</f>
        <v>953.85855409388478</v>
      </c>
      <c r="K94">
        <f>K63*pm.rep!G212*BTS_Q*pm.rep!G50^(0.5)</f>
        <v>898.7249511206827</v>
      </c>
      <c r="L94">
        <f>L63*pm.rep!H212*BTS_Q*pm.rep!H50^(0.5)</f>
        <v>513.2131697321131</v>
      </c>
      <c r="M94">
        <f>M63*pm.rep!I212*BTS_Q*pm.rep!I50^(0.5)</f>
        <v>314.74839436947906</v>
      </c>
      <c r="N94">
        <f>N63*pm.rep!J212*BTS_Q*pm.rep!J50^(0.5)</f>
        <v>339.78615348051665</v>
      </c>
      <c r="O94">
        <f>O63*pm.rep!K212*BTS_Q*pm.rep!K50^(0.5)</f>
        <v>175.01173886453296</v>
      </c>
      <c r="P94">
        <f>P63*pm.rep!L212*BTS_Q*pm.rep!L50^(0.5)</f>
        <v>73.280887625350189</v>
      </c>
      <c r="Q94">
        <f>Q63*pm.rep!M212*BTS_Q*pm.rep!M50^(0.5)</f>
        <v>73.193774543026947</v>
      </c>
      <c r="R94">
        <f>R63*pm.rep!N212*BTS_Q*pm.rep!N50^(0.5)</f>
        <v>123.87612663203886</v>
      </c>
      <c r="S94">
        <f>S63*pm.rep!O212*BTS_Q*pm.rep!O50^(0.5)</f>
        <v>54.825498492534138</v>
      </c>
      <c r="T94">
        <f>T63*pm.rep!P212*BTS_Q*pm.rep!P50^(0.5)</f>
        <v>49.773750009441365</v>
      </c>
      <c r="W94">
        <f t="shared" si="8"/>
        <v>0.4861130129844829</v>
      </c>
      <c r="X94">
        <f t="shared" si="9"/>
        <v>0.49186867154699659</v>
      </c>
      <c r="Y94">
        <f t="shared" si="10"/>
        <v>0.5017283128024147</v>
      </c>
      <c r="Z94">
        <f t="shared" si="11"/>
        <v>0.54250854129837067</v>
      </c>
      <c r="AA94">
        <f t="shared" si="12"/>
        <v>0.66231362572753849</v>
      </c>
      <c r="AB94">
        <f t="shared" si="13"/>
        <v>0.87644237026111138</v>
      </c>
      <c r="AC94">
        <f t="shared" si="14"/>
        <v>1.0380928554075013</v>
      </c>
      <c r="AD94">
        <f t="shared" si="15"/>
        <v>1.1016273432697967</v>
      </c>
    </row>
    <row r="95" spans="4:30" x14ac:dyDescent="0.15">
      <c r="D95" s="27">
        <f t="shared" si="7"/>
        <v>2971.1771772386401</v>
      </c>
      <c r="E95">
        <v>2006</v>
      </c>
      <c r="F95">
        <f>F64*pm.rep!B213*BTS_Q*pm.rep!B51^(0.5)</f>
        <v>14.304687095710619</v>
      </c>
      <c r="G95">
        <f>G64*pm.rep!C213*BTS_Q*pm.rep!C51^(0.5)</f>
        <v>1.5678473201208041</v>
      </c>
      <c r="H95">
        <f>H64*pm.rep!D213*BTS_Q*pm.rep!D51^(0.5)</f>
        <v>9.1134254981591223</v>
      </c>
      <c r="I95">
        <f>I64*pm.rep!E213*BTS_Q*pm.rep!E51^(0.5)</f>
        <v>92.919910434480869</v>
      </c>
      <c r="J95">
        <f>J64*pm.rep!F213*BTS_Q*pm.rep!F51^(0.5)</f>
        <v>378.93520260254064</v>
      </c>
      <c r="K95">
        <f>K64*pm.rep!G213*BTS_Q*pm.rep!G51^(0.5)</f>
        <v>690.53629751698054</v>
      </c>
      <c r="L95">
        <f>L64*pm.rep!H213*BTS_Q*pm.rep!H51^(0.5)</f>
        <v>620.65535316802413</v>
      </c>
      <c r="M95">
        <f>M64*pm.rep!I213*BTS_Q*pm.rep!I51^(0.5)</f>
        <v>326.86236520051125</v>
      </c>
      <c r="N95">
        <f>N64*pm.rep!J213*BTS_Q*pm.rep!J51^(0.5)</f>
        <v>223.2410320441922</v>
      </c>
      <c r="O95">
        <f>O64*pm.rep!K213*BTS_Q*pm.rep!K51^(0.5)</f>
        <v>244.15676881015798</v>
      </c>
      <c r="P95">
        <f>P64*pm.rep!L213*BTS_Q*pm.rep!L51^(0.5)</f>
        <v>125.75124881069733</v>
      </c>
      <c r="Q95">
        <f>Q64*pm.rep!M213*BTS_Q*pm.rep!M51^(0.5)</f>
        <v>49.135859521279656</v>
      </c>
      <c r="R95">
        <f>R64*pm.rep!N213*BTS_Q*pm.rep!N51^(0.5)</f>
        <v>50.419778349614539</v>
      </c>
      <c r="S95">
        <f>S64*pm.rep!O213*BTS_Q*pm.rep!O51^(0.5)</f>
        <v>83.732714839930253</v>
      </c>
      <c r="T95">
        <f>T64*pm.rep!P213*BTS_Q*pm.rep!P51^(0.5)</f>
        <v>59.844686026239714</v>
      </c>
      <c r="W95">
        <f t="shared" si="8"/>
        <v>0.42842351180242438</v>
      </c>
      <c r="X95">
        <f t="shared" si="9"/>
        <v>0.44302445749135028</v>
      </c>
      <c r="Y95">
        <f t="shared" si="10"/>
        <v>0.45244798578086853</v>
      </c>
      <c r="Z95">
        <f t="shared" si="11"/>
        <v>0.47046296157043577</v>
      </c>
      <c r="AA95">
        <f t="shared" si="12"/>
        <v>0.54392293593754892</v>
      </c>
      <c r="AB95">
        <f t="shared" si="13"/>
        <v>0.70311450287721466</v>
      </c>
      <c r="AC95">
        <f t="shared" si="14"/>
        <v>0.90446310074765135</v>
      </c>
      <c r="AD95">
        <f t="shared" si="15"/>
        <v>1.0365167374641531</v>
      </c>
    </row>
    <row r="96" spans="4:30" x14ac:dyDescent="0.15">
      <c r="D96" s="27">
        <f>SUM(F96:T96)</f>
        <v>3988.1638926426876</v>
      </c>
      <c r="E96">
        <v>2007</v>
      </c>
      <c r="F96">
        <f>F65*pm.rep!B214*BTS_Q*pm.rep!B52^(0.5)</f>
        <v>30.343977416131878</v>
      </c>
      <c r="G96">
        <f>G65*pm.rep!C214*BTS_Q*pm.rep!C52^(0.5)</f>
        <v>9.5853412170563832</v>
      </c>
      <c r="H96">
        <f>H65*pm.rep!D214*BTS_Q*pm.rep!D52^(0.5)</f>
        <v>22.781939999648181</v>
      </c>
      <c r="I96">
        <f>I65*pm.rep!E214*BTS_Q*pm.rep!E52^(0.5)</f>
        <v>108.0833122425005</v>
      </c>
      <c r="J96">
        <f>J65*pm.rep!F214*BTS_Q*pm.rep!F52^(0.5)</f>
        <v>451.58850072906904</v>
      </c>
      <c r="K96">
        <f>K65*pm.rep!G214*BTS_Q*pm.rep!G52^(0.5)</f>
        <v>913.22555928164718</v>
      </c>
      <c r="L96">
        <f>L65*pm.rep!H214*BTS_Q*pm.rep!H52^(0.5)</f>
        <v>1050.746722861727</v>
      </c>
      <c r="M96">
        <f>M65*pm.rep!I214*BTS_Q*pm.rep!I52^(0.5)</f>
        <v>613.48906349362414</v>
      </c>
      <c r="N96">
        <f>N65*pm.rep!J214*BTS_Q*pm.rep!J52^(0.5)</f>
        <v>258.47714993735349</v>
      </c>
      <c r="O96">
        <f>O65*pm.rep!K214*BTS_Q*pm.rep!K52^(0.5)</f>
        <v>153.27205411112482</v>
      </c>
      <c r="P96">
        <f>P65*pm.rep!L214*BTS_Q*pm.rep!L52^(0.5)</f>
        <v>154.86274968054315</v>
      </c>
      <c r="Q96">
        <f>Q65*pm.rep!M214*BTS_Q*pm.rep!M52^(0.5)</f>
        <v>74.155926297430014</v>
      </c>
      <c r="R96">
        <f>R65*pm.rep!N214*BTS_Q*pm.rep!N52^(0.5)</f>
        <v>31.654844424652307</v>
      </c>
      <c r="S96">
        <f>S65*pm.rep!O214*BTS_Q*pm.rep!O52^(0.5)</f>
        <v>29.424603543406281</v>
      </c>
      <c r="T96">
        <f>T65*pm.rep!P214*BTS_Q*pm.rep!P52^(0.5)</f>
        <v>86.472147406773701</v>
      </c>
      <c r="W96">
        <f>AVERAGE(W71:W93)</f>
        <v>0.4610811412911876</v>
      </c>
      <c r="X96">
        <f t="shared" ref="X96:AD99" si="16">AVERAGE(X71:X93)</f>
        <v>0.48393928153273336</v>
      </c>
      <c r="Y96">
        <f t="shared" si="16"/>
        <v>0.52259133035812733</v>
      </c>
      <c r="Z96">
        <f t="shared" si="16"/>
        <v>0.59979386693265713</v>
      </c>
      <c r="AA96">
        <f t="shared" si="16"/>
        <v>0.7221903708538896</v>
      </c>
      <c r="AB96">
        <f t="shared" si="16"/>
        <v>0.85137184832708523</v>
      </c>
      <c r="AC96">
        <f t="shared" si="16"/>
        <v>0.96089130514000476</v>
      </c>
      <c r="AD96">
        <f t="shared" si="16"/>
        <v>1.037614139625189</v>
      </c>
    </row>
    <row r="97" spans="4:30" x14ac:dyDescent="0.15">
      <c r="D97" s="27">
        <f>SUM(F97:T97)</f>
        <v>2839.8459973167082</v>
      </c>
      <c r="E97">
        <v>2008</v>
      </c>
      <c r="F97">
        <f>F66*pm.rep!B215*BTS_Q*pm.rep!B53^(0.5)</f>
        <v>9.4453622068068466</v>
      </c>
      <c r="G97">
        <f>G66*pm.rep!C215*BTS_Q*pm.rep!C53^(0.5)</f>
        <v>9.3045871321427622</v>
      </c>
      <c r="H97">
        <f>H66*pm.rep!D215*BTS_Q*pm.rep!D53^(0.5)</f>
        <v>29.804915862221037</v>
      </c>
      <c r="I97">
        <f>I66*pm.rep!E215*BTS_Q*pm.rep!E53^(0.5)</f>
        <v>61.714581889772496</v>
      </c>
      <c r="J97">
        <f>J66*pm.rep!F215*BTS_Q*pm.rep!F53^(0.5)</f>
        <v>189.56542674049842</v>
      </c>
      <c r="K97">
        <f>K66*pm.rep!G215*BTS_Q*pm.rep!G53^(0.5)</f>
        <v>502.05568556029311</v>
      </c>
      <c r="L97">
        <f>L66*pm.rep!H215*BTS_Q*pm.rep!H53^(0.5)</f>
        <v>635.28364911536084</v>
      </c>
      <c r="M97">
        <f>M66*pm.rep!I215*BTS_Q*pm.rep!I53^(0.5)</f>
        <v>604.53034153168278</v>
      </c>
      <c r="N97">
        <f>N66*pm.rep!J215*BTS_Q*pm.rep!J53^(0.5)</f>
        <v>343.50293327276029</v>
      </c>
      <c r="O97">
        <f>O66*pm.rep!K215*BTS_Q*pm.rep!K53^(0.5)</f>
        <v>150.50468706626873</v>
      </c>
      <c r="P97">
        <f>P66*pm.rep!L215*BTS_Q*pm.rep!L53^(0.5)</f>
        <v>87.266641249699802</v>
      </c>
      <c r="Q97">
        <f>Q66*pm.rep!M215*BTS_Q*pm.rep!M53^(0.5)</f>
        <v>83.428817114501044</v>
      </c>
      <c r="R97">
        <f>R66*pm.rep!N215*BTS_Q*pm.rep!N53^(0.5)</f>
        <v>45.304402675579382</v>
      </c>
      <c r="S97">
        <f>S66*pm.rep!O215*BTS_Q*pm.rep!O53^(0.5)</f>
        <v>18.802547678084952</v>
      </c>
      <c r="T97">
        <f>T66*pm.rep!P215*BTS_Q*pm.rep!P53^(0.5)</f>
        <v>69.331418221036543</v>
      </c>
      <c r="W97">
        <f>AVERAGE(W72:W94)</f>
        <v>0.46348511569465639</v>
      </c>
      <c r="X97">
        <f t="shared" si="16"/>
        <v>0.48558081726386709</v>
      </c>
      <c r="Y97">
        <f t="shared" si="16"/>
        <v>0.52281640239100358</v>
      </c>
      <c r="Z97">
        <f t="shared" si="16"/>
        <v>0.59957040527968497</v>
      </c>
      <c r="AA97">
        <f t="shared" si="16"/>
        <v>0.71752746963519221</v>
      </c>
      <c r="AB97">
        <f t="shared" si="16"/>
        <v>0.84880236271859932</v>
      </c>
      <c r="AC97">
        <f t="shared" si="16"/>
        <v>0.96156400812548204</v>
      </c>
      <c r="AD97">
        <f t="shared" si="16"/>
        <v>1.0388845323870985</v>
      </c>
    </row>
    <row r="98" spans="4:30" x14ac:dyDescent="0.15">
      <c r="D98" s="27">
        <f>SUM(F98:T98)</f>
        <v>2593.561893620792</v>
      </c>
      <c r="E98">
        <v>2009</v>
      </c>
      <c r="F98">
        <f>F67*pm.rep!B216*BTS_Q*pm.rep!B54^(0.5)</f>
        <v>16.456317100931663</v>
      </c>
      <c r="G98">
        <f>G67*pm.rep!C216*BTS_Q*pm.rep!C54^(0.5)</f>
        <v>4.804404291656021</v>
      </c>
      <c r="H98">
        <f>H67*pm.rep!D216*BTS_Q*pm.rep!D54^(0.5)</f>
        <v>89.033025941959664</v>
      </c>
      <c r="I98">
        <f>I67*pm.rep!E216*BTS_Q*pm.rep!E54^(0.5)</f>
        <v>192.57957004227595</v>
      </c>
      <c r="J98">
        <f>J67*pm.rep!F216*BTS_Q*pm.rep!F54^(0.5)</f>
        <v>178.82758441180417</v>
      </c>
      <c r="K98">
        <f>K67*pm.rep!G216*BTS_Q*pm.rep!G54^(0.5)</f>
        <v>255.90738490494343</v>
      </c>
      <c r="L98">
        <f>L67*pm.rep!H216*BTS_Q*pm.rep!H54^(0.5)</f>
        <v>460.5685898483984</v>
      </c>
      <c r="M98">
        <f>M67*pm.rep!I216*BTS_Q*pm.rep!I54^(0.5)</f>
        <v>471.92106505266605</v>
      </c>
      <c r="N98">
        <f>N67*pm.rep!J216*BTS_Q*pm.rep!J54^(0.5)</f>
        <v>415.579445644359</v>
      </c>
      <c r="O98">
        <f>O67*pm.rep!K216*BTS_Q*pm.rep!K54^(0.5)</f>
        <v>228.43864418148354</v>
      </c>
      <c r="P98">
        <f>P67*pm.rep!L216*BTS_Q*pm.rep!L54^(0.5)</f>
        <v>94.620066775013044</v>
      </c>
      <c r="Q98">
        <f>Q67*pm.rep!M216*BTS_Q*pm.rep!M54^(0.5)</f>
        <v>44.557800247376974</v>
      </c>
      <c r="R98">
        <f>R67*pm.rep!N216*BTS_Q*pm.rep!N54^(0.5)</f>
        <v>55.074484569884575</v>
      </c>
      <c r="S98">
        <f>S67*pm.rep!O216*BTS_Q*pm.rep!O54^(0.5)</f>
        <v>28.691461399097474</v>
      </c>
      <c r="T98">
        <f>T67*pm.rep!P216*BTS_Q*pm.rep!P54^(0.5)</f>
        <v>56.502049208941372</v>
      </c>
      <c r="W98">
        <f>AVERAGE(W73:W95)</f>
        <v>0.46127447265727378</v>
      </c>
      <c r="X98">
        <f t="shared" si="16"/>
        <v>0.48260416241237569</v>
      </c>
      <c r="Y98">
        <f t="shared" si="16"/>
        <v>0.51804372260466813</v>
      </c>
      <c r="Z98">
        <f t="shared" si="16"/>
        <v>0.5905461905912045</v>
      </c>
      <c r="AA98">
        <f t="shared" si="16"/>
        <v>0.70796341665864015</v>
      </c>
      <c r="AB98">
        <f t="shared" si="16"/>
        <v>0.83759674067852163</v>
      </c>
      <c r="AC98">
        <f t="shared" si="16"/>
        <v>0.95404910663820086</v>
      </c>
      <c r="AD98">
        <f t="shared" si="16"/>
        <v>1.0353899763260157</v>
      </c>
    </row>
    <row r="99" spans="4:30" x14ac:dyDescent="0.15">
      <c r="D99" s="27">
        <f>SUM(F99:T99)</f>
        <v>0</v>
      </c>
      <c r="E99">
        <v>2010</v>
      </c>
      <c r="F99">
        <f>F68*pm.rep!B217*BTS_Q*pm.rep!B55^(0.5)</f>
        <v>0</v>
      </c>
      <c r="G99">
        <f>G68*pm.rep!C217*BTS_Q*pm.rep!C55^(0.5)</f>
        <v>0</v>
      </c>
      <c r="H99">
        <f>H68*pm.rep!D217*BTS_Q*pm.rep!D55^(0.5)</f>
        <v>0</v>
      </c>
      <c r="I99">
        <f>I68*pm.rep!E217*BTS_Q*pm.rep!E55^(0.5)</f>
        <v>0</v>
      </c>
      <c r="J99">
        <f>J68*pm.rep!F217*BTS_Q*pm.rep!F55^(0.5)</f>
        <v>0</v>
      </c>
      <c r="K99">
        <f>K68*pm.rep!G217*BTS_Q*pm.rep!G55^(0.5)</f>
        <v>0</v>
      </c>
      <c r="L99">
        <f>L68*pm.rep!H217*BTS_Q*pm.rep!H55^(0.5)</f>
        <v>0</v>
      </c>
      <c r="M99">
        <f>M68*pm.rep!I217*BTS_Q*pm.rep!I55^(0.5)</f>
        <v>0</v>
      </c>
      <c r="N99">
        <f>N68*pm.rep!J217*BTS_Q*pm.rep!J55^(0.5)</f>
        <v>0</v>
      </c>
      <c r="O99">
        <f>O68*pm.rep!K217*BTS_Q*pm.rep!K55^(0.5)</f>
        <v>0</v>
      </c>
      <c r="P99">
        <f>P68*pm.rep!L217*BTS_Q*pm.rep!L55^(0.5)</f>
        <v>0</v>
      </c>
      <c r="Q99">
        <f>Q68*pm.rep!M217*BTS_Q*pm.rep!M55^(0.5)</f>
        <v>0</v>
      </c>
      <c r="R99">
        <f>R68*pm.rep!N217*BTS_Q*pm.rep!N55^(0.5)</f>
        <v>0</v>
      </c>
      <c r="S99">
        <f>S68*pm.rep!O217*BTS_Q*pm.rep!O55^(0.5)</f>
        <v>0</v>
      </c>
      <c r="T99">
        <f>T68*pm.rep!P217*BTS_Q*pm.rep!P55^(0.5)</f>
        <v>0</v>
      </c>
      <c r="W99">
        <f>AVERAGE(W74:W96)</f>
        <v>0.46122411992473777</v>
      </c>
      <c r="X99">
        <f t="shared" si="16"/>
        <v>0.48322324564861957</v>
      </c>
      <c r="Y99">
        <f t="shared" si="16"/>
        <v>0.51810568552458525</v>
      </c>
      <c r="Z99">
        <f t="shared" si="16"/>
        <v>0.59163664508936653</v>
      </c>
      <c r="AA99">
        <f t="shared" si="16"/>
        <v>0.70923737778293927</v>
      </c>
      <c r="AB99">
        <f t="shared" si="16"/>
        <v>0.83982998623828442</v>
      </c>
      <c r="AC99">
        <f t="shared" si="16"/>
        <v>0.95244581689898311</v>
      </c>
      <c r="AD99">
        <f t="shared" si="16"/>
        <v>1.0328711494620324</v>
      </c>
    </row>
    <row r="101" spans="4:30" x14ac:dyDescent="0.15">
      <c r="F101">
        <v>1</v>
      </c>
      <c r="G101">
        <v>2</v>
      </c>
      <c r="H101">
        <v>3</v>
      </c>
      <c r="I101">
        <v>4</v>
      </c>
      <c r="J101">
        <v>5</v>
      </c>
      <c r="K101">
        <v>6</v>
      </c>
      <c r="L101">
        <v>7</v>
      </c>
      <c r="M101">
        <v>8</v>
      </c>
      <c r="N101">
        <v>9</v>
      </c>
      <c r="O101">
        <v>10</v>
      </c>
      <c r="P101">
        <v>11</v>
      </c>
      <c r="Q101">
        <v>12</v>
      </c>
      <c r="R101">
        <v>13</v>
      </c>
      <c r="S101">
        <v>14</v>
      </c>
      <c r="T101">
        <v>15</v>
      </c>
    </row>
    <row r="102" spans="4:30" x14ac:dyDescent="0.15">
      <c r="E102">
        <v>1982</v>
      </c>
      <c r="F102">
        <f t="shared" ref="F102:T102" si="17">F71/F40</f>
        <v>6.4539587780375635E-2</v>
      </c>
      <c r="G102">
        <f t="shared" si="17"/>
        <v>0.13317091724524463</v>
      </c>
      <c r="H102">
        <f t="shared" si="17"/>
        <v>0.26404287683440214</v>
      </c>
      <c r="I102">
        <f t="shared" si="17"/>
        <v>0.43019950443215393</v>
      </c>
      <c r="J102">
        <f t="shared" si="17"/>
        <v>0.62175391111844269</v>
      </c>
      <c r="K102">
        <f t="shared" si="17"/>
        <v>0.81127667116276792</v>
      </c>
      <c r="L102">
        <f t="shared" si="17"/>
        <v>0.95548864906284481</v>
      </c>
      <c r="M102">
        <f t="shared" si="17"/>
        <v>1.0414671389958436</v>
      </c>
      <c r="N102">
        <f t="shared" si="17"/>
        <v>1.085700519139275</v>
      </c>
      <c r="O102">
        <f t="shared" si="17"/>
        <v>1.1099604307255151</v>
      </c>
      <c r="P102">
        <f t="shared" si="17"/>
        <v>1.1218128560494507</v>
      </c>
      <c r="Q102">
        <f t="shared" si="17"/>
        <v>1.1275413961300338</v>
      </c>
      <c r="R102">
        <f t="shared" si="17"/>
        <v>1.1302884219744898</v>
      </c>
      <c r="S102">
        <f t="shared" si="17"/>
        <v>1.1316001976148529</v>
      </c>
      <c r="T102">
        <f t="shared" si="17"/>
        <v>1.1322254999926424</v>
      </c>
    </row>
    <row r="103" spans="4:30" x14ac:dyDescent="0.15">
      <c r="E103">
        <v>1983</v>
      </c>
      <c r="F103">
        <f t="shared" ref="F103:T103" si="18">F72/F41</f>
        <v>6.9985456238629951E-2</v>
      </c>
      <c r="G103">
        <f t="shared" si="18"/>
        <v>0.10641356371292253</v>
      </c>
      <c r="H103">
        <f t="shared" si="18"/>
        <v>0.24268238937293893</v>
      </c>
      <c r="I103">
        <f t="shared" si="18"/>
        <v>0.44591001888282644</v>
      </c>
      <c r="J103">
        <f t="shared" si="18"/>
        <v>0.68641994502116443</v>
      </c>
      <c r="K103">
        <f t="shared" si="18"/>
        <v>0.89080300787218125</v>
      </c>
      <c r="L103">
        <f t="shared" si="18"/>
        <v>1.0291215417131978</v>
      </c>
      <c r="M103">
        <f t="shared" si="18"/>
        <v>1.0986874883249784</v>
      </c>
      <c r="N103">
        <f t="shared" si="18"/>
        <v>1.1249754121845952</v>
      </c>
      <c r="O103">
        <f t="shared" si="18"/>
        <v>1.1364577378884244</v>
      </c>
      <c r="P103">
        <f t="shared" si="18"/>
        <v>1.1422550558207636</v>
      </c>
      <c r="Q103">
        <f t="shared" si="18"/>
        <v>1.1446750950050961</v>
      </c>
      <c r="R103">
        <f t="shared" si="18"/>
        <v>1.1456816295403132</v>
      </c>
      <c r="S103">
        <f t="shared" si="18"/>
        <v>1.1460989172063942</v>
      </c>
      <c r="T103">
        <f t="shared" si="18"/>
        <v>1.1462720228041368</v>
      </c>
    </row>
    <row r="104" spans="4:30" x14ac:dyDescent="0.15">
      <c r="E104">
        <v>1984</v>
      </c>
      <c r="F104">
        <f t="shared" ref="F104:T104" si="19">F73/F42</f>
        <v>4.4586804082586105E-2</v>
      </c>
      <c r="G104">
        <f t="shared" si="19"/>
        <v>4.2073816562340653E-2</v>
      </c>
      <c r="H104">
        <f t="shared" si="19"/>
        <v>0.11015212611199132</v>
      </c>
      <c r="I104">
        <f t="shared" si="19"/>
        <v>0.24452308006925869</v>
      </c>
      <c r="J104">
        <f t="shared" si="19"/>
        <v>0.46301203888332471</v>
      </c>
      <c r="K104">
        <f t="shared" si="19"/>
        <v>0.72860230111545066</v>
      </c>
      <c r="L104">
        <f t="shared" si="19"/>
        <v>0.94066863059591133</v>
      </c>
      <c r="M104">
        <f t="shared" si="19"/>
        <v>1.0624537080182532</v>
      </c>
      <c r="N104">
        <f t="shared" si="19"/>
        <v>1.1121432648954688</v>
      </c>
      <c r="O104">
        <f t="shared" si="19"/>
        <v>1.1308461616121541</v>
      </c>
      <c r="P104">
        <f t="shared" si="19"/>
        <v>1.1398537433992935</v>
      </c>
      <c r="Q104">
        <f t="shared" si="19"/>
        <v>1.1433591739307252</v>
      </c>
      <c r="R104">
        <f t="shared" si="19"/>
        <v>1.1447155235219717</v>
      </c>
      <c r="S104">
        <f t="shared" si="19"/>
        <v>1.1452379014050871</v>
      </c>
      <c r="T104">
        <f t="shared" si="19"/>
        <v>1.145439520938921</v>
      </c>
    </row>
    <row r="105" spans="4:30" x14ac:dyDescent="0.15">
      <c r="E105">
        <v>1985</v>
      </c>
      <c r="F105">
        <f t="shared" ref="F105:T105" si="20">F74/F43</f>
        <v>0.10351132468176885</v>
      </c>
      <c r="G105">
        <f t="shared" si="20"/>
        <v>6.2211596979426999E-2</v>
      </c>
      <c r="H105">
        <f t="shared" si="20"/>
        <v>0.1393202223898467</v>
      </c>
      <c r="I105">
        <f t="shared" si="20"/>
        <v>0.26893400843197152</v>
      </c>
      <c r="J105">
        <f t="shared" si="20"/>
        <v>0.46127672797131675</v>
      </c>
      <c r="K105">
        <f t="shared" si="20"/>
        <v>0.67386924189585518</v>
      </c>
      <c r="L105">
        <f t="shared" si="20"/>
        <v>0.8760384777970438</v>
      </c>
      <c r="M105">
        <f t="shared" si="20"/>
        <v>1.0104334217827282</v>
      </c>
      <c r="N105">
        <f t="shared" si="20"/>
        <v>1.0800898891076915</v>
      </c>
      <c r="O105">
        <f t="shared" si="20"/>
        <v>1.1109703187253455</v>
      </c>
      <c r="P105">
        <f t="shared" si="20"/>
        <v>1.1280023767333303</v>
      </c>
      <c r="Q105">
        <f t="shared" si="20"/>
        <v>1.1357663363885488</v>
      </c>
      <c r="R105">
        <f t="shared" si="20"/>
        <v>1.1392645724026613</v>
      </c>
      <c r="S105">
        <f t="shared" si="20"/>
        <v>1.1408303842130916</v>
      </c>
      <c r="T105">
        <f t="shared" si="20"/>
        <v>1.1415304882537871</v>
      </c>
    </row>
    <row r="106" spans="4:30" x14ac:dyDescent="0.15">
      <c r="E106">
        <v>1986</v>
      </c>
      <c r="F106">
        <f t="shared" ref="F106:T106" si="21">F75/F44</f>
        <v>0.13441441695719539</v>
      </c>
      <c r="G106">
        <f t="shared" si="21"/>
        <v>4.2141928062192587E-2</v>
      </c>
      <c r="H106">
        <f t="shared" si="21"/>
        <v>9.9762689003467686E-2</v>
      </c>
      <c r="I106">
        <f t="shared" si="21"/>
        <v>0.20545936158194414</v>
      </c>
      <c r="J106">
        <f t="shared" si="21"/>
        <v>0.38447157392222925</v>
      </c>
      <c r="K106">
        <f t="shared" si="21"/>
        <v>0.60895787452535066</v>
      </c>
      <c r="L106">
        <f t="shared" si="21"/>
        <v>0.8338512980184869</v>
      </c>
      <c r="M106">
        <f t="shared" si="21"/>
        <v>0.99931755025499192</v>
      </c>
      <c r="N106">
        <f t="shared" si="21"/>
        <v>1.0760711865595138</v>
      </c>
      <c r="O106">
        <f t="shared" si="21"/>
        <v>1.1161382294909494</v>
      </c>
      <c r="P106">
        <f t="shared" si="21"/>
        <v>1.1355687295681776</v>
      </c>
      <c r="Q106">
        <f t="shared" si="21"/>
        <v>1.1441132249535919</v>
      </c>
      <c r="R106">
        <f t="shared" si="21"/>
        <v>1.147819368184998</v>
      </c>
      <c r="S106">
        <f t="shared" si="21"/>
        <v>1.1494164271124092</v>
      </c>
      <c r="T106">
        <f t="shared" si="21"/>
        <v>1.150102195931384</v>
      </c>
    </row>
    <row r="107" spans="4:30" x14ac:dyDescent="0.15">
      <c r="E107">
        <v>1987</v>
      </c>
      <c r="F107">
        <f t="shared" ref="F107:T107" si="22">F76/F45</f>
        <v>8.1409924347855517E-2</v>
      </c>
      <c r="G107">
        <f t="shared" si="22"/>
        <v>6.524405631481392E-2</v>
      </c>
      <c r="H107">
        <f t="shared" si="22"/>
        <v>0.15167801136390285</v>
      </c>
      <c r="I107">
        <f t="shared" si="22"/>
        <v>0.30175407287197303</v>
      </c>
      <c r="J107">
        <f t="shared" si="22"/>
        <v>0.52460238025913053</v>
      </c>
      <c r="K107">
        <f t="shared" si="22"/>
        <v>0.7654980438583614</v>
      </c>
      <c r="L107">
        <f t="shared" si="22"/>
        <v>0.96319464235304231</v>
      </c>
      <c r="M107">
        <f t="shared" si="22"/>
        <v>1.0744475107618077</v>
      </c>
      <c r="N107">
        <f t="shared" si="22"/>
        <v>1.1301042704522504</v>
      </c>
      <c r="O107">
        <f t="shared" si="22"/>
        <v>1.1599712604762205</v>
      </c>
      <c r="P107">
        <f t="shared" si="22"/>
        <v>1.1723837468991798</v>
      </c>
      <c r="Q107">
        <f t="shared" si="22"/>
        <v>1.1777633182785299</v>
      </c>
      <c r="R107">
        <f t="shared" si="22"/>
        <v>1.1800761085222442</v>
      </c>
      <c r="S107">
        <f t="shared" si="22"/>
        <v>1.1810652783914259</v>
      </c>
      <c r="T107">
        <f t="shared" si="22"/>
        <v>1.1814883641897138</v>
      </c>
    </row>
    <row r="108" spans="4:30" x14ac:dyDescent="0.15">
      <c r="E108">
        <v>1988</v>
      </c>
      <c r="F108">
        <f t="shared" ref="F108:T108" si="23">F77/F46</f>
        <v>0.11081985815793208</v>
      </c>
      <c r="G108">
        <f t="shared" si="23"/>
        <v>0.10288746040911344</v>
      </c>
      <c r="H108">
        <f t="shared" si="23"/>
        <v>0.23039837894074766</v>
      </c>
      <c r="I108">
        <f t="shared" si="23"/>
        <v>0.43372093411779084</v>
      </c>
      <c r="J108">
        <f t="shared" si="23"/>
        <v>0.6760919814743942</v>
      </c>
      <c r="K108">
        <f t="shared" si="23"/>
        <v>0.89343585244329204</v>
      </c>
      <c r="L108">
        <f t="shared" si="23"/>
        <v>1.0208389553145063</v>
      </c>
      <c r="M108">
        <f t="shared" si="23"/>
        <v>1.1004984242961846</v>
      </c>
      <c r="N108">
        <f t="shared" si="23"/>
        <v>1.1294563460384413</v>
      </c>
      <c r="O108">
        <f t="shared" si="23"/>
        <v>1.1473207188824666</v>
      </c>
      <c r="P108">
        <f t="shared" si="23"/>
        <v>1.1538060687464566</v>
      </c>
      <c r="Q108">
        <f t="shared" si="23"/>
        <v>1.1565401569349198</v>
      </c>
      <c r="R108">
        <f t="shared" si="23"/>
        <v>1.1576870837597411</v>
      </c>
      <c r="S108">
        <f t="shared" si="23"/>
        <v>1.1581667077046667</v>
      </c>
      <c r="T108">
        <f t="shared" si="23"/>
        <v>1.1583671302710241</v>
      </c>
    </row>
    <row r="109" spans="4:30" x14ac:dyDescent="0.15">
      <c r="E109">
        <v>1989</v>
      </c>
      <c r="F109">
        <f t="shared" ref="F109:T109" si="24">F78/F47</f>
        <v>6.7646715291360709E-2</v>
      </c>
      <c r="G109">
        <f t="shared" si="24"/>
        <v>9.9371228708284978E-2</v>
      </c>
      <c r="H109">
        <f t="shared" si="24"/>
        <v>0.23888739932253025</v>
      </c>
      <c r="I109">
        <f t="shared" si="24"/>
        <v>0.46116063406888014</v>
      </c>
      <c r="J109">
        <f t="shared" si="24"/>
        <v>0.72710391369974881</v>
      </c>
      <c r="K109">
        <f t="shared" si="24"/>
        <v>0.93902115111410756</v>
      </c>
      <c r="L109">
        <f t="shared" si="24"/>
        <v>1.0450164150577144</v>
      </c>
      <c r="M109">
        <f t="shared" si="24"/>
        <v>1.1112222221373518</v>
      </c>
      <c r="N109">
        <f t="shared" si="24"/>
        <v>1.1418416128180247</v>
      </c>
      <c r="O109">
        <f t="shared" si="24"/>
        <v>1.1529834384601307</v>
      </c>
      <c r="P109">
        <f t="shared" si="24"/>
        <v>1.1569488720403149</v>
      </c>
      <c r="Q109">
        <f t="shared" si="24"/>
        <v>1.1584967825167902</v>
      </c>
      <c r="R109">
        <f t="shared" si="24"/>
        <v>1.1590997139383388</v>
      </c>
      <c r="S109">
        <f t="shared" si="24"/>
        <v>1.1593339296059404</v>
      </c>
      <c r="T109">
        <f t="shared" si="24"/>
        <v>1.1594255288026756</v>
      </c>
    </row>
    <row r="110" spans="4:30" x14ac:dyDescent="0.15">
      <c r="E110">
        <v>1990</v>
      </c>
      <c r="F110">
        <f t="shared" ref="F110:T110" si="25">F79/F48</f>
        <v>3.4958055409515937E-2</v>
      </c>
      <c r="G110">
        <f t="shared" si="25"/>
        <v>6.6017509637450567E-2</v>
      </c>
      <c r="H110">
        <f t="shared" si="25"/>
        <v>0.18055955703723206</v>
      </c>
      <c r="I110">
        <f t="shared" si="25"/>
        <v>0.38781928534071425</v>
      </c>
      <c r="J110">
        <f t="shared" si="25"/>
        <v>0.65951996966624293</v>
      </c>
      <c r="K110">
        <f t="shared" si="25"/>
        <v>0.89655624069664619</v>
      </c>
      <c r="L110">
        <f t="shared" si="25"/>
        <v>1.0160842058080595</v>
      </c>
      <c r="M110">
        <f t="shared" si="25"/>
        <v>1.0698845179292864</v>
      </c>
      <c r="N110">
        <f t="shared" si="25"/>
        <v>1.0971069894714578</v>
      </c>
      <c r="O110">
        <f t="shared" si="25"/>
        <v>1.1107873507847292</v>
      </c>
      <c r="P110">
        <f t="shared" si="25"/>
        <v>1.1135179688983257</v>
      </c>
      <c r="Q110">
        <f t="shared" si="25"/>
        <v>1.114475747975328</v>
      </c>
      <c r="R110">
        <f t="shared" si="25"/>
        <v>1.1148124758929705</v>
      </c>
      <c r="S110">
        <f t="shared" si="25"/>
        <v>1.114929550168972</v>
      </c>
      <c r="T110">
        <f t="shared" si="25"/>
        <v>1.1149708049138487</v>
      </c>
    </row>
    <row r="111" spans="4:30" x14ac:dyDescent="0.15">
      <c r="E111">
        <v>1991</v>
      </c>
      <c r="F111">
        <f t="shared" ref="F111:T111" si="26">F80/F49</f>
        <v>7.6847660136935628E-2</v>
      </c>
      <c r="G111">
        <f t="shared" si="26"/>
        <v>3.3481399331729236E-2</v>
      </c>
      <c r="H111">
        <f t="shared" si="26"/>
        <v>0.10039344648158041</v>
      </c>
      <c r="I111">
        <f t="shared" si="26"/>
        <v>0.24815863941327598</v>
      </c>
      <c r="J111">
        <f t="shared" si="26"/>
        <v>0.50206489750331895</v>
      </c>
      <c r="K111">
        <f t="shared" si="26"/>
        <v>0.78315248207663635</v>
      </c>
      <c r="L111">
        <f t="shared" si="26"/>
        <v>0.94291666569638632</v>
      </c>
      <c r="M111">
        <f t="shared" si="26"/>
        <v>1.0476989330557567</v>
      </c>
      <c r="N111">
        <f t="shared" si="26"/>
        <v>1.0600832579164794</v>
      </c>
      <c r="O111">
        <f t="shared" si="26"/>
        <v>1.0722501494482417</v>
      </c>
      <c r="P111">
        <f t="shared" si="26"/>
        <v>1.0761291412585439</v>
      </c>
      <c r="Q111">
        <f t="shared" si="26"/>
        <v>1.0774357944197686</v>
      </c>
      <c r="R111">
        <f t="shared" si="26"/>
        <v>1.077874579763513</v>
      </c>
      <c r="S111">
        <f t="shared" si="26"/>
        <v>1.0780222790069847</v>
      </c>
      <c r="T111">
        <f t="shared" si="26"/>
        <v>1.0780718714536979</v>
      </c>
    </row>
    <row r="112" spans="4:30" x14ac:dyDescent="0.15">
      <c r="E112">
        <v>1992</v>
      </c>
      <c r="F112">
        <f t="shared" ref="F112:T112" si="27">F81/F50</f>
        <v>5.3423166094390892E-2</v>
      </c>
      <c r="G112">
        <f t="shared" si="27"/>
        <v>3.9360212506508299E-2</v>
      </c>
      <c r="H112">
        <f t="shared" si="27"/>
        <v>0.11704767607024787</v>
      </c>
      <c r="I112">
        <f t="shared" si="27"/>
        <v>0.2894353305910814</v>
      </c>
      <c r="J112">
        <f t="shared" si="27"/>
        <v>0.56561764394975778</v>
      </c>
      <c r="K112">
        <f t="shared" si="27"/>
        <v>0.80720653170787104</v>
      </c>
      <c r="L112">
        <f t="shared" si="27"/>
        <v>0.92455562567171468</v>
      </c>
      <c r="M112">
        <f t="shared" si="27"/>
        <v>0.97777044466269525</v>
      </c>
      <c r="N112">
        <f t="shared" si="27"/>
        <v>0.99984945370605594</v>
      </c>
      <c r="O112">
        <f t="shared" si="27"/>
        <v>1.0116373826306257</v>
      </c>
      <c r="P112">
        <f t="shared" si="27"/>
        <v>1.0143737476084684</v>
      </c>
      <c r="Q112">
        <f t="shared" si="27"/>
        <v>1.0152797749136784</v>
      </c>
      <c r="R112">
        <f t="shared" si="27"/>
        <v>1.0155783982631534</v>
      </c>
      <c r="S112">
        <f t="shared" si="27"/>
        <v>1.0156769236539664</v>
      </c>
      <c r="T112">
        <f t="shared" si="27"/>
        <v>1.0157094268756781</v>
      </c>
    </row>
    <row r="113" spans="5:20" x14ac:dyDescent="0.15">
      <c r="E113">
        <v>1993</v>
      </c>
      <c r="F113">
        <f t="shared" ref="F113:T113" si="28">F82/F51</f>
        <v>4.484139833047459E-2</v>
      </c>
      <c r="G113">
        <f t="shared" si="28"/>
        <v>4.1088060586842522E-2</v>
      </c>
      <c r="H113">
        <f t="shared" si="28"/>
        <v>0.12619323224951781</v>
      </c>
      <c r="I113">
        <f t="shared" si="28"/>
        <v>0.30646720504322622</v>
      </c>
      <c r="J113">
        <f t="shared" si="28"/>
        <v>0.62169330982657078</v>
      </c>
      <c r="K113">
        <f t="shared" si="28"/>
        <v>0.88308299324229078</v>
      </c>
      <c r="L113">
        <f t="shared" si="28"/>
        <v>0.99959500612557595</v>
      </c>
      <c r="M113">
        <f t="shared" si="28"/>
        <v>1.0617641370090349</v>
      </c>
      <c r="N113">
        <f t="shared" si="28"/>
        <v>1.0836119710039913</v>
      </c>
      <c r="O113">
        <f t="shared" si="28"/>
        <v>1.0970367284056872</v>
      </c>
      <c r="P113">
        <f t="shared" si="28"/>
        <v>1.0993443472750792</v>
      </c>
      <c r="Q113">
        <f t="shared" si="28"/>
        <v>1.1000871430484886</v>
      </c>
      <c r="R113">
        <f t="shared" si="28"/>
        <v>1.1003259381341626</v>
      </c>
      <c r="S113">
        <f t="shared" si="28"/>
        <v>1.1004018683687777</v>
      </c>
      <c r="T113">
        <f t="shared" si="28"/>
        <v>1.1004260780088</v>
      </c>
    </row>
    <row r="114" spans="5:20" x14ac:dyDescent="0.15">
      <c r="E114">
        <v>1994</v>
      </c>
      <c r="F114">
        <f t="shared" ref="F114:T114" si="29">F83/F52</f>
        <v>6.6782468502623538E-2</v>
      </c>
      <c r="G114">
        <f t="shared" si="29"/>
        <v>2.8347912977578271E-2</v>
      </c>
      <c r="H114">
        <f t="shared" si="29"/>
        <v>9.0087627721579494E-2</v>
      </c>
      <c r="I114">
        <f t="shared" si="29"/>
        <v>0.23633563306468472</v>
      </c>
      <c r="J114">
        <f t="shared" si="29"/>
        <v>0.48752130559058526</v>
      </c>
      <c r="K114">
        <f t="shared" si="29"/>
        <v>0.79992225936983297</v>
      </c>
      <c r="L114">
        <f t="shared" si="29"/>
        <v>0.97407547960660468</v>
      </c>
      <c r="M114">
        <f t="shared" si="29"/>
        <v>1.061410707210469</v>
      </c>
      <c r="N114">
        <f t="shared" si="29"/>
        <v>1.0943265112871803</v>
      </c>
      <c r="O114">
        <f t="shared" si="29"/>
        <v>1.108219453406581</v>
      </c>
      <c r="P114">
        <f t="shared" si="29"/>
        <v>1.1115901787171061</v>
      </c>
      <c r="Q114">
        <f t="shared" si="29"/>
        <v>1.1126744212707562</v>
      </c>
      <c r="R114">
        <f t="shared" si="29"/>
        <v>1.1130217351072438</v>
      </c>
      <c r="S114">
        <f t="shared" si="29"/>
        <v>1.1131330536445794</v>
      </c>
      <c r="T114">
        <f t="shared" si="29"/>
        <v>1.1131686755765269</v>
      </c>
    </row>
    <row r="115" spans="5:20" x14ac:dyDescent="0.15">
      <c r="E115">
        <v>1995</v>
      </c>
      <c r="F115">
        <f t="shared" ref="F115:T115" si="30">F84/F53</f>
        <v>7.1725043871882721E-2</v>
      </c>
      <c r="G115">
        <f t="shared" si="30"/>
        <v>1.4414000330777818E-2</v>
      </c>
      <c r="H115">
        <f t="shared" si="30"/>
        <v>4.5882151298997295E-2</v>
      </c>
      <c r="I115">
        <f t="shared" si="30"/>
        <v>0.1280828792739418</v>
      </c>
      <c r="J115">
        <f t="shared" si="30"/>
        <v>0.30515854101433004</v>
      </c>
      <c r="K115">
        <f t="shared" si="30"/>
        <v>0.561748398571425</v>
      </c>
      <c r="L115">
        <f t="shared" si="30"/>
        <v>0.84399793298537207</v>
      </c>
      <c r="M115">
        <f t="shared" si="30"/>
        <v>1.0045046364150974</v>
      </c>
      <c r="N115">
        <f t="shared" si="30"/>
        <v>1.0755838776470767</v>
      </c>
      <c r="O115">
        <f t="shared" si="30"/>
        <v>1.104158932153074</v>
      </c>
      <c r="P115">
        <f t="shared" si="30"/>
        <v>1.112321811513665</v>
      </c>
      <c r="Q115">
        <f t="shared" si="30"/>
        <v>1.1150334682377998</v>
      </c>
      <c r="R115">
        <f t="shared" si="30"/>
        <v>1.1159287949948011</v>
      </c>
      <c r="S115">
        <f t="shared" si="30"/>
        <v>1.1162235160220433</v>
      </c>
      <c r="T115">
        <f t="shared" si="30"/>
        <v>1.1163195236294026</v>
      </c>
    </row>
    <row r="116" spans="5:20" x14ac:dyDescent="0.15">
      <c r="E116">
        <v>1996</v>
      </c>
      <c r="F116">
        <f t="shared" ref="F116:T116" si="31">F85/F54</f>
        <v>5.2798941972878807E-2</v>
      </c>
      <c r="G116">
        <f t="shared" si="31"/>
        <v>1.1803638518691198E-2</v>
      </c>
      <c r="H116">
        <f t="shared" si="31"/>
        <v>3.3163935910838216E-2</v>
      </c>
      <c r="I116">
        <f t="shared" si="31"/>
        <v>8.4383272511741075E-2</v>
      </c>
      <c r="J116">
        <f t="shared" si="31"/>
        <v>0.19622303569643065</v>
      </c>
      <c r="K116">
        <f t="shared" si="31"/>
        <v>0.3795685945131409</v>
      </c>
      <c r="L116">
        <f t="shared" si="31"/>
        <v>0.60207945777029837</v>
      </c>
      <c r="M116">
        <f t="shared" si="31"/>
        <v>0.82201123206083337</v>
      </c>
      <c r="N116">
        <f t="shared" si="31"/>
        <v>0.97138846323965955</v>
      </c>
      <c r="O116">
        <f t="shared" si="31"/>
        <v>1.048873954744753</v>
      </c>
      <c r="P116">
        <f t="shared" si="31"/>
        <v>1.0739635779771026</v>
      </c>
      <c r="Q116">
        <f t="shared" si="31"/>
        <v>1.0836917181759396</v>
      </c>
      <c r="R116">
        <f t="shared" si="31"/>
        <v>1.0873888037152153</v>
      </c>
      <c r="S116">
        <f t="shared" si="31"/>
        <v>1.0887824295344706</v>
      </c>
      <c r="T116">
        <f t="shared" si="31"/>
        <v>1.0893065374461688</v>
      </c>
    </row>
    <row r="117" spans="5:20" x14ac:dyDescent="0.15">
      <c r="E117">
        <v>1997</v>
      </c>
      <c r="F117">
        <f t="shared" ref="F117:T117" si="32">F86/F55</f>
        <v>5.0655781348196496E-2</v>
      </c>
      <c r="G117">
        <f t="shared" si="32"/>
        <v>2.2346512933004634E-2</v>
      </c>
      <c r="H117">
        <f t="shared" si="32"/>
        <v>5.4614875845382833E-2</v>
      </c>
      <c r="I117">
        <f t="shared" si="32"/>
        <v>0.11954524950724599</v>
      </c>
      <c r="J117">
        <f t="shared" si="32"/>
        <v>0.2419911951649826</v>
      </c>
      <c r="K117">
        <f t="shared" si="32"/>
        <v>0.42687726159081829</v>
      </c>
      <c r="L117">
        <f t="shared" si="32"/>
        <v>0.62971270988625072</v>
      </c>
      <c r="M117">
        <f t="shared" si="32"/>
        <v>0.81331205301216747</v>
      </c>
      <c r="N117">
        <f t="shared" si="32"/>
        <v>0.93384463665740047</v>
      </c>
      <c r="O117">
        <f t="shared" si="32"/>
        <v>1.0132655338436951</v>
      </c>
      <c r="P117">
        <f t="shared" si="32"/>
        <v>1.0458775069064348</v>
      </c>
      <c r="Q117">
        <f t="shared" si="32"/>
        <v>1.0604699502948194</v>
      </c>
      <c r="R117">
        <f t="shared" si="32"/>
        <v>1.0668322427525445</v>
      </c>
      <c r="S117">
        <f t="shared" si="32"/>
        <v>1.0695766980303336</v>
      </c>
      <c r="T117">
        <f t="shared" si="32"/>
        <v>1.0707533524212014</v>
      </c>
    </row>
    <row r="118" spans="5:20" x14ac:dyDescent="0.15">
      <c r="E118">
        <v>1998</v>
      </c>
      <c r="F118">
        <f t="shared" ref="F118:T118" si="33">F87/F56</f>
        <v>3.7259548325471237E-2</v>
      </c>
      <c r="G118">
        <f t="shared" si="33"/>
        <v>2.2330688043528776E-2</v>
      </c>
      <c r="H118">
        <f t="shared" si="33"/>
        <v>4.9847343397589679E-2</v>
      </c>
      <c r="I118">
        <f t="shared" si="33"/>
        <v>0.10060419626643494</v>
      </c>
      <c r="J118">
        <f t="shared" si="33"/>
        <v>0.1926036850169536</v>
      </c>
      <c r="K118">
        <f t="shared" si="33"/>
        <v>0.33096251728033027</v>
      </c>
      <c r="L118">
        <f t="shared" si="33"/>
        <v>0.5296170821455165</v>
      </c>
      <c r="M118">
        <f t="shared" si="33"/>
        <v>0.71453709911467411</v>
      </c>
      <c r="N118">
        <f t="shared" si="33"/>
        <v>0.86710970601201265</v>
      </c>
      <c r="O118">
        <f t="shared" si="33"/>
        <v>0.98233618682816659</v>
      </c>
      <c r="P118">
        <f t="shared" si="33"/>
        <v>1.0416070905165093</v>
      </c>
      <c r="Q118">
        <f t="shared" si="33"/>
        <v>1.0719025991967368</v>
      </c>
      <c r="R118">
        <f t="shared" si="33"/>
        <v>1.0867065739347381</v>
      </c>
      <c r="S118">
        <f t="shared" si="33"/>
        <v>1.0937823832172544</v>
      </c>
      <c r="T118">
        <f t="shared" si="33"/>
        <v>1.0971288713760565</v>
      </c>
    </row>
    <row r="119" spans="5:20" x14ac:dyDescent="0.15">
      <c r="E119">
        <v>1999</v>
      </c>
      <c r="F119">
        <f t="shared" ref="F119:T119" si="34">F88/F57</f>
        <v>4.4529305976971995E-2</v>
      </c>
      <c r="G119">
        <f t="shared" si="34"/>
        <v>5.09052194301104E-2</v>
      </c>
      <c r="H119">
        <f t="shared" si="34"/>
        <v>0.10658020563764724</v>
      </c>
      <c r="I119">
        <f t="shared" si="34"/>
        <v>0.2000076294257731</v>
      </c>
      <c r="J119">
        <f t="shared" si="34"/>
        <v>0.34839627914279925</v>
      </c>
      <c r="K119">
        <f t="shared" si="34"/>
        <v>0.54057972251903319</v>
      </c>
      <c r="L119">
        <f t="shared" si="34"/>
        <v>0.71954626803231814</v>
      </c>
      <c r="M119">
        <f t="shared" si="34"/>
        <v>0.89284043657576606</v>
      </c>
      <c r="N119">
        <f t="shared" si="34"/>
        <v>1.0105943832712792</v>
      </c>
      <c r="O119">
        <f t="shared" si="34"/>
        <v>1.0833637689110835</v>
      </c>
      <c r="P119">
        <f t="shared" si="34"/>
        <v>1.1189094945552991</v>
      </c>
      <c r="Q119">
        <f t="shared" si="34"/>
        <v>1.1369218682743436</v>
      </c>
      <c r="R119">
        <f t="shared" si="34"/>
        <v>1.1458270565628683</v>
      </c>
      <c r="S119">
        <f t="shared" si="34"/>
        <v>1.1501774978667505</v>
      </c>
      <c r="T119">
        <f t="shared" si="34"/>
        <v>1.1522898108373272</v>
      </c>
    </row>
    <row r="120" spans="5:20" x14ac:dyDescent="0.15">
      <c r="E120">
        <v>2000</v>
      </c>
      <c r="F120">
        <f t="shared" ref="F120:T120" si="35">F89/F58</f>
        <v>3.0006075541894352E-2</v>
      </c>
      <c r="G120">
        <f t="shared" si="35"/>
        <v>4.9307527283139752E-2</v>
      </c>
      <c r="H120">
        <f t="shared" si="35"/>
        <v>0.10865667627601919</v>
      </c>
      <c r="I120">
        <f t="shared" si="35"/>
        <v>0.20709797237372654</v>
      </c>
      <c r="J120">
        <f t="shared" si="35"/>
        <v>0.36440451605636598</v>
      </c>
      <c r="K120">
        <f t="shared" si="35"/>
        <v>0.58139561755566849</v>
      </c>
      <c r="L120">
        <f t="shared" si="35"/>
        <v>0.76722864018912074</v>
      </c>
      <c r="M120">
        <f t="shared" si="35"/>
        <v>0.90047993688760009</v>
      </c>
      <c r="N120">
        <f t="shared" si="35"/>
        <v>1.0273888362538659</v>
      </c>
      <c r="O120">
        <f t="shared" si="35"/>
        <v>1.0958112448899557</v>
      </c>
      <c r="P120">
        <f t="shared" si="35"/>
        <v>1.1229635253780719</v>
      </c>
      <c r="Q120">
        <f t="shared" si="35"/>
        <v>1.1359499473693244</v>
      </c>
      <c r="R120">
        <f t="shared" si="35"/>
        <v>1.1420421728992791</v>
      </c>
      <c r="S120">
        <f t="shared" si="35"/>
        <v>1.1448748856739412</v>
      </c>
      <c r="T120">
        <f t="shared" si="35"/>
        <v>1.1461862630337789</v>
      </c>
    </row>
    <row r="121" spans="5:20" x14ac:dyDescent="0.15">
      <c r="E121">
        <v>2001</v>
      </c>
      <c r="F121">
        <f t="shared" ref="F121:T121" si="36">F90/F59</f>
        <v>3.4054734940495712E-2</v>
      </c>
      <c r="G121">
        <f t="shared" si="36"/>
        <v>3.8325826599084477E-2</v>
      </c>
      <c r="H121">
        <f t="shared" si="36"/>
        <v>8.5920110968971605E-2</v>
      </c>
      <c r="I121">
        <f t="shared" si="36"/>
        <v>0.1685731194461223</v>
      </c>
      <c r="J121">
        <f t="shared" si="36"/>
        <v>0.29693143381970666</v>
      </c>
      <c r="K121">
        <f t="shared" si="36"/>
        <v>0.47424751543648047</v>
      </c>
      <c r="L121">
        <f t="shared" si="36"/>
        <v>0.68729401067733753</v>
      </c>
      <c r="M121">
        <f t="shared" si="36"/>
        <v>0.86458508989775062</v>
      </c>
      <c r="N121">
        <f t="shared" si="36"/>
        <v>0.9915503683323712</v>
      </c>
      <c r="O121">
        <f t="shared" si="36"/>
        <v>1.0655711371528487</v>
      </c>
      <c r="P121">
        <f t="shared" si="36"/>
        <v>1.0986903102142611</v>
      </c>
      <c r="Q121">
        <f t="shared" si="36"/>
        <v>1.1146055241193003</v>
      </c>
      <c r="R121">
        <f t="shared" si="36"/>
        <v>1.1220727984871406</v>
      </c>
      <c r="S121">
        <f t="shared" si="36"/>
        <v>1.1255372887862591</v>
      </c>
      <c r="T121">
        <f t="shared" si="36"/>
        <v>1.1271363711165039</v>
      </c>
    </row>
    <row r="122" spans="5:20" x14ac:dyDescent="0.15">
      <c r="E122">
        <v>2002</v>
      </c>
      <c r="F122">
        <f t="shared" ref="F122:T122" si="37">F91/F60</f>
        <v>2.0892087813835392E-2</v>
      </c>
      <c r="G122">
        <f t="shared" si="37"/>
        <v>2.9847958405367206E-2</v>
      </c>
      <c r="H122">
        <f t="shared" si="37"/>
        <v>7.4673053896326252E-2</v>
      </c>
      <c r="I122">
        <f t="shared" si="37"/>
        <v>0.16208009166616547</v>
      </c>
      <c r="J122">
        <f t="shared" si="37"/>
        <v>0.31426774993487155</v>
      </c>
      <c r="K122">
        <f t="shared" si="37"/>
        <v>0.50420114693830576</v>
      </c>
      <c r="L122">
        <f t="shared" si="37"/>
        <v>0.73168581459348792</v>
      </c>
      <c r="M122">
        <f t="shared" si="37"/>
        <v>0.89943403730512606</v>
      </c>
      <c r="N122">
        <f t="shared" si="37"/>
        <v>1.0069115518440865</v>
      </c>
      <c r="O122">
        <f t="shared" si="37"/>
        <v>1.077786257672448</v>
      </c>
      <c r="P122">
        <f t="shared" si="37"/>
        <v>1.0977868071868149</v>
      </c>
      <c r="Q122">
        <f t="shared" si="37"/>
        <v>1.106246610301389</v>
      </c>
      <c r="R122">
        <f t="shared" si="37"/>
        <v>1.1097702306362522</v>
      </c>
      <c r="S122">
        <f t="shared" si="37"/>
        <v>1.1112295077446301</v>
      </c>
      <c r="T122">
        <f t="shared" si="37"/>
        <v>1.1118312371010568</v>
      </c>
    </row>
    <row r="123" spans="5:20" x14ac:dyDescent="0.15">
      <c r="E123">
        <v>2003</v>
      </c>
      <c r="F123">
        <f t="shared" ref="F123:T123" si="38">F92/F61</f>
        <v>1.403655639595658E-2</v>
      </c>
      <c r="G123">
        <f t="shared" si="38"/>
        <v>1.3418539496137237E-2</v>
      </c>
      <c r="H123">
        <f t="shared" si="38"/>
        <v>3.7812017873862985E-2</v>
      </c>
      <c r="I123">
        <f t="shared" si="38"/>
        <v>9.6196374357121445E-2</v>
      </c>
      <c r="J123">
        <f t="shared" si="38"/>
        <v>0.21592379719564617</v>
      </c>
      <c r="K123">
        <f t="shared" si="38"/>
        <v>0.41886326122940343</v>
      </c>
      <c r="L123">
        <f t="shared" si="38"/>
        <v>0.66572294706163448</v>
      </c>
      <c r="M123">
        <f t="shared" si="38"/>
        <v>0.87004232500131551</v>
      </c>
      <c r="N123">
        <f t="shared" si="38"/>
        <v>1.0016913445762794</v>
      </c>
      <c r="O123">
        <f t="shared" si="38"/>
        <v>1.081950303874065</v>
      </c>
      <c r="P123">
        <f t="shared" si="38"/>
        <v>1.1012131046168503</v>
      </c>
      <c r="Q123">
        <f t="shared" si="38"/>
        <v>1.108450007114024</v>
      </c>
      <c r="R123">
        <f t="shared" si="38"/>
        <v>1.1111282396341191</v>
      </c>
      <c r="S123">
        <f t="shared" si="38"/>
        <v>1.1121129657580426</v>
      </c>
      <c r="T123">
        <f t="shared" si="38"/>
        <v>1.1124757010308099</v>
      </c>
    </row>
    <row r="124" spans="5:20" x14ac:dyDescent="0.15">
      <c r="E124">
        <v>2004</v>
      </c>
      <c r="F124">
        <f t="shared" ref="F124:T124" si="39">F93/F62</f>
        <v>3.7043406862866446E-2</v>
      </c>
      <c r="G124">
        <f t="shared" si="39"/>
        <v>1.7672364249558672E-2</v>
      </c>
      <c r="H124">
        <f t="shared" si="39"/>
        <v>5.1431539710133041E-2</v>
      </c>
      <c r="I124">
        <f t="shared" si="39"/>
        <v>0.12518210747849035</v>
      </c>
      <c r="J124">
        <f t="shared" si="39"/>
        <v>0.2892173830217068</v>
      </c>
      <c r="K124">
        <f t="shared" si="39"/>
        <v>0.54036913513647677</v>
      </c>
      <c r="L124">
        <f t="shared" si="39"/>
        <v>0.77823208030098046</v>
      </c>
      <c r="M124">
        <f t="shared" si="39"/>
        <v>0.95083876402710721</v>
      </c>
      <c r="N124">
        <f t="shared" si="39"/>
        <v>1.052746060531883</v>
      </c>
      <c r="O124">
        <f t="shared" si="39"/>
        <v>1.1100525808125352</v>
      </c>
      <c r="P124">
        <f t="shared" si="39"/>
        <v>1.1224254132850731</v>
      </c>
      <c r="Q124">
        <f t="shared" si="39"/>
        <v>1.1269126121361357</v>
      </c>
      <c r="R124">
        <f t="shared" si="39"/>
        <v>1.1285254286373483</v>
      </c>
      <c r="S124">
        <f t="shared" si="39"/>
        <v>1.1291025639539589</v>
      </c>
      <c r="T124">
        <f t="shared" si="39"/>
        <v>1.129308118998231</v>
      </c>
    </row>
    <row r="125" spans="5:20" x14ac:dyDescent="0.15">
      <c r="E125">
        <v>2005</v>
      </c>
      <c r="F125">
        <f t="shared" ref="F125:T125" si="40">F94/F63</f>
        <v>4.994965441661383E-2</v>
      </c>
      <c r="G125">
        <f t="shared" si="40"/>
        <v>2.5248425419579126E-2</v>
      </c>
      <c r="H125">
        <f t="shared" si="40"/>
        <v>7.6261755958714858E-2</v>
      </c>
      <c r="I125">
        <f t="shared" si="40"/>
        <v>0.19235226328296395</v>
      </c>
      <c r="J125">
        <f t="shared" si="40"/>
        <v>0.39655736471163239</v>
      </c>
      <c r="K125">
        <f t="shared" si="40"/>
        <v>0.67542240625117489</v>
      </c>
      <c r="L125">
        <f t="shared" si="40"/>
        <v>0.914331214324417</v>
      </c>
      <c r="M125">
        <f t="shared" si="40"/>
        <v>1.0432631230911169</v>
      </c>
      <c r="N125">
        <f t="shared" si="40"/>
        <v>1.0987022975091869</v>
      </c>
      <c r="O125">
        <f t="shared" si="40"/>
        <v>1.1344317130610673</v>
      </c>
      <c r="P125">
        <f t="shared" si="40"/>
        <v>1.1404595372699318</v>
      </c>
      <c r="Q125">
        <f t="shared" si="40"/>
        <v>1.1425202732259878</v>
      </c>
      <c r="R125">
        <f t="shared" si="40"/>
        <v>1.1432212893974989</v>
      </c>
      <c r="S125">
        <f t="shared" si="40"/>
        <v>1.1434602981737565</v>
      </c>
      <c r="T125">
        <f t="shared" si="40"/>
        <v>1.1435414925427241</v>
      </c>
    </row>
    <row r="126" spans="5:20" x14ac:dyDescent="0.15">
      <c r="E126">
        <v>2006</v>
      </c>
      <c r="F126">
        <f t="shared" ref="F126:T126" si="41">F95/F64</f>
        <v>5.4838099163479891E-2</v>
      </c>
      <c r="G126">
        <f t="shared" si="41"/>
        <v>1.1004256059751078E-2</v>
      </c>
      <c r="H126">
        <f t="shared" si="41"/>
        <v>3.3817631509756134E-2</v>
      </c>
      <c r="I126">
        <f t="shared" si="41"/>
        <v>9.1402962244860164E-2</v>
      </c>
      <c r="J126">
        <f t="shared" si="41"/>
        <v>0.21946662493358191</v>
      </c>
      <c r="K126">
        <f t="shared" si="41"/>
        <v>0.44640332576178621</v>
      </c>
      <c r="L126">
        <f t="shared" si="41"/>
        <v>0.73013727992323574</v>
      </c>
      <c r="M126">
        <f t="shared" si="41"/>
        <v>0.93148936777157421</v>
      </c>
      <c r="N126">
        <f t="shared" si="41"/>
        <v>1.0398723068242424</v>
      </c>
      <c r="O126">
        <f t="shared" si="41"/>
        <v>1.0915111120605354</v>
      </c>
      <c r="P126">
        <f t="shared" si="41"/>
        <v>1.1042434921791364</v>
      </c>
      <c r="Q126">
        <f t="shared" si="41"/>
        <v>1.1086035159067151</v>
      </c>
      <c r="R126">
        <f t="shared" si="41"/>
        <v>1.1100809252207737</v>
      </c>
      <c r="S126">
        <f t="shared" si="41"/>
        <v>1.1105796897185274</v>
      </c>
      <c r="T126">
        <f t="shared" si="41"/>
        <v>1.1107485364972769</v>
      </c>
    </row>
    <row r="127" spans="5:20" x14ac:dyDescent="0.15">
      <c r="E127">
        <v>2007</v>
      </c>
      <c r="F127">
        <f t="shared" ref="F127:T127" si="42">F96/F65</f>
        <v>5.4951466052446503E-2</v>
      </c>
      <c r="G127">
        <f t="shared" si="42"/>
        <v>2.035557254343949E-2</v>
      </c>
      <c r="H127">
        <f t="shared" si="42"/>
        <v>6.9091373955382188E-2</v>
      </c>
      <c r="I127">
        <f t="shared" si="42"/>
        <v>0.19648357315490442</v>
      </c>
      <c r="J127">
        <f t="shared" si="42"/>
        <v>0.44137359591384229</v>
      </c>
      <c r="K127">
        <f t="shared" si="42"/>
        <v>0.71236115459389016</v>
      </c>
      <c r="L127">
        <f t="shared" si="42"/>
        <v>0.93248432690893601</v>
      </c>
      <c r="M127">
        <f t="shared" si="42"/>
        <v>1.0357686608352994</v>
      </c>
      <c r="N127">
        <f t="shared" si="42"/>
        <v>1.0763113441193362</v>
      </c>
      <c r="O127">
        <f t="shared" si="42"/>
        <v>1.0963072527754558</v>
      </c>
      <c r="P127">
        <f t="shared" si="42"/>
        <v>1.0990898618189813</v>
      </c>
      <c r="Q127">
        <f t="shared" si="42"/>
        <v>1.0999238743357833</v>
      </c>
      <c r="R127">
        <f t="shared" si="42"/>
        <v>1.100173637978678</v>
      </c>
      <c r="S127">
        <f t="shared" si="42"/>
        <v>1.1002484570435098</v>
      </c>
      <c r="T127">
        <f t="shared" si="42"/>
        <v>1.1002704626508131</v>
      </c>
    </row>
    <row r="128" spans="5:20" x14ac:dyDescent="0.15">
      <c r="E128">
        <v>2008</v>
      </c>
      <c r="F128">
        <f t="shared" ref="F128:T128" si="43">F97/F66</f>
        <v>2.8423425560631078E-2</v>
      </c>
      <c r="G128">
        <f t="shared" si="43"/>
        <v>1.2794869963906837E-2</v>
      </c>
      <c r="H128">
        <f t="shared" si="43"/>
        <v>5.0731995345931882E-2</v>
      </c>
      <c r="I128">
        <f t="shared" si="43"/>
        <v>0.16695142274323288</v>
      </c>
      <c r="J128">
        <f t="shared" si="43"/>
        <v>0.42921680058938694</v>
      </c>
      <c r="K128">
        <f t="shared" si="43"/>
        <v>0.72185715318254973</v>
      </c>
      <c r="L128">
        <f t="shared" si="43"/>
        <v>0.93658816274448131</v>
      </c>
      <c r="M128">
        <f t="shared" si="43"/>
        <v>1.0332250857482774</v>
      </c>
      <c r="N128">
        <f t="shared" si="43"/>
        <v>1.0580312155115512</v>
      </c>
      <c r="O128">
        <f t="shared" si="43"/>
        <v>1.0809296719801389</v>
      </c>
      <c r="P128">
        <f t="shared" si="43"/>
        <v>1.0824859949669838</v>
      </c>
      <c r="Q128">
        <f t="shared" si="43"/>
        <v>1.0828932165696654</v>
      </c>
      <c r="R128">
        <f t="shared" si="43"/>
        <v>1.0829982710788679</v>
      </c>
      <c r="S128">
        <f t="shared" si="43"/>
        <v>1.0830264300194792</v>
      </c>
      <c r="T128">
        <f t="shared" si="43"/>
        <v>1.0830340112727204</v>
      </c>
    </row>
    <row r="129" spans="5:36" x14ac:dyDescent="0.15">
      <c r="E129">
        <v>2009</v>
      </c>
      <c r="F129">
        <f t="shared" ref="F129:T129" si="44">F98/F67</f>
        <v>1.3423784666400105E-2</v>
      </c>
      <c r="G129">
        <f t="shared" si="44"/>
        <v>1.4126075198099927E-2</v>
      </c>
      <c r="H129">
        <f t="shared" si="44"/>
        <v>5.8248162621410839E-2</v>
      </c>
      <c r="I129">
        <f t="shared" si="44"/>
        <v>0.19703565175805313</v>
      </c>
      <c r="J129">
        <f t="shared" si="44"/>
        <v>0.51125062503658358</v>
      </c>
      <c r="K129">
        <f t="shared" si="44"/>
        <v>0.82723052876861147</v>
      </c>
      <c r="L129">
        <f t="shared" si="44"/>
        <v>0.9910293779011895</v>
      </c>
      <c r="M129">
        <f t="shared" si="44"/>
        <v>1.0536504305897954</v>
      </c>
      <c r="N129">
        <f t="shared" si="44"/>
        <v>1.0646374470231803</v>
      </c>
      <c r="O129">
        <f t="shared" si="44"/>
        <v>1.0722734779988343</v>
      </c>
      <c r="P129">
        <f t="shared" si="44"/>
        <v>1.0732687056142718</v>
      </c>
      <c r="Q129">
        <f t="shared" si="44"/>
        <v>1.0735177809182435</v>
      </c>
      <c r="R129">
        <f t="shared" si="44"/>
        <v>1.0735800497442363</v>
      </c>
      <c r="S129">
        <f t="shared" si="44"/>
        <v>1.0735950801505103</v>
      </c>
      <c r="T129">
        <f t="shared" si="44"/>
        <v>1.0735993745523029</v>
      </c>
    </row>
    <row r="131" spans="5:36" x14ac:dyDescent="0.15">
      <c r="F131">
        <f>AVERAGE(F102:F129)</f>
        <v>5.5298383890059484E-2</v>
      </c>
      <c r="G131">
        <f t="shared" ref="G131:T131" si="45">AVERAGE(G102:G129)</f>
        <v>4.3418254911022316E-2</v>
      </c>
      <c r="H131">
        <f t="shared" si="45"/>
        <v>0.10814065939667673</v>
      </c>
      <c r="I131">
        <f t="shared" si="45"/>
        <v>0.23199487405001995</v>
      </c>
      <c r="J131">
        <f t="shared" si="45"/>
        <v>0.43371900807625169</v>
      </c>
      <c r="K131">
        <f t="shared" si="45"/>
        <v>0.66512401394320497</v>
      </c>
      <c r="L131">
        <f t="shared" si="45"/>
        <v>0.85646903208091651</v>
      </c>
      <c r="M131">
        <f t="shared" si="45"/>
        <v>0.98382280295617452</v>
      </c>
      <c r="N131">
        <f t="shared" si="45"/>
        <v>1.0532758758547802</v>
      </c>
      <c r="O131">
        <f t="shared" si="45"/>
        <v>1.0929715174891332</v>
      </c>
      <c r="P131">
        <f t="shared" si="45"/>
        <v>1.1071747523933531</v>
      </c>
      <c r="Q131">
        <f t="shared" si="45"/>
        <v>1.1134232618550879</v>
      </c>
      <c r="R131">
        <f t="shared" si="45"/>
        <v>1.1161615023100058</v>
      </c>
      <c r="S131">
        <f t="shared" si="45"/>
        <v>1.1173651110639506</v>
      </c>
      <c r="T131">
        <f t="shared" si="45"/>
        <v>1.1178974025899715</v>
      </c>
    </row>
    <row r="132" spans="5:36" x14ac:dyDescent="0.15">
      <c r="F132">
        <f>BTS_Q*F2</f>
        <v>9.9972441384809166E-2</v>
      </c>
      <c r="G132">
        <f t="shared" ref="G132:T132" si="46">BTS_Q*G2</f>
        <v>6.7264862981961743E-2</v>
      </c>
      <c r="H132">
        <f t="shared" si="46"/>
        <v>0.15238275365360165</v>
      </c>
      <c r="I132">
        <f t="shared" si="46"/>
        <v>0.32046427383334913</v>
      </c>
      <c r="J132">
        <f t="shared" si="46"/>
        <v>0.5854390324688844</v>
      </c>
      <c r="K132">
        <f t="shared" si="46"/>
        <v>0.88801466726459166</v>
      </c>
      <c r="L132">
        <f t="shared" si="46"/>
        <v>1.1391321628948756</v>
      </c>
      <c r="M132">
        <f t="shared" si="46"/>
        <v>1.3031209792612093</v>
      </c>
      <c r="N132">
        <f t="shared" si="46"/>
        <v>1.3939217878113555</v>
      </c>
      <c r="O132">
        <f t="shared" si="46"/>
        <v>1.439135415406664</v>
      </c>
      <c r="P132">
        <f t="shared" si="46"/>
        <v>1.4603460781416908</v>
      </c>
      <c r="Q132">
        <f t="shared" si="46"/>
        <v>1.4700156786654781</v>
      </c>
      <c r="R132">
        <f t="shared" si="46"/>
        <v>1.474375722536017</v>
      </c>
      <c r="S132">
        <f t="shared" si="46"/>
        <v>1.4763371178413824</v>
      </c>
      <c r="T132">
        <f t="shared" si="46"/>
        <v>1.4772212310744994</v>
      </c>
    </row>
    <row r="134" spans="5:36" x14ac:dyDescent="0.15">
      <c r="E134" t="s">
        <v>84</v>
      </c>
    </row>
    <row r="135" spans="5:36" x14ac:dyDescent="0.15">
      <c r="F135" t="s">
        <v>75</v>
      </c>
      <c r="G135" t="s">
        <v>81</v>
      </c>
      <c r="H135" t="s">
        <v>80</v>
      </c>
      <c r="I135" t="s">
        <v>76</v>
      </c>
      <c r="J135" t="s">
        <v>78</v>
      </c>
      <c r="K135" t="s">
        <v>79</v>
      </c>
      <c r="L135" t="s">
        <v>77</v>
      </c>
      <c r="M135" t="s">
        <v>149</v>
      </c>
      <c r="N135" t="s">
        <v>82</v>
      </c>
      <c r="O135" t="s">
        <v>83</v>
      </c>
      <c r="P135" t="s">
        <v>85</v>
      </c>
      <c r="Q135" t="s">
        <v>86</v>
      </c>
      <c r="R135" t="s">
        <v>87</v>
      </c>
      <c r="S135" t="s">
        <v>89</v>
      </c>
      <c r="T135" t="s">
        <v>88</v>
      </c>
      <c r="U135">
        <v>1</v>
      </c>
      <c r="V135" t="s">
        <v>322</v>
      </c>
      <c r="W135" t="s">
        <v>323</v>
      </c>
      <c r="X135" t="s">
        <v>324</v>
      </c>
      <c r="Y135" t="s">
        <v>325</v>
      </c>
      <c r="Z135" t="s">
        <v>326</v>
      </c>
      <c r="AA135" t="s">
        <v>327</v>
      </c>
      <c r="AB135" t="s">
        <v>328</v>
      </c>
      <c r="AC135" t="s">
        <v>329</v>
      </c>
      <c r="AD135" t="s">
        <v>330</v>
      </c>
      <c r="AE135" t="s">
        <v>331</v>
      </c>
      <c r="AF135" t="s">
        <v>332</v>
      </c>
      <c r="AG135" t="s">
        <v>309</v>
      </c>
      <c r="AH135" t="s">
        <v>333</v>
      </c>
      <c r="AI135" t="s">
        <v>334</v>
      </c>
      <c r="AJ135" t="s">
        <v>335</v>
      </c>
    </row>
    <row r="136" spans="5:36" x14ac:dyDescent="0.15">
      <c r="E136">
        <v>1982</v>
      </c>
      <c r="F136">
        <f t="shared" ref="F136:F155" ca="1" si="47">SUM(INDIRECT(V136))</f>
        <v>3556.0472032403318</v>
      </c>
      <c r="G136">
        <f t="shared" ref="G136:G155" ca="1" si="48">SUM(INDIRECT(W136))</f>
        <v>3524.1972633226537</v>
      </c>
      <c r="H136">
        <f t="shared" ref="H136:H155" ca="1" si="49">SUM(INDIRECT(X136))</f>
        <v>3403.4988749868339</v>
      </c>
      <c r="I136">
        <f t="shared" ref="I136:I155" ca="1" si="50">SUM(INDIRECT(Y136))</f>
        <v>3077.4276331238457</v>
      </c>
      <c r="J136">
        <f t="shared" ref="J136:J155" ca="1" si="51">SUM(INDIRECT(Z136))</f>
        <v>1496.6326368248488</v>
      </c>
      <c r="K136">
        <f t="shared" ref="K136:K155" ca="1" si="52">SUM(INDIRECT(AA136))</f>
        <v>857.02614206679061</v>
      </c>
      <c r="L136">
        <f t="shared" ref="L136:L155" ca="1" si="53">SUM(INDIRECT(AB136))</f>
        <v>550.8088955626323</v>
      </c>
      <c r="M136">
        <f t="shared" ref="M136:M155" ca="1" si="54">SUM(INDIRECT(AC136))</f>
        <v>331.65673842853613</v>
      </c>
      <c r="N136">
        <f t="shared" ref="N136:N155" ca="1" si="55">SUM(INDIRECT(AD136))</f>
        <v>177.27196260710821</v>
      </c>
      <c r="O136">
        <f t="shared" ref="O136:O155" ca="1" si="56">SUM(INDIRECT(AE136))</f>
        <v>89.64220209705779</v>
      </c>
      <c r="P136">
        <f t="shared" ref="P136:P155" ca="1" si="57">SUM(INDIRECT(AF136))</f>
        <v>33.244572476738355</v>
      </c>
      <c r="Q136">
        <f t="shared" ref="Q136:Q155" ca="1" si="58">SUM(INDIRECT(AG136))</f>
        <v>20.480605979636501</v>
      </c>
      <c r="R136">
        <f t="shared" ref="R136:R155" ca="1" si="59">SUM(INDIRECT(AH136))</f>
        <v>13.988944614924234</v>
      </c>
      <c r="S136">
        <f t="shared" ref="S136:S155" ca="1" si="60">SUM(INDIRECT(AI136))</f>
        <v>7.3592531798539511</v>
      </c>
      <c r="T136">
        <f ca="1">SUM(INDIRECT(AJ136))</f>
        <v>3.3831494767427714</v>
      </c>
      <c r="U136">
        <f>((ROW(F71))-1)+1</f>
        <v>71</v>
      </c>
      <c r="V136" t="str">
        <f t="shared" ref="V136:AJ145" si="61">V$367&amp;$U136&amp;":"&amp;$AJ$367&amp;$U136</f>
        <v>f71:t71</v>
      </c>
      <c r="W136" t="str">
        <f t="shared" si="61"/>
        <v>g71:t71</v>
      </c>
      <c r="X136" t="str">
        <f t="shared" si="61"/>
        <v>h71:t71</v>
      </c>
      <c r="Y136" t="str">
        <f t="shared" si="61"/>
        <v>I71:t71</v>
      </c>
      <c r="Z136" t="str">
        <f t="shared" si="61"/>
        <v>j71:t71</v>
      </c>
      <c r="AA136" t="str">
        <f t="shared" si="61"/>
        <v>k71:t71</v>
      </c>
      <c r="AB136" t="str">
        <f t="shared" si="61"/>
        <v>l71:t71</v>
      </c>
      <c r="AC136" t="str">
        <f t="shared" si="61"/>
        <v>m71:t71</v>
      </c>
      <c r="AD136" t="str">
        <f t="shared" si="61"/>
        <v>n71:t71</v>
      </c>
      <c r="AE136" t="str">
        <f t="shared" si="61"/>
        <v>o71:t71</v>
      </c>
      <c r="AF136" t="str">
        <f t="shared" si="61"/>
        <v>p71:t71</v>
      </c>
      <c r="AG136" t="str">
        <f t="shared" si="61"/>
        <v>q71:t71</v>
      </c>
      <c r="AH136" t="str">
        <f t="shared" si="61"/>
        <v>r71:t71</v>
      </c>
      <c r="AI136" t="str">
        <f t="shared" si="61"/>
        <v>s71:t71</v>
      </c>
      <c r="AJ136" t="str">
        <f t="shared" si="61"/>
        <v>t71:t71</v>
      </c>
    </row>
    <row r="137" spans="5:36" x14ac:dyDescent="0.15">
      <c r="E137">
        <v>1983</v>
      </c>
      <c r="F137">
        <f t="shared" ca="1" si="47"/>
        <v>120</v>
      </c>
      <c r="G137">
        <f t="shared" ca="1" si="48"/>
        <v>119</v>
      </c>
      <c r="H137">
        <f t="shared" ca="1" si="49"/>
        <v>117</v>
      </c>
      <c r="I137">
        <f t="shared" ca="1" si="50"/>
        <v>114</v>
      </c>
      <c r="J137">
        <f t="shared" ca="1" si="51"/>
        <v>110</v>
      </c>
      <c r="K137">
        <f t="shared" ca="1" si="52"/>
        <v>105</v>
      </c>
      <c r="L137">
        <f t="shared" ca="1" si="53"/>
        <v>99</v>
      </c>
      <c r="M137">
        <f t="shared" ca="1" si="54"/>
        <v>92</v>
      </c>
      <c r="N137">
        <f t="shared" ca="1" si="55"/>
        <v>84</v>
      </c>
      <c r="O137">
        <f t="shared" ca="1" si="56"/>
        <v>75</v>
      </c>
      <c r="P137">
        <f t="shared" ca="1" si="57"/>
        <v>65</v>
      </c>
      <c r="Q137">
        <f t="shared" ca="1" si="58"/>
        <v>54</v>
      </c>
      <c r="R137">
        <f t="shared" ca="1" si="59"/>
        <v>42</v>
      </c>
      <c r="S137">
        <f t="shared" ca="1" si="60"/>
        <v>29</v>
      </c>
      <c r="T137">
        <f t="shared" ref="T137:T155" ca="1" si="62">SUM(INDIRECT(AJ137))</f>
        <v>15</v>
      </c>
      <c r="U137">
        <v>70</v>
      </c>
      <c r="V137" t="str">
        <f t="shared" si="61"/>
        <v>f70:t70</v>
      </c>
      <c r="W137" t="str">
        <f t="shared" si="61"/>
        <v>g70:t70</v>
      </c>
      <c r="X137" t="str">
        <f t="shared" si="61"/>
        <v>h70:t70</v>
      </c>
      <c r="Y137" t="str">
        <f t="shared" si="61"/>
        <v>I70:t70</v>
      </c>
      <c r="Z137" t="str">
        <f t="shared" si="61"/>
        <v>j70:t70</v>
      </c>
      <c r="AA137" t="str">
        <f t="shared" si="61"/>
        <v>k70:t70</v>
      </c>
      <c r="AB137" t="str">
        <f t="shared" si="61"/>
        <v>l70:t70</v>
      </c>
      <c r="AC137" t="str">
        <f t="shared" si="61"/>
        <v>m70:t70</v>
      </c>
      <c r="AD137" t="str">
        <f t="shared" si="61"/>
        <v>n70:t70</v>
      </c>
      <c r="AE137" t="str">
        <f t="shared" si="61"/>
        <v>o70:t70</v>
      </c>
      <c r="AF137" t="str">
        <f t="shared" si="61"/>
        <v>p70:t70</v>
      </c>
      <c r="AG137" t="str">
        <f t="shared" si="61"/>
        <v>q70:t70</v>
      </c>
      <c r="AH137" t="str">
        <f t="shared" si="61"/>
        <v>r70:t70</v>
      </c>
      <c r="AI137" t="str">
        <f t="shared" si="61"/>
        <v>s70:t70</v>
      </c>
      <c r="AJ137" t="str">
        <f t="shared" si="61"/>
        <v>t70:t70</v>
      </c>
    </row>
    <row r="138" spans="5:36" x14ac:dyDescent="0.15">
      <c r="E138">
        <v>1984</v>
      </c>
      <c r="F138">
        <f t="shared" ca="1" si="47"/>
        <v>3556.0472032403318</v>
      </c>
      <c r="G138">
        <f t="shared" ca="1" si="48"/>
        <v>3524.1972633226537</v>
      </c>
      <c r="H138">
        <f t="shared" ca="1" si="49"/>
        <v>3403.4988749868339</v>
      </c>
      <c r="I138">
        <f t="shared" ca="1" si="50"/>
        <v>3077.4276331238457</v>
      </c>
      <c r="J138">
        <f t="shared" ca="1" si="51"/>
        <v>1496.6326368248488</v>
      </c>
      <c r="K138">
        <f t="shared" ca="1" si="52"/>
        <v>857.02614206679061</v>
      </c>
      <c r="L138">
        <f t="shared" ca="1" si="53"/>
        <v>550.8088955626323</v>
      </c>
      <c r="M138">
        <f t="shared" ca="1" si="54"/>
        <v>331.65673842853613</v>
      </c>
      <c r="N138">
        <f t="shared" ca="1" si="55"/>
        <v>177.27196260710821</v>
      </c>
      <c r="O138">
        <f t="shared" ca="1" si="56"/>
        <v>89.64220209705779</v>
      </c>
      <c r="P138">
        <f t="shared" ca="1" si="57"/>
        <v>33.244572476738355</v>
      </c>
      <c r="Q138">
        <f t="shared" ca="1" si="58"/>
        <v>20.480605979636501</v>
      </c>
      <c r="R138">
        <f t="shared" ca="1" si="59"/>
        <v>13.988944614924234</v>
      </c>
      <c r="S138">
        <f t="shared" ca="1" si="60"/>
        <v>7.3592531798539511</v>
      </c>
      <c r="T138">
        <f t="shared" ca="1" si="62"/>
        <v>3.3831494767427714</v>
      </c>
      <c r="U138">
        <v>71</v>
      </c>
      <c r="V138" t="str">
        <f t="shared" si="61"/>
        <v>f71:t71</v>
      </c>
      <c r="W138" t="str">
        <f t="shared" si="61"/>
        <v>g71:t71</v>
      </c>
      <c r="X138" t="str">
        <f t="shared" si="61"/>
        <v>h71:t71</v>
      </c>
      <c r="Y138" t="str">
        <f t="shared" si="61"/>
        <v>I71:t71</v>
      </c>
      <c r="Z138" t="str">
        <f t="shared" si="61"/>
        <v>j71:t71</v>
      </c>
      <c r="AA138" t="str">
        <f t="shared" si="61"/>
        <v>k71:t71</v>
      </c>
      <c r="AB138" t="str">
        <f t="shared" si="61"/>
        <v>l71:t71</v>
      </c>
      <c r="AC138" t="str">
        <f t="shared" si="61"/>
        <v>m71:t71</v>
      </c>
      <c r="AD138" t="str">
        <f t="shared" si="61"/>
        <v>n71:t71</v>
      </c>
      <c r="AE138" t="str">
        <f t="shared" si="61"/>
        <v>o71:t71</v>
      </c>
      <c r="AF138" t="str">
        <f t="shared" si="61"/>
        <v>p71:t71</v>
      </c>
      <c r="AG138" t="str">
        <f t="shared" si="61"/>
        <v>q71:t71</v>
      </c>
      <c r="AH138" t="str">
        <f t="shared" si="61"/>
        <v>r71:t71</v>
      </c>
      <c r="AI138" t="str">
        <f t="shared" si="61"/>
        <v>s71:t71</v>
      </c>
      <c r="AJ138" t="str">
        <f t="shared" si="61"/>
        <v>t71:t71</v>
      </c>
    </row>
    <row r="139" spans="5:36" x14ac:dyDescent="0.15">
      <c r="E139">
        <v>1985</v>
      </c>
      <c r="F139">
        <f t="shared" ca="1" si="47"/>
        <v>5755.8398836093129</v>
      </c>
      <c r="G139">
        <f t="shared" ca="1" si="48"/>
        <v>5694.5032344615393</v>
      </c>
      <c r="H139">
        <f t="shared" ca="1" si="49"/>
        <v>5562.6409626631767</v>
      </c>
      <c r="I139">
        <f t="shared" ca="1" si="50"/>
        <v>4923.9411203739037</v>
      </c>
      <c r="J139">
        <f t="shared" ca="1" si="51"/>
        <v>4049.3953307894503</v>
      </c>
      <c r="K139">
        <f t="shared" ca="1" si="52"/>
        <v>1437.9875912956361</v>
      </c>
      <c r="L139">
        <f t="shared" ca="1" si="53"/>
        <v>605.49009691817741</v>
      </c>
      <c r="M139">
        <f t="shared" ca="1" si="54"/>
        <v>344.61842788677876</v>
      </c>
      <c r="N139">
        <f t="shared" ca="1" si="55"/>
        <v>190.43074625929279</v>
      </c>
      <c r="O139">
        <f t="shared" ca="1" si="56"/>
        <v>90.423107830302428</v>
      </c>
      <c r="P139">
        <f t="shared" ca="1" si="57"/>
        <v>45.404742439601954</v>
      </c>
      <c r="Q139">
        <f t="shared" ca="1" si="58"/>
        <v>18.4587510106265</v>
      </c>
      <c r="R139">
        <f t="shared" ca="1" si="59"/>
        <v>12.773820883688565</v>
      </c>
      <c r="S139">
        <f t="shared" ca="1" si="60"/>
        <v>8.4869180781036011</v>
      </c>
      <c r="T139">
        <f t="shared" ca="1" si="62"/>
        <v>4.6482377875948755</v>
      </c>
      <c r="U139">
        <v>72</v>
      </c>
      <c r="V139" t="str">
        <f t="shared" si="61"/>
        <v>f72:t72</v>
      </c>
      <c r="W139" t="str">
        <f t="shared" si="61"/>
        <v>g72:t72</v>
      </c>
      <c r="X139" t="str">
        <f t="shared" si="61"/>
        <v>h72:t72</v>
      </c>
      <c r="Y139" t="str">
        <f t="shared" si="61"/>
        <v>I72:t72</v>
      </c>
      <c r="Z139" t="str">
        <f t="shared" si="61"/>
        <v>j72:t72</v>
      </c>
      <c r="AA139" t="str">
        <f t="shared" si="61"/>
        <v>k72:t72</v>
      </c>
      <c r="AB139" t="str">
        <f t="shared" si="61"/>
        <v>l72:t72</v>
      </c>
      <c r="AC139" t="str">
        <f t="shared" si="61"/>
        <v>m72:t72</v>
      </c>
      <c r="AD139" t="str">
        <f t="shared" si="61"/>
        <v>n72:t72</v>
      </c>
      <c r="AE139" t="str">
        <f t="shared" si="61"/>
        <v>o72:t72</v>
      </c>
      <c r="AF139" t="str">
        <f t="shared" si="61"/>
        <v>p72:t72</v>
      </c>
      <c r="AG139" t="str">
        <f t="shared" si="61"/>
        <v>q72:t72</v>
      </c>
      <c r="AH139" t="str">
        <f t="shared" si="61"/>
        <v>r72:t72</v>
      </c>
      <c r="AI139" t="str">
        <f t="shared" si="61"/>
        <v>s72:t72</v>
      </c>
      <c r="AJ139" t="str">
        <f t="shared" si="61"/>
        <v>t72:t72</v>
      </c>
    </row>
    <row r="140" spans="5:36" x14ac:dyDescent="0.15">
      <c r="E140">
        <v>1986</v>
      </c>
      <c r="F140">
        <f t="shared" ca="1" si="47"/>
        <v>5315.50556765699</v>
      </c>
      <c r="G140">
        <f t="shared" ca="1" si="48"/>
        <v>5306.5068059501391</v>
      </c>
      <c r="H140">
        <f t="shared" ca="1" si="49"/>
        <v>5255.4446264901071</v>
      </c>
      <c r="I140">
        <f t="shared" ca="1" si="50"/>
        <v>5127.4121588103562</v>
      </c>
      <c r="J140">
        <f t="shared" ca="1" si="51"/>
        <v>4552.4190469740824</v>
      </c>
      <c r="K140">
        <f t="shared" ca="1" si="52"/>
        <v>3585.4574854004381</v>
      </c>
      <c r="L140">
        <f t="shared" ca="1" si="53"/>
        <v>1186.286979551516</v>
      </c>
      <c r="M140">
        <f t="shared" ca="1" si="54"/>
        <v>480.2020165204903</v>
      </c>
      <c r="N140">
        <f t="shared" ca="1" si="55"/>
        <v>258.48879178778606</v>
      </c>
      <c r="O140">
        <f t="shared" ca="1" si="56"/>
        <v>146.097338328257</v>
      </c>
      <c r="P140">
        <f t="shared" ca="1" si="57"/>
        <v>73.218369964668696</v>
      </c>
      <c r="Q140">
        <f t="shared" ca="1" si="58"/>
        <v>30.61509915369707</v>
      </c>
      <c r="R140">
        <f t="shared" ca="1" si="59"/>
        <v>11.877350976281448</v>
      </c>
      <c r="S140">
        <f t="shared" ca="1" si="60"/>
        <v>7.6283352144001402</v>
      </c>
      <c r="T140">
        <f t="shared" ca="1" si="62"/>
        <v>4.899656568087674</v>
      </c>
      <c r="U140">
        <v>73</v>
      </c>
      <c r="V140" t="str">
        <f t="shared" si="61"/>
        <v>f73:t73</v>
      </c>
      <c r="W140" t="str">
        <f t="shared" si="61"/>
        <v>g73:t73</v>
      </c>
      <c r="X140" t="str">
        <f t="shared" si="61"/>
        <v>h73:t73</v>
      </c>
      <c r="Y140" t="str">
        <f t="shared" si="61"/>
        <v>I73:t73</v>
      </c>
      <c r="Z140" t="str">
        <f t="shared" si="61"/>
        <v>j73:t73</v>
      </c>
      <c r="AA140" t="str">
        <f t="shared" si="61"/>
        <v>k73:t73</v>
      </c>
      <c r="AB140" t="str">
        <f t="shared" si="61"/>
        <v>l73:t73</v>
      </c>
      <c r="AC140" t="str">
        <f t="shared" si="61"/>
        <v>m73:t73</v>
      </c>
      <c r="AD140" t="str">
        <f t="shared" si="61"/>
        <v>n73:t73</v>
      </c>
      <c r="AE140" t="str">
        <f t="shared" si="61"/>
        <v>o73:t73</v>
      </c>
      <c r="AF140" t="str">
        <f t="shared" si="61"/>
        <v>p73:t73</v>
      </c>
      <c r="AG140" t="str">
        <f t="shared" si="61"/>
        <v>q73:t73</v>
      </c>
      <c r="AH140" t="str">
        <f t="shared" si="61"/>
        <v>r73:t73</v>
      </c>
      <c r="AI140" t="str">
        <f t="shared" si="61"/>
        <v>s73:t73</v>
      </c>
      <c r="AJ140" t="str">
        <f t="shared" si="61"/>
        <v>t73:t73</v>
      </c>
    </row>
    <row r="141" spans="5:36" x14ac:dyDescent="0.15">
      <c r="E141">
        <v>1987</v>
      </c>
      <c r="F141">
        <f t="shared" ca="1" si="47"/>
        <v>5825.8980066961249</v>
      </c>
      <c r="G141">
        <f t="shared" ca="1" si="48"/>
        <v>5738.0323602175449</v>
      </c>
      <c r="H141">
        <f t="shared" ca="1" si="49"/>
        <v>5707.5647962846215</v>
      </c>
      <c r="I141">
        <f t="shared" ca="1" si="50"/>
        <v>5209.4517692528316</v>
      </c>
      <c r="J141">
        <f t="shared" ca="1" si="51"/>
        <v>4871.8345783703435</v>
      </c>
      <c r="K141">
        <f t="shared" ca="1" si="52"/>
        <v>3977.5810636263564</v>
      </c>
      <c r="L141">
        <f t="shared" ca="1" si="53"/>
        <v>2919.4425921341171</v>
      </c>
      <c r="M141">
        <f t="shared" ca="1" si="54"/>
        <v>845.06957188517208</v>
      </c>
      <c r="N141">
        <f t="shared" ca="1" si="55"/>
        <v>319.65405850621238</v>
      </c>
      <c r="O141">
        <f t="shared" ca="1" si="56"/>
        <v>146.14201278728791</v>
      </c>
      <c r="P141">
        <f t="shared" ca="1" si="57"/>
        <v>83.052149817829033</v>
      </c>
      <c r="Q141">
        <f t="shared" ca="1" si="58"/>
        <v>42.153515434680052</v>
      </c>
      <c r="R141">
        <f t="shared" ca="1" si="59"/>
        <v>21.573052124005251</v>
      </c>
      <c r="S141">
        <f t="shared" ca="1" si="60"/>
        <v>7.6786285032026713</v>
      </c>
      <c r="T141">
        <f t="shared" ca="1" si="62"/>
        <v>4.7174129457478022</v>
      </c>
      <c r="U141">
        <v>74</v>
      </c>
      <c r="V141" t="str">
        <f t="shared" si="61"/>
        <v>f74:t74</v>
      </c>
      <c r="W141" t="str">
        <f t="shared" si="61"/>
        <v>g74:t74</v>
      </c>
      <c r="X141" t="str">
        <f t="shared" si="61"/>
        <v>h74:t74</v>
      </c>
      <c r="Y141" t="str">
        <f t="shared" si="61"/>
        <v>I74:t74</v>
      </c>
      <c r="Z141" t="str">
        <f t="shared" si="61"/>
        <v>j74:t74</v>
      </c>
      <c r="AA141" t="str">
        <f t="shared" si="61"/>
        <v>k74:t74</v>
      </c>
      <c r="AB141" t="str">
        <f t="shared" si="61"/>
        <v>l74:t74</v>
      </c>
      <c r="AC141" t="str">
        <f t="shared" si="61"/>
        <v>m74:t74</v>
      </c>
      <c r="AD141" t="str">
        <f t="shared" si="61"/>
        <v>n74:t74</v>
      </c>
      <c r="AE141" t="str">
        <f t="shared" si="61"/>
        <v>o74:t74</v>
      </c>
      <c r="AF141" t="str">
        <f t="shared" si="61"/>
        <v>p74:t74</v>
      </c>
      <c r="AG141" t="str">
        <f t="shared" si="61"/>
        <v>q74:t74</v>
      </c>
      <c r="AH141" t="str">
        <f t="shared" si="61"/>
        <v>r74:t74</v>
      </c>
      <c r="AI141" t="str">
        <f t="shared" si="61"/>
        <v>s74:t74</v>
      </c>
      <c r="AJ141" t="str">
        <f t="shared" si="61"/>
        <v>t74:t74</v>
      </c>
    </row>
    <row r="142" spans="5:36" x14ac:dyDescent="0.15">
      <c r="E142">
        <v>1988</v>
      </c>
      <c r="F142">
        <f t="shared" ca="1" si="47"/>
        <v>5615.7966023278705</v>
      </c>
      <c r="G142">
        <f t="shared" ca="1" si="48"/>
        <v>5585.4354794509845</v>
      </c>
      <c r="H142">
        <f t="shared" ca="1" si="49"/>
        <v>5530.7465884395378</v>
      </c>
      <c r="I142">
        <f t="shared" ca="1" si="50"/>
        <v>5476.1796259172088</v>
      </c>
      <c r="J142">
        <f t="shared" ca="1" si="51"/>
        <v>4674.6095070939646</v>
      </c>
      <c r="K142">
        <f t="shared" ca="1" si="52"/>
        <v>4259.4510109832481</v>
      </c>
      <c r="L142">
        <f t="shared" ca="1" si="53"/>
        <v>3114.4989319507699</v>
      </c>
      <c r="M142">
        <f t="shared" ca="1" si="54"/>
        <v>2208.5593245806504</v>
      </c>
      <c r="N142">
        <f t="shared" ca="1" si="55"/>
        <v>594.23196020490025</v>
      </c>
      <c r="O142">
        <f t="shared" ca="1" si="56"/>
        <v>214.83817388756614</v>
      </c>
      <c r="P142">
        <f t="shared" ca="1" si="57"/>
        <v>102.91352093704428</v>
      </c>
      <c r="Q142">
        <f t="shared" ca="1" si="58"/>
        <v>54.755225293645658</v>
      </c>
      <c r="R142">
        <f t="shared" ca="1" si="59"/>
        <v>26.820415479369927</v>
      </c>
      <c r="S142">
        <f t="shared" ca="1" si="60"/>
        <v>13.080049783537127</v>
      </c>
      <c r="T142">
        <f t="shared" ca="1" si="62"/>
        <v>4.6142242956082535</v>
      </c>
      <c r="U142">
        <v>75</v>
      </c>
      <c r="V142" t="str">
        <f t="shared" si="61"/>
        <v>f75:t75</v>
      </c>
      <c r="W142" t="str">
        <f t="shared" si="61"/>
        <v>g75:t75</v>
      </c>
      <c r="X142" t="str">
        <f t="shared" si="61"/>
        <v>h75:t75</v>
      </c>
      <c r="Y142" t="str">
        <f t="shared" si="61"/>
        <v>I75:t75</v>
      </c>
      <c r="Z142" t="str">
        <f t="shared" si="61"/>
        <v>j75:t75</v>
      </c>
      <c r="AA142" t="str">
        <f t="shared" si="61"/>
        <v>k75:t75</v>
      </c>
      <c r="AB142" t="str">
        <f t="shared" si="61"/>
        <v>l75:t75</v>
      </c>
      <c r="AC142" t="str">
        <f t="shared" si="61"/>
        <v>m75:t75</v>
      </c>
      <c r="AD142" t="str">
        <f t="shared" si="61"/>
        <v>n75:t75</v>
      </c>
      <c r="AE142" t="str">
        <f t="shared" si="61"/>
        <v>o75:t75</v>
      </c>
      <c r="AF142" t="str">
        <f t="shared" si="61"/>
        <v>p75:t75</v>
      </c>
      <c r="AG142" t="str">
        <f t="shared" si="61"/>
        <v>q75:t75</v>
      </c>
      <c r="AH142" t="str">
        <f t="shared" si="61"/>
        <v>r75:t75</v>
      </c>
      <c r="AI142" t="str">
        <f t="shared" si="61"/>
        <v>s75:t75</v>
      </c>
      <c r="AJ142" t="str">
        <f t="shared" si="61"/>
        <v>t75:t75</v>
      </c>
    </row>
    <row r="143" spans="5:36" x14ac:dyDescent="0.15">
      <c r="E143">
        <v>1989</v>
      </c>
      <c r="F143">
        <f t="shared" ca="1" si="47"/>
        <v>6217.0232959176083</v>
      </c>
      <c r="G143">
        <f t="shared" ca="1" si="48"/>
        <v>6198.9299088066709</v>
      </c>
      <c r="H143">
        <f t="shared" ca="1" si="49"/>
        <v>6158.3589874909012</v>
      </c>
      <c r="I143">
        <f t="shared" ca="1" si="50"/>
        <v>5859.3737941344516</v>
      </c>
      <c r="J143">
        <f t="shared" ca="1" si="51"/>
        <v>5591.8421011021073</v>
      </c>
      <c r="K143">
        <f t="shared" ca="1" si="52"/>
        <v>3997.6739749686622</v>
      </c>
      <c r="L143">
        <f t="shared" ca="1" si="53"/>
        <v>3353.6973527533937</v>
      </c>
      <c r="M143">
        <f t="shared" ca="1" si="54"/>
        <v>2199.764337997145</v>
      </c>
      <c r="N143">
        <f t="shared" ca="1" si="55"/>
        <v>1464.8706484203262</v>
      </c>
      <c r="O143">
        <f t="shared" ca="1" si="56"/>
        <v>361.69608161930762</v>
      </c>
      <c r="P143">
        <f t="shared" ca="1" si="57"/>
        <v>129.56169517547374</v>
      </c>
      <c r="Q143">
        <f t="shared" ca="1" si="58"/>
        <v>68.05117239580008</v>
      </c>
      <c r="R143">
        <f t="shared" ca="1" si="59"/>
        <v>39.439913314235497</v>
      </c>
      <c r="S143">
        <f t="shared" ca="1" si="60"/>
        <v>19.806433159575697</v>
      </c>
      <c r="T143">
        <f t="shared" ca="1" si="62"/>
        <v>8.2544880685076425</v>
      </c>
      <c r="U143">
        <v>76</v>
      </c>
      <c r="V143" t="str">
        <f t="shared" si="61"/>
        <v>f76:t76</v>
      </c>
      <c r="W143" t="str">
        <f t="shared" si="61"/>
        <v>g76:t76</v>
      </c>
      <c r="X143" t="str">
        <f t="shared" si="61"/>
        <v>h76:t76</v>
      </c>
      <c r="Y143" t="str">
        <f t="shared" si="61"/>
        <v>I76:t76</v>
      </c>
      <c r="Z143" t="str">
        <f t="shared" si="61"/>
        <v>j76:t76</v>
      </c>
      <c r="AA143" t="str">
        <f t="shared" si="61"/>
        <v>k76:t76</v>
      </c>
      <c r="AB143" t="str">
        <f t="shared" si="61"/>
        <v>l76:t76</v>
      </c>
      <c r="AC143" t="str">
        <f t="shared" si="61"/>
        <v>m76:t76</v>
      </c>
      <c r="AD143" t="str">
        <f t="shared" si="61"/>
        <v>n76:t76</v>
      </c>
      <c r="AE143" t="str">
        <f t="shared" si="61"/>
        <v>o76:t76</v>
      </c>
      <c r="AF143" t="str">
        <f t="shared" si="61"/>
        <v>p76:t76</v>
      </c>
      <c r="AG143" t="str">
        <f t="shared" si="61"/>
        <v>q76:t76</v>
      </c>
      <c r="AH143" t="str">
        <f t="shared" si="61"/>
        <v>r76:t76</v>
      </c>
      <c r="AI143" t="str">
        <f t="shared" si="61"/>
        <v>s76:t76</v>
      </c>
      <c r="AJ143" t="str">
        <f t="shared" si="61"/>
        <v>t76:t76</v>
      </c>
    </row>
    <row r="144" spans="5:36" x14ac:dyDescent="0.15">
      <c r="E144">
        <v>1990</v>
      </c>
      <c r="F144">
        <f t="shared" ca="1" si="47"/>
        <v>7641.1232255065661</v>
      </c>
      <c r="G144">
        <f t="shared" ca="1" si="48"/>
        <v>7629.5678883550881</v>
      </c>
      <c r="H144">
        <f t="shared" ca="1" si="49"/>
        <v>7598.6862643573722</v>
      </c>
      <c r="I144">
        <f t="shared" ca="1" si="50"/>
        <v>7325.1104611311057</v>
      </c>
      <c r="J144">
        <f t="shared" ca="1" si="51"/>
        <v>6209.0779759679808</v>
      </c>
      <c r="K144">
        <f t="shared" ca="1" si="52"/>
        <v>5591.2137552560644</v>
      </c>
      <c r="L144">
        <f t="shared" ca="1" si="53"/>
        <v>3195.4112301896394</v>
      </c>
      <c r="M144">
        <f t="shared" ca="1" si="54"/>
        <v>2557.3789519239799</v>
      </c>
      <c r="N144">
        <f t="shared" ca="1" si="55"/>
        <v>1601.4321391784069</v>
      </c>
      <c r="O144">
        <f t="shared" ca="1" si="56"/>
        <v>1080.3243184573405</v>
      </c>
      <c r="P144">
        <f t="shared" ca="1" si="57"/>
        <v>259.06281641530677</v>
      </c>
      <c r="Q144">
        <f t="shared" ca="1" si="58"/>
        <v>82.952731146207995</v>
      </c>
      <c r="R144">
        <f t="shared" ca="1" si="59"/>
        <v>42.879187867019738</v>
      </c>
      <c r="S144">
        <f t="shared" ca="1" si="60"/>
        <v>23.85579264688819</v>
      </c>
      <c r="T144">
        <f t="shared" ca="1" si="62"/>
        <v>11.605475701021829</v>
      </c>
      <c r="U144">
        <v>77</v>
      </c>
      <c r="V144" t="str">
        <f t="shared" si="61"/>
        <v>f77:t77</v>
      </c>
      <c r="W144" t="str">
        <f t="shared" si="61"/>
        <v>g77:t77</v>
      </c>
      <c r="X144" t="str">
        <f t="shared" si="61"/>
        <v>h77:t77</v>
      </c>
      <c r="Y144" t="str">
        <f t="shared" si="61"/>
        <v>I77:t77</v>
      </c>
      <c r="Z144" t="str">
        <f t="shared" si="61"/>
        <v>j77:t77</v>
      </c>
      <c r="AA144" t="str">
        <f t="shared" si="61"/>
        <v>k77:t77</v>
      </c>
      <c r="AB144" t="str">
        <f t="shared" si="61"/>
        <v>l77:t77</v>
      </c>
      <c r="AC144" t="str">
        <f t="shared" si="61"/>
        <v>m77:t77</v>
      </c>
      <c r="AD144" t="str">
        <f t="shared" si="61"/>
        <v>n77:t77</v>
      </c>
      <c r="AE144" t="str">
        <f t="shared" si="61"/>
        <v>o77:t77</v>
      </c>
      <c r="AF144" t="str">
        <f t="shared" si="61"/>
        <v>p77:t77</v>
      </c>
      <c r="AG144" t="str">
        <f t="shared" si="61"/>
        <v>q77:t77</v>
      </c>
      <c r="AH144" t="str">
        <f t="shared" si="61"/>
        <v>r77:t77</v>
      </c>
      <c r="AI144" t="str">
        <f t="shared" si="61"/>
        <v>s77:t77</v>
      </c>
      <c r="AJ144" t="str">
        <f t="shared" si="61"/>
        <v>t77:t77</v>
      </c>
    </row>
    <row r="145" spans="5:36" x14ac:dyDescent="0.15">
      <c r="E145">
        <v>1991</v>
      </c>
      <c r="F145">
        <f t="shared" ca="1" si="47"/>
        <v>6859.1710446897005</v>
      </c>
      <c r="G145">
        <f t="shared" ca="1" si="48"/>
        <v>6840.3327023681823</v>
      </c>
      <c r="H145">
        <f t="shared" ca="1" si="49"/>
        <v>6819.2542278502415</v>
      </c>
      <c r="I145">
        <f t="shared" ca="1" si="50"/>
        <v>6734.7036916743755</v>
      </c>
      <c r="J145">
        <f t="shared" ca="1" si="51"/>
        <v>6283.639876096001</v>
      </c>
      <c r="K145">
        <f t="shared" ca="1" si="52"/>
        <v>4763.0281725076165</v>
      </c>
      <c r="L145">
        <f t="shared" ca="1" si="53"/>
        <v>4151.8853867090929</v>
      </c>
      <c r="M145">
        <f t="shared" ca="1" si="54"/>
        <v>2177.3376111087882</v>
      </c>
      <c r="N145">
        <f t="shared" ca="1" si="55"/>
        <v>1724.4711492957649</v>
      </c>
      <c r="O145">
        <f t="shared" ca="1" si="56"/>
        <v>1015.9182292550026</v>
      </c>
      <c r="P145">
        <f t="shared" ca="1" si="57"/>
        <v>670.59398986932172</v>
      </c>
      <c r="Q145">
        <f t="shared" ca="1" si="58"/>
        <v>154.62554378660946</v>
      </c>
      <c r="R145">
        <f t="shared" ca="1" si="59"/>
        <v>56.311622161946005</v>
      </c>
      <c r="S145">
        <f t="shared" ca="1" si="60"/>
        <v>27.932210926542808</v>
      </c>
      <c r="T145">
        <f t="shared" ca="1" si="62"/>
        <v>14.689199990401038</v>
      </c>
      <c r="U145">
        <v>78</v>
      </c>
      <c r="V145" t="str">
        <f t="shared" si="61"/>
        <v>f78:t78</v>
      </c>
      <c r="W145" t="str">
        <f t="shared" si="61"/>
        <v>g78:t78</v>
      </c>
      <c r="X145" t="str">
        <f t="shared" si="61"/>
        <v>h78:t78</v>
      </c>
      <c r="Y145" t="str">
        <f t="shared" si="61"/>
        <v>I78:t78</v>
      </c>
      <c r="Z145" t="str">
        <f t="shared" si="61"/>
        <v>j78:t78</v>
      </c>
      <c r="AA145" t="str">
        <f t="shared" si="61"/>
        <v>k78:t78</v>
      </c>
      <c r="AB145" t="str">
        <f t="shared" si="61"/>
        <v>l78:t78</v>
      </c>
      <c r="AC145" t="str">
        <f t="shared" si="61"/>
        <v>m78:t78</v>
      </c>
      <c r="AD145" t="str">
        <f t="shared" si="61"/>
        <v>n78:t78</v>
      </c>
      <c r="AE145" t="str">
        <f t="shared" si="61"/>
        <v>o78:t78</v>
      </c>
      <c r="AF145" t="str">
        <f t="shared" si="61"/>
        <v>p78:t78</v>
      </c>
      <c r="AG145" t="str">
        <f t="shared" si="61"/>
        <v>q78:t78</v>
      </c>
      <c r="AH145" t="str">
        <f t="shared" si="61"/>
        <v>r78:t78</v>
      </c>
      <c r="AI145" t="str">
        <f t="shared" si="61"/>
        <v>s78:t78</v>
      </c>
      <c r="AJ145" t="str">
        <f t="shared" si="61"/>
        <v>t78:t78</v>
      </c>
    </row>
    <row r="146" spans="5:36" x14ac:dyDescent="0.15">
      <c r="E146">
        <v>1992</v>
      </c>
      <c r="F146">
        <f t="shared" ca="1" si="47"/>
        <v>6137.8600473284823</v>
      </c>
      <c r="G146">
        <f t="shared" ca="1" si="48"/>
        <v>6094.0693617589795</v>
      </c>
      <c r="H146">
        <f t="shared" ca="1" si="49"/>
        <v>6065.0356084128143</v>
      </c>
      <c r="I146">
        <f t="shared" ca="1" si="50"/>
        <v>6022.664218505206</v>
      </c>
      <c r="J146">
        <f t="shared" ca="1" si="51"/>
        <v>5818.4100574429995</v>
      </c>
      <c r="K146">
        <f t="shared" ca="1" si="52"/>
        <v>5196.3609086459983</v>
      </c>
      <c r="L146">
        <f t="shared" ca="1" si="53"/>
        <v>3502.8507852193584</v>
      </c>
      <c r="M146">
        <f t="shared" ca="1" si="54"/>
        <v>2988.5268936689276</v>
      </c>
      <c r="N146">
        <f t="shared" ca="1" si="55"/>
        <v>1486.1396927860433</v>
      </c>
      <c r="O146">
        <f t="shared" ca="1" si="56"/>
        <v>1152.2618756994407</v>
      </c>
      <c r="P146">
        <f t="shared" ca="1" si="57"/>
        <v>674.76444577405971</v>
      </c>
      <c r="Q146">
        <f t="shared" ca="1" si="58"/>
        <v>424.42912935813376</v>
      </c>
      <c r="R146">
        <f t="shared" ca="1" si="59"/>
        <v>94.174859709968956</v>
      </c>
      <c r="S146">
        <f t="shared" ca="1" si="60"/>
        <v>32.014624550414723</v>
      </c>
      <c r="T146">
        <f t="shared" ca="1" si="62"/>
        <v>15.88078076389877</v>
      </c>
      <c r="U146">
        <v>79</v>
      </c>
      <c r="V146" t="str">
        <f t="shared" ref="V146:AJ155" si="63">V$367&amp;$U146&amp;":"&amp;$AJ$367&amp;$U146</f>
        <v>f79:t79</v>
      </c>
      <c r="W146" t="str">
        <f t="shared" si="63"/>
        <v>g79:t79</v>
      </c>
      <c r="X146" t="str">
        <f t="shared" si="63"/>
        <v>h79:t79</v>
      </c>
      <c r="Y146" t="str">
        <f t="shared" si="63"/>
        <v>I79:t79</v>
      </c>
      <c r="Z146" t="str">
        <f t="shared" si="63"/>
        <v>j79:t79</v>
      </c>
      <c r="AA146" t="str">
        <f t="shared" si="63"/>
        <v>k79:t79</v>
      </c>
      <c r="AB146" t="str">
        <f t="shared" si="63"/>
        <v>l79:t79</v>
      </c>
      <c r="AC146" t="str">
        <f t="shared" si="63"/>
        <v>m79:t79</v>
      </c>
      <c r="AD146" t="str">
        <f t="shared" si="63"/>
        <v>n79:t79</v>
      </c>
      <c r="AE146" t="str">
        <f t="shared" si="63"/>
        <v>o79:t79</v>
      </c>
      <c r="AF146" t="str">
        <f t="shared" si="63"/>
        <v>p79:t79</v>
      </c>
      <c r="AG146" t="str">
        <f t="shared" si="63"/>
        <v>q79:t79</v>
      </c>
      <c r="AH146" t="str">
        <f t="shared" si="63"/>
        <v>r79:t79</v>
      </c>
      <c r="AI146" t="str">
        <f t="shared" si="63"/>
        <v>s79:t79</v>
      </c>
      <c r="AJ146" t="str">
        <f t="shared" si="63"/>
        <v>t79:t79</v>
      </c>
    </row>
    <row r="147" spans="5:36" x14ac:dyDescent="0.15">
      <c r="E147">
        <v>1993</v>
      </c>
      <c r="F147">
        <f t="shared" ca="1" si="47"/>
        <v>4416.5979265958231</v>
      </c>
      <c r="G147">
        <f t="shared" ca="1" si="48"/>
        <v>4379.3277852453612</v>
      </c>
      <c r="H147">
        <f t="shared" ca="1" si="49"/>
        <v>4339.7992369244521</v>
      </c>
      <c r="I147">
        <f t="shared" ca="1" si="50"/>
        <v>4299.7202608256357</v>
      </c>
      <c r="J147">
        <f t="shared" ca="1" si="51"/>
        <v>4204.5158516321571</v>
      </c>
      <c r="K147">
        <f t="shared" ca="1" si="52"/>
        <v>3949.7777288632719</v>
      </c>
      <c r="L147">
        <f t="shared" ca="1" si="53"/>
        <v>3423.9242726475704</v>
      </c>
      <c r="M147">
        <f t="shared" ca="1" si="54"/>
        <v>2223.0654274863737</v>
      </c>
      <c r="N147">
        <f t="shared" ca="1" si="55"/>
        <v>1882.6499427389613</v>
      </c>
      <c r="O147">
        <f t="shared" ca="1" si="56"/>
        <v>894.33410210364673</v>
      </c>
      <c r="P147">
        <f t="shared" ca="1" si="57"/>
        <v>688.46377511310675</v>
      </c>
      <c r="Q147">
        <f t="shared" ca="1" si="58"/>
        <v>407.3129795173063</v>
      </c>
      <c r="R147">
        <f t="shared" ca="1" si="59"/>
        <v>261.26137042294744</v>
      </c>
      <c r="S147">
        <f t="shared" ca="1" si="60"/>
        <v>61.979109541235211</v>
      </c>
      <c r="T147">
        <f t="shared" ca="1" si="62"/>
        <v>21.348679435775651</v>
      </c>
      <c r="U147">
        <v>80</v>
      </c>
      <c r="V147" t="str">
        <f t="shared" si="63"/>
        <v>f80:t80</v>
      </c>
      <c r="W147" t="str">
        <f t="shared" si="63"/>
        <v>g80:t80</v>
      </c>
      <c r="X147" t="str">
        <f t="shared" si="63"/>
        <v>h80:t80</v>
      </c>
      <c r="Y147" t="str">
        <f t="shared" si="63"/>
        <v>I80:t80</v>
      </c>
      <c r="Z147" t="str">
        <f t="shared" si="63"/>
        <v>j80:t80</v>
      </c>
      <c r="AA147" t="str">
        <f t="shared" si="63"/>
        <v>k80:t80</v>
      </c>
      <c r="AB147" t="str">
        <f t="shared" si="63"/>
        <v>l80:t80</v>
      </c>
      <c r="AC147" t="str">
        <f t="shared" si="63"/>
        <v>m80:t80</v>
      </c>
      <c r="AD147" t="str">
        <f t="shared" si="63"/>
        <v>n80:t80</v>
      </c>
      <c r="AE147" t="str">
        <f t="shared" si="63"/>
        <v>o80:t80</v>
      </c>
      <c r="AF147" t="str">
        <f t="shared" si="63"/>
        <v>p80:t80</v>
      </c>
      <c r="AG147" t="str">
        <f t="shared" si="63"/>
        <v>q80:t80</v>
      </c>
      <c r="AH147" t="str">
        <f t="shared" si="63"/>
        <v>r80:t80</v>
      </c>
      <c r="AI147" t="str">
        <f t="shared" si="63"/>
        <v>s80:t80</v>
      </c>
      <c r="AJ147" t="str">
        <f t="shared" si="63"/>
        <v>t80:t80</v>
      </c>
    </row>
    <row r="148" spans="5:36" x14ac:dyDescent="0.15">
      <c r="E148">
        <v>1994</v>
      </c>
      <c r="F148">
        <f t="shared" ca="1" si="47"/>
        <v>3765.7280096772552</v>
      </c>
      <c r="G148">
        <f t="shared" ca="1" si="48"/>
        <v>3730.0660663635035</v>
      </c>
      <c r="H148">
        <f t="shared" ca="1" si="49"/>
        <v>3697.8629130215741</v>
      </c>
      <c r="I148">
        <f t="shared" ca="1" si="50"/>
        <v>3346.5450643136141</v>
      </c>
      <c r="J148">
        <f t="shared" ca="1" si="51"/>
        <v>3127.8343528643663</v>
      </c>
      <c r="K148">
        <f t="shared" ca="1" si="52"/>
        <v>2900.9146468206482</v>
      </c>
      <c r="L148">
        <f t="shared" ca="1" si="53"/>
        <v>2599.2760672899467</v>
      </c>
      <c r="M148">
        <f t="shared" ca="1" si="54"/>
        <v>2113.2677320589942</v>
      </c>
      <c r="N148">
        <f t="shared" ca="1" si="55"/>
        <v>1286.5749854419466</v>
      </c>
      <c r="O148">
        <f t="shared" ca="1" si="56"/>
        <v>1051.887147178373</v>
      </c>
      <c r="P148">
        <f t="shared" ca="1" si="57"/>
        <v>505.40588932963686</v>
      </c>
      <c r="Q148">
        <f t="shared" ca="1" si="58"/>
        <v>382.0258544551757</v>
      </c>
      <c r="R148">
        <f t="shared" ca="1" si="59"/>
        <v>224.87247277381462</v>
      </c>
      <c r="S148">
        <f t="shared" ca="1" si="60"/>
        <v>141.5025692836391</v>
      </c>
      <c r="T148">
        <f t="shared" ca="1" si="62"/>
        <v>34.172853737822777</v>
      </c>
      <c r="U148">
        <v>81</v>
      </c>
      <c r="V148" t="str">
        <f t="shared" si="63"/>
        <v>f81:t81</v>
      </c>
      <c r="W148" t="str">
        <f t="shared" si="63"/>
        <v>g81:t81</v>
      </c>
      <c r="X148" t="str">
        <f t="shared" si="63"/>
        <v>h81:t81</v>
      </c>
      <c r="Y148" t="str">
        <f t="shared" si="63"/>
        <v>I81:t81</v>
      </c>
      <c r="Z148" t="str">
        <f t="shared" si="63"/>
        <v>j81:t81</v>
      </c>
      <c r="AA148" t="str">
        <f t="shared" si="63"/>
        <v>k81:t81</v>
      </c>
      <c r="AB148" t="str">
        <f t="shared" si="63"/>
        <v>l81:t81</v>
      </c>
      <c r="AC148" t="str">
        <f t="shared" si="63"/>
        <v>m81:t81</v>
      </c>
      <c r="AD148" t="str">
        <f t="shared" si="63"/>
        <v>n81:t81</v>
      </c>
      <c r="AE148" t="str">
        <f t="shared" si="63"/>
        <v>o81:t81</v>
      </c>
      <c r="AF148" t="str">
        <f t="shared" si="63"/>
        <v>p81:t81</v>
      </c>
      <c r="AG148" t="str">
        <f t="shared" si="63"/>
        <v>q81:t81</v>
      </c>
      <c r="AH148" t="str">
        <f t="shared" si="63"/>
        <v>r81:t81</v>
      </c>
      <c r="AI148" t="str">
        <f t="shared" si="63"/>
        <v>s81:t81</v>
      </c>
      <c r="AJ148" t="str">
        <f t="shared" si="63"/>
        <v>t81:t81</v>
      </c>
    </row>
    <row r="149" spans="5:36" x14ac:dyDescent="0.15">
      <c r="E149">
        <v>1995</v>
      </c>
      <c r="F149">
        <f t="shared" ca="1" si="47"/>
        <v>3714.0237603718406</v>
      </c>
      <c r="G149">
        <f t="shared" ca="1" si="48"/>
        <v>3672.5225975732392</v>
      </c>
      <c r="H149">
        <f t="shared" ca="1" si="49"/>
        <v>3639.109675487231</v>
      </c>
      <c r="I149">
        <f t="shared" ca="1" si="50"/>
        <v>3407.2966098312895</v>
      </c>
      <c r="J149">
        <f t="shared" ca="1" si="51"/>
        <v>2277.437990246287</v>
      </c>
      <c r="K149">
        <f t="shared" ca="1" si="52"/>
        <v>1855.8119968948399</v>
      </c>
      <c r="L149">
        <f t="shared" ca="1" si="53"/>
        <v>1645.364244795446</v>
      </c>
      <c r="M149">
        <f t="shared" ca="1" si="54"/>
        <v>1430.2584884491775</v>
      </c>
      <c r="N149">
        <f t="shared" ca="1" si="55"/>
        <v>1172.439349005178</v>
      </c>
      <c r="O149">
        <f t="shared" ca="1" si="56"/>
        <v>715.99707012141732</v>
      </c>
      <c r="P149">
        <f t="shared" ca="1" si="57"/>
        <v>595.24740767771152</v>
      </c>
      <c r="Q149">
        <f t="shared" ca="1" si="58"/>
        <v>287.18643255539962</v>
      </c>
      <c r="R149">
        <f t="shared" ca="1" si="59"/>
        <v>220.08733926168708</v>
      </c>
      <c r="S149">
        <f t="shared" ca="1" si="60"/>
        <v>134.97041664749014</v>
      </c>
      <c r="T149">
        <f t="shared" ca="1" si="62"/>
        <v>89.953318578599152</v>
      </c>
      <c r="U149">
        <v>82</v>
      </c>
      <c r="V149" t="str">
        <f t="shared" si="63"/>
        <v>f82:t82</v>
      </c>
      <c r="W149" t="str">
        <f t="shared" si="63"/>
        <v>g82:t82</v>
      </c>
      <c r="X149" t="str">
        <f t="shared" si="63"/>
        <v>h82:t82</v>
      </c>
      <c r="Y149" t="str">
        <f t="shared" si="63"/>
        <v>I82:t82</v>
      </c>
      <c r="Z149" t="str">
        <f t="shared" si="63"/>
        <v>j82:t82</v>
      </c>
      <c r="AA149" t="str">
        <f t="shared" si="63"/>
        <v>k82:t82</v>
      </c>
      <c r="AB149" t="str">
        <f t="shared" si="63"/>
        <v>l82:t82</v>
      </c>
      <c r="AC149" t="str">
        <f t="shared" si="63"/>
        <v>m82:t82</v>
      </c>
      <c r="AD149" t="str">
        <f t="shared" si="63"/>
        <v>n82:t82</v>
      </c>
      <c r="AE149" t="str">
        <f t="shared" si="63"/>
        <v>o82:t82</v>
      </c>
      <c r="AF149" t="str">
        <f t="shared" si="63"/>
        <v>p82:t82</v>
      </c>
      <c r="AG149" t="str">
        <f t="shared" si="63"/>
        <v>q82:t82</v>
      </c>
      <c r="AH149" t="str">
        <f t="shared" si="63"/>
        <v>r82:t82</v>
      </c>
      <c r="AI149" t="str">
        <f t="shared" si="63"/>
        <v>s82:t82</v>
      </c>
      <c r="AJ149" t="str">
        <f t="shared" si="63"/>
        <v>t82:t82</v>
      </c>
    </row>
    <row r="150" spans="5:36" x14ac:dyDescent="0.15">
      <c r="E150">
        <v>1996</v>
      </c>
      <c r="F150">
        <f t="shared" ca="1" si="47"/>
        <v>4160.7316940710834</v>
      </c>
      <c r="G150">
        <f t="shared" ca="1" si="48"/>
        <v>4139.5442635045292</v>
      </c>
      <c r="H150">
        <f t="shared" ca="1" si="49"/>
        <v>4100.8990508488141</v>
      </c>
      <c r="I150">
        <f t="shared" ca="1" si="50"/>
        <v>3983.1386702644118</v>
      </c>
      <c r="J150">
        <f t="shared" ca="1" si="51"/>
        <v>3452.3448801716272</v>
      </c>
      <c r="K150">
        <f t="shared" ca="1" si="52"/>
        <v>1757.274628508598</v>
      </c>
      <c r="L150">
        <f t="shared" ca="1" si="53"/>
        <v>1279.865519396305</v>
      </c>
      <c r="M150">
        <f t="shared" ca="1" si="54"/>
        <v>1105.2016485685847</v>
      </c>
      <c r="N150">
        <f t="shared" ca="1" si="55"/>
        <v>928.21860647801952</v>
      </c>
      <c r="O150">
        <f t="shared" ca="1" si="56"/>
        <v>721.57139468407365</v>
      </c>
      <c r="P150">
        <f t="shared" ca="1" si="57"/>
        <v>433.693279527188</v>
      </c>
      <c r="Q150">
        <f t="shared" ca="1" si="58"/>
        <v>356.664201820274</v>
      </c>
      <c r="R150">
        <f t="shared" ca="1" si="59"/>
        <v>162.12918234742739</v>
      </c>
      <c r="S150">
        <f t="shared" ca="1" si="60"/>
        <v>121.47693490870581</v>
      </c>
      <c r="T150">
        <f t="shared" ca="1" si="62"/>
        <v>72.341270210646584</v>
      </c>
      <c r="U150">
        <v>83</v>
      </c>
      <c r="V150" t="str">
        <f t="shared" si="63"/>
        <v>f83:t83</v>
      </c>
      <c r="W150" t="str">
        <f t="shared" si="63"/>
        <v>g83:t83</v>
      </c>
      <c r="X150" t="str">
        <f t="shared" si="63"/>
        <v>h83:t83</v>
      </c>
      <c r="Y150" t="str">
        <f t="shared" si="63"/>
        <v>I83:t83</v>
      </c>
      <c r="Z150" t="str">
        <f t="shared" si="63"/>
        <v>j83:t83</v>
      </c>
      <c r="AA150" t="str">
        <f t="shared" si="63"/>
        <v>k83:t83</v>
      </c>
      <c r="AB150" t="str">
        <f t="shared" si="63"/>
        <v>l83:t83</v>
      </c>
      <c r="AC150" t="str">
        <f t="shared" si="63"/>
        <v>m83:t83</v>
      </c>
      <c r="AD150" t="str">
        <f t="shared" si="63"/>
        <v>n83:t83</v>
      </c>
      <c r="AE150" t="str">
        <f t="shared" si="63"/>
        <v>o83:t83</v>
      </c>
      <c r="AF150" t="str">
        <f t="shared" si="63"/>
        <v>p83:t83</v>
      </c>
      <c r="AG150" t="str">
        <f t="shared" si="63"/>
        <v>q83:t83</v>
      </c>
      <c r="AH150" t="str">
        <f t="shared" si="63"/>
        <v>r83:t83</v>
      </c>
      <c r="AI150" t="str">
        <f t="shared" si="63"/>
        <v>s83:t83</v>
      </c>
      <c r="AJ150" t="str">
        <f t="shared" si="63"/>
        <v>t83:t83</v>
      </c>
    </row>
    <row r="151" spans="5:36" x14ac:dyDescent="0.15">
      <c r="E151">
        <v>1997</v>
      </c>
      <c r="F151">
        <f t="shared" ca="1" si="47"/>
        <v>3367.6650911433312</v>
      </c>
      <c r="G151">
        <f t="shared" ca="1" si="48"/>
        <v>3355.53810171229</v>
      </c>
      <c r="H151">
        <f t="shared" ca="1" si="49"/>
        <v>3348.0970719193779</v>
      </c>
      <c r="I151">
        <f t="shared" ca="1" si="50"/>
        <v>3259.4765542593218</v>
      </c>
      <c r="J151">
        <f t="shared" ca="1" si="51"/>
        <v>3053.3108591396517</v>
      </c>
      <c r="K151">
        <f t="shared" ca="1" si="52"/>
        <v>2452.7978958503322</v>
      </c>
      <c r="L151">
        <f t="shared" ca="1" si="53"/>
        <v>1129.9792152058644</v>
      </c>
      <c r="M151">
        <f t="shared" ca="1" si="54"/>
        <v>800.55171473520568</v>
      </c>
      <c r="N151">
        <f t="shared" ca="1" si="55"/>
        <v>672.57807402575554</v>
      </c>
      <c r="O151">
        <f t="shared" ca="1" si="56"/>
        <v>565.10364154391459</v>
      </c>
      <c r="P151">
        <f t="shared" ca="1" si="57"/>
        <v>444.38765950006569</v>
      </c>
      <c r="Q151">
        <f t="shared" ca="1" si="58"/>
        <v>265.64207036826116</v>
      </c>
      <c r="R151">
        <f t="shared" ca="1" si="59"/>
        <v>217.28229150531337</v>
      </c>
      <c r="S151">
        <f t="shared" ca="1" si="60"/>
        <v>98.306612586414985</v>
      </c>
      <c r="T151">
        <f t="shared" ca="1" si="62"/>
        <v>74.558048546532916</v>
      </c>
      <c r="U151">
        <v>84</v>
      </c>
      <c r="V151" t="str">
        <f t="shared" si="63"/>
        <v>f84:t84</v>
      </c>
      <c r="W151" t="str">
        <f t="shared" si="63"/>
        <v>g84:t84</v>
      </c>
      <c r="X151" t="str">
        <f t="shared" si="63"/>
        <v>h84:t84</v>
      </c>
      <c r="Y151" t="str">
        <f t="shared" si="63"/>
        <v>I84:t84</v>
      </c>
      <c r="Z151" t="str">
        <f t="shared" si="63"/>
        <v>j84:t84</v>
      </c>
      <c r="AA151" t="str">
        <f t="shared" si="63"/>
        <v>k84:t84</v>
      </c>
      <c r="AB151" t="str">
        <f t="shared" si="63"/>
        <v>l84:t84</v>
      </c>
      <c r="AC151" t="str">
        <f t="shared" si="63"/>
        <v>m84:t84</v>
      </c>
      <c r="AD151" t="str">
        <f t="shared" si="63"/>
        <v>n84:t84</v>
      </c>
      <c r="AE151" t="str">
        <f t="shared" si="63"/>
        <v>o84:t84</v>
      </c>
      <c r="AF151" t="str">
        <f t="shared" si="63"/>
        <v>p84:t84</v>
      </c>
      <c r="AG151" t="str">
        <f t="shared" si="63"/>
        <v>q84:t84</v>
      </c>
      <c r="AH151" t="str">
        <f t="shared" si="63"/>
        <v>r84:t84</v>
      </c>
      <c r="AI151" t="str">
        <f t="shared" si="63"/>
        <v>s84:t84</v>
      </c>
      <c r="AJ151" t="str">
        <f t="shared" si="63"/>
        <v>t84:t84</v>
      </c>
    </row>
    <row r="152" spans="5:36" x14ac:dyDescent="0.15">
      <c r="E152">
        <v>1998</v>
      </c>
      <c r="F152">
        <f t="shared" ca="1" si="47"/>
        <v>2697.8110470871698</v>
      </c>
      <c r="G152">
        <f t="shared" ca="1" si="48"/>
        <v>2675.1409171367595</v>
      </c>
      <c r="H152">
        <f t="shared" ca="1" si="49"/>
        <v>2671.7428975236858</v>
      </c>
      <c r="I152">
        <f t="shared" ca="1" si="50"/>
        <v>2651.8479046156344</v>
      </c>
      <c r="J152">
        <f t="shared" ca="1" si="51"/>
        <v>2386.786193788098</v>
      </c>
      <c r="K152">
        <f t="shared" ca="1" si="52"/>
        <v>2099.7175486310639</v>
      </c>
      <c r="L152">
        <f t="shared" ca="1" si="53"/>
        <v>1569.7706268815803</v>
      </c>
      <c r="M152">
        <f t="shared" ca="1" si="54"/>
        <v>683.73929917819487</v>
      </c>
      <c r="N152">
        <f t="shared" ca="1" si="55"/>
        <v>473.55568661870694</v>
      </c>
      <c r="O152">
        <f t="shared" ca="1" si="56"/>
        <v>400.18675010669307</v>
      </c>
      <c r="P152">
        <f t="shared" ca="1" si="57"/>
        <v>339.24843729160608</v>
      </c>
      <c r="Q152">
        <f t="shared" ca="1" si="58"/>
        <v>267.32835251325253</v>
      </c>
      <c r="R152">
        <f t="shared" ca="1" si="59"/>
        <v>155.78213179834825</v>
      </c>
      <c r="S152">
        <f t="shared" ca="1" si="60"/>
        <v>125.56143276034581</v>
      </c>
      <c r="T152">
        <f t="shared" ca="1" si="62"/>
        <v>54.645653700043624</v>
      </c>
      <c r="U152">
        <v>85</v>
      </c>
      <c r="V152" t="str">
        <f t="shared" si="63"/>
        <v>f85:t85</v>
      </c>
      <c r="W152" t="str">
        <f t="shared" si="63"/>
        <v>g85:t85</v>
      </c>
      <c r="X152" t="str">
        <f t="shared" si="63"/>
        <v>h85:t85</v>
      </c>
      <c r="Y152" t="str">
        <f t="shared" si="63"/>
        <v>I85:t85</v>
      </c>
      <c r="Z152" t="str">
        <f t="shared" si="63"/>
        <v>j85:t85</v>
      </c>
      <c r="AA152" t="str">
        <f t="shared" si="63"/>
        <v>k85:t85</v>
      </c>
      <c r="AB152" t="str">
        <f t="shared" si="63"/>
        <v>l85:t85</v>
      </c>
      <c r="AC152" t="str">
        <f t="shared" si="63"/>
        <v>m85:t85</v>
      </c>
      <c r="AD152" t="str">
        <f t="shared" si="63"/>
        <v>n85:t85</v>
      </c>
      <c r="AE152" t="str">
        <f t="shared" si="63"/>
        <v>o85:t85</v>
      </c>
      <c r="AF152" t="str">
        <f t="shared" si="63"/>
        <v>p85:t85</v>
      </c>
      <c r="AG152" t="str">
        <f t="shared" si="63"/>
        <v>q85:t85</v>
      </c>
      <c r="AH152" t="str">
        <f t="shared" si="63"/>
        <v>r85:t85</v>
      </c>
      <c r="AI152" t="str">
        <f t="shared" si="63"/>
        <v>s85:t85</v>
      </c>
      <c r="AJ152" t="str">
        <f t="shared" si="63"/>
        <v>t85:t85</v>
      </c>
    </row>
    <row r="153" spans="5:36" x14ac:dyDescent="0.15">
      <c r="E153">
        <v>1999</v>
      </c>
      <c r="F153">
        <f t="shared" ca="1" si="47"/>
        <v>3147.2894434564814</v>
      </c>
      <c r="G153">
        <f t="shared" ca="1" si="48"/>
        <v>3112.3522035766791</v>
      </c>
      <c r="H153">
        <f t="shared" ca="1" si="49"/>
        <v>3096.6628709288798</v>
      </c>
      <c r="I153">
        <f t="shared" ca="1" si="50"/>
        <v>3066.7855069837765</v>
      </c>
      <c r="J153">
        <f t="shared" ca="1" si="51"/>
        <v>2959.8711776975865</v>
      </c>
      <c r="K153">
        <f t="shared" ca="1" si="52"/>
        <v>2269.3952330364377</v>
      </c>
      <c r="L153">
        <f t="shared" ca="1" si="53"/>
        <v>1646.9382735591412</v>
      </c>
      <c r="M153">
        <f t="shared" ca="1" si="54"/>
        <v>1055.8316774876748</v>
      </c>
      <c r="N153">
        <f t="shared" ca="1" si="55"/>
        <v>405.01833356125582</v>
      </c>
      <c r="O153">
        <f t="shared" ca="1" si="56"/>
        <v>263.93187911482238</v>
      </c>
      <c r="P153">
        <f t="shared" ca="1" si="57"/>
        <v>218.82880452483136</v>
      </c>
      <c r="Q153">
        <f t="shared" ca="1" si="58"/>
        <v>183.68140450288553</v>
      </c>
      <c r="R153">
        <f t="shared" ca="1" si="59"/>
        <v>144.68591733184292</v>
      </c>
      <c r="S153">
        <f t="shared" ca="1" si="60"/>
        <v>88.437263136590758</v>
      </c>
      <c r="T153">
        <f t="shared" ca="1" si="62"/>
        <v>72.447002106058804</v>
      </c>
      <c r="U153">
        <v>86</v>
      </c>
      <c r="V153" t="str">
        <f t="shared" si="63"/>
        <v>f86:t86</v>
      </c>
      <c r="W153" t="str">
        <f t="shared" si="63"/>
        <v>g86:t86</v>
      </c>
      <c r="X153" t="str">
        <f t="shared" si="63"/>
        <v>h86:t86</v>
      </c>
      <c r="Y153" t="str">
        <f t="shared" si="63"/>
        <v>I86:t86</v>
      </c>
      <c r="Z153" t="str">
        <f t="shared" si="63"/>
        <v>j86:t86</v>
      </c>
      <c r="AA153" t="str">
        <f t="shared" si="63"/>
        <v>k86:t86</v>
      </c>
      <c r="AB153" t="str">
        <f t="shared" si="63"/>
        <v>l86:t86</v>
      </c>
      <c r="AC153" t="str">
        <f t="shared" si="63"/>
        <v>m86:t86</v>
      </c>
      <c r="AD153" t="str">
        <f t="shared" si="63"/>
        <v>n86:t86</v>
      </c>
      <c r="AE153" t="str">
        <f t="shared" si="63"/>
        <v>o86:t86</v>
      </c>
      <c r="AF153" t="str">
        <f t="shared" si="63"/>
        <v>p86:t86</v>
      </c>
      <c r="AG153" t="str">
        <f t="shared" si="63"/>
        <v>q86:t86</v>
      </c>
      <c r="AH153" t="str">
        <f t="shared" si="63"/>
        <v>r86:t86</v>
      </c>
      <c r="AI153" t="str">
        <f t="shared" si="63"/>
        <v>s86:t86</v>
      </c>
      <c r="AJ153" t="str">
        <f t="shared" si="63"/>
        <v>t86:t86</v>
      </c>
    </row>
    <row r="154" spans="5:36" x14ac:dyDescent="0.15">
      <c r="E154">
        <v>2000</v>
      </c>
      <c r="F154">
        <f t="shared" ca="1" si="47"/>
        <v>2644.4197538965532</v>
      </c>
      <c r="G154">
        <f t="shared" ca="1" si="48"/>
        <v>2632.9329704380521</v>
      </c>
      <c r="H154">
        <f t="shared" ca="1" si="49"/>
        <v>2616.1311323533869</v>
      </c>
      <c r="I154">
        <f t="shared" ca="1" si="50"/>
        <v>2566.9638538982849</v>
      </c>
      <c r="J154">
        <f t="shared" ca="1" si="51"/>
        <v>2497.8930435525281</v>
      </c>
      <c r="K154">
        <f t="shared" ca="1" si="52"/>
        <v>2298.2261470840008</v>
      </c>
      <c r="L154">
        <f t="shared" ca="1" si="53"/>
        <v>1497.9068803088394</v>
      </c>
      <c r="M154">
        <f t="shared" ca="1" si="54"/>
        <v>998.67775003727195</v>
      </c>
      <c r="N154">
        <f t="shared" ca="1" si="55"/>
        <v>610.26510865377077</v>
      </c>
      <c r="O154">
        <f t="shared" ca="1" si="56"/>
        <v>230.25477436449626</v>
      </c>
      <c r="P154">
        <f t="shared" ca="1" si="57"/>
        <v>155.09873913754183</v>
      </c>
      <c r="Q154">
        <f t="shared" ca="1" si="58"/>
        <v>131.26408392629969</v>
      </c>
      <c r="R154">
        <f t="shared" ca="1" si="59"/>
        <v>110.96706182181318</v>
      </c>
      <c r="S154">
        <f t="shared" ca="1" si="60"/>
        <v>89.5963786594819</v>
      </c>
      <c r="T154">
        <f t="shared" ca="1" si="62"/>
        <v>51.884343172777989</v>
      </c>
      <c r="U154">
        <v>87</v>
      </c>
      <c r="V154" t="str">
        <f t="shared" si="63"/>
        <v>f87:t87</v>
      </c>
      <c r="W154" t="str">
        <f t="shared" si="63"/>
        <v>g87:t87</v>
      </c>
      <c r="X154" t="str">
        <f t="shared" si="63"/>
        <v>h87:t87</v>
      </c>
      <c r="Y154" t="str">
        <f t="shared" si="63"/>
        <v>I87:t87</v>
      </c>
      <c r="Z154" t="str">
        <f t="shared" si="63"/>
        <v>j87:t87</v>
      </c>
      <c r="AA154" t="str">
        <f t="shared" si="63"/>
        <v>k87:t87</v>
      </c>
      <c r="AB154" t="str">
        <f t="shared" si="63"/>
        <v>l87:t87</v>
      </c>
      <c r="AC154" t="str">
        <f t="shared" si="63"/>
        <v>m87:t87</v>
      </c>
      <c r="AD154" t="str">
        <f t="shared" si="63"/>
        <v>n87:t87</v>
      </c>
      <c r="AE154" t="str">
        <f t="shared" si="63"/>
        <v>o87:t87</v>
      </c>
      <c r="AF154" t="str">
        <f t="shared" si="63"/>
        <v>p87:t87</v>
      </c>
      <c r="AG154" t="str">
        <f t="shared" si="63"/>
        <v>q87:t87</v>
      </c>
      <c r="AH154" t="str">
        <f t="shared" si="63"/>
        <v>r87:t87</v>
      </c>
      <c r="AI154" t="str">
        <f t="shared" si="63"/>
        <v>s87:t87</v>
      </c>
      <c r="AJ154" t="str">
        <f t="shared" si="63"/>
        <v>t87:t87</v>
      </c>
    </row>
    <row r="155" spans="5:36" x14ac:dyDescent="0.15">
      <c r="E155">
        <v>2001</v>
      </c>
      <c r="F155">
        <f t="shared" ca="1" si="47"/>
        <v>4319.738108822452</v>
      </c>
      <c r="G155">
        <f t="shared" ca="1" si="48"/>
        <v>4307.7658804489874</v>
      </c>
      <c r="H155">
        <f t="shared" ca="1" si="49"/>
        <v>4289.6624619304084</v>
      </c>
      <c r="I155">
        <f t="shared" ca="1" si="50"/>
        <v>4126.3757894810087</v>
      </c>
      <c r="J155">
        <f t="shared" ca="1" si="51"/>
        <v>3814.1354101108545</v>
      </c>
      <c r="K155">
        <f t="shared" ca="1" si="52"/>
        <v>3570.1311568850624</v>
      </c>
      <c r="L155">
        <f t="shared" ca="1" si="53"/>
        <v>3110.6571041186826</v>
      </c>
      <c r="M155">
        <f t="shared" ca="1" si="54"/>
        <v>1558.7195571736056</v>
      </c>
      <c r="N155">
        <f t="shared" ca="1" si="55"/>
        <v>881.71430969074083</v>
      </c>
      <c r="O155">
        <f t="shared" ca="1" si="56"/>
        <v>475.18365430730165</v>
      </c>
      <c r="P155">
        <f t="shared" ca="1" si="57"/>
        <v>159.38946700266354</v>
      </c>
      <c r="Q155">
        <f t="shared" ca="1" si="58"/>
        <v>103.58629463591899</v>
      </c>
      <c r="R155">
        <f t="shared" ca="1" si="59"/>
        <v>86.714924020566741</v>
      </c>
      <c r="S155">
        <f t="shared" ca="1" si="60"/>
        <v>72.146466051369259</v>
      </c>
      <c r="T155">
        <f t="shared" ca="1" si="62"/>
        <v>56.40729862093918</v>
      </c>
      <c r="U155">
        <v>88</v>
      </c>
      <c r="V155" t="str">
        <f t="shared" si="63"/>
        <v>f88:t88</v>
      </c>
      <c r="W155" t="str">
        <f t="shared" si="63"/>
        <v>g88:t88</v>
      </c>
      <c r="X155" t="str">
        <f t="shared" si="63"/>
        <v>h88:t88</v>
      </c>
      <c r="Y155" t="str">
        <f t="shared" si="63"/>
        <v>I88:t88</v>
      </c>
      <c r="Z155" t="str">
        <f t="shared" si="63"/>
        <v>j88:t88</v>
      </c>
      <c r="AA155" t="str">
        <f t="shared" si="63"/>
        <v>k88:t88</v>
      </c>
      <c r="AB155" t="str">
        <f t="shared" si="63"/>
        <v>l88:t88</v>
      </c>
      <c r="AC155" t="str">
        <f t="shared" si="63"/>
        <v>m88:t88</v>
      </c>
      <c r="AD155" t="str">
        <f t="shared" si="63"/>
        <v>n88:t88</v>
      </c>
      <c r="AE155" t="str">
        <f t="shared" si="63"/>
        <v>o88:t88</v>
      </c>
      <c r="AF155" t="str">
        <f t="shared" si="63"/>
        <v>p88:t88</v>
      </c>
      <c r="AG155" t="str">
        <f t="shared" si="63"/>
        <v>q88:t88</v>
      </c>
      <c r="AH155" t="str">
        <f t="shared" si="63"/>
        <v>r88:t88</v>
      </c>
      <c r="AI155" t="str">
        <f t="shared" si="63"/>
        <v>s88:t88</v>
      </c>
      <c r="AJ155" t="str">
        <f t="shared" si="63"/>
        <v>t88:t88</v>
      </c>
    </row>
    <row r="156" spans="5:36" x14ac:dyDescent="0.15">
      <c r="E156">
        <v>2002</v>
      </c>
      <c r="F156">
        <f t="shared" ref="F156:T158" ca="1" si="64">SUM(INDIRECT(V156))</f>
        <v>4093.4917231695499</v>
      </c>
      <c r="G156">
        <f t="shared" ca="1" si="64"/>
        <v>4081.7711737181298</v>
      </c>
      <c r="H156">
        <f t="shared" ca="1" si="64"/>
        <v>4061.782950857807</v>
      </c>
      <c r="I156">
        <f t="shared" ca="1" si="64"/>
        <v>3978.6489751607187</v>
      </c>
      <c r="J156">
        <f t="shared" ca="1" si="64"/>
        <v>3514.1190127386317</v>
      </c>
      <c r="K156">
        <f t="shared" ca="1" si="64"/>
        <v>2975.535985903934</v>
      </c>
      <c r="L156">
        <f t="shared" ca="1" si="64"/>
        <v>2644.5072549986339</v>
      </c>
      <c r="M156">
        <f t="shared" ca="1" si="64"/>
        <v>2120.7695450675478</v>
      </c>
      <c r="N156">
        <f t="shared" ca="1" si="64"/>
        <v>982.43136326068543</v>
      </c>
      <c r="O156">
        <f t="shared" ca="1" si="64"/>
        <v>555.7786634061456</v>
      </c>
      <c r="P156">
        <f t="shared" ca="1" si="64"/>
        <v>311.95179808316743</v>
      </c>
      <c r="Q156">
        <f t="shared" ca="1" si="64"/>
        <v>100.91692272485585</v>
      </c>
      <c r="R156">
        <f t="shared" ca="1" si="64"/>
        <v>65.54312189687586</v>
      </c>
      <c r="S156">
        <f t="shared" ca="1" si="64"/>
        <v>54.864178615521823</v>
      </c>
      <c r="T156">
        <f t="shared" ca="1" si="64"/>
        <v>46.853874504165965</v>
      </c>
      <c r="U156">
        <v>89</v>
      </c>
      <c r="V156" t="str">
        <f t="shared" ref="V156:AJ164" si="65">V$367&amp;$U156&amp;":"&amp;$AJ$367&amp;$U156</f>
        <v>f89:t89</v>
      </c>
      <c r="W156" t="str">
        <f t="shared" si="65"/>
        <v>g89:t89</v>
      </c>
      <c r="X156" t="str">
        <f t="shared" si="65"/>
        <v>h89:t89</v>
      </c>
      <c r="Y156" t="str">
        <f t="shared" si="65"/>
        <v>I89:t89</v>
      </c>
      <c r="Z156" t="str">
        <f t="shared" si="65"/>
        <v>j89:t89</v>
      </c>
      <c r="AA156" t="str">
        <f t="shared" si="65"/>
        <v>k89:t89</v>
      </c>
      <c r="AB156" t="str">
        <f t="shared" si="65"/>
        <v>l89:t89</v>
      </c>
      <c r="AC156" t="str">
        <f t="shared" si="65"/>
        <v>m89:t89</v>
      </c>
      <c r="AD156" t="str">
        <f t="shared" si="65"/>
        <v>n89:t89</v>
      </c>
      <c r="AE156" t="str">
        <f t="shared" si="65"/>
        <v>o89:t89</v>
      </c>
      <c r="AF156" t="str">
        <f t="shared" si="65"/>
        <v>p89:t89</v>
      </c>
      <c r="AG156" t="str">
        <f t="shared" si="65"/>
        <v>q89:t89</v>
      </c>
      <c r="AH156" t="str">
        <f t="shared" si="65"/>
        <v>r89:t89</v>
      </c>
      <c r="AI156" t="str">
        <f t="shared" si="65"/>
        <v>s89:t89</v>
      </c>
      <c r="AJ156" t="str">
        <f t="shared" si="65"/>
        <v>t89:t89</v>
      </c>
    </row>
    <row r="157" spans="5:36" x14ac:dyDescent="0.15">
      <c r="E157">
        <v>2003</v>
      </c>
      <c r="F157">
        <f t="shared" ca="1" si="64"/>
        <v>3709.3432114409429</v>
      </c>
      <c r="G157">
        <f t="shared" ca="1" si="64"/>
        <v>3683.8738272523424</v>
      </c>
      <c r="H157">
        <f t="shared" ca="1" si="64"/>
        <v>3661.1935705403857</v>
      </c>
      <c r="I157">
        <f t="shared" ca="1" si="64"/>
        <v>3617.7913942083842</v>
      </c>
      <c r="J157">
        <f t="shared" ca="1" si="64"/>
        <v>3423.8483162308066</v>
      </c>
      <c r="K157">
        <f t="shared" ca="1" si="64"/>
        <v>2762.2795539782715</v>
      </c>
      <c r="L157">
        <f t="shared" ca="1" si="64"/>
        <v>2172.4083959138375</v>
      </c>
      <c r="M157">
        <f t="shared" ca="1" si="64"/>
        <v>1851.4772165454435</v>
      </c>
      <c r="N157">
        <f t="shared" ca="1" si="64"/>
        <v>1427.9644365866109</v>
      </c>
      <c r="O157">
        <f t="shared" ca="1" si="64"/>
        <v>638.2826337789495</v>
      </c>
      <c r="P157">
        <f t="shared" ca="1" si="64"/>
        <v>354.91657732427609</v>
      </c>
      <c r="Q157">
        <f t="shared" ca="1" si="64"/>
        <v>189.85393183287286</v>
      </c>
      <c r="R157">
        <f t="shared" ca="1" si="64"/>
        <v>61.619274398576394</v>
      </c>
      <c r="S157">
        <f t="shared" ca="1" si="64"/>
        <v>38.633577275399233</v>
      </c>
      <c r="T157">
        <f t="shared" ca="1" si="64"/>
        <v>31.873054059740618</v>
      </c>
      <c r="U157">
        <v>90</v>
      </c>
      <c r="V157" t="str">
        <f t="shared" si="65"/>
        <v>f90:t90</v>
      </c>
      <c r="W157" t="str">
        <f t="shared" si="65"/>
        <v>g90:t90</v>
      </c>
      <c r="X157" t="str">
        <f t="shared" si="65"/>
        <v>h90:t90</v>
      </c>
      <c r="Y157" t="str">
        <f t="shared" si="65"/>
        <v>I90:t90</v>
      </c>
      <c r="Z157" t="str">
        <f t="shared" si="65"/>
        <v>j90:t90</v>
      </c>
      <c r="AA157" t="str">
        <f t="shared" si="65"/>
        <v>k90:t90</v>
      </c>
      <c r="AB157" t="str">
        <f t="shared" si="65"/>
        <v>l90:t90</v>
      </c>
      <c r="AC157" t="str">
        <f t="shared" si="65"/>
        <v>m90:t90</v>
      </c>
      <c r="AD157" t="str">
        <f t="shared" si="65"/>
        <v>n90:t90</v>
      </c>
      <c r="AE157" t="str">
        <f t="shared" si="65"/>
        <v>o90:t90</v>
      </c>
      <c r="AF157" t="str">
        <f t="shared" si="65"/>
        <v>p90:t90</v>
      </c>
      <c r="AG157" t="str">
        <f t="shared" si="65"/>
        <v>q90:t90</v>
      </c>
      <c r="AH157" t="str">
        <f t="shared" si="65"/>
        <v>r90:t90</v>
      </c>
      <c r="AI157" t="str">
        <f t="shared" si="65"/>
        <v>s90:t90</v>
      </c>
      <c r="AJ157" t="str">
        <f t="shared" si="65"/>
        <v>t90:t90</v>
      </c>
    </row>
    <row r="158" spans="5:36" x14ac:dyDescent="0.15">
      <c r="E158">
        <v>2004</v>
      </c>
      <c r="F158">
        <f t="shared" ca="1" si="64"/>
        <v>3638.8295204782225</v>
      </c>
      <c r="G158">
        <f t="shared" ca="1" si="64"/>
        <v>3628.5345137866552</v>
      </c>
      <c r="H158">
        <f t="shared" ca="1" si="64"/>
        <v>3595.673396835009</v>
      </c>
      <c r="I158">
        <f t="shared" ca="1" si="64"/>
        <v>3468.8626500405426</v>
      </c>
      <c r="J158">
        <f t="shared" ca="1" si="64"/>
        <v>3277.7285391621808</v>
      </c>
      <c r="K158">
        <f t="shared" ca="1" si="64"/>
        <v>2905.0896053640208</v>
      </c>
      <c r="L158">
        <f t="shared" ca="1" si="64"/>
        <v>2081.2157385102705</v>
      </c>
      <c r="M158">
        <f t="shared" ca="1" si="64"/>
        <v>1493.9622726965961</v>
      </c>
      <c r="N158">
        <f t="shared" ca="1" si="64"/>
        <v>1219.6159555613635</v>
      </c>
      <c r="O158">
        <f t="shared" ca="1" si="64"/>
        <v>922.70380329058628</v>
      </c>
      <c r="P158">
        <f t="shared" ca="1" si="64"/>
        <v>390.36071094379247</v>
      </c>
      <c r="Q158">
        <f t="shared" ca="1" si="64"/>
        <v>213.26489007749549</v>
      </c>
      <c r="R158">
        <f t="shared" ca="1" si="64"/>
        <v>113.94814439440526</v>
      </c>
      <c r="S158">
        <f t="shared" ca="1" si="64"/>
        <v>37.81323112674032</v>
      </c>
      <c r="T158">
        <f t="shared" ca="1" si="64"/>
        <v>23.556978838994734</v>
      </c>
      <c r="U158">
        <v>91</v>
      </c>
      <c r="V158" t="str">
        <f t="shared" si="65"/>
        <v>f91:t91</v>
      </c>
      <c r="W158" t="str">
        <f t="shared" si="65"/>
        <v>g91:t91</v>
      </c>
      <c r="X158" t="str">
        <f t="shared" si="65"/>
        <v>h91:t91</v>
      </c>
      <c r="Y158" t="str">
        <f t="shared" si="65"/>
        <v>I91:t91</v>
      </c>
      <c r="Z158" t="str">
        <f t="shared" si="65"/>
        <v>j91:t91</v>
      </c>
      <c r="AA158" t="str">
        <f t="shared" si="65"/>
        <v>k91:t91</v>
      </c>
      <c r="AB158" t="str">
        <f t="shared" si="65"/>
        <v>l91:t91</v>
      </c>
      <c r="AC158" t="str">
        <f t="shared" si="65"/>
        <v>m91:t91</v>
      </c>
      <c r="AD158" t="str">
        <f t="shared" si="65"/>
        <v>n91:t91</v>
      </c>
      <c r="AE158" t="str">
        <f t="shared" si="65"/>
        <v>o91:t91</v>
      </c>
      <c r="AF158" t="str">
        <f t="shared" si="65"/>
        <v>p91:t91</v>
      </c>
      <c r="AG158" t="str">
        <f t="shared" si="65"/>
        <v>q91:t91</v>
      </c>
      <c r="AH158" t="str">
        <f t="shared" si="65"/>
        <v>r91:t91</v>
      </c>
      <c r="AI158" t="str">
        <f t="shared" si="65"/>
        <v>s91:t91</v>
      </c>
      <c r="AJ158" t="str">
        <f t="shared" si="65"/>
        <v>t91:t91</v>
      </c>
    </row>
    <row r="159" spans="5:36" x14ac:dyDescent="0.15">
      <c r="E159">
        <v>2005</v>
      </c>
      <c r="F159">
        <f t="shared" ref="F159:T159" ca="1" si="66">SUM(INDIRECT(V159))</f>
        <v>2907.5133611155284</v>
      </c>
      <c r="G159">
        <f t="shared" ca="1" si="66"/>
        <v>2903.0425523090466</v>
      </c>
      <c r="H159">
        <f t="shared" ca="1" si="66"/>
        <v>2888.9939420816804</v>
      </c>
      <c r="I159">
        <f t="shared" ca="1" si="66"/>
        <v>2789.280303127452</v>
      </c>
      <c r="J159">
        <f t="shared" ca="1" si="66"/>
        <v>2572.6616667616468</v>
      </c>
      <c r="K159">
        <f t="shared" ca="1" si="66"/>
        <v>2294.7217980223945</v>
      </c>
      <c r="L159">
        <f t="shared" ca="1" si="66"/>
        <v>1937.3293880702947</v>
      </c>
      <c r="M159">
        <f t="shared" ca="1" si="66"/>
        <v>1325.0401423003841</v>
      </c>
      <c r="N159">
        <f t="shared" ca="1" si="66"/>
        <v>916.13896715123531</v>
      </c>
      <c r="O159">
        <f t="shared" ca="1" si="66"/>
        <v>749.89534546871369</v>
      </c>
      <c r="P159">
        <f t="shared" ca="1" si="66"/>
        <v>572.48826402949021</v>
      </c>
      <c r="Q159">
        <f t="shared" ca="1" si="66"/>
        <v>256.29641286628004</v>
      </c>
      <c r="R159">
        <f t="shared" ca="1" si="66"/>
        <v>148.82464598755394</v>
      </c>
      <c r="S159">
        <f t="shared" ca="1" si="66"/>
        <v>80.539986540514178</v>
      </c>
      <c r="T159">
        <f t="shared" ca="1" si="66"/>
        <v>25.039562044674241</v>
      </c>
      <c r="U159">
        <v>92</v>
      </c>
      <c r="V159" t="str">
        <f t="shared" si="65"/>
        <v>f92:t92</v>
      </c>
      <c r="W159" t="str">
        <f t="shared" si="65"/>
        <v>g92:t92</v>
      </c>
      <c r="X159" t="str">
        <f t="shared" si="65"/>
        <v>h92:t92</v>
      </c>
      <c r="Y159" t="str">
        <f t="shared" si="65"/>
        <v>I92:t92</v>
      </c>
      <c r="Z159" t="str">
        <f t="shared" si="65"/>
        <v>j92:t92</v>
      </c>
      <c r="AA159" t="str">
        <f t="shared" si="65"/>
        <v>k92:t92</v>
      </c>
      <c r="AB159" t="str">
        <f t="shared" si="65"/>
        <v>l92:t92</v>
      </c>
      <c r="AC159" t="str">
        <f t="shared" si="65"/>
        <v>m92:t92</v>
      </c>
      <c r="AD159" t="str">
        <f t="shared" si="65"/>
        <v>n92:t92</v>
      </c>
      <c r="AE159" t="str">
        <f t="shared" si="65"/>
        <v>o92:t92</v>
      </c>
      <c r="AF159" t="str">
        <f t="shared" si="65"/>
        <v>p92:t92</v>
      </c>
      <c r="AG159" t="str">
        <f t="shared" si="65"/>
        <v>q92:t92</v>
      </c>
      <c r="AH159" t="str">
        <f t="shared" si="65"/>
        <v>r92:t92</v>
      </c>
      <c r="AI159" t="str">
        <f t="shared" si="65"/>
        <v>s92:t92</v>
      </c>
      <c r="AJ159" t="str">
        <f t="shared" si="65"/>
        <v>t92:t92</v>
      </c>
    </row>
    <row r="160" spans="5:36" x14ac:dyDescent="0.15">
      <c r="E160">
        <v>2006</v>
      </c>
      <c r="F160">
        <f t="shared" ref="F160:T160" ca="1" si="67">SUM(INDIRECT(V160))</f>
        <v>3284.8969353185016</v>
      </c>
      <c r="G160">
        <f t="shared" ca="1" si="67"/>
        <v>3278.0137909238942</v>
      </c>
      <c r="H160">
        <f t="shared" ca="1" si="67"/>
        <v>3267.5176374310245</v>
      </c>
      <c r="I160">
        <f t="shared" ca="1" si="67"/>
        <v>3178.4296153904165</v>
      </c>
      <c r="J160">
        <f t="shared" ca="1" si="67"/>
        <v>2800.505942430369</v>
      </c>
      <c r="K160">
        <f t="shared" ca="1" si="67"/>
        <v>2258.9699688661331</v>
      </c>
      <c r="L160">
        <f t="shared" ca="1" si="67"/>
        <v>1772.6566050976016</v>
      </c>
      <c r="M160">
        <f t="shared" ca="1" si="67"/>
        <v>1368.057066840563</v>
      </c>
      <c r="N160">
        <f t="shared" ca="1" si="67"/>
        <v>876.69278710273875</v>
      </c>
      <c r="O160">
        <f t="shared" ca="1" si="67"/>
        <v>587.18176954411956</v>
      </c>
      <c r="P160">
        <f t="shared" ca="1" si="67"/>
        <v>476.66044308685878</v>
      </c>
      <c r="Q160">
        <f t="shared" ca="1" si="67"/>
        <v>359.62453149591329</v>
      </c>
      <c r="R160">
        <f t="shared" ca="1" si="67"/>
        <v>156.12239531785701</v>
      </c>
      <c r="S160">
        <f t="shared" ca="1" si="67"/>
        <v>88.840528548810966</v>
      </c>
      <c r="T160">
        <f t="shared" ca="1" si="67"/>
        <v>48.923803239844773</v>
      </c>
      <c r="U160">
        <v>93</v>
      </c>
      <c r="V160" t="str">
        <f t="shared" si="65"/>
        <v>f93:t93</v>
      </c>
      <c r="W160" t="str">
        <f t="shared" si="65"/>
        <v>g93:t93</v>
      </c>
      <c r="X160" t="str">
        <f t="shared" si="65"/>
        <v>h93:t93</v>
      </c>
      <c r="Y160" t="str">
        <f t="shared" si="65"/>
        <v>I93:t93</v>
      </c>
      <c r="Z160" t="str">
        <f t="shared" si="65"/>
        <v>j93:t93</v>
      </c>
      <c r="AA160" t="str">
        <f t="shared" si="65"/>
        <v>k93:t93</v>
      </c>
      <c r="AB160" t="str">
        <f t="shared" si="65"/>
        <v>l93:t93</v>
      </c>
      <c r="AC160" t="str">
        <f t="shared" si="65"/>
        <v>m93:t93</v>
      </c>
      <c r="AD160" t="str">
        <f t="shared" si="65"/>
        <v>n93:t93</v>
      </c>
      <c r="AE160" t="str">
        <f t="shared" si="65"/>
        <v>o93:t93</v>
      </c>
      <c r="AF160" t="str">
        <f t="shared" si="65"/>
        <v>p93:t93</v>
      </c>
      <c r="AG160" t="str">
        <f t="shared" si="65"/>
        <v>q93:t93</v>
      </c>
      <c r="AH160" t="str">
        <f t="shared" si="65"/>
        <v>r93:t93</v>
      </c>
      <c r="AI160" t="str">
        <f t="shared" si="65"/>
        <v>s93:t93</v>
      </c>
      <c r="AJ160" t="str">
        <f t="shared" si="65"/>
        <v>t93:t93</v>
      </c>
    </row>
    <row r="161" spans="5:36" x14ac:dyDescent="0.15">
      <c r="E161">
        <v>2007</v>
      </c>
      <c r="F161">
        <f t="shared" ref="F161:T161" ca="1" si="68">SUM(INDIRECT(V161))</f>
        <v>3987.5173141693981</v>
      </c>
      <c r="G161">
        <f t="shared" ca="1" si="68"/>
        <v>3982.1808923110007</v>
      </c>
      <c r="H161">
        <f t="shared" ca="1" si="68"/>
        <v>3977.9510647643369</v>
      </c>
      <c r="I161">
        <f t="shared" ca="1" si="68"/>
        <v>3925.0661958331707</v>
      </c>
      <c r="J161">
        <f t="shared" ca="1" si="68"/>
        <v>3570.2929989636009</v>
      </c>
      <c r="K161">
        <f t="shared" ca="1" si="68"/>
        <v>2616.4344448697161</v>
      </c>
      <c r="L161">
        <f t="shared" ca="1" si="68"/>
        <v>1717.7094937490331</v>
      </c>
      <c r="M161">
        <f t="shared" ca="1" si="68"/>
        <v>1204.49632401692</v>
      </c>
      <c r="N161">
        <f t="shared" ca="1" si="68"/>
        <v>889.7479296474412</v>
      </c>
      <c r="O161">
        <f t="shared" ca="1" si="68"/>
        <v>549.96177616692455</v>
      </c>
      <c r="P161">
        <f t="shared" ca="1" si="68"/>
        <v>374.95003730239154</v>
      </c>
      <c r="Q161">
        <f t="shared" ca="1" si="68"/>
        <v>301.66914967704133</v>
      </c>
      <c r="R161">
        <f t="shared" ca="1" si="68"/>
        <v>228.47537513401437</v>
      </c>
      <c r="S161">
        <f t="shared" ca="1" si="68"/>
        <v>104.5992485019755</v>
      </c>
      <c r="T161">
        <f t="shared" ca="1" si="68"/>
        <v>49.773750009441365</v>
      </c>
      <c r="U161">
        <v>94</v>
      </c>
      <c r="V161" t="str">
        <f t="shared" si="65"/>
        <v>f94:t94</v>
      </c>
      <c r="W161" t="str">
        <f t="shared" si="65"/>
        <v>g94:t94</v>
      </c>
      <c r="X161" t="str">
        <f t="shared" si="65"/>
        <v>h94:t94</v>
      </c>
      <c r="Y161" t="str">
        <f t="shared" si="65"/>
        <v>I94:t94</v>
      </c>
      <c r="Z161" t="str">
        <f t="shared" si="65"/>
        <v>j94:t94</v>
      </c>
      <c r="AA161" t="str">
        <f t="shared" si="65"/>
        <v>k94:t94</v>
      </c>
      <c r="AB161" t="str">
        <f t="shared" si="65"/>
        <v>l94:t94</v>
      </c>
      <c r="AC161" t="str">
        <f t="shared" si="65"/>
        <v>m94:t94</v>
      </c>
      <c r="AD161" t="str">
        <f t="shared" si="65"/>
        <v>n94:t94</v>
      </c>
      <c r="AE161" t="str">
        <f t="shared" si="65"/>
        <v>o94:t94</v>
      </c>
      <c r="AF161" t="str">
        <f t="shared" si="65"/>
        <v>p94:t94</v>
      </c>
      <c r="AG161" t="str">
        <f t="shared" si="65"/>
        <v>q94:t94</v>
      </c>
      <c r="AH161" t="str">
        <f t="shared" si="65"/>
        <v>r94:t94</v>
      </c>
      <c r="AI161" t="str">
        <f t="shared" si="65"/>
        <v>s94:t94</v>
      </c>
      <c r="AJ161" t="str">
        <f t="shared" si="65"/>
        <v>t94:t94</v>
      </c>
    </row>
    <row r="162" spans="5:36" x14ac:dyDescent="0.15">
      <c r="E162">
        <v>2008</v>
      </c>
      <c r="F162">
        <f t="shared" ref="F162:T162" ca="1" si="69">SUM(INDIRECT(V162))</f>
        <v>2971.1771772386401</v>
      </c>
      <c r="G162">
        <f t="shared" ca="1" si="69"/>
        <v>2956.8724901429296</v>
      </c>
      <c r="H162">
        <f t="shared" ca="1" si="69"/>
        <v>2955.3046428228085</v>
      </c>
      <c r="I162">
        <f t="shared" ca="1" si="69"/>
        <v>2946.1912173246496</v>
      </c>
      <c r="J162">
        <f t="shared" ca="1" si="69"/>
        <v>2853.2713068901685</v>
      </c>
      <c r="K162">
        <f t="shared" ca="1" si="69"/>
        <v>2474.3361042876281</v>
      </c>
      <c r="L162">
        <f t="shared" ca="1" si="69"/>
        <v>1783.7998067706467</v>
      </c>
      <c r="M162">
        <f t="shared" ca="1" si="69"/>
        <v>1163.1444536026229</v>
      </c>
      <c r="N162">
        <f t="shared" ca="1" si="69"/>
        <v>836.28208840211175</v>
      </c>
      <c r="O162">
        <f t="shared" ca="1" si="69"/>
        <v>613.0410563579195</v>
      </c>
      <c r="P162">
        <f t="shared" ca="1" si="69"/>
        <v>368.88428754776157</v>
      </c>
      <c r="Q162">
        <f t="shared" ca="1" si="69"/>
        <v>243.13303873706417</v>
      </c>
      <c r="R162">
        <f t="shared" ca="1" si="69"/>
        <v>193.99717921578451</v>
      </c>
      <c r="S162">
        <f t="shared" ca="1" si="69"/>
        <v>143.57740086616997</v>
      </c>
      <c r="T162">
        <f t="shared" ca="1" si="69"/>
        <v>59.844686026239714</v>
      </c>
      <c r="U162">
        <v>95</v>
      </c>
      <c r="V162" t="str">
        <f t="shared" si="65"/>
        <v>f95:t95</v>
      </c>
      <c r="W162" t="str">
        <f t="shared" si="65"/>
        <v>g95:t95</v>
      </c>
      <c r="X162" t="str">
        <f t="shared" si="65"/>
        <v>h95:t95</v>
      </c>
      <c r="Y162" t="str">
        <f t="shared" si="65"/>
        <v>I95:t95</v>
      </c>
      <c r="Z162" t="str">
        <f t="shared" si="65"/>
        <v>j95:t95</v>
      </c>
      <c r="AA162" t="str">
        <f t="shared" si="65"/>
        <v>k95:t95</v>
      </c>
      <c r="AB162" t="str">
        <f t="shared" si="65"/>
        <v>l95:t95</v>
      </c>
      <c r="AC162" t="str">
        <f t="shared" si="65"/>
        <v>m95:t95</v>
      </c>
      <c r="AD162" t="str">
        <f t="shared" si="65"/>
        <v>n95:t95</v>
      </c>
      <c r="AE162" t="str">
        <f t="shared" si="65"/>
        <v>o95:t95</v>
      </c>
      <c r="AF162" t="str">
        <f t="shared" si="65"/>
        <v>p95:t95</v>
      </c>
      <c r="AG162" t="str">
        <f t="shared" si="65"/>
        <v>q95:t95</v>
      </c>
      <c r="AH162" t="str">
        <f t="shared" si="65"/>
        <v>r95:t95</v>
      </c>
      <c r="AI162" t="str">
        <f t="shared" si="65"/>
        <v>s95:t95</v>
      </c>
      <c r="AJ162" t="str">
        <f t="shared" si="65"/>
        <v>t95:t95</v>
      </c>
    </row>
    <row r="163" spans="5:36" x14ac:dyDescent="0.15">
      <c r="E163">
        <v>2009</v>
      </c>
      <c r="F163">
        <f t="shared" ref="F163:T163" ca="1" si="70">SUM(INDIRECT(V163))</f>
        <v>2971.1771772386401</v>
      </c>
      <c r="G163">
        <f t="shared" ca="1" si="70"/>
        <v>2956.8724901429296</v>
      </c>
      <c r="H163">
        <f t="shared" ca="1" si="70"/>
        <v>2955.3046428228085</v>
      </c>
      <c r="I163">
        <f t="shared" ca="1" si="70"/>
        <v>2946.1912173246496</v>
      </c>
      <c r="J163">
        <f t="shared" ca="1" si="70"/>
        <v>2853.2713068901685</v>
      </c>
      <c r="K163">
        <f t="shared" ca="1" si="70"/>
        <v>2474.3361042876281</v>
      </c>
      <c r="L163">
        <f t="shared" ca="1" si="70"/>
        <v>1783.7998067706467</v>
      </c>
      <c r="M163">
        <f t="shared" ca="1" si="70"/>
        <v>1163.1444536026229</v>
      </c>
      <c r="N163">
        <f t="shared" ca="1" si="70"/>
        <v>836.28208840211175</v>
      </c>
      <c r="O163">
        <f t="shared" ca="1" si="70"/>
        <v>613.0410563579195</v>
      </c>
      <c r="P163">
        <f t="shared" ca="1" si="70"/>
        <v>368.88428754776157</v>
      </c>
      <c r="Q163">
        <f t="shared" ca="1" si="70"/>
        <v>243.13303873706417</v>
      </c>
      <c r="R163">
        <f t="shared" ca="1" si="70"/>
        <v>193.99717921578451</v>
      </c>
      <c r="S163">
        <f t="shared" ca="1" si="70"/>
        <v>143.57740086616997</v>
      </c>
      <c r="T163">
        <f t="shared" ca="1" si="70"/>
        <v>59.844686026239714</v>
      </c>
      <c r="U163">
        <v>95</v>
      </c>
      <c r="V163" t="str">
        <f t="shared" si="65"/>
        <v>f95:t95</v>
      </c>
      <c r="W163" t="str">
        <f t="shared" si="65"/>
        <v>g95:t95</v>
      </c>
      <c r="X163" t="str">
        <f t="shared" si="65"/>
        <v>h95:t95</v>
      </c>
      <c r="Y163" t="str">
        <f t="shared" si="65"/>
        <v>I95:t95</v>
      </c>
      <c r="Z163" t="str">
        <f t="shared" si="65"/>
        <v>j95:t95</v>
      </c>
      <c r="AA163" t="str">
        <f t="shared" si="65"/>
        <v>k95:t95</v>
      </c>
      <c r="AB163" t="str">
        <f t="shared" si="65"/>
        <v>l95:t95</v>
      </c>
      <c r="AC163" t="str">
        <f t="shared" si="65"/>
        <v>m95:t95</v>
      </c>
      <c r="AD163" t="str">
        <f t="shared" si="65"/>
        <v>n95:t95</v>
      </c>
      <c r="AE163" t="str">
        <f t="shared" si="65"/>
        <v>o95:t95</v>
      </c>
      <c r="AF163" t="str">
        <f t="shared" si="65"/>
        <v>p95:t95</v>
      </c>
      <c r="AG163" t="str">
        <f t="shared" si="65"/>
        <v>q95:t95</v>
      </c>
      <c r="AH163" t="str">
        <f t="shared" si="65"/>
        <v>r95:t95</v>
      </c>
      <c r="AI163" t="str">
        <f t="shared" si="65"/>
        <v>s95:t95</v>
      </c>
      <c r="AJ163" t="str">
        <f t="shared" si="65"/>
        <v>t95:t95</v>
      </c>
    </row>
    <row r="164" spans="5:36" x14ac:dyDescent="0.15">
      <c r="E164">
        <v>2010</v>
      </c>
      <c r="F164">
        <f t="shared" ref="F164:T164" ca="1" si="71">SUM(INDIRECT(V164))</f>
        <v>3988.1638926426876</v>
      </c>
      <c r="G164">
        <f t="shared" ca="1" si="71"/>
        <v>3957.8199152265561</v>
      </c>
      <c r="H164">
        <f t="shared" ca="1" si="71"/>
        <v>3948.2345740094997</v>
      </c>
      <c r="I164">
        <f t="shared" ca="1" si="71"/>
        <v>3925.4526340098519</v>
      </c>
      <c r="J164">
        <f t="shared" ca="1" si="71"/>
        <v>3817.3693217673508</v>
      </c>
      <c r="K164">
        <f t="shared" ca="1" si="71"/>
        <v>3365.7808210382818</v>
      </c>
      <c r="L164">
        <f t="shared" ca="1" si="71"/>
        <v>2452.5552617566345</v>
      </c>
      <c r="M164">
        <f t="shared" ca="1" si="71"/>
        <v>1401.8085388949078</v>
      </c>
      <c r="N164">
        <f t="shared" ca="1" si="71"/>
        <v>788.31947540128385</v>
      </c>
      <c r="O164">
        <f t="shared" ca="1" si="71"/>
        <v>529.84232546393037</v>
      </c>
      <c r="P164">
        <f t="shared" ca="1" si="71"/>
        <v>376.57027135280543</v>
      </c>
      <c r="Q164">
        <f t="shared" ca="1" si="71"/>
        <v>221.70752167226232</v>
      </c>
      <c r="R164">
        <f t="shared" ca="1" si="71"/>
        <v>147.55159537483229</v>
      </c>
      <c r="S164">
        <f t="shared" ca="1" si="71"/>
        <v>115.89675095017998</v>
      </c>
      <c r="T164">
        <f t="shared" ca="1" si="71"/>
        <v>86.472147406773701</v>
      </c>
      <c r="U164">
        <v>96</v>
      </c>
      <c r="V164" t="str">
        <f t="shared" si="65"/>
        <v>f96:t96</v>
      </c>
      <c r="W164" t="str">
        <f t="shared" si="65"/>
        <v>g96:t96</v>
      </c>
      <c r="X164" t="str">
        <f t="shared" si="65"/>
        <v>h96:t96</v>
      </c>
      <c r="Y164" t="str">
        <f t="shared" si="65"/>
        <v>I96:t96</v>
      </c>
      <c r="Z164" t="str">
        <f t="shared" si="65"/>
        <v>j96:t96</v>
      </c>
      <c r="AA164" t="str">
        <f t="shared" si="65"/>
        <v>k96:t96</v>
      </c>
      <c r="AB164" t="str">
        <f t="shared" si="65"/>
        <v>l96:t96</v>
      </c>
      <c r="AC164" t="str">
        <f t="shared" si="65"/>
        <v>m96:t96</v>
      </c>
      <c r="AD164" t="str">
        <f t="shared" si="65"/>
        <v>n96:t96</v>
      </c>
      <c r="AE164" t="str">
        <f t="shared" si="65"/>
        <v>o96:t96</v>
      </c>
      <c r="AF164" t="str">
        <f t="shared" si="65"/>
        <v>p96:t96</v>
      </c>
      <c r="AG164" t="str">
        <f t="shared" si="65"/>
        <v>q96:t96</v>
      </c>
      <c r="AH164" t="str">
        <f t="shared" si="65"/>
        <v>r96:t96</v>
      </c>
      <c r="AI164" t="str">
        <f t="shared" si="65"/>
        <v>s96:t96</v>
      </c>
      <c r="AJ164" t="str">
        <f t="shared" si="65"/>
        <v>t96:t96</v>
      </c>
    </row>
    <row r="166" spans="5:36" x14ac:dyDescent="0.15">
      <c r="F166" t="s">
        <v>75</v>
      </c>
      <c r="G166" t="s">
        <v>81</v>
      </c>
      <c r="H166" t="s">
        <v>80</v>
      </c>
      <c r="I166" t="s">
        <v>76</v>
      </c>
      <c r="J166" t="s">
        <v>78</v>
      </c>
      <c r="K166" t="s">
        <v>79</v>
      </c>
      <c r="L166" t="s">
        <v>77</v>
      </c>
      <c r="M166" t="s">
        <v>149</v>
      </c>
      <c r="N166" t="s">
        <v>82</v>
      </c>
      <c r="O166" t="s">
        <v>83</v>
      </c>
      <c r="P166" t="s">
        <v>85</v>
      </c>
      <c r="Q166" t="s">
        <v>86</v>
      </c>
      <c r="R166" t="s">
        <v>87</v>
      </c>
      <c r="S166" t="s">
        <v>89</v>
      </c>
      <c r="T166" t="s">
        <v>88</v>
      </c>
      <c r="V166" t="s">
        <v>322</v>
      </c>
      <c r="W166" t="s">
        <v>323</v>
      </c>
      <c r="X166" t="s">
        <v>324</v>
      </c>
      <c r="Y166" t="s">
        <v>325</v>
      </c>
      <c r="Z166" t="s">
        <v>326</v>
      </c>
      <c r="AA166" t="s">
        <v>327</v>
      </c>
      <c r="AB166" t="s">
        <v>328</v>
      </c>
      <c r="AC166" t="s">
        <v>329</v>
      </c>
      <c r="AD166" t="s">
        <v>330</v>
      </c>
      <c r="AE166" t="s">
        <v>331</v>
      </c>
      <c r="AF166" t="s">
        <v>332</v>
      </c>
      <c r="AG166" t="s">
        <v>309</v>
      </c>
      <c r="AH166" t="s">
        <v>333</v>
      </c>
      <c r="AI166" t="s">
        <v>334</v>
      </c>
      <c r="AJ166" t="s">
        <v>335</v>
      </c>
    </row>
    <row r="167" spans="5:36" x14ac:dyDescent="0.15">
      <c r="E167">
        <v>1982</v>
      </c>
      <c r="F167">
        <f t="shared" ref="F167:F186" ca="1" si="72">SUM(INDIRECT(V167))</f>
        <v>3556.0472032403318</v>
      </c>
      <c r="G167">
        <f t="shared" ref="G167:G186" ca="1" si="73">SUM(INDIRECT(W167))</f>
        <v>3524.1972633226537</v>
      </c>
      <c r="H167">
        <f t="shared" ref="H167:H186" ca="1" si="74">SUM(INDIRECT(X167))</f>
        <v>3403.4988749868339</v>
      </c>
      <c r="I167">
        <f t="shared" ref="I167:I186" ca="1" si="75">SUM(INDIRECT(Y167))</f>
        <v>3077.4276331238457</v>
      </c>
      <c r="J167">
        <f t="shared" ref="J167:J186" ca="1" si="76">SUM(INDIRECT(Z167))</f>
        <v>1496.6326368248488</v>
      </c>
      <c r="K167">
        <f t="shared" ref="K167:K186" ca="1" si="77">SUM(INDIRECT(AA167))</f>
        <v>857.02614206679061</v>
      </c>
      <c r="L167">
        <f t="shared" ref="L167:L186" ca="1" si="78">SUM(INDIRECT(AB167))</f>
        <v>550.8088955626323</v>
      </c>
      <c r="M167">
        <f t="shared" ref="M167:M186" ca="1" si="79">SUM(INDIRECT(AC167))</f>
        <v>331.65673842853613</v>
      </c>
      <c r="N167">
        <f t="shared" ref="N167:N186" ca="1" si="80">SUM(INDIRECT(AD167))</f>
        <v>177.27196260710821</v>
      </c>
      <c r="O167">
        <f t="shared" ref="O167:O186" ca="1" si="81">SUM(INDIRECT(AE167))</f>
        <v>89.64220209705779</v>
      </c>
      <c r="P167">
        <f t="shared" ref="P167:P186" ca="1" si="82">SUM(INDIRECT(AF167))</f>
        <v>33.244572476738355</v>
      </c>
      <c r="Q167">
        <f t="shared" ref="Q167:Q186" ca="1" si="83">SUM(INDIRECT(AG167))</f>
        <v>20.480605979636501</v>
      </c>
      <c r="R167">
        <f t="shared" ref="R167:R186" ca="1" si="84">SUM(INDIRECT(AH167))</f>
        <v>13.988944614924234</v>
      </c>
      <c r="S167">
        <f t="shared" ref="S167:S186" ca="1" si="85">SUM(INDIRECT(AI167))</f>
        <v>7.3592531798539511</v>
      </c>
      <c r="T167">
        <f t="shared" ref="T167:T185" ca="1" si="86">SUM(INDIRECT(AJ167))</f>
        <v>3.3831494767427714</v>
      </c>
      <c r="U167">
        <f t="shared" ref="U167:U194" si="87">ROW(T71)</f>
        <v>71</v>
      </c>
      <c r="V167" t="str">
        <f t="shared" ref="V167:AJ176" si="88">V$367&amp;$U167&amp;":"&amp;$AJ$367&amp;$U167</f>
        <v>f71:t71</v>
      </c>
      <c r="W167" t="str">
        <f t="shared" si="88"/>
        <v>g71:t71</v>
      </c>
      <c r="X167" t="str">
        <f t="shared" si="88"/>
        <v>h71:t71</v>
      </c>
      <c r="Y167" t="str">
        <f t="shared" si="88"/>
        <v>I71:t71</v>
      </c>
      <c r="Z167" t="str">
        <f t="shared" si="88"/>
        <v>j71:t71</v>
      </c>
      <c r="AA167" t="str">
        <f t="shared" si="88"/>
        <v>k71:t71</v>
      </c>
      <c r="AB167" t="str">
        <f t="shared" si="88"/>
        <v>l71:t71</v>
      </c>
      <c r="AC167" t="str">
        <f t="shared" si="88"/>
        <v>m71:t71</v>
      </c>
      <c r="AD167" t="str">
        <f t="shared" si="88"/>
        <v>n71:t71</v>
      </c>
      <c r="AE167" t="str">
        <f t="shared" si="88"/>
        <v>o71:t71</v>
      </c>
      <c r="AF167" t="str">
        <f t="shared" si="88"/>
        <v>p71:t71</v>
      </c>
      <c r="AG167" t="str">
        <f t="shared" si="88"/>
        <v>q71:t71</v>
      </c>
      <c r="AH167" t="str">
        <f t="shared" si="88"/>
        <v>r71:t71</v>
      </c>
      <c r="AI167" t="str">
        <f t="shared" si="88"/>
        <v>s71:t71</v>
      </c>
      <c r="AJ167" t="str">
        <f t="shared" si="88"/>
        <v>t71:t71</v>
      </c>
    </row>
    <row r="168" spans="5:36" x14ac:dyDescent="0.15">
      <c r="E168">
        <v>1983</v>
      </c>
      <c r="F168">
        <f t="shared" ca="1" si="72"/>
        <v>5755.8398836093129</v>
      </c>
      <c r="G168">
        <f t="shared" ca="1" si="73"/>
        <v>5694.5032344615393</v>
      </c>
      <c r="H168">
        <f t="shared" ca="1" si="74"/>
        <v>5562.6409626631767</v>
      </c>
      <c r="I168">
        <f t="shared" ca="1" si="75"/>
        <v>4923.9411203739037</v>
      </c>
      <c r="J168">
        <f t="shared" ca="1" si="76"/>
        <v>4049.3953307894503</v>
      </c>
      <c r="K168">
        <f t="shared" ca="1" si="77"/>
        <v>1437.9875912956361</v>
      </c>
      <c r="L168">
        <f t="shared" ca="1" si="78"/>
        <v>605.49009691817741</v>
      </c>
      <c r="M168">
        <f t="shared" ca="1" si="79"/>
        <v>344.61842788677876</v>
      </c>
      <c r="N168">
        <f t="shared" ca="1" si="80"/>
        <v>190.43074625929279</v>
      </c>
      <c r="O168">
        <f t="shared" ca="1" si="81"/>
        <v>90.423107830302428</v>
      </c>
      <c r="P168">
        <f t="shared" ca="1" si="82"/>
        <v>45.404742439601954</v>
      </c>
      <c r="Q168">
        <f t="shared" ca="1" si="83"/>
        <v>18.4587510106265</v>
      </c>
      <c r="R168">
        <f t="shared" ca="1" si="84"/>
        <v>12.773820883688565</v>
      </c>
      <c r="S168">
        <f t="shared" ca="1" si="85"/>
        <v>8.4869180781036011</v>
      </c>
      <c r="T168">
        <f t="shared" ca="1" si="86"/>
        <v>4.6482377875948755</v>
      </c>
      <c r="U168">
        <f t="shared" si="87"/>
        <v>72</v>
      </c>
      <c r="V168" t="str">
        <f t="shared" si="88"/>
        <v>f72:t72</v>
      </c>
      <c r="W168" t="str">
        <f t="shared" si="88"/>
        <v>g72:t72</v>
      </c>
      <c r="X168" t="str">
        <f t="shared" si="88"/>
        <v>h72:t72</v>
      </c>
      <c r="Y168" t="str">
        <f t="shared" si="88"/>
        <v>I72:t72</v>
      </c>
      <c r="Z168" t="str">
        <f t="shared" si="88"/>
        <v>j72:t72</v>
      </c>
      <c r="AA168" t="str">
        <f t="shared" si="88"/>
        <v>k72:t72</v>
      </c>
      <c r="AB168" t="str">
        <f t="shared" si="88"/>
        <v>l72:t72</v>
      </c>
      <c r="AC168" t="str">
        <f t="shared" si="88"/>
        <v>m72:t72</v>
      </c>
      <c r="AD168" t="str">
        <f t="shared" si="88"/>
        <v>n72:t72</v>
      </c>
      <c r="AE168" t="str">
        <f t="shared" si="88"/>
        <v>o72:t72</v>
      </c>
      <c r="AF168" t="str">
        <f t="shared" si="88"/>
        <v>p72:t72</v>
      </c>
      <c r="AG168" t="str">
        <f t="shared" si="88"/>
        <v>q72:t72</v>
      </c>
      <c r="AH168" t="str">
        <f t="shared" si="88"/>
        <v>r72:t72</v>
      </c>
      <c r="AI168" t="str">
        <f t="shared" si="88"/>
        <v>s72:t72</v>
      </c>
      <c r="AJ168" t="str">
        <f t="shared" si="88"/>
        <v>t72:t72</v>
      </c>
    </row>
    <row r="169" spans="5:36" x14ac:dyDescent="0.15">
      <c r="E169">
        <v>1984</v>
      </c>
      <c r="F169">
        <f t="shared" ca="1" si="72"/>
        <v>5315.50556765699</v>
      </c>
      <c r="G169">
        <f t="shared" ca="1" si="73"/>
        <v>5306.5068059501391</v>
      </c>
      <c r="H169">
        <f t="shared" ca="1" si="74"/>
        <v>5255.4446264901071</v>
      </c>
      <c r="I169">
        <f t="shared" ca="1" si="75"/>
        <v>5127.4121588103562</v>
      </c>
      <c r="J169">
        <f t="shared" ca="1" si="76"/>
        <v>4552.4190469740824</v>
      </c>
      <c r="K169">
        <f t="shared" ca="1" si="77"/>
        <v>3585.4574854004381</v>
      </c>
      <c r="L169">
        <f t="shared" ca="1" si="78"/>
        <v>1186.286979551516</v>
      </c>
      <c r="M169">
        <f t="shared" ca="1" si="79"/>
        <v>480.2020165204903</v>
      </c>
      <c r="N169">
        <f t="shared" ca="1" si="80"/>
        <v>258.48879178778606</v>
      </c>
      <c r="O169">
        <f t="shared" ca="1" si="81"/>
        <v>146.097338328257</v>
      </c>
      <c r="P169">
        <f t="shared" ca="1" si="82"/>
        <v>73.218369964668696</v>
      </c>
      <c r="Q169">
        <f t="shared" ca="1" si="83"/>
        <v>30.61509915369707</v>
      </c>
      <c r="R169">
        <f t="shared" ca="1" si="84"/>
        <v>11.877350976281448</v>
      </c>
      <c r="S169">
        <f t="shared" ca="1" si="85"/>
        <v>7.6283352144001402</v>
      </c>
      <c r="T169">
        <f t="shared" ca="1" si="86"/>
        <v>4.899656568087674</v>
      </c>
      <c r="U169">
        <f t="shared" si="87"/>
        <v>73</v>
      </c>
      <c r="V169" t="str">
        <f t="shared" si="88"/>
        <v>f73:t73</v>
      </c>
      <c r="W169" t="str">
        <f t="shared" si="88"/>
        <v>g73:t73</v>
      </c>
      <c r="X169" t="str">
        <f t="shared" si="88"/>
        <v>h73:t73</v>
      </c>
      <c r="Y169" t="str">
        <f t="shared" si="88"/>
        <v>I73:t73</v>
      </c>
      <c r="Z169" t="str">
        <f t="shared" si="88"/>
        <v>j73:t73</v>
      </c>
      <c r="AA169" t="str">
        <f t="shared" si="88"/>
        <v>k73:t73</v>
      </c>
      <c r="AB169" t="str">
        <f t="shared" si="88"/>
        <v>l73:t73</v>
      </c>
      <c r="AC169" t="str">
        <f t="shared" si="88"/>
        <v>m73:t73</v>
      </c>
      <c r="AD169" t="str">
        <f t="shared" si="88"/>
        <v>n73:t73</v>
      </c>
      <c r="AE169" t="str">
        <f t="shared" si="88"/>
        <v>o73:t73</v>
      </c>
      <c r="AF169" t="str">
        <f t="shared" si="88"/>
        <v>p73:t73</v>
      </c>
      <c r="AG169" t="str">
        <f t="shared" si="88"/>
        <v>q73:t73</v>
      </c>
      <c r="AH169" t="str">
        <f t="shared" si="88"/>
        <v>r73:t73</v>
      </c>
      <c r="AI169" t="str">
        <f t="shared" si="88"/>
        <v>s73:t73</v>
      </c>
      <c r="AJ169" t="str">
        <f t="shared" si="88"/>
        <v>t73:t73</v>
      </c>
    </row>
    <row r="170" spans="5:36" x14ac:dyDescent="0.15">
      <c r="E170">
        <v>1985</v>
      </c>
      <c r="F170">
        <f t="shared" ca="1" si="72"/>
        <v>5825.8980066961249</v>
      </c>
      <c r="G170">
        <f t="shared" ca="1" si="73"/>
        <v>5738.0323602175449</v>
      </c>
      <c r="H170">
        <f t="shared" ca="1" si="74"/>
        <v>5707.5647962846215</v>
      </c>
      <c r="I170">
        <f t="shared" ca="1" si="75"/>
        <v>5209.4517692528316</v>
      </c>
      <c r="J170">
        <f t="shared" ca="1" si="76"/>
        <v>4871.8345783703435</v>
      </c>
      <c r="K170">
        <f t="shared" ca="1" si="77"/>
        <v>3977.5810636263564</v>
      </c>
      <c r="L170">
        <f t="shared" ca="1" si="78"/>
        <v>2919.4425921341171</v>
      </c>
      <c r="M170">
        <f t="shared" ca="1" si="79"/>
        <v>845.06957188517208</v>
      </c>
      <c r="N170">
        <f t="shared" ca="1" si="80"/>
        <v>319.65405850621238</v>
      </c>
      <c r="O170">
        <f t="shared" ca="1" si="81"/>
        <v>146.14201278728791</v>
      </c>
      <c r="P170">
        <f t="shared" ca="1" si="82"/>
        <v>83.052149817829033</v>
      </c>
      <c r="Q170">
        <f t="shared" ca="1" si="83"/>
        <v>42.153515434680052</v>
      </c>
      <c r="R170">
        <f t="shared" ca="1" si="84"/>
        <v>21.573052124005251</v>
      </c>
      <c r="S170">
        <f t="shared" ca="1" si="85"/>
        <v>7.6786285032026713</v>
      </c>
      <c r="T170">
        <f t="shared" ca="1" si="86"/>
        <v>4.7174129457478022</v>
      </c>
      <c r="U170">
        <f t="shared" si="87"/>
        <v>74</v>
      </c>
      <c r="V170" t="str">
        <f t="shared" si="88"/>
        <v>f74:t74</v>
      </c>
      <c r="W170" t="str">
        <f t="shared" si="88"/>
        <v>g74:t74</v>
      </c>
      <c r="X170" t="str">
        <f t="shared" si="88"/>
        <v>h74:t74</v>
      </c>
      <c r="Y170" t="str">
        <f t="shared" si="88"/>
        <v>I74:t74</v>
      </c>
      <c r="Z170" t="str">
        <f t="shared" si="88"/>
        <v>j74:t74</v>
      </c>
      <c r="AA170" t="str">
        <f t="shared" si="88"/>
        <v>k74:t74</v>
      </c>
      <c r="AB170" t="str">
        <f t="shared" si="88"/>
        <v>l74:t74</v>
      </c>
      <c r="AC170" t="str">
        <f t="shared" si="88"/>
        <v>m74:t74</v>
      </c>
      <c r="AD170" t="str">
        <f t="shared" si="88"/>
        <v>n74:t74</v>
      </c>
      <c r="AE170" t="str">
        <f t="shared" si="88"/>
        <v>o74:t74</v>
      </c>
      <c r="AF170" t="str">
        <f t="shared" si="88"/>
        <v>p74:t74</v>
      </c>
      <c r="AG170" t="str">
        <f t="shared" si="88"/>
        <v>q74:t74</v>
      </c>
      <c r="AH170" t="str">
        <f t="shared" si="88"/>
        <v>r74:t74</v>
      </c>
      <c r="AI170" t="str">
        <f t="shared" si="88"/>
        <v>s74:t74</v>
      </c>
      <c r="AJ170" t="str">
        <f t="shared" si="88"/>
        <v>t74:t74</v>
      </c>
    </row>
    <row r="171" spans="5:36" x14ac:dyDescent="0.15">
      <c r="E171">
        <v>1986</v>
      </c>
      <c r="F171">
        <f t="shared" ca="1" si="72"/>
        <v>5615.7966023278705</v>
      </c>
      <c r="G171">
        <f t="shared" ca="1" si="73"/>
        <v>5585.4354794509845</v>
      </c>
      <c r="H171">
        <f t="shared" ca="1" si="74"/>
        <v>5530.7465884395378</v>
      </c>
      <c r="I171">
        <f t="shared" ca="1" si="75"/>
        <v>5476.1796259172088</v>
      </c>
      <c r="J171">
        <f t="shared" ca="1" si="76"/>
        <v>4674.6095070939646</v>
      </c>
      <c r="K171">
        <f t="shared" ca="1" si="77"/>
        <v>4259.4510109832481</v>
      </c>
      <c r="L171">
        <f t="shared" ca="1" si="78"/>
        <v>3114.4989319507699</v>
      </c>
      <c r="M171">
        <f t="shared" ca="1" si="79"/>
        <v>2208.5593245806504</v>
      </c>
      <c r="N171">
        <f t="shared" ca="1" si="80"/>
        <v>594.23196020490025</v>
      </c>
      <c r="O171">
        <f t="shared" ca="1" si="81"/>
        <v>214.83817388756614</v>
      </c>
      <c r="P171">
        <f t="shared" ca="1" si="82"/>
        <v>102.91352093704428</v>
      </c>
      <c r="Q171">
        <f t="shared" ca="1" si="83"/>
        <v>54.755225293645658</v>
      </c>
      <c r="R171">
        <f t="shared" ca="1" si="84"/>
        <v>26.820415479369927</v>
      </c>
      <c r="S171">
        <f t="shared" ca="1" si="85"/>
        <v>13.080049783537127</v>
      </c>
      <c r="T171">
        <f t="shared" ca="1" si="86"/>
        <v>4.6142242956082535</v>
      </c>
      <c r="U171">
        <f t="shared" si="87"/>
        <v>75</v>
      </c>
      <c r="V171" t="str">
        <f t="shared" si="88"/>
        <v>f75:t75</v>
      </c>
      <c r="W171" t="str">
        <f t="shared" si="88"/>
        <v>g75:t75</v>
      </c>
      <c r="X171" t="str">
        <f t="shared" si="88"/>
        <v>h75:t75</v>
      </c>
      <c r="Y171" t="str">
        <f t="shared" si="88"/>
        <v>I75:t75</v>
      </c>
      <c r="Z171" t="str">
        <f t="shared" si="88"/>
        <v>j75:t75</v>
      </c>
      <c r="AA171" t="str">
        <f t="shared" si="88"/>
        <v>k75:t75</v>
      </c>
      <c r="AB171" t="str">
        <f t="shared" si="88"/>
        <v>l75:t75</v>
      </c>
      <c r="AC171" t="str">
        <f t="shared" si="88"/>
        <v>m75:t75</v>
      </c>
      <c r="AD171" t="str">
        <f t="shared" si="88"/>
        <v>n75:t75</v>
      </c>
      <c r="AE171" t="str">
        <f t="shared" si="88"/>
        <v>o75:t75</v>
      </c>
      <c r="AF171" t="str">
        <f t="shared" si="88"/>
        <v>p75:t75</v>
      </c>
      <c r="AG171" t="str">
        <f t="shared" si="88"/>
        <v>q75:t75</v>
      </c>
      <c r="AH171" t="str">
        <f t="shared" si="88"/>
        <v>r75:t75</v>
      </c>
      <c r="AI171" t="str">
        <f t="shared" si="88"/>
        <v>s75:t75</v>
      </c>
      <c r="AJ171" t="str">
        <f t="shared" si="88"/>
        <v>t75:t75</v>
      </c>
    </row>
    <row r="172" spans="5:36" x14ac:dyDescent="0.15">
      <c r="E172">
        <v>1987</v>
      </c>
      <c r="F172">
        <f t="shared" ca="1" si="72"/>
        <v>6217.0232959176083</v>
      </c>
      <c r="G172">
        <f t="shared" ca="1" si="73"/>
        <v>6198.9299088066709</v>
      </c>
      <c r="H172">
        <f t="shared" ca="1" si="74"/>
        <v>6158.3589874909012</v>
      </c>
      <c r="I172">
        <f t="shared" ca="1" si="75"/>
        <v>5859.3737941344516</v>
      </c>
      <c r="J172">
        <f t="shared" ca="1" si="76"/>
        <v>5591.8421011021073</v>
      </c>
      <c r="K172">
        <f t="shared" ca="1" si="77"/>
        <v>3997.6739749686622</v>
      </c>
      <c r="L172">
        <f t="shared" ca="1" si="78"/>
        <v>3353.6973527533937</v>
      </c>
      <c r="M172">
        <f t="shared" ca="1" si="79"/>
        <v>2199.764337997145</v>
      </c>
      <c r="N172">
        <f t="shared" ca="1" si="80"/>
        <v>1464.8706484203262</v>
      </c>
      <c r="O172">
        <f t="shared" ca="1" si="81"/>
        <v>361.69608161930762</v>
      </c>
      <c r="P172">
        <f t="shared" ca="1" si="82"/>
        <v>129.56169517547374</v>
      </c>
      <c r="Q172">
        <f t="shared" ca="1" si="83"/>
        <v>68.05117239580008</v>
      </c>
      <c r="R172">
        <f t="shared" ca="1" si="84"/>
        <v>39.439913314235497</v>
      </c>
      <c r="S172">
        <f t="shared" ca="1" si="85"/>
        <v>19.806433159575697</v>
      </c>
      <c r="T172">
        <f t="shared" ca="1" si="86"/>
        <v>8.2544880685076425</v>
      </c>
      <c r="U172">
        <f t="shared" si="87"/>
        <v>76</v>
      </c>
      <c r="V172" t="str">
        <f t="shared" si="88"/>
        <v>f76:t76</v>
      </c>
      <c r="W172" t="str">
        <f t="shared" si="88"/>
        <v>g76:t76</v>
      </c>
      <c r="X172" t="str">
        <f t="shared" si="88"/>
        <v>h76:t76</v>
      </c>
      <c r="Y172" t="str">
        <f t="shared" si="88"/>
        <v>I76:t76</v>
      </c>
      <c r="Z172" t="str">
        <f t="shared" si="88"/>
        <v>j76:t76</v>
      </c>
      <c r="AA172" t="str">
        <f t="shared" si="88"/>
        <v>k76:t76</v>
      </c>
      <c r="AB172" t="str">
        <f t="shared" si="88"/>
        <v>l76:t76</v>
      </c>
      <c r="AC172" t="str">
        <f t="shared" si="88"/>
        <v>m76:t76</v>
      </c>
      <c r="AD172" t="str">
        <f t="shared" si="88"/>
        <v>n76:t76</v>
      </c>
      <c r="AE172" t="str">
        <f t="shared" si="88"/>
        <v>o76:t76</v>
      </c>
      <c r="AF172" t="str">
        <f t="shared" si="88"/>
        <v>p76:t76</v>
      </c>
      <c r="AG172" t="str">
        <f t="shared" si="88"/>
        <v>q76:t76</v>
      </c>
      <c r="AH172" t="str">
        <f t="shared" si="88"/>
        <v>r76:t76</v>
      </c>
      <c r="AI172" t="str">
        <f t="shared" si="88"/>
        <v>s76:t76</v>
      </c>
      <c r="AJ172" t="str">
        <f t="shared" si="88"/>
        <v>t76:t76</v>
      </c>
    </row>
    <row r="173" spans="5:36" x14ac:dyDescent="0.15">
      <c r="E173">
        <v>1988</v>
      </c>
      <c r="F173">
        <f t="shared" ca="1" si="72"/>
        <v>7641.1232255065661</v>
      </c>
      <c r="G173">
        <f t="shared" ca="1" si="73"/>
        <v>7629.5678883550881</v>
      </c>
      <c r="H173">
        <f t="shared" ca="1" si="74"/>
        <v>7598.6862643573722</v>
      </c>
      <c r="I173">
        <f t="shared" ca="1" si="75"/>
        <v>7325.1104611311057</v>
      </c>
      <c r="J173">
        <f t="shared" ca="1" si="76"/>
        <v>6209.0779759679808</v>
      </c>
      <c r="K173">
        <f t="shared" ca="1" si="77"/>
        <v>5591.2137552560644</v>
      </c>
      <c r="L173">
        <f t="shared" ca="1" si="78"/>
        <v>3195.4112301896394</v>
      </c>
      <c r="M173">
        <f t="shared" ca="1" si="79"/>
        <v>2557.3789519239799</v>
      </c>
      <c r="N173">
        <f t="shared" ca="1" si="80"/>
        <v>1601.4321391784069</v>
      </c>
      <c r="O173">
        <f t="shared" ca="1" si="81"/>
        <v>1080.3243184573405</v>
      </c>
      <c r="P173">
        <f t="shared" ca="1" si="82"/>
        <v>259.06281641530677</v>
      </c>
      <c r="Q173">
        <f t="shared" ca="1" si="83"/>
        <v>82.952731146207995</v>
      </c>
      <c r="R173">
        <f t="shared" ca="1" si="84"/>
        <v>42.879187867019738</v>
      </c>
      <c r="S173">
        <f t="shared" ca="1" si="85"/>
        <v>23.85579264688819</v>
      </c>
      <c r="T173">
        <f t="shared" ca="1" si="86"/>
        <v>11.605475701021829</v>
      </c>
      <c r="U173">
        <f t="shared" si="87"/>
        <v>77</v>
      </c>
      <c r="V173" t="str">
        <f t="shared" si="88"/>
        <v>f77:t77</v>
      </c>
      <c r="W173" t="str">
        <f t="shared" si="88"/>
        <v>g77:t77</v>
      </c>
      <c r="X173" t="str">
        <f t="shared" si="88"/>
        <v>h77:t77</v>
      </c>
      <c r="Y173" t="str">
        <f t="shared" si="88"/>
        <v>I77:t77</v>
      </c>
      <c r="Z173" t="str">
        <f t="shared" si="88"/>
        <v>j77:t77</v>
      </c>
      <c r="AA173" t="str">
        <f t="shared" si="88"/>
        <v>k77:t77</v>
      </c>
      <c r="AB173" t="str">
        <f t="shared" si="88"/>
        <v>l77:t77</v>
      </c>
      <c r="AC173" t="str">
        <f t="shared" si="88"/>
        <v>m77:t77</v>
      </c>
      <c r="AD173" t="str">
        <f t="shared" si="88"/>
        <v>n77:t77</v>
      </c>
      <c r="AE173" t="str">
        <f t="shared" si="88"/>
        <v>o77:t77</v>
      </c>
      <c r="AF173" t="str">
        <f t="shared" si="88"/>
        <v>p77:t77</v>
      </c>
      <c r="AG173" t="str">
        <f t="shared" si="88"/>
        <v>q77:t77</v>
      </c>
      <c r="AH173" t="str">
        <f t="shared" si="88"/>
        <v>r77:t77</v>
      </c>
      <c r="AI173" t="str">
        <f t="shared" si="88"/>
        <v>s77:t77</v>
      </c>
      <c r="AJ173" t="str">
        <f t="shared" si="88"/>
        <v>t77:t77</v>
      </c>
    </row>
    <row r="174" spans="5:36" x14ac:dyDescent="0.15">
      <c r="E174">
        <v>1989</v>
      </c>
      <c r="F174">
        <f t="shared" ca="1" si="72"/>
        <v>6859.1710446897005</v>
      </c>
      <c r="G174">
        <f t="shared" ca="1" si="73"/>
        <v>6840.3327023681823</v>
      </c>
      <c r="H174">
        <f t="shared" ca="1" si="74"/>
        <v>6819.2542278502415</v>
      </c>
      <c r="I174">
        <f t="shared" ca="1" si="75"/>
        <v>6734.7036916743755</v>
      </c>
      <c r="J174">
        <f t="shared" ca="1" si="76"/>
        <v>6283.639876096001</v>
      </c>
      <c r="K174">
        <f t="shared" ca="1" si="77"/>
        <v>4763.0281725076165</v>
      </c>
      <c r="L174">
        <f t="shared" ca="1" si="78"/>
        <v>4151.8853867090929</v>
      </c>
      <c r="M174">
        <f t="shared" ca="1" si="79"/>
        <v>2177.3376111087882</v>
      </c>
      <c r="N174">
        <f t="shared" ca="1" si="80"/>
        <v>1724.4711492957649</v>
      </c>
      <c r="O174">
        <f t="shared" ca="1" si="81"/>
        <v>1015.9182292550026</v>
      </c>
      <c r="P174">
        <f t="shared" ca="1" si="82"/>
        <v>670.59398986932172</v>
      </c>
      <c r="Q174">
        <f t="shared" ca="1" si="83"/>
        <v>154.62554378660946</v>
      </c>
      <c r="R174">
        <f t="shared" ca="1" si="84"/>
        <v>56.311622161946005</v>
      </c>
      <c r="S174">
        <f t="shared" ca="1" si="85"/>
        <v>27.932210926542808</v>
      </c>
      <c r="T174">
        <f t="shared" ca="1" si="86"/>
        <v>14.689199990401038</v>
      </c>
      <c r="U174">
        <f t="shared" si="87"/>
        <v>78</v>
      </c>
      <c r="V174" t="str">
        <f t="shared" si="88"/>
        <v>f78:t78</v>
      </c>
      <c r="W174" t="str">
        <f t="shared" si="88"/>
        <v>g78:t78</v>
      </c>
      <c r="X174" t="str">
        <f t="shared" si="88"/>
        <v>h78:t78</v>
      </c>
      <c r="Y174" t="str">
        <f t="shared" si="88"/>
        <v>I78:t78</v>
      </c>
      <c r="Z174" t="str">
        <f t="shared" si="88"/>
        <v>j78:t78</v>
      </c>
      <c r="AA174" t="str">
        <f t="shared" si="88"/>
        <v>k78:t78</v>
      </c>
      <c r="AB174" t="str">
        <f t="shared" si="88"/>
        <v>l78:t78</v>
      </c>
      <c r="AC174" t="str">
        <f t="shared" si="88"/>
        <v>m78:t78</v>
      </c>
      <c r="AD174" t="str">
        <f t="shared" si="88"/>
        <v>n78:t78</v>
      </c>
      <c r="AE174" t="str">
        <f t="shared" si="88"/>
        <v>o78:t78</v>
      </c>
      <c r="AF174" t="str">
        <f t="shared" si="88"/>
        <v>p78:t78</v>
      </c>
      <c r="AG174" t="str">
        <f t="shared" si="88"/>
        <v>q78:t78</v>
      </c>
      <c r="AH174" t="str">
        <f t="shared" si="88"/>
        <v>r78:t78</v>
      </c>
      <c r="AI174" t="str">
        <f t="shared" si="88"/>
        <v>s78:t78</v>
      </c>
      <c r="AJ174" t="str">
        <f t="shared" si="88"/>
        <v>t78:t78</v>
      </c>
    </row>
    <row r="175" spans="5:36" x14ac:dyDescent="0.15">
      <c r="E175">
        <v>1990</v>
      </c>
      <c r="F175">
        <f t="shared" ca="1" si="72"/>
        <v>6137.8600473284823</v>
      </c>
      <c r="G175">
        <f t="shared" ca="1" si="73"/>
        <v>6094.0693617589795</v>
      </c>
      <c r="H175">
        <f t="shared" ca="1" si="74"/>
        <v>6065.0356084128143</v>
      </c>
      <c r="I175">
        <f t="shared" ca="1" si="75"/>
        <v>6022.664218505206</v>
      </c>
      <c r="J175">
        <f t="shared" ca="1" si="76"/>
        <v>5818.4100574429995</v>
      </c>
      <c r="K175">
        <f t="shared" ca="1" si="77"/>
        <v>5196.3609086459983</v>
      </c>
      <c r="L175">
        <f t="shared" ca="1" si="78"/>
        <v>3502.8507852193584</v>
      </c>
      <c r="M175">
        <f t="shared" ca="1" si="79"/>
        <v>2988.5268936689276</v>
      </c>
      <c r="N175">
        <f t="shared" ca="1" si="80"/>
        <v>1486.1396927860433</v>
      </c>
      <c r="O175">
        <f t="shared" ca="1" si="81"/>
        <v>1152.2618756994407</v>
      </c>
      <c r="P175">
        <f t="shared" ca="1" si="82"/>
        <v>674.76444577405971</v>
      </c>
      <c r="Q175">
        <f t="shared" ca="1" si="83"/>
        <v>424.42912935813376</v>
      </c>
      <c r="R175">
        <f t="shared" ca="1" si="84"/>
        <v>94.174859709968956</v>
      </c>
      <c r="S175">
        <f t="shared" ca="1" si="85"/>
        <v>32.014624550414723</v>
      </c>
      <c r="T175">
        <f t="shared" ca="1" si="86"/>
        <v>15.88078076389877</v>
      </c>
      <c r="U175">
        <f t="shared" si="87"/>
        <v>79</v>
      </c>
      <c r="V175" t="str">
        <f t="shared" si="88"/>
        <v>f79:t79</v>
      </c>
      <c r="W175" t="str">
        <f t="shared" si="88"/>
        <v>g79:t79</v>
      </c>
      <c r="X175" t="str">
        <f t="shared" si="88"/>
        <v>h79:t79</v>
      </c>
      <c r="Y175" t="str">
        <f t="shared" si="88"/>
        <v>I79:t79</v>
      </c>
      <c r="Z175" t="str">
        <f t="shared" si="88"/>
        <v>j79:t79</v>
      </c>
      <c r="AA175" t="str">
        <f t="shared" si="88"/>
        <v>k79:t79</v>
      </c>
      <c r="AB175" t="str">
        <f t="shared" si="88"/>
        <v>l79:t79</v>
      </c>
      <c r="AC175" t="str">
        <f t="shared" si="88"/>
        <v>m79:t79</v>
      </c>
      <c r="AD175" t="str">
        <f t="shared" si="88"/>
        <v>n79:t79</v>
      </c>
      <c r="AE175" t="str">
        <f t="shared" si="88"/>
        <v>o79:t79</v>
      </c>
      <c r="AF175" t="str">
        <f t="shared" si="88"/>
        <v>p79:t79</v>
      </c>
      <c r="AG175" t="str">
        <f t="shared" si="88"/>
        <v>q79:t79</v>
      </c>
      <c r="AH175" t="str">
        <f t="shared" si="88"/>
        <v>r79:t79</v>
      </c>
      <c r="AI175" t="str">
        <f t="shared" si="88"/>
        <v>s79:t79</v>
      </c>
      <c r="AJ175" t="str">
        <f t="shared" si="88"/>
        <v>t79:t79</v>
      </c>
    </row>
    <row r="176" spans="5:36" x14ac:dyDescent="0.15">
      <c r="E176">
        <v>1991</v>
      </c>
      <c r="F176">
        <f t="shared" ca="1" si="72"/>
        <v>4416.5979265958231</v>
      </c>
      <c r="G176">
        <f t="shared" ca="1" si="73"/>
        <v>4379.3277852453612</v>
      </c>
      <c r="H176">
        <f t="shared" ca="1" si="74"/>
        <v>4339.7992369244521</v>
      </c>
      <c r="I176">
        <f t="shared" ca="1" si="75"/>
        <v>4299.7202608256357</v>
      </c>
      <c r="J176">
        <f t="shared" ca="1" si="76"/>
        <v>4204.5158516321571</v>
      </c>
      <c r="K176">
        <f t="shared" ca="1" si="77"/>
        <v>3949.7777288632719</v>
      </c>
      <c r="L176">
        <f t="shared" ca="1" si="78"/>
        <v>3423.9242726475704</v>
      </c>
      <c r="M176">
        <f t="shared" ca="1" si="79"/>
        <v>2223.0654274863737</v>
      </c>
      <c r="N176">
        <f t="shared" ca="1" si="80"/>
        <v>1882.6499427389613</v>
      </c>
      <c r="O176">
        <f t="shared" ca="1" si="81"/>
        <v>894.33410210364673</v>
      </c>
      <c r="P176">
        <f t="shared" ca="1" si="82"/>
        <v>688.46377511310675</v>
      </c>
      <c r="Q176">
        <f t="shared" ca="1" si="83"/>
        <v>407.3129795173063</v>
      </c>
      <c r="R176">
        <f t="shared" ca="1" si="84"/>
        <v>261.26137042294744</v>
      </c>
      <c r="S176">
        <f t="shared" ca="1" si="85"/>
        <v>61.979109541235211</v>
      </c>
      <c r="T176">
        <f t="shared" ca="1" si="86"/>
        <v>21.348679435775651</v>
      </c>
      <c r="U176">
        <f t="shared" si="87"/>
        <v>80</v>
      </c>
      <c r="V176" t="str">
        <f t="shared" si="88"/>
        <v>f80:t80</v>
      </c>
      <c r="W176" t="str">
        <f t="shared" si="88"/>
        <v>g80:t80</v>
      </c>
      <c r="X176" t="str">
        <f t="shared" si="88"/>
        <v>h80:t80</v>
      </c>
      <c r="Y176" t="str">
        <f t="shared" si="88"/>
        <v>I80:t80</v>
      </c>
      <c r="Z176" t="str">
        <f t="shared" si="88"/>
        <v>j80:t80</v>
      </c>
      <c r="AA176" t="str">
        <f t="shared" si="88"/>
        <v>k80:t80</v>
      </c>
      <c r="AB176" t="str">
        <f t="shared" si="88"/>
        <v>l80:t80</v>
      </c>
      <c r="AC176" t="str">
        <f t="shared" si="88"/>
        <v>m80:t80</v>
      </c>
      <c r="AD176" t="str">
        <f t="shared" si="88"/>
        <v>n80:t80</v>
      </c>
      <c r="AE176" t="str">
        <f t="shared" si="88"/>
        <v>o80:t80</v>
      </c>
      <c r="AF176" t="str">
        <f t="shared" si="88"/>
        <v>p80:t80</v>
      </c>
      <c r="AG176" t="str">
        <f t="shared" si="88"/>
        <v>q80:t80</v>
      </c>
      <c r="AH176" t="str">
        <f t="shared" si="88"/>
        <v>r80:t80</v>
      </c>
      <c r="AI176" t="str">
        <f t="shared" si="88"/>
        <v>s80:t80</v>
      </c>
      <c r="AJ176" t="str">
        <f t="shared" si="88"/>
        <v>t80:t80</v>
      </c>
    </row>
    <row r="177" spans="5:36" x14ac:dyDescent="0.15">
      <c r="E177">
        <v>1992</v>
      </c>
      <c r="F177">
        <f t="shared" ca="1" si="72"/>
        <v>3765.7280096772552</v>
      </c>
      <c r="G177">
        <f t="shared" ca="1" si="73"/>
        <v>3730.0660663635035</v>
      </c>
      <c r="H177">
        <f t="shared" ca="1" si="74"/>
        <v>3697.8629130215741</v>
      </c>
      <c r="I177">
        <f t="shared" ca="1" si="75"/>
        <v>3346.5450643136141</v>
      </c>
      <c r="J177">
        <f t="shared" ca="1" si="76"/>
        <v>3127.8343528643663</v>
      </c>
      <c r="K177">
        <f t="shared" ca="1" si="77"/>
        <v>2900.9146468206482</v>
      </c>
      <c r="L177">
        <f t="shared" ca="1" si="78"/>
        <v>2599.2760672899467</v>
      </c>
      <c r="M177">
        <f t="shared" ca="1" si="79"/>
        <v>2113.2677320589942</v>
      </c>
      <c r="N177">
        <f t="shared" ca="1" si="80"/>
        <v>1286.5749854419466</v>
      </c>
      <c r="O177">
        <f t="shared" ca="1" si="81"/>
        <v>1051.887147178373</v>
      </c>
      <c r="P177">
        <f t="shared" ca="1" si="82"/>
        <v>505.40588932963686</v>
      </c>
      <c r="Q177">
        <f t="shared" ca="1" si="83"/>
        <v>382.0258544551757</v>
      </c>
      <c r="R177">
        <f t="shared" ca="1" si="84"/>
        <v>224.87247277381462</v>
      </c>
      <c r="S177">
        <f t="shared" ca="1" si="85"/>
        <v>141.5025692836391</v>
      </c>
      <c r="T177">
        <f t="shared" ca="1" si="86"/>
        <v>34.172853737822777</v>
      </c>
      <c r="U177">
        <f t="shared" si="87"/>
        <v>81</v>
      </c>
      <c r="V177" t="str">
        <f t="shared" ref="V177:AJ186" si="89">V$367&amp;$U177&amp;":"&amp;$AJ$367&amp;$U177</f>
        <v>f81:t81</v>
      </c>
      <c r="W177" t="str">
        <f t="shared" si="89"/>
        <v>g81:t81</v>
      </c>
      <c r="X177" t="str">
        <f t="shared" si="89"/>
        <v>h81:t81</v>
      </c>
      <c r="Y177" t="str">
        <f t="shared" si="89"/>
        <v>I81:t81</v>
      </c>
      <c r="Z177" t="str">
        <f t="shared" si="89"/>
        <v>j81:t81</v>
      </c>
      <c r="AA177" t="str">
        <f t="shared" si="89"/>
        <v>k81:t81</v>
      </c>
      <c r="AB177" t="str">
        <f t="shared" si="89"/>
        <v>l81:t81</v>
      </c>
      <c r="AC177" t="str">
        <f t="shared" si="89"/>
        <v>m81:t81</v>
      </c>
      <c r="AD177" t="str">
        <f t="shared" si="89"/>
        <v>n81:t81</v>
      </c>
      <c r="AE177" t="str">
        <f t="shared" si="89"/>
        <v>o81:t81</v>
      </c>
      <c r="AF177" t="str">
        <f t="shared" si="89"/>
        <v>p81:t81</v>
      </c>
      <c r="AG177" t="str">
        <f t="shared" si="89"/>
        <v>q81:t81</v>
      </c>
      <c r="AH177" t="str">
        <f t="shared" si="89"/>
        <v>r81:t81</v>
      </c>
      <c r="AI177" t="str">
        <f t="shared" si="89"/>
        <v>s81:t81</v>
      </c>
      <c r="AJ177" t="str">
        <f t="shared" si="89"/>
        <v>t81:t81</v>
      </c>
    </row>
    <row r="178" spans="5:36" x14ac:dyDescent="0.15">
      <c r="E178">
        <v>1993</v>
      </c>
      <c r="F178">
        <f t="shared" ca="1" si="72"/>
        <v>3714.0237603718406</v>
      </c>
      <c r="G178">
        <f t="shared" ca="1" si="73"/>
        <v>3672.5225975732392</v>
      </c>
      <c r="H178">
        <f t="shared" ca="1" si="74"/>
        <v>3639.109675487231</v>
      </c>
      <c r="I178">
        <f t="shared" ca="1" si="75"/>
        <v>3407.2966098312895</v>
      </c>
      <c r="J178">
        <f t="shared" ca="1" si="76"/>
        <v>2277.437990246287</v>
      </c>
      <c r="K178">
        <f t="shared" ca="1" si="77"/>
        <v>1855.8119968948399</v>
      </c>
      <c r="L178">
        <f t="shared" ca="1" si="78"/>
        <v>1645.364244795446</v>
      </c>
      <c r="M178">
        <f t="shared" ca="1" si="79"/>
        <v>1430.2584884491775</v>
      </c>
      <c r="N178">
        <f t="shared" ca="1" si="80"/>
        <v>1172.439349005178</v>
      </c>
      <c r="O178">
        <f t="shared" ca="1" si="81"/>
        <v>715.99707012141732</v>
      </c>
      <c r="P178">
        <f t="shared" ca="1" si="82"/>
        <v>595.24740767771152</v>
      </c>
      <c r="Q178">
        <f t="shared" ca="1" si="83"/>
        <v>287.18643255539962</v>
      </c>
      <c r="R178">
        <f t="shared" ca="1" si="84"/>
        <v>220.08733926168708</v>
      </c>
      <c r="S178">
        <f t="shared" ca="1" si="85"/>
        <v>134.97041664749014</v>
      </c>
      <c r="T178">
        <f t="shared" ca="1" si="86"/>
        <v>89.953318578599152</v>
      </c>
      <c r="U178">
        <f t="shared" si="87"/>
        <v>82</v>
      </c>
      <c r="V178" t="str">
        <f t="shared" si="89"/>
        <v>f82:t82</v>
      </c>
      <c r="W178" t="str">
        <f t="shared" si="89"/>
        <v>g82:t82</v>
      </c>
      <c r="X178" t="str">
        <f t="shared" si="89"/>
        <v>h82:t82</v>
      </c>
      <c r="Y178" t="str">
        <f t="shared" si="89"/>
        <v>I82:t82</v>
      </c>
      <c r="Z178" t="str">
        <f t="shared" si="89"/>
        <v>j82:t82</v>
      </c>
      <c r="AA178" t="str">
        <f t="shared" si="89"/>
        <v>k82:t82</v>
      </c>
      <c r="AB178" t="str">
        <f t="shared" si="89"/>
        <v>l82:t82</v>
      </c>
      <c r="AC178" t="str">
        <f t="shared" si="89"/>
        <v>m82:t82</v>
      </c>
      <c r="AD178" t="str">
        <f t="shared" si="89"/>
        <v>n82:t82</v>
      </c>
      <c r="AE178" t="str">
        <f t="shared" si="89"/>
        <v>o82:t82</v>
      </c>
      <c r="AF178" t="str">
        <f t="shared" si="89"/>
        <v>p82:t82</v>
      </c>
      <c r="AG178" t="str">
        <f t="shared" si="89"/>
        <v>q82:t82</v>
      </c>
      <c r="AH178" t="str">
        <f t="shared" si="89"/>
        <v>r82:t82</v>
      </c>
      <c r="AI178" t="str">
        <f t="shared" si="89"/>
        <v>s82:t82</v>
      </c>
      <c r="AJ178" t="str">
        <f t="shared" si="89"/>
        <v>t82:t82</v>
      </c>
    </row>
    <row r="179" spans="5:36" x14ac:dyDescent="0.15">
      <c r="E179">
        <v>1994</v>
      </c>
      <c r="F179">
        <f t="shared" ca="1" si="72"/>
        <v>4160.7316940710834</v>
      </c>
      <c r="G179">
        <f t="shared" ca="1" si="73"/>
        <v>4139.5442635045292</v>
      </c>
      <c r="H179">
        <f t="shared" ca="1" si="74"/>
        <v>4100.8990508488141</v>
      </c>
      <c r="I179">
        <f t="shared" ca="1" si="75"/>
        <v>3983.1386702644118</v>
      </c>
      <c r="J179">
        <f t="shared" ca="1" si="76"/>
        <v>3452.3448801716272</v>
      </c>
      <c r="K179">
        <f t="shared" ca="1" si="77"/>
        <v>1757.274628508598</v>
      </c>
      <c r="L179">
        <f t="shared" ca="1" si="78"/>
        <v>1279.865519396305</v>
      </c>
      <c r="M179">
        <f t="shared" ca="1" si="79"/>
        <v>1105.2016485685847</v>
      </c>
      <c r="N179">
        <f t="shared" ca="1" si="80"/>
        <v>928.21860647801952</v>
      </c>
      <c r="O179">
        <f t="shared" ca="1" si="81"/>
        <v>721.57139468407365</v>
      </c>
      <c r="P179">
        <f t="shared" ca="1" si="82"/>
        <v>433.693279527188</v>
      </c>
      <c r="Q179">
        <f t="shared" ca="1" si="83"/>
        <v>356.664201820274</v>
      </c>
      <c r="R179">
        <f t="shared" ca="1" si="84"/>
        <v>162.12918234742739</v>
      </c>
      <c r="S179">
        <f t="shared" ca="1" si="85"/>
        <v>121.47693490870581</v>
      </c>
      <c r="T179">
        <f t="shared" ca="1" si="86"/>
        <v>72.341270210646584</v>
      </c>
      <c r="U179">
        <f t="shared" si="87"/>
        <v>83</v>
      </c>
      <c r="V179" t="str">
        <f t="shared" si="89"/>
        <v>f83:t83</v>
      </c>
      <c r="W179" t="str">
        <f t="shared" si="89"/>
        <v>g83:t83</v>
      </c>
      <c r="X179" t="str">
        <f t="shared" si="89"/>
        <v>h83:t83</v>
      </c>
      <c r="Y179" t="str">
        <f t="shared" si="89"/>
        <v>I83:t83</v>
      </c>
      <c r="Z179" t="str">
        <f t="shared" si="89"/>
        <v>j83:t83</v>
      </c>
      <c r="AA179" t="str">
        <f t="shared" si="89"/>
        <v>k83:t83</v>
      </c>
      <c r="AB179" t="str">
        <f t="shared" si="89"/>
        <v>l83:t83</v>
      </c>
      <c r="AC179" t="str">
        <f t="shared" si="89"/>
        <v>m83:t83</v>
      </c>
      <c r="AD179" t="str">
        <f t="shared" si="89"/>
        <v>n83:t83</v>
      </c>
      <c r="AE179" t="str">
        <f t="shared" si="89"/>
        <v>o83:t83</v>
      </c>
      <c r="AF179" t="str">
        <f t="shared" si="89"/>
        <v>p83:t83</v>
      </c>
      <c r="AG179" t="str">
        <f t="shared" si="89"/>
        <v>q83:t83</v>
      </c>
      <c r="AH179" t="str">
        <f t="shared" si="89"/>
        <v>r83:t83</v>
      </c>
      <c r="AI179" t="str">
        <f t="shared" si="89"/>
        <v>s83:t83</v>
      </c>
      <c r="AJ179" t="str">
        <f t="shared" si="89"/>
        <v>t83:t83</v>
      </c>
    </row>
    <row r="180" spans="5:36" x14ac:dyDescent="0.15">
      <c r="E180">
        <v>1995</v>
      </c>
      <c r="F180">
        <f t="shared" ca="1" si="72"/>
        <v>3367.6650911433312</v>
      </c>
      <c r="G180">
        <f t="shared" ca="1" si="73"/>
        <v>3355.53810171229</v>
      </c>
      <c r="H180">
        <f t="shared" ca="1" si="74"/>
        <v>3348.0970719193779</v>
      </c>
      <c r="I180">
        <f t="shared" ca="1" si="75"/>
        <v>3259.4765542593218</v>
      </c>
      <c r="J180">
        <f t="shared" ca="1" si="76"/>
        <v>3053.3108591396517</v>
      </c>
      <c r="K180">
        <f t="shared" ca="1" si="77"/>
        <v>2452.7978958503322</v>
      </c>
      <c r="L180">
        <f t="shared" ca="1" si="78"/>
        <v>1129.9792152058644</v>
      </c>
      <c r="M180">
        <f t="shared" ca="1" si="79"/>
        <v>800.55171473520568</v>
      </c>
      <c r="N180">
        <f t="shared" ca="1" si="80"/>
        <v>672.57807402575554</v>
      </c>
      <c r="O180">
        <f t="shared" ca="1" si="81"/>
        <v>565.10364154391459</v>
      </c>
      <c r="P180">
        <f t="shared" ca="1" si="82"/>
        <v>444.38765950006569</v>
      </c>
      <c r="Q180">
        <f t="shared" ca="1" si="83"/>
        <v>265.64207036826116</v>
      </c>
      <c r="R180">
        <f t="shared" ca="1" si="84"/>
        <v>217.28229150531337</v>
      </c>
      <c r="S180">
        <f t="shared" ca="1" si="85"/>
        <v>98.306612586414985</v>
      </c>
      <c r="T180">
        <f t="shared" ca="1" si="86"/>
        <v>74.558048546532916</v>
      </c>
      <c r="U180">
        <f t="shared" si="87"/>
        <v>84</v>
      </c>
      <c r="V180" t="str">
        <f t="shared" si="89"/>
        <v>f84:t84</v>
      </c>
      <c r="W180" t="str">
        <f t="shared" si="89"/>
        <v>g84:t84</v>
      </c>
      <c r="X180" t="str">
        <f t="shared" si="89"/>
        <v>h84:t84</v>
      </c>
      <c r="Y180" t="str">
        <f t="shared" si="89"/>
        <v>I84:t84</v>
      </c>
      <c r="Z180" t="str">
        <f t="shared" si="89"/>
        <v>j84:t84</v>
      </c>
      <c r="AA180" t="str">
        <f t="shared" si="89"/>
        <v>k84:t84</v>
      </c>
      <c r="AB180" t="str">
        <f t="shared" si="89"/>
        <v>l84:t84</v>
      </c>
      <c r="AC180" t="str">
        <f t="shared" si="89"/>
        <v>m84:t84</v>
      </c>
      <c r="AD180" t="str">
        <f t="shared" si="89"/>
        <v>n84:t84</v>
      </c>
      <c r="AE180" t="str">
        <f t="shared" si="89"/>
        <v>o84:t84</v>
      </c>
      <c r="AF180" t="str">
        <f t="shared" si="89"/>
        <v>p84:t84</v>
      </c>
      <c r="AG180" t="str">
        <f t="shared" si="89"/>
        <v>q84:t84</v>
      </c>
      <c r="AH180" t="str">
        <f t="shared" si="89"/>
        <v>r84:t84</v>
      </c>
      <c r="AI180" t="str">
        <f t="shared" si="89"/>
        <v>s84:t84</v>
      </c>
      <c r="AJ180" t="str">
        <f t="shared" si="89"/>
        <v>t84:t84</v>
      </c>
    </row>
    <row r="181" spans="5:36" x14ac:dyDescent="0.15">
      <c r="E181">
        <v>1996</v>
      </c>
      <c r="F181">
        <f t="shared" ca="1" si="72"/>
        <v>2697.8110470871698</v>
      </c>
      <c r="G181">
        <f t="shared" ca="1" si="73"/>
        <v>2675.1409171367595</v>
      </c>
      <c r="H181">
        <f t="shared" ca="1" si="74"/>
        <v>2671.7428975236858</v>
      </c>
      <c r="I181">
        <f t="shared" ca="1" si="75"/>
        <v>2651.8479046156344</v>
      </c>
      <c r="J181">
        <f t="shared" ca="1" si="76"/>
        <v>2386.786193788098</v>
      </c>
      <c r="K181">
        <f t="shared" ca="1" si="77"/>
        <v>2099.7175486310639</v>
      </c>
      <c r="L181">
        <f t="shared" ca="1" si="78"/>
        <v>1569.7706268815803</v>
      </c>
      <c r="M181">
        <f t="shared" ca="1" si="79"/>
        <v>683.73929917819487</v>
      </c>
      <c r="N181">
        <f t="shared" ca="1" si="80"/>
        <v>473.55568661870694</v>
      </c>
      <c r="O181">
        <f t="shared" ca="1" si="81"/>
        <v>400.18675010669307</v>
      </c>
      <c r="P181">
        <f t="shared" ca="1" si="82"/>
        <v>339.24843729160608</v>
      </c>
      <c r="Q181">
        <f t="shared" ca="1" si="83"/>
        <v>267.32835251325253</v>
      </c>
      <c r="R181">
        <f t="shared" ca="1" si="84"/>
        <v>155.78213179834825</v>
      </c>
      <c r="S181">
        <f t="shared" ca="1" si="85"/>
        <v>125.56143276034581</v>
      </c>
      <c r="T181">
        <f t="shared" ca="1" si="86"/>
        <v>54.645653700043624</v>
      </c>
      <c r="U181">
        <f t="shared" si="87"/>
        <v>85</v>
      </c>
      <c r="V181" t="str">
        <f t="shared" si="89"/>
        <v>f85:t85</v>
      </c>
      <c r="W181" t="str">
        <f t="shared" si="89"/>
        <v>g85:t85</v>
      </c>
      <c r="X181" t="str">
        <f t="shared" si="89"/>
        <v>h85:t85</v>
      </c>
      <c r="Y181" t="str">
        <f t="shared" si="89"/>
        <v>I85:t85</v>
      </c>
      <c r="Z181" t="str">
        <f t="shared" si="89"/>
        <v>j85:t85</v>
      </c>
      <c r="AA181" t="str">
        <f t="shared" si="89"/>
        <v>k85:t85</v>
      </c>
      <c r="AB181" t="str">
        <f t="shared" si="89"/>
        <v>l85:t85</v>
      </c>
      <c r="AC181" t="str">
        <f t="shared" si="89"/>
        <v>m85:t85</v>
      </c>
      <c r="AD181" t="str">
        <f t="shared" si="89"/>
        <v>n85:t85</v>
      </c>
      <c r="AE181" t="str">
        <f t="shared" si="89"/>
        <v>o85:t85</v>
      </c>
      <c r="AF181" t="str">
        <f t="shared" si="89"/>
        <v>p85:t85</v>
      </c>
      <c r="AG181" t="str">
        <f t="shared" si="89"/>
        <v>q85:t85</v>
      </c>
      <c r="AH181" t="str">
        <f t="shared" si="89"/>
        <v>r85:t85</v>
      </c>
      <c r="AI181" t="str">
        <f t="shared" si="89"/>
        <v>s85:t85</v>
      </c>
      <c r="AJ181" t="str">
        <f t="shared" si="89"/>
        <v>t85:t85</v>
      </c>
    </row>
    <row r="182" spans="5:36" x14ac:dyDescent="0.15">
      <c r="E182">
        <v>1997</v>
      </c>
      <c r="F182">
        <f t="shared" ca="1" si="72"/>
        <v>3147.2894434564814</v>
      </c>
      <c r="G182">
        <f t="shared" ca="1" si="73"/>
        <v>3112.3522035766791</v>
      </c>
      <c r="H182">
        <f t="shared" ca="1" si="74"/>
        <v>3096.6628709288798</v>
      </c>
      <c r="I182">
        <f t="shared" ca="1" si="75"/>
        <v>3066.7855069837765</v>
      </c>
      <c r="J182">
        <f t="shared" ca="1" si="76"/>
        <v>2959.8711776975865</v>
      </c>
      <c r="K182">
        <f t="shared" ca="1" si="77"/>
        <v>2269.3952330364377</v>
      </c>
      <c r="L182">
        <f t="shared" ca="1" si="78"/>
        <v>1646.9382735591412</v>
      </c>
      <c r="M182">
        <f t="shared" ca="1" si="79"/>
        <v>1055.8316774876748</v>
      </c>
      <c r="N182">
        <f t="shared" ca="1" si="80"/>
        <v>405.01833356125582</v>
      </c>
      <c r="O182">
        <f t="shared" ca="1" si="81"/>
        <v>263.93187911482238</v>
      </c>
      <c r="P182">
        <f t="shared" ca="1" si="82"/>
        <v>218.82880452483136</v>
      </c>
      <c r="Q182">
        <f t="shared" ca="1" si="83"/>
        <v>183.68140450288553</v>
      </c>
      <c r="R182">
        <f t="shared" ca="1" si="84"/>
        <v>144.68591733184292</v>
      </c>
      <c r="S182">
        <f t="shared" ca="1" si="85"/>
        <v>88.437263136590758</v>
      </c>
      <c r="T182">
        <f t="shared" ca="1" si="86"/>
        <v>72.447002106058804</v>
      </c>
      <c r="U182">
        <f t="shared" si="87"/>
        <v>86</v>
      </c>
      <c r="V182" t="str">
        <f t="shared" si="89"/>
        <v>f86:t86</v>
      </c>
      <c r="W182" t="str">
        <f t="shared" si="89"/>
        <v>g86:t86</v>
      </c>
      <c r="X182" t="str">
        <f t="shared" si="89"/>
        <v>h86:t86</v>
      </c>
      <c r="Y182" t="str">
        <f t="shared" si="89"/>
        <v>I86:t86</v>
      </c>
      <c r="Z182" t="str">
        <f t="shared" si="89"/>
        <v>j86:t86</v>
      </c>
      <c r="AA182" t="str">
        <f t="shared" si="89"/>
        <v>k86:t86</v>
      </c>
      <c r="AB182" t="str">
        <f t="shared" si="89"/>
        <v>l86:t86</v>
      </c>
      <c r="AC182" t="str">
        <f t="shared" si="89"/>
        <v>m86:t86</v>
      </c>
      <c r="AD182" t="str">
        <f t="shared" si="89"/>
        <v>n86:t86</v>
      </c>
      <c r="AE182" t="str">
        <f t="shared" si="89"/>
        <v>o86:t86</v>
      </c>
      <c r="AF182" t="str">
        <f t="shared" si="89"/>
        <v>p86:t86</v>
      </c>
      <c r="AG182" t="str">
        <f t="shared" si="89"/>
        <v>q86:t86</v>
      </c>
      <c r="AH182" t="str">
        <f t="shared" si="89"/>
        <v>r86:t86</v>
      </c>
      <c r="AI182" t="str">
        <f t="shared" si="89"/>
        <v>s86:t86</v>
      </c>
      <c r="AJ182" t="str">
        <f t="shared" si="89"/>
        <v>t86:t86</v>
      </c>
    </row>
    <row r="183" spans="5:36" x14ac:dyDescent="0.15">
      <c r="E183">
        <v>1998</v>
      </c>
      <c r="F183">
        <f t="shared" ca="1" si="72"/>
        <v>2644.4197538965532</v>
      </c>
      <c r="G183">
        <f t="shared" ca="1" si="73"/>
        <v>2632.9329704380521</v>
      </c>
      <c r="H183">
        <f t="shared" ca="1" si="74"/>
        <v>2616.1311323533869</v>
      </c>
      <c r="I183">
        <f t="shared" ca="1" si="75"/>
        <v>2566.9638538982849</v>
      </c>
      <c r="J183">
        <f t="shared" ca="1" si="76"/>
        <v>2497.8930435525281</v>
      </c>
      <c r="K183">
        <f t="shared" ca="1" si="77"/>
        <v>2298.2261470840008</v>
      </c>
      <c r="L183">
        <f t="shared" ca="1" si="78"/>
        <v>1497.9068803088394</v>
      </c>
      <c r="M183">
        <f t="shared" ca="1" si="79"/>
        <v>998.67775003727195</v>
      </c>
      <c r="N183">
        <f t="shared" ca="1" si="80"/>
        <v>610.26510865377077</v>
      </c>
      <c r="O183">
        <f t="shared" ca="1" si="81"/>
        <v>230.25477436449626</v>
      </c>
      <c r="P183">
        <f t="shared" ca="1" si="82"/>
        <v>155.09873913754183</v>
      </c>
      <c r="Q183">
        <f t="shared" ca="1" si="83"/>
        <v>131.26408392629969</v>
      </c>
      <c r="R183">
        <f t="shared" ca="1" si="84"/>
        <v>110.96706182181318</v>
      </c>
      <c r="S183">
        <f t="shared" ca="1" si="85"/>
        <v>89.5963786594819</v>
      </c>
      <c r="T183">
        <f t="shared" ca="1" si="86"/>
        <v>51.884343172777989</v>
      </c>
      <c r="U183">
        <f t="shared" si="87"/>
        <v>87</v>
      </c>
      <c r="V183" t="str">
        <f t="shared" si="89"/>
        <v>f87:t87</v>
      </c>
      <c r="W183" t="str">
        <f t="shared" si="89"/>
        <v>g87:t87</v>
      </c>
      <c r="X183" t="str">
        <f t="shared" si="89"/>
        <v>h87:t87</v>
      </c>
      <c r="Y183" t="str">
        <f t="shared" si="89"/>
        <v>I87:t87</v>
      </c>
      <c r="Z183" t="str">
        <f t="shared" si="89"/>
        <v>j87:t87</v>
      </c>
      <c r="AA183" t="str">
        <f t="shared" si="89"/>
        <v>k87:t87</v>
      </c>
      <c r="AB183" t="str">
        <f t="shared" si="89"/>
        <v>l87:t87</v>
      </c>
      <c r="AC183" t="str">
        <f t="shared" si="89"/>
        <v>m87:t87</v>
      </c>
      <c r="AD183" t="str">
        <f t="shared" si="89"/>
        <v>n87:t87</v>
      </c>
      <c r="AE183" t="str">
        <f t="shared" si="89"/>
        <v>o87:t87</v>
      </c>
      <c r="AF183" t="str">
        <f t="shared" si="89"/>
        <v>p87:t87</v>
      </c>
      <c r="AG183" t="str">
        <f t="shared" si="89"/>
        <v>q87:t87</v>
      </c>
      <c r="AH183" t="str">
        <f t="shared" si="89"/>
        <v>r87:t87</v>
      </c>
      <c r="AI183" t="str">
        <f t="shared" si="89"/>
        <v>s87:t87</v>
      </c>
      <c r="AJ183" t="str">
        <f t="shared" si="89"/>
        <v>t87:t87</v>
      </c>
    </row>
    <row r="184" spans="5:36" x14ac:dyDescent="0.15">
      <c r="E184">
        <v>1999</v>
      </c>
      <c r="F184">
        <f t="shared" ca="1" si="72"/>
        <v>4319.738108822452</v>
      </c>
      <c r="G184">
        <f t="shared" ca="1" si="73"/>
        <v>4307.7658804489874</v>
      </c>
      <c r="H184">
        <f t="shared" ca="1" si="74"/>
        <v>4289.6624619304084</v>
      </c>
      <c r="I184">
        <f t="shared" ca="1" si="75"/>
        <v>4126.3757894810087</v>
      </c>
      <c r="J184">
        <f t="shared" ca="1" si="76"/>
        <v>3814.1354101108545</v>
      </c>
      <c r="K184">
        <f t="shared" ca="1" si="77"/>
        <v>3570.1311568850624</v>
      </c>
      <c r="L184">
        <f t="shared" ca="1" si="78"/>
        <v>3110.6571041186826</v>
      </c>
      <c r="M184">
        <f t="shared" ca="1" si="79"/>
        <v>1558.7195571736056</v>
      </c>
      <c r="N184">
        <f t="shared" ca="1" si="80"/>
        <v>881.71430969074083</v>
      </c>
      <c r="O184">
        <f t="shared" ca="1" si="81"/>
        <v>475.18365430730165</v>
      </c>
      <c r="P184">
        <f t="shared" ca="1" si="82"/>
        <v>159.38946700266354</v>
      </c>
      <c r="Q184">
        <f t="shared" ca="1" si="83"/>
        <v>103.58629463591899</v>
      </c>
      <c r="R184">
        <f t="shared" ca="1" si="84"/>
        <v>86.714924020566741</v>
      </c>
      <c r="S184">
        <f t="shared" ca="1" si="85"/>
        <v>72.146466051369259</v>
      </c>
      <c r="T184">
        <f t="shared" ca="1" si="86"/>
        <v>56.40729862093918</v>
      </c>
      <c r="U184">
        <f t="shared" si="87"/>
        <v>88</v>
      </c>
      <c r="V184" t="str">
        <f t="shared" si="89"/>
        <v>f88:t88</v>
      </c>
      <c r="W184" t="str">
        <f t="shared" si="89"/>
        <v>g88:t88</v>
      </c>
      <c r="X184" t="str">
        <f t="shared" si="89"/>
        <v>h88:t88</v>
      </c>
      <c r="Y184" t="str">
        <f t="shared" si="89"/>
        <v>I88:t88</v>
      </c>
      <c r="Z184" t="str">
        <f t="shared" si="89"/>
        <v>j88:t88</v>
      </c>
      <c r="AA184" t="str">
        <f t="shared" si="89"/>
        <v>k88:t88</v>
      </c>
      <c r="AB184" t="str">
        <f t="shared" si="89"/>
        <v>l88:t88</v>
      </c>
      <c r="AC184" t="str">
        <f t="shared" si="89"/>
        <v>m88:t88</v>
      </c>
      <c r="AD184" t="str">
        <f t="shared" si="89"/>
        <v>n88:t88</v>
      </c>
      <c r="AE184" t="str">
        <f t="shared" si="89"/>
        <v>o88:t88</v>
      </c>
      <c r="AF184" t="str">
        <f t="shared" si="89"/>
        <v>p88:t88</v>
      </c>
      <c r="AG184" t="str">
        <f t="shared" si="89"/>
        <v>q88:t88</v>
      </c>
      <c r="AH184" t="str">
        <f t="shared" si="89"/>
        <v>r88:t88</v>
      </c>
      <c r="AI184" t="str">
        <f t="shared" si="89"/>
        <v>s88:t88</v>
      </c>
      <c r="AJ184" t="str">
        <f t="shared" si="89"/>
        <v>t88:t88</v>
      </c>
    </row>
    <row r="185" spans="5:36" x14ac:dyDescent="0.15">
      <c r="E185">
        <v>2000</v>
      </c>
      <c r="F185">
        <f t="shared" ca="1" si="72"/>
        <v>4093.4917231695499</v>
      </c>
      <c r="G185">
        <f t="shared" ca="1" si="73"/>
        <v>4081.7711737181298</v>
      </c>
      <c r="H185">
        <f t="shared" ca="1" si="74"/>
        <v>4061.782950857807</v>
      </c>
      <c r="I185">
        <f t="shared" ca="1" si="75"/>
        <v>3978.6489751607187</v>
      </c>
      <c r="J185">
        <f t="shared" ca="1" si="76"/>
        <v>3514.1190127386317</v>
      </c>
      <c r="K185">
        <f t="shared" ca="1" si="77"/>
        <v>2975.535985903934</v>
      </c>
      <c r="L185">
        <f t="shared" ca="1" si="78"/>
        <v>2644.5072549986339</v>
      </c>
      <c r="M185">
        <f t="shared" ca="1" si="79"/>
        <v>2120.7695450675478</v>
      </c>
      <c r="N185">
        <f t="shared" ca="1" si="80"/>
        <v>982.43136326068543</v>
      </c>
      <c r="O185">
        <f t="shared" ca="1" si="81"/>
        <v>555.7786634061456</v>
      </c>
      <c r="P185">
        <f t="shared" ca="1" si="82"/>
        <v>311.95179808316743</v>
      </c>
      <c r="Q185">
        <f t="shared" ca="1" si="83"/>
        <v>100.91692272485585</v>
      </c>
      <c r="R185">
        <f t="shared" ca="1" si="84"/>
        <v>65.54312189687586</v>
      </c>
      <c r="S185">
        <f t="shared" ca="1" si="85"/>
        <v>54.864178615521823</v>
      </c>
      <c r="T185">
        <f t="shared" ca="1" si="86"/>
        <v>46.853874504165965</v>
      </c>
      <c r="U185">
        <f t="shared" si="87"/>
        <v>89</v>
      </c>
      <c r="V185" t="str">
        <f t="shared" si="89"/>
        <v>f89:t89</v>
      </c>
      <c r="W185" t="str">
        <f t="shared" si="89"/>
        <v>g89:t89</v>
      </c>
      <c r="X185" t="str">
        <f t="shared" si="89"/>
        <v>h89:t89</v>
      </c>
      <c r="Y185" t="str">
        <f t="shared" si="89"/>
        <v>I89:t89</v>
      </c>
      <c r="Z185" t="str">
        <f t="shared" si="89"/>
        <v>j89:t89</v>
      </c>
      <c r="AA185" t="str">
        <f t="shared" si="89"/>
        <v>k89:t89</v>
      </c>
      <c r="AB185" t="str">
        <f t="shared" si="89"/>
        <v>l89:t89</v>
      </c>
      <c r="AC185" t="str">
        <f t="shared" si="89"/>
        <v>m89:t89</v>
      </c>
      <c r="AD185" t="str">
        <f t="shared" si="89"/>
        <v>n89:t89</v>
      </c>
      <c r="AE185" t="str">
        <f t="shared" si="89"/>
        <v>o89:t89</v>
      </c>
      <c r="AF185" t="str">
        <f t="shared" si="89"/>
        <v>p89:t89</v>
      </c>
      <c r="AG185" t="str">
        <f t="shared" si="89"/>
        <v>q89:t89</v>
      </c>
      <c r="AH185" t="str">
        <f t="shared" si="89"/>
        <v>r89:t89</v>
      </c>
      <c r="AI185" t="str">
        <f t="shared" si="89"/>
        <v>s89:t89</v>
      </c>
      <c r="AJ185" t="str">
        <f t="shared" si="89"/>
        <v>t89:t89</v>
      </c>
    </row>
    <row r="186" spans="5:36" x14ac:dyDescent="0.15">
      <c r="E186">
        <v>2001</v>
      </c>
      <c r="F186">
        <f t="shared" ca="1" si="72"/>
        <v>3709.3432114409429</v>
      </c>
      <c r="G186">
        <f t="shared" ca="1" si="73"/>
        <v>3683.8738272523424</v>
      </c>
      <c r="H186">
        <f t="shared" ca="1" si="74"/>
        <v>3661.1935705403857</v>
      </c>
      <c r="I186">
        <f t="shared" ca="1" si="75"/>
        <v>3617.7913942083842</v>
      </c>
      <c r="J186">
        <f t="shared" ca="1" si="76"/>
        <v>3423.8483162308066</v>
      </c>
      <c r="K186">
        <f t="shared" ca="1" si="77"/>
        <v>2762.2795539782715</v>
      </c>
      <c r="L186">
        <f t="shared" ca="1" si="78"/>
        <v>2172.4083959138375</v>
      </c>
      <c r="M186">
        <f t="shared" ca="1" si="79"/>
        <v>1851.4772165454435</v>
      </c>
      <c r="N186">
        <f t="shared" ca="1" si="80"/>
        <v>1427.9644365866109</v>
      </c>
      <c r="O186">
        <f t="shared" ca="1" si="81"/>
        <v>638.2826337789495</v>
      </c>
      <c r="P186">
        <f t="shared" ca="1" si="82"/>
        <v>354.91657732427609</v>
      </c>
      <c r="Q186">
        <f t="shared" ca="1" si="83"/>
        <v>189.85393183287286</v>
      </c>
      <c r="R186">
        <f t="shared" ca="1" si="84"/>
        <v>61.619274398576394</v>
      </c>
      <c r="S186">
        <f t="shared" ca="1" si="85"/>
        <v>38.633577275399233</v>
      </c>
      <c r="T186">
        <f t="shared" ref="T186:T191" ca="1" si="90">SUM(INDIRECT(AJ186))</f>
        <v>31.873054059740618</v>
      </c>
      <c r="U186">
        <f t="shared" si="87"/>
        <v>90</v>
      </c>
      <c r="V186" t="str">
        <f t="shared" si="89"/>
        <v>f90:t90</v>
      </c>
      <c r="W186" t="str">
        <f t="shared" si="89"/>
        <v>g90:t90</v>
      </c>
      <c r="X186" t="str">
        <f t="shared" si="89"/>
        <v>h90:t90</v>
      </c>
      <c r="Y186" t="str">
        <f t="shared" si="89"/>
        <v>I90:t90</v>
      </c>
      <c r="Z186" t="str">
        <f t="shared" si="89"/>
        <v>j90:t90</v>
      </c>
      <c r="AA186" t="str">
        <f t="shared" si="89"/>
        <v>k90:t90</v>
      </c>
      <c r="AB186" t="str">
        <f t="shared" si="89"/>
        <v>l90:t90</v>
      </c>
      <c r="AC186" t="str">
        <f t="shared" si="89"/>
        <v>m90:t90</v>
      </c>
      <c r="AD186" t="str">
        <f t="shared" si="89"/>
        <v>n90:t90</v>
      </c>
      <c r="AE186" t="str">
        <f t="shared" si="89"/>
        <v>o90:t90</v>
      </c>
      <c r="AF186" t="str">
        <f t="shared" si="89"/>
        <v>p90:t90</v>
      </c>
      <c r="AG186" t="str">
        <f t="shared" si="89"/>
        <v>q90:t90</v>
      </c>
      <c r="AH186" t="str">
        <f t="shared" si="89"/>
        <v>r90:t90</v>
      </c>
      <c r="AI186" t="str">
        <f t="shared" si="89"/>
        <v>s90:t90</v>
      </c>
      <c r="AJ186" t="str">
        <f t="shared" si="89"/>
        <v>t90:t90</v>
      </c>
    </row>
    <row r="187" spans="5:36" x14ac:dyDescent="0.15">
      <c r="E187">
        <v>2002</v>
      </c>
      <c r="F187">
        <f t="shared" ref="F187:S189" ca="1" si="91">SUM(INDIRECT(V187))</f>
        <v>3638.8295204782225</v>
      </c>
      <c r="G187">
        <f t="shared" ca="1" si="91"/>
        <v>3628.5345137866552</v>
      </c>
      <c r="H187">
        <f t="shared" ca="1" si="91"/>
        <v>3595.673396835009</v>
      </c>
      <c r="I187">
        <f t="shared" ca="1" si="91"/>
        <v>3468.8626500405426</v>
      </c>
      <c r="J187">
        <f t="shared" ca="1" si="91"/>
        <v>3277.7285391621808</v>
      </c>
      <c r="K187">
        <f t="shared" ca="1" si="91"/>
        <v>2905.0896053640208</v>
      </c>
      <c r="L187">
        <f t="shared" ca="1" si="91"/>
        <v>2081.2157385102705</v>
      </c>
      <c r="M187">
        <f t="shared" ca="1" si="91"/>
        <v>1493.9622726965961</v>
      </c>
      <c r="N187">
        <f t="shared" ca="1" si="91"/>
        <v>1219.6159555613635</v>
      </c>
      <c r="O187">
        <f t="shared" ca="1" si="91"/>
        <v>922.70380329058628</v>
      </c>
      <c r="P187">
        <f t="shared" ca="1" si="91"/>
        <v>390.36071094379247</v>
      </c>
      <c r="Q187">
        <f t="shared" ca="1" si="91"/>
        <v>213.26489007749549</v>
      </c>
      <c r="R187">
        <f t="shared" ca="1" si="91"/>
        <v>113.94814439440526</v>
      </c>
      <c r="S187">
        <f t="shared" ca="1" si="91"/>
        <v>37.81323112674032</v>
      </c>
      <c r="T187">
        <f t="shared" ca="1" si="90"/>
        <v>23.556978838994734</v>
      </c>
      <c r="U187">
        <f t="shared" si="87"/>
        <v>91</v>
      </c>
      <c r="V187" t="str">
        <f t="shared" ref="V187:AJ195" si="92">V$367&amp;$U187&amp;":"&amp;$AJ$367&amp;$U187</f>
        <v>f91:t91</v>
      </c>
      <c r="W187" t="str">
        <f t="shared" si="92"/>
        <v>g91:t91</v>
      </c>
      <c r="X187" t="str">
        <f t="shared" si="92"/>
        <v>h91:t91</v>
      </c>
      <c r="Y187" t="str">
        <f t="shared" si="92"/>
        <v>I91:t91</v>
      </c>
      <c r="Z187" t="str">
        <f t="shared" si="92"/>
        <v>j91:t91</v>
      </c>
      <c r="AA187" t="str">
        <f t="shared" si="92"/>
        <v>k91:t91</v>
      </c>
      <c r="AB187" t="str">
        <f t="shared" si="92"/>
        <v>l91:t91</v>
      </c>
      <c r="AC187" t="str">
        <f t="shared" si="92"/>
        <v>m91:t91</v>
      </c>
      <c r="AD187" t="str">
        <f t="shared" si="92"/>
        <v>n91:t91</v>
      </c>
      <c r="AE187" t="str">
        <f t="shared" si="92"/>
        <v>o91:t91</v>
      </c>
      <c r="AF187" t="str">
        <f t="shared" si="92"/>
        <v>p91:t91</v>
      </c>
      <c r="AG187" t="str">
        <f t="shared" si="92"/>
        <v>q91:t91</v>
      </c>
      <c r="AH187" t="str">
        <f t="shared" si="92"/>
        <v>r91:t91</v>
      </c>
      <c r="AI187" t="str">
        <f t="shared" si="92"/>
        <v>s91:t91</v>
      </c>
      <c r="AJ187" t="str">
        <f t="shared" si="92"/>
        <v>t91:t91</v>
      </c>
    </row>
    <row r="188" spans="5:36" x14ac:dyDescent="0.15">
      <c r="E188">
        <v>2003</v>
      </c>
      <c r="F188">
        <f t="shared" ca="1" si="91"/>
        <v>2907.5133611155284</v>
      </c>
      <c r="G188">
        <f t="shared" ca="1" si="91"/>
        <v>2903.0425523090466</v>
      </c>
      <c r="H188">
        <f t="shared" ca="1" si="91"/>
        <v>2888.9939420816804</v>
      </c>
      <c r="I188">
        <f t="shared" ca="1" si="91"/>
        <v>2789.280303127452</v>
      </c>
      <c r="J188">
        <f t="shared" ca="1" si="91"/>
        <v>2572.6616667616468</v>
      </c>
      <c r="K188">
        <f t="shared" ca="1" si="91"/>
        <v>2294.7217980223945</v>
      </c>
      <c r="L188">
        <f t="shared" ca="1" si="91"/>
        <v>1937.3293880702947</v>
      </c>
      <c r="M188">
        <f t="shared" ca="1" si="91"/>
        <v>1325.0401423003841</v>
      </c>
      <c r="N188">
        <f t="shared" ca="1" si="91"/>
        <v>916.13896715123531</v>
      </c>
      <c r="O188">
        <f t="shared" ca="1" si="91"/>
        <v>749.89534546871369</v>
      </c>
      <c r="P188">
        <f t="shared" ca="1" si="91"/>
        <v>572.48826402949021</v>
      </c>
      <c r="Q188">
        <f t="shared" ca="1" si="91"/>
        <v>256.29641286628004</v>
      </c>
      <c r="R188">
        <f t="shared" ca="1" si="91"/>
        <v>148.82464598755394</v>
      </c>
      <c r="S188">
        <f t="shared" ca="1" si="91"/>
        <v>80.539986540514178</v>
      </c>
      <c r="T188">
        <f t="shared" ca="1" si="90"/>
        <v>25.039562044674241</v>
      </c>
      <c r="U188">
        <f t="shared" si="87"/>
        <v>92</v>
      </c>
      <c r="V188" t="str">
        <f t="shared" si="92"/>
        <v>f92:t92</v>
      </c>
      <c r="W188" t="str">
        <f t="shared" si="92"/>
        <v>g92:t92</v>
      </c>
      <c r="X188" t="str">
        <f t="shared" si="92"/>
        <v>h92:t92</v>
      </c>
      <c r="Y188" t="str">
        <f t="shared" si="92"/>
        <v>I92:t92</v>
      </c>
      <c r="Z188" t="str">
        <f t="shared" si="92"/>
        <v>j92:t92</v>
      </c>
      <c r="AA188" t="str">
        <f t="shared" si="92"/>
        <v>k92:t92</v>
      </c>
      <c r="AB188" t="str">
        <f t="shared" si="92"/>
        <v>l92:t92</v>
      </c>
      <c r="AC188" t="str">
        <f t="shared" si="92"/>
        <v>m92:t92</v>
      </c>
      <c r="AD188" t="str">
        <f t="shared" si="92"/>
        <v>n92:t92</v>
      </c>
      <c r="AE188" t="str">
        <f t="shared" si="92"/>
        <v>o92:t92</v>
      </c>
      <c r="AF188" t="str">
        <f t="shared" si="92"/>
        <v>p92:t92</v>
      </c>
      <c r="AG188" t="str">
        <f t="shared" si="92"/>
        <v>q92:t92</v>
      </c>
      <c r="AH188" t="str">
        <f t="shared" si="92"/>
        <v>r92:t92</v>
      </c>
      <c r="AI188" t="str">
        <f t="shared" si="92"/>
        <v>s92:t92</v>
      </c>
      <c r="AJ188" t="str">
        <f t="shared" si="92"/>
        <v>t92:t92</v>
      </c>
    </row>
    <row r="189" spans="5:36" x14ac:dyDescent="0.15">
      <c r="E189">
        <v>2004</v>
      </c>
      <c r="F189">
        <f t="shared" ca="1" si="91"/>
        <v>3284.8969353185016</v>
      </c>
      <c r="G189">
        <f t="shared" ca="1" si="91"/>
        <v>3278.0137909238942</v>
      </c>
      <c r="H189">
        <f t="shared" ca="1" si="91"/>
        <v>3267.5176374310245</v>
      </c>
      <c r="I189">
        <f t="shared" ca="1" si="91"/>
        <v>3178.4296153904165</v>
      </c>
      <c r="J189">
        <f t="shared" ca="1" si="91"/>
        <v>2800.505942430369</v>
      </c>
      <c r="K189">
        <f t="shared" ca="1" si="91"/>
        <v>2258.9699688661331</v>
      </c>
      <c r="L189">
        <f t="shared" ca="1" si="91"/>
        <v>1772.6566050976016</v>
      </c>
      <c r="M189">
        <f t="shared" ca="1" si="91"/>
        <v>1368.057066840563</v>
      </c>
      <c r="N189">
        <f t="shared" ca="1" si="91"/>
        <v>876.69278710273875</v>
      </c>
      <c r="O189">
        <f t="shared" ca="1" si="91"/>
        <v>587.18176954411956</v>
      </c>
      <c r="P189">
        <f t="shared" ca="1" si="91"/>
        <v>476.66044308685878</v>
      </c>
      <c r="Q189">
        <f t="shared" ca="1" si="91"/>
        <v>359.62453149591329</v>
      </c>
      <c r="R189">
        <f t="shared" ca="1" si="91"/>
        <v>156.12239531785701</v>
      </c>
      <c r="S189">
        <f t="shared" ca="1" si="91"/>
        <v>88.840528548810966</v>
      </c>
      <c r="T189">
        <f t="shared" ca="1" si="90"/>
        <v>48.923803239844773</v>
      </c>
      <c r="U189">
        <f t="shared" si="87"/>
        <v>93</v>
      </c>
      <c r="V189" t="str">
        <f t="shared" si="92"/>
        <v>f93:t93</v>
      </c>
      <c r="W189" t="str">
        <f t="shared" si="92"/>
        <v>g93:t93</v>
      </c>
      <c r="X189" t="str">
        <f t="shared" si="92"/>
        <v>h93:t93</v>
      </c>
      <c r="Y189" t="str">
        <f t="shared" si="92"/>
        <v>I93:t93</v>
      </c>
      <c r="Z189" t="str">
        <f t="shared" si="92"/>
        <v>j93:t93</v>
      </c>
      <c r="AA189" t="str">
        <f t="shared" si="92"/>
        <v>k93:t93</v>
      </c>
      <c r="AB189" t="str">
        <f t="shared" si="92"/>
        <v>l93:t93</v>
      </c>
      <c r="AC189" t="str">
        <f t="shared" si="92"/>
        <v>m93:t93</v>
      </c>
      <c r="AD189" t="str">
        <f t="shared" si="92"/>
        <v>n93:t93</v>
      </c>
      <c r="AE189" t="str">
        <f t="shared" si="92"/>
        <v>o93:t93</v>
      </c>
      <c r="AF189" t="str">
        <f t="shared" si="92"/>
        <v>p93:t93</v>
      </c>
      <c r="AG189" t="str">
        <f t="shared" si="92"/>
        <v>q93:t93</v>
      </c>
      <c r="AH189" t="str">
        <f t="shared" si="92"/>
        <v>r93:t93</v>
      </c>
      <c r="AI189" t="str">
        <f t="shared" si="92"/>
        <v>s93:t93</v>
      </c>
      <c r="AJ189" t="str">
        <f t="shared" si="92"/>
        <v>t93:t93</v>
      </c>
    </row>
    <row r="190" spans="5:36" x14ac:dyDescent="0.15">
      <c r="E190">
        <v>2005</v>
      </c>
      <c r="F190">
        <f t="shared" ref="F190:S190" ca="1" si="93">SUM(INDIRECT(V190))</f>
        <v>3987.5173141693981</v>
      </c>
      <c r="G190">
        <f t="shared" ca="1" si="93"/>
        <v>3982.1808923110007</v>
      </c>
      <c r="H190">
        <f t="shared" ca="1" si="93"/>
        <v>3977.9510647643369</v>
      </c>
      <c r="I190">
        <f t="shared" ca="1" si="93"/>
        <v>3925.0661958331707</v>
      </c>
      <c r="J190">
        <f t="shared" ca="1" si="93"/>
        <v>3570.2929989636009</v>
      </c>
      <c r="K190">
        <f t="shared" ca="1" si="93"/>
        <v>2616.4344448697161</v>
      </c>
      <c r="L190">
        <f t="shared" ca="1" si="93"/>
        <v>1717.7094937490331</v>
      </c>
      <c r="M190">
        <f t="shared" ca="1" si="93"/>
        <v>1204.49632401692</v>
      </c>
      <c r="N190">
        <f t="shared" ca="1" si="93"/>
        <v>889.7479296474412</v>
      </c>
      <c r="O190">
        <f t="shared" ca="1" si="93"/>
        <v>549.96177616692455</v>
      </c>
      <c r="P190">
        <f t="shared" ca="1" si="93"/>
        <v>374.95003730239154</v>
      </c>
      <c r="Q190">
        <f t="shared" ca="1" si="93"/>
        <v>301.66914967704133</v>
      </c>
      <c r="R190">
        <f t="shared" ca="1" si="93"/>
        <v>228.47537513401437</v>
      </c>
      <c r="S190">
        <f t="shared" ca="1" si="93"/>
        <v>104.5992485019755</v>
      </c>
      <c r="T190">
        <f t="shared" ca="1" si="90"/>
        <v>49.773750009441365</v>
      </c>
      <c r="U190">
        <f t="shared" si="87"/>
        <v>94</v>
      </c>
      <c r="V190" t="str">
        <f t="shared" si="92"/>
        <v>f94:t94</v>
      </c>
      <c r="W190" t="str">
        <f t="shared" si="92"/>
        <v>g94:t94</v>
      </c>
      <c r="X190" t="str">
        <f t="shared" si="92"/>
        <v>h94:t94</v>
      </c>
      <c r="Y190" t="str">
        <f t="shared" si="92"/>
        <v>I94:t94</v>
      </c>
      <c r="Z190" t="str">
        <f t="shared" si="92"/>
        <v>j94:t94</v>
      </c>
      <c r="AA190" t="str">
        <f t="shared" si="92"/>
        <v>k94:t94</v>
      </c>
      <c r="AB190" t="str">
        <f t="shared" si="92"/>
        <v>l94:t94</v>
      </c>
      <c r="AC190" t="str">
        <f t="shared" si="92"/>
        <v>m94:t94</v>
      </c>
      <c r="AD190" t="str">
        <f t="shared" si="92"/>
        <v>n94:t94</v>
      </c>
      <c r="AE190" t="str">
        <f t="shared" si="92"/>
        <v>o94:t94</v>
      </c>
      <c r="AF190" t="str">
        <f t="shared" si="92"/>
        <v>p94:t94</v>
      </c>
      <c r="AG190" t="str">
        <f t="shared" si="92"/>
        <v>q94:t94</v>
      </c>
      <c r="AH190" t="str">
        <f t="shared" si="92"/>
        <v>r94:t94</v>
      </c>
      <c r="AI190" t="str">
        <f t="shared" si="92"/>
        <v>s94:t94</v>
      </c>
      <c r="AJ190" t="str">
        <f t="shared" si="92"/>
        <v>t94:t94</v>
      </c>
    </row>
    <row r="191" spans="5:36" x14ac:dyDescent="0.15">
      <c r="E191">
        <v>2006</v>
      </c>
      <c r="F191">
        <f t="shared" ref="F191:S191" ca="1" si="94">SUM(INDIRECT(V191))</f>
        <v>2971.1771772386401</v>
      </c>
      <c r="G191">
        <f t="shared" ca="1" si="94"/>
        <v>2956.8724901429296</v>
      </c>
      <c r="H191">
        <f t="shared" ca="1" si="94"/>
        <v>2955.3046428228085</v>
      </c>
      <c r="I191">
        <f t="shared" ca="1" si="94"/>
        <v>2946.1912173246496</v>
      </c>
      <c r="J191">
        <f t="shared" ca="1" si="94"/>
        <v>2853.2713068901685</v>
      </c>
      <c r="K191">
        <f t="shared" ca="1" si="94"/>
        <v>2474.3361042876281</v>
      </c>
      <c r="L191">
        <f t="shared" ca="1" si="94"/>
        <v>1783.7998067706467</v>
      </c>
      <c r="M191">
        <f t="shared" ca="1" si="94"/>
        <v>1163.1444536026229</v>
      </c>
      <c r="N191">
        <f t="shared" ca="1" si="94"/>
        <v>836.28208840211175</v>
      </c>
      <c r="O191">
        <f t="shared" ca="1" si="94"/>
        <v>613.0410563579195</v>
      </c>
      <c r="P191">
        <f t="shared" ca="1" si="94"/>
        <v>368.88428754776157</v>
      </c>
      <c r="Q191">
        <f t="shared" ca="1" si="94"/>
        <v>243.13303873706417</v>
      </c>
      <c r="R191">
        <f t="shared" ca="1" si="94"/>
        <v>193.99717921578451</v>
      </c>
      <c r="S191">
        <f t="shared" ca="1" si="94"/>
        <v>143.57740086616997</v>
      </c>
      <c r="T191">
        <f t="shared" ca="1" si="90"/>
        <v>59.844686026239714</v>
      </c>
      <c r="U191">
        <f t="shared" si="87"/>
        <v>95</v>
      </c>
      <c r="V191" t="str">
        <f t="shared" si="92"/>
        <v>f95:t95</v>
      </c>
      <c r="W191" t="str">
        <f t="shared" si="92"/>
        <v>g95:t95</v>
      </c>
      <c r="X191" t="str">
        <f t="shared" si="92"/>
        <v>h95:t95</v>
      </c>
      <c r="Y191" t="str">
        <f t="shared" si="92"/>
        <v>I95:t95</v>
      </c>
      <c r="Z191" t="str">
        <f t="shared" si="92"/>
        <v>j95:t95</v>
      </c>
      <c r="AA191" t="str">
        <f t="shared" si="92"/>
        <v>k95:t95</v>
      </c>
      <c r="AB191" t="str">
        <f t="shared" si="92"/>
        <v>l95:t95</v>
      </c>
      <c r="AC191" t="str">
        <f t="shared" si="92"/>
        <v>m95:t95</v>
      </c>
      <c r="AD191" t="str">
        <f t="shared" si="92"/>
        <v>n95:t95</v>
      </c>
      <c r="AE191" t="str">
        <f t="shared" si="92"/>
        <v>o95:t95</v>
      </c>
      <c r="AF191" t="str">
        <f t="shared" si="92"/>
        <v>p95:t95</v>
      </c>
      <c r="AG191" t="str">
        <f t="shared" si="92"/>
        <v>q95:t95</v>
      </c>
      <c r="AH191" t="str">
        <f t="shared" si="92"/>
        <v>r95:t95</v>
      </c>
      <c r="AI191" t="str">
        <f t="shared" si="92"/>
        <v>s95:t95</v>
      </c>
      <c r="AJ191" t="str">
        <f t="shared" si="92"/>
        <v>t95:t95</v>
      </c>
    </row>
    <row r="192" spans="5:36" x14ac:dyDescent="0.15">
      <c r="E192">
        <v>2007</v>
      </c>
      <c r="F192">
        <f t="shared" ref="F192:T192" ca="1" si="95">SUM(INDIRECT(V192))</f>
        <v>3988.1638926426876</v>
      </c>
      <c r="G192">
        <f t="shared" ca="1" si="95"/>
        <v>3957.8199152265561</v>
      </c>
      <c r="H192">
        <f t="shared" ca="1" si="95"/>
        <v>3948.2345740094997</v>
      </c>
      <c r="I192">
        <f t="shared" ca="1" si="95"/>
        <v>3925.4526340098519</v>
      </c>
      <c r="J192">
        <f t="shared" ca="1" si="95"/>
        <v>3817.3693217673508</v>
      </c>
      <c r="K192">
        <f t="shared" ca="1" si="95"/>
        <v>3365.7808210382818</v>
      </c>
      <c r="L192">
        <f t="shared" ca="1" si="95"/>
        <v>2452.5552617566345</v>
      </c>
      <c r="M192">
        <f t="shared" ca="1" si="95"/>
        <v>1401.8085388949078</v>
      </c>
      <c r="N192">
        <f t="shared" ca="1" si="95"/>
        <v>788.31947540128385</v>
      </c>
      <c r="O192">
        <f t="shared" ca="1" si="95"/>
        <v>529.84232546393037</v>
      </c>
      <c r="P192">
        <f t="shared" ca="1" si="95"/>
        <v>376.57027135280543</v>
      </c>
      <c r="Q192">
        <f t="shared" ca="1" si="95"/>
        <v>221.70752167226232</v>
      </c>
      <c r="R192">
        <f t="shared" ca="1" si="95"/>
        <v>147.55159537483229</v>
      </c>
      <c r="S192">
        <f t="shared" ca="1" si="95"/>
        <v>115.89675095017998</v>
      </c>
      <c r="T192">
        <f t="shared" ca="1" si="95"/>
        <v>86.472147406773701</v>
      </c>
      <c r="U192">
        <f t="shared" si="87"/>
        <v>96</v>
      </c>
      <c r="V192" t="str">
        <f t="shared" si="92"/>
        <v>f96:t96</v>
      </c>
      <c r="W192" t="str">
        <f t="shared" si="92"/>
        <v>g96:t96</v>
      </c>
      <c r="X192" t="str">
        <f t="shared" si="92"/>
        <v>h96:t96</v>
      </c>
      <c r="Y192" t="str">
        <f t="shared" si="92"/>
        <v>I96:t96</v>
      </c>
      <c r="Z192" t="str">
        <f t="shared" si="92"/>
        <v>j96:t96</v>
      </c>
      <c r="AA192" t="str">
        <f t="shared" si="92"/>
        <v>k96:t96</v>
      </c>
      <c r="AB192" t="str">
        <f t="shared" si="92"/>
        <v>l96:t96</v>
      </c>
      <c r="AC192" t="str">
        <f t="shared" si="92"/>
        <v>m96:t96</v>
      </c>
      <c r="AD192" t="str">
        <f t="shared" si="92"/>
        <v>n96:t96</v>
      </c>
      <c r="AE192" t="str">
        <f t="shared" si="92"/>
        <v>o96:t96</v>
      </c>
      <c r="AF192" t="str">
        <f t="shared" si="92"/>
        <v>p96:t96</v>
      </c>
      <c r="AG192" t="str">
        <f t="shared" si="92"/>
        <v>q96:t96</v>
      </c>
      <c r="AH192" t="str">
        <f t="shared" si="92"/>
        <v>r96:t96</v>
      </c>
      <c r="AI192" t="str">
        <f t="shared" si="92"/>
        <v>s96:t96</v>
      </c>
      <c r="AJ192" t="str">
        <f t="shared" si="92"/>
        <v>t96:t96</v>
      </c>
    </row>
    <row r="193" spans="5:36" x14ac:dyDescent="0.15">
      <c r="E193">
        <v>2008</v>
      </c>
      <c r="F193">
        <f t="shared" ref="F193:T193" ca="1" si="96">SUM(INDIRECT(V193))</f>
        <v>2839.8459973167082</v>
      </c>
      <c r="G193">
        <f t="shared" ca="1" si="96"/>
        <v>2830.4006351099015</v>
      </c>
      <c r="H193">
        <f t="shared" ca="1" si="96"/>
        <v>2821.0960479777586</v>
      </c>
      <c r="I193">
        <f t="shared" ca="1" si="96"/>
        <v>2791.2911321155379</v>
      </c>
      <c r="J193">
        <f t="shared" ca="1" si="96"/>
        <v>2729.5765502257655</v>
      </c>
      <c r="K193">
        <f t="shared" ca="1" si="96"/>
        <v>2540.0111234852666</v>
      </c>
      <c r="L193">
        <f t="shared" ca="1" si="96"/>
        <v>2037.9554379249746</v>
      </c>
      <c r="M193">
        <f t="shared" ca="1" si="96"/>
        <v>1402.6717888096136</v>
      </c>
      <c r="N193">
        <f t="shared" ca="1" si="96"/>
        <v>798.14144727793064</v>
      </c>
      <c r="O193">
        <f t="shared" ca="1" si="96"/>
        <v>454.63851400517041</v>
      </c>
      <c r="P193">
        <f t="shared" ca="1" si="96"/>
        <v>304.13382693890173</v>
      </c>
      <c r="Q193">
        <f t="shared" ca="1" si="96"/>
        <v>216.8671856892019</v>
      </c>
      <c r="R193">
        <f t="shared" ca="1" si="96"/>
        <v>133.43836857470086</v>
      </c>
      <c r="S193">
        <f t="shared" ca="1" si="96"/>
        <v>88.133965899121492</v>
      </c>
      <c r="T193">
        <f t="shared" ca="1" si="96"/>
        <v>69.331418221036543</v>
      </c>
      <c r="U193">
        <f t="shared" si="87"/>
        <v>97</v>
      </c>
      <c r="V193" t="str">
        <f t="shared" si="92"/>
        <v>f97:t97</v>
      </c>
      <c r="W193" t="str">
        <f t="shared" si="92"/>
        <v>g97:t97</v>
      </c>
      <c r="X193" t="str">
        <f t="shared" si="92"/>
        <v>h97:t97</v>
      </c>
      <c r="Y193" t="str">
        <f t="shared" si="92"/>
        <v>I97:t97</v>
      </c>
      <c r="Z193" t="str">
        <f t="shared" si="92"/>
        <v>j97:t97</v>
      </c>
      <c r="AA193" t="str">
        <f t="shared" si="92"/>
        <v>k97:t97</v>
      </c>
      <c r="AB193" t="str">
        <f t="shared" si="92"/>
        <v>l97:t97</v>
      </c>
      <c r="AC193" t="str">
        <f t="shared" si="92"/>
        <v>m97:t97</v>
      </c>
      <c r="AD193" t="str">
        <f t="shared" si="92"/>
        <v>n97:t97</v>
      </c>
      <c r="AE193" t="str">
        <f t="shared" si="92"/>
        <v>o97:t97</v>
      </c>
      <c r="AF193" t="str">
        <f t="shared" si="92"/>
        <v>p97:t97</v>
      </c>
      <c r="AG193" t="str">
        <f t="shared" si="92"/>
        <v>q97:t97</v>
      </c>
      <c r="AH193" t="str">
        <f t="shared" si="92"/>
        <v>r97:t97</v>
      </c>
      <c r="AI193" t="str">
        <f t="shared" si="92"/>
        <v>s97:t97</v>
      </c>
      <c r="AJ193" t="str">
        <f t="shared" si="92"/>
        <v>t97:t97</v>
      </c>
    </row>
    <row r="194" spans="5:36" x14ac:dyDescent="0.15">
      <c r="E194">
        <v>2009</v>
      </c>
      <c r="F194">
        <f t="shared" ref="F194:T194" ca="1" si="97">SUM(INDIRECT(V194))</f>
        <v>2593.561893620792</v>
      </c>
      <c r="G194">
        <f t="shared" ca="1" si="97"/>
        <v>2577.1055765198603</v>
      </c>
      <c r="H194">
        <f t="shared" ca="1" si="97"/>
        <v>2572.3011722282045</v>
      </c>
      <c r="I194">
        <f t="shared" ca="1" si="97"/>
        <v>2483.2681462862447</v>
      </c>
      <c r="J194">
        <f t="shared" ca="1" si="97"/>
        <v>2290.6885762439688</v>
      </c>
      <c r="K194">
        <f t="shared" ca="1" si="97"/>
        <v>2111.860991832164</v>
      </c>
      <c r="L194">
        <f t="shared" ca="1" si="97"/>
        <v>1855.9536069272206</v>
      </c>
      <c r="M194">
        <f t="shared" ca="1" si="97"/>
        <v>1395.3850170788221</v>
      </c>
      <c r="N194">
        <f t="shared" ca="1" si="97"/>
        <v>923.46395202615588</v>
      </c>
      <c r="O194">
        <f t="shared" ca="1" si="97"/>
        <v>507.884506381797</v>
      </c>
      <c r="P194">
        <f t="shared" ca="1" si="97"/>
        <v>279.4458622003134</v>
      </c>
      <c r="Q194">
        <f t="shared" ca="1" si="97"/>
        <v>184.82579542530038</v>
      </c>
      <c r="R194">
        <f t="shared" ca="1" si="97"/>
        <v>140.26799517792341</v>
      </c>
      <c r="S194">
        <f t="shared" ca="1" si="97"/>
        <v>85.193510608038849</v>
      </c>
      <c r="T194">
        <f t="shared" ca="1" si="97"/>
        <v>56.502049208941372</v>
      </c>
      <c r="U194">
        <f t="shared" si="87"/>
        <v>98</v>
      </c>
      <c r="V194" t="str">
        <f t="shared" si="92"/>
        <v>f98:t98</v>
      </c>
      <c r="W194" t="str">
        <f t="shared" si="92"/>
        <v>g98:t98</v>
      </c>
      <c r="X194" t="str">
        <f t="shared" si="92"/>
        <v>h98:t98</v>
      </c>
      <c r="Y194" t="str">
        <f t="shared" si="92"/>
        <v>I98:t98</v>
      </c>
      <c r="Z194" t="str">
        <f t="shared" si="92"/>
        <v>j98:t98</v>
      </c>
      <c r="AA194" t="str">
        <f t="shared" si="92"/>
        <v>k98:t98</v>
      </c>
      <c r="AB194" t="str">
        <f t="shared" si="92"/>
        <v>l98:t98</v>
      </c>
      <c r="AC194" t="str">
        <f t="shared" si="92"/>
        <v>m98:t98</v>
      </c>
      <c r="AD194" t="str">
        <f t="shared" si="92"/>
        <v>n98:t98</v>
      </c>
      <c r="AE194" t="str">
        <f t="shared" si="92"/>
        <v>o98:t98</v>
      </c>
      <c r="AF194" t="str">
        <f t="shared" si="92"/>
        <v>p98:t98</v>
      </c>
      <c r="AG194" t="str">
        <f t="shared" si="92"/>
        <v>q98:t98</v>
      </c>
      <c r="AH194" t="str">
        <f t="shared" si="92"/>
        <v>r98:t98</v>
      </c>
      <c r="AI194" t="str">
        <f t="shared" si="92"/>
        <v>s98:t98</v>
      </c>
      <c r="AJ194" t="str">
        <f t="shared" si="92"/>
        <v>t98:t98</v>
      </c>
    </row>
    <row r="195" spans="5:36" x14ac:dyDescent="0.15">
      <c r="E195">
        <v>2010</v>
      </c>
      <c r="F195">
        <f t="shared" ref="F195:T195" ca="1" si="98">SUM(INDIRECT(V195))</f>
        <v>0</v>
      </c>
      <c r="G195">
        <f t="shared" ca="1" si="98"/>
        <v>0</v>
      </c>
      <c r="H195">
        <f t="shared" ca="1" si="98"/>
        <v>0</v>
      </c>
      <c r="I195">
        <f t="shared" ca="1" si="98"/>
        <v>0</v>
      </c>
      <c r="J195">
        <f t="shared" ca="1" si="98"/>
        <v>0</v>
      </c>
      <c r="K195">
        <f t="shared" ca="1" si="98"/>
        <v>0</v>
      </c>
      <c r="L195">
        <f t="shared" ca="1" si="98"/>
        <v>0</v>
      </c>
      <c r="M195">
        <f t="shared" ca="1" si="98"/>
        <v>0</v>
      </c>
      <c r="N195">
        <f t="shared" ca="1" si="98"/>
        <v>0</v>
      </c>
      <c r="O195">
        <f t="shared" ca="1" si="98"/>
        <v>0</v>
      </c>
      <c r="P195">
        <f t="shared" ca="1" si="98"/>
        <v>0</v>
      </c>
      <c r="Q195">
        <f t="shared" ca="1" si="98"/>
        <v>0</v>
      </c>
      <c r="R195">
        <f t="shared" ca="1" si="98"/>
        <v>0</v>
      </c>
      <c r="S195">
        <f t="shared" ca="1" si="98"/>
        <v>0</v>
      </c>
      <c r="T195">
        <f t="shared" ca="1" si="98"/>
        <v>0</v>
      </c>
      <c r="U195">
        <v>99</v>
      </c>
      <c r="V195" t="str">
        <f t="shared" si="92"/>
        <v>f99:t99</v>
      </c>
      <c r="W195" t="str">
        <f t="shared" si="92"/>
        <v>g99:t99</v>
      </c>
      <c r="X195" t="str">
        <f t="shared" si="92"/>
        <v>h99:t99</v>
      </c>
      <c r="Y195" t="str">
        <f t="shared" si="92"/>
        <v>I99:t99</v>
      </c>
      <c r="Z195" t="str">
        <f t="shared" si="92"/>
        <v>j99:t99</v>
      </c>
      <c r="AA195" t="str">
        <f t="shared" si="92"/>
        <v>k99:t99</v>
      </c>
      <c r="AB195" t="str">
        <f t="shared" si="92"/>
        <v>l99:t99</v>
      </c>
      <c r="AC195" t="str">
        <f t="shared" si="92"/>
        <v>m99:t99</v>
      </c>
      <c r="AD195" t="str">
        <f t="shared" si="92"/>
        <v>n99:t99</v>
      </c>
      <c r="AE195" t="str">
        <f t="shared" si="92"/>
        <v>o99:t99</v>
      </c>
      <c r="AF195" t="str">
        <f t="shared" si="92"/>
        <v>p99:t99</v>
      </c>
      <c r="AG195" t="str">
        <f t="shared" si="92"/>
        <v>q99:t99</v>
      </c>
      <c r="AH195" t="str">
        <f t="shared" si="92"/>
        <v>r99:t99</v>
      </c>
      <c r="AI195" t="str">
        <f t="shared" si="92"/>
        <v>s99:t99</v>
      </c>
      <c r="AJ195" t="str">
        <f t="shared" si="92"/>
        <v>t99:t99</v>
      </c>
    </row>
    <row r="197" spans="5:36" x14ac:dyDescent="0.15">
      <c r="E197">
        <v>1982</v>
      </c>
      <c r="F197">
        <f ca="1">F136/F167</f>
        <v>1</v>
      </c>
      <c r="G197">
        <f t="shared" ref="G197:T197" ca="1" si="99">G136/G167</f>
        <v>1</v>
      </c>
      <c r="H197">
        <f t="shared" ca="1" si="99"/>
        <v>1</v>
      </c>
      <c r="I197">
        <f t="shared" ca="1" si="99"/>
        <v>1</v>
      </c>
      <c r="J197">
        <f t="shared" ca="1" si="99"/>
        <v>1</v>
      </c>
      <c r="K197">
        <f t="shared" ca="1" si="99"/>
        <v>1</v>
      </c>
      <c r="L197">
        <f t="shared" ca="1" si="99"/>
        <v>1</v>
      </c>
      <c r="M197">
        <f t="shared" ca="1" si="99"/>
        <v>1</v>
      </c>
      <c r="N197">
        <f t="shared" ca="1" si="99"/>
        <v>1</v>
      </c>
      <c r="O197">
        <f t="shared" ca="1" si="99"/>
        <v>1</v>
      </c>
      <c r="P197">
        <f t="shared" ca="1" si="99"/>
        <v>1</v>
      </c>
      <c r="Q197">
        <f t="shared" ca="1" si="99"/>
        <v>1</v>
      </c>
      <c r="R197">
        <f t="shared" ca="1" si="99"/>
        <v>1</v>
      </c>
      <c r="S197">
        <f t="shared" ca="1" si="99"/>
        <v>1</v>
      </c>
      <c r="T197">
        <f t="shared" ca="1" si="99"/>
        <v>1</v>
      </c>
    </row>
    <row r="198" spans="5:36" x14ac:dyDescent="0.15">
      <c r="E198">
        <v>1983</v>
      </c>
      <c r="F198">
        <f t="shared" ref="F198:T198" ca="1" si="100">F137/F168</f>
        <v>2.0848390925835073E-2</v>
      </c>
      <c r="G198">
        <f t="shared" ca="1" si="100"/>
        <v>2.0897345229316109E-2</v>
      </c>
      <c r="H198">
        <f t="shared" ca="1" si="100"/>
        <v>2.1033174850814917E-2</v>
      </c>
      <c r="I198">
        <f t="shared" ca="1" si="100"/>
        <v>2.3152185863535124E-2</v>
      </c>
      <c r="J198">
        <f t="shared" ca="1" si="100"/>
        <v>2.7164549522645628E-2</v>
      </c>
      <c r="K198">
        <f t="shared" ca="1" si="100"/>
        <v>7.3018710756324628E-2</v>
      </c>
      <c r="L198">
        <f t="shared" ca="1" si="100"/>
        <v>0.16350391278716209</v>
      </c>
      <c r="M198">
        <f t="shared" ca="1" si="100"/>
        <v>0.26696192819446601</v>
      </c>
      <c r="N198">
        <f t="shared" ca="1" si="100"/>
        <v>0.44110523983151645</v>
      </c>
      <c r="O198">
        <f t="shared" ca="1" si="100"/>
        <v>0.82943399977750087</v>
      </c>
      <c r="P198">
        <f t="shared" ca="1" si="100"/>
        <v>1.4315685214262353</v>
      </c>
      <c r="Q198">
        <f t="shared" ca="1" si="100"/>
        <v>2.9254417034453084</v>
      </c>
      <c r="R198">
        <f t="shared" ca="1" si="100"/>
        <v>3.2879747087757889</v>
      </c>
      <c r="S198">
        <f t="shared" ca="1" si="100"/>
        <v>3.4170236749215848</v>
      </c>
      <c r="T198">
        <f t="shared" ca="1" si="100"/>
        <v>3.2270294002668498</v>
      </c>
    </row>
    <row r="199" spans="5:36" x14ac:dyDescent="0.15">
      <c r="E199">
        <v>1984</v>
      </c>
      <c r="F199">
        <f t="shared" ref="F199:T199" ca="1" si="101">F138/F169</f>
        <v>0.66899510460070766</v>
      </c>
      <c r="G199">
        <f t="shared" ca="1" si="101"/>
        <v>0.66412753100985422</v>
      </c>
      <c r="H199">
        <f t="shared" ca="1" si="101"/>
        <v>0.64761387796409708</v>
      </c>
      <c r="I199">
        <f t="shared" ca="1" si="101"/>
        <v>0.60019119544270449</v>
      </c>
      <c r="J199">
        <f t="shared" ca="1" si="101"/>
        <v>0.32875546415693779</v>
      </c>
      <c r="K199">
        <f t="shared" ca="1" si="101"/>
        <v>0.23902839332400411</v>
      </c>
      <c r="L199">
        <f t="shared" ca="1" si="101"/>
        <v>0.46431336182318161</v>
      </c>
      <c r="M199">
        <f t="shared" ca="1" si="101"/>
        <v>0.69066086150928163</v>
      </c>
      <c r="N199">
        <f t="shared" ca="1" si="101"/>
        <v>0.68580135092528427</v>
      </c>
      <c r="O199">
        <f t="shared" ca="1" si="101"/>
        <v>0.61357861219652288</v>
      </c>
      <c r="P199">
        <f t="shared" ca="1" si="101"/>
        <v>0.45404688048614605</v>
      </c>
      <c r="Q199">
        <f t="shared" ca="1" si="101"/>
        <v>0.66897075449005261</v>
      </c>
      <c r="R199">
        <f t="shared" ca="1" si="101"/>
        <v>1.1777832146965721</v>
      </c>
      <c r="S199">
        <f t="shared" ca="1" si="101"/>
        <v>0.96472598188419434</v>
      </c>
      <c r="T199">
        <f t="shared" ca="1" si="101"/>
        <v>0.69048706368071178</v>
      </c>
    </row>
    <row r="200" spans="5:36" x14ac:dyDescent="0.15">
      <c r="E200">
        <v>1985</v>
      </c>
      <c r="F200">
        <f t="shared" ref="F200:T200" ca="1" si="102">F139/F170</f>
        <v>0.98797470827565315</v>
      </c>
      <c r="G200">
        <f t="shared" ca="1" si="102"/>
        <v>0.99241392815108564</v>
      </c>
      <c r="H200">
        <f t="shared" ca="1" si="102"/>
        <v>0.97460846459145167</v>
      </c>
      <c r="I200">
        <f t="shared" ca="1" si="102"/>
        <v>0.94519372449821581</v>
      </c>
      <c r="J200">
        <f t="shared" ca="1" si="102"/>
        <v>0.83118489875819968</v>
      </c>
      <c r="K200">
        <f t="shared" ca="1" si="102"/>
        <v>0.3615231388859802</v>
      </c>
      <c r="L200">
        <f t="shared" ca="1" si="102"/>
        <v>0.20739921331200528</v>
      </c>
      <c r="M200">
        <f t="shared" ca="1" si="102"/>
        <v>0.40779888349074939</v>
      </c>
      <c r="N200">
        <f t="shared" ca="1" si="102"/>
        <v>0.59574011714164365</v>
      </c>
      <c r="O200">
        <f t="shared" ca="1" si="102"/>
        <v>0.6187345179234307</v>
      </c>
      <c r="P200">
        <f t="shared" ca="1" si="102"/>
        <v>0.54670159097862137</v>
      </c>
      <c r="Q200">
        <f t="shared" ca="1" si="102"/>
        <v>0.43789351422492107</v>
      </c>
      <c r="R200">
        <f t="shared" ca="1" si="102"/>
        <v>0.5921193167412131</v>
      </c>
      <c r="S200">
        <f t="shared" ca="1" si="102"/>
        <v>1.1052648366259419</v>
      </c>
      <c r="T200">
        <f t="shared" ca="1" si="102"/>
        <v>0.98533620886098594</v>
      </c>
    </row>
    <row r="201" spans="5:36" x14ac:dyDescent="0.15">
      <c r="E201">
        <v>1986</v>
      </c>
      <c r="F201">
        <f t="shared" ref="F201:T201" ca="1" si="103">F140/F171</f>
        <v>0.94652743752392965</v>
      </c>
      <c r="G201">
        <f t="shared" ca="1" si="103"/>
        <v>0.9500614277029904</v>
      </c>
      <c r="H201">
        <f t="shared" ca="1" si="103"/>
        <v>0.9502233636006987</v>
      </c>
      <c r="I201">
        <f t="shared" ca="1" si="103"/>
        <v>0.93631190155702071</v>
      </c>
      <c r="J201">
        <f t="shared" ca="1" si="103"/>
        <v>0.97386081983223372</v>
      </c>
      <c r="K201">
        <f t="shared" ca="1" si="103"/>
        <v>0.84176516554718495</v>
      </c>
      <c r="L201">
        <f t="shared" ca="1" si="103"/>
        <v>0.38089175994948365</v>
      </c>
      <c r="M201">
        <f t="shared" ca="1" si="103"/>
        <v>0.21742771913616971</v>
      </c>
      <c r="N201">
        <f t="shared" ca="1" si="103"/>
        <v>0.43499644768123069</v>
      </c>
      <c r="O201">
        <f t="shared" ca="1" si="103"/>
        <v>0.6800343518313271</v>
      </c>
      <c r="P201">
        <f t="shared" ca="1" si="103"/>
        <v>0.71145530050865591</v>
      </c>
      <c r="Q201">
        <f t="shared" ca="1" si="103"/>
        <v>0.55912653065551265</v>
      </c>
      <c r="R201">
        <f t="shared" ca="1" si="103"/>
        <v>0.44284738934851409</v>
      </c>
      <c r="S201">
        <f t="shared" ca="1" si="103"/>
        <v>0.58320383642586371</v>
      </c>
      <c r="T201">
        <f t="shared" ca="1" si="103"/>
        <v>1.0618592106047142</v>
      </c>
    </row>
    <row r="202" spans="5:36" x14ac:dyDescent="0.15">
      <c r="E202">
        <v>1987</v>
      </c>
      <c r="F202">
        <f t="shared" ref="F202:T202" ca="1" si="104">F141/F172</f>
        <v>0.93708801292761523</v>
      </c>
      <c r="G202">
        <f t="shared" ca="1" si="104"/>
        <v>0.92564885304892064</v>
      </c>
      <c r="H202">
        <f t="shared" ca="1" si="104"/>
        <v>0.92679962436065344</v>
      </c>
      <c r="I202">
        <f t="shared" ca="1" si="104"/>
        <v>0.88907995159274067</v>
      </c>
      <c r="J202">
        <f t="shared" ca="1" si="104"/>
        <v>0.87123965417588312</v>
      </c>
      <c r="K202">
        <f t="shared" ca="1" si="104"/>
        <v>0.9949738494264122</v>
      </c>
      <c r="L202">
        <f t="shared" ca="1" si="104"/>
        <v>0.8705146246238491</v>
      </c>
      <c r="M202">
        <f t="shared" ca="1" si="104"/>
        <v>0.38416368394016071</v>
      </c>
      <c r="N202">
        <f t="shared" ca="1" si="104"/>
        <v>0.21821316363387988</v>
      </c>
      <c r="O202">
        <f t="shared" ca="1" si="104"/>
        <v>0.40404643625944864</v>
      </c>
      <c r="P202">
        <f t="shared" ca="1" si="104"/>
        <v>0.64102395160349024</v>
      </c>
      <c r="Q202">
        <f t="shared" ca="1" si="104"/>
        <v>0.61943848945770175</v>
      </c>
      <c r="R202">
        <f t="shared" ca="1" si="104"/>
        <v>0.54698528245037104</v>
      </c>
      <c r="S202">
        <f t="shared" ca="1" si="104"/>
        <v>0.38768355924248438</v>
      </c>
      <c r="T202">
        <f t="shared" ca="1" si="104"/>
        <v>0.57149673082036201</v>
      </c>
    </row>
    <row r="203" spans="5:36" x14ac:dyDescent="0.15">
      <c r="E203">
        <v>1988</v>
      </c>
      <c r="F203">
        <f t="shared" ref="F203:T203" ca="1" si="105">F142/F173</f>
        <v>0.73494386055468608</v>
      </c>
      <c r="G203">
        <f t="shared" ca="1" si="105"/>
        <v>0.73207756470401986</v>
      </c>
      <c r="H203">
        <f t="shared" ca="1" si="105"/>
        <v>0.72785563135857112</v>
      </c>
      <c r="I203">
        <f t="shared" ca="1" si="105"/>
        <v>0.74759004044719968</v>
      </c>
      <c r="J203">
        <f t="shared" ca="1" si="105"/>
        <v>0.7528669353464198</v>
      </c>
      <c r="K203">
        <f t="shared" ca="1" si="105"/>
        <v>0.76181151310466677</v>
      </c>
      <c r="L203">
        <f t="shared" ca="1" si="105"/>
        <v>0.97467859614611563</v>
      </c>
      <c r="M203">
        <f t="shared" ca="1" si="105"/>
        <v>0.86360268309829336</v>
      </c>
      <c r="N203">
        <f t="shared" ca="1" si="105"/>
        <v>0.37106284160736458</v>
      </c>
      <c r="O203">
        <f t="shared" ca="1" si="105"/>
        <v>0.1988645170871895</v>
      </c>
      <c r="P203">
        <f t="shared" ca="1" si="105"/>
        <v>0.39725315412329326</v>
      </c>
      <c r="Q203">
        <f t="shared" ca="1" si="105"/>
        <v>0.66007742646998635</v>
      </c>
      <c r="R203">
        <f t="shared" ca="1" si="105"/>
        <v>0.62548795379584798</v>
      </c>
      <c r="S203">
        <f t="shared" ca="1" si="105"/>
        <v>0.5482965909851385</v>
      </c>
      <c r="T203">
        <f t="shared" ca="1" si="105"/>
        <v>0.39759027673479891</v>
      </c>
    </row>
    <row r="204" spans="5:36" x14ac:dyDescent="0.15">
      <c r="E204">
        <v>1989</v>
      </c>
      <c r="F204">
        <f t="shared" ref="F204:T204" ca="1" si="106">F143/F174</f>
        <v>0.90638114364136813</v>
      </c>
      <c r="G204">
        <f t="shared" ca="1" si="106"/>
        <v>0.90623222269006709</v>
      </c>
      <c r="H204">
        <f t="shared" ca="1" si="106"/>
        <v>0.90308394169259676</v>
      </c>
      <c r="I204">
        <f t="shared" ca="1" si="106"/>
        <v>0.87002696219255637</v>
      </c>
      <c r="J204">
        <f t="shared" ca="1" si="106"/>
        <v>0.88990492952570277</v>
      </c>
      <c r="K204">
        <f t="shared" ca="1" si="106"/>
        <v>0.83931352706318041</v>
      </c>
      <c r="L204">
        <f t="shared" ca="1" si="106"/>
        <v>0.80775287378817395</v>
      </c>
      <c r="M204">
        <f t="shared" ca="1" si="106"/>
        <v>1.010300068659052</v>
      </c>
      <c r="N204">
        <f t="shared" ca="1" si="106"/>
        <v>0.84946080368961019</v>
      </c>
      <c r="O204">
        <f t="shared" ca="1" si="106"/>
        <v>0.35602873460056728</v>
      </c>
      <c r="P204">
        <f t="shared" ca="1" si="106"/>
        <v>0.19320437870420126</v>
      </c>
      <c r="Q204">
        <f t="shared" ca="1" si="106"/>
        <v>0.44010304332196176</v>
      </c>
      <c r="R204">
        <f t="shared" ca="1" si="106"/>
        <v>0.70038673723180378</v>
      </c>
      <c r="S204">
        <f t="shared" ca="1" si="106"/>
        <v>0.70908934533193269</v>
      </c>
      <c r="T204">
        <f t="shared" ca="1" si="106"/>
        <v>0.56194265677516197</v>
      </c>
    </row>
    <row r="205" spans="5:36" x14ac:dyDescent="0.15">
      <c r="E205">
        <v>1990</v>
      </c>
      <c r="F205">
        <f t="shared" ref="F205:T205" ca="1" si="107">F144/F175</f>
        <v>1.2449164963988357</v>
      </c>
      <c r="G205">
        <f t="shared" ca="1" si="107"/>
        <v>1.2519660403328434</v>
      </c>
      <c r="H205">
        <f t="shared" ca="1" si="107"/>
        <v>1.2528675435668062</v>
      </c>
      <c r="I205">
        <f t="shared" ca="1" si="107"/>
        <v>1.2162574892726064</v>
      </c>
      <c r="J205">
        <f t="shared" ca="1" si="107"/>
        <v>1.0671434145527836</v>
      </c>
      <c r="K205">
        <f t="shared" ca="1" si="107"/>
        <v>1.0759864169467306</v>
      </c>
      <c r="L205">
        <f t="shared" ca="1" si="107"/>
        <v>0.91223161536683428</v>
      </c>
      <c r="M205">
        <f t="shared" ca="1" si="107"/>
        <v>0.85573228647922928</v>
      </c>
      <c r="N205">
        <f t="shared" ca="1" si="107"/>
        <v>1.0775784718973669</v>
      </c>
      <c r="O205">
        <f t="shared" ca="1" si="107"/>
        <v>0.93756839590094654</v>
      </c>
      <c r="P205">
        <f t="shared" ca="1" si="107"/>
        <v>0.38393074507374414</v>
      </c>
      <c r="Q205">
        <f t="shared" ca="1" si="107"/>
        <v>0.19544542400201845</v>
      </c>
      <c r="R205">
        <f t="shared" ca="1" si="107"/>
        <v>0.45531459244086059</v>
      </c>
      <c r="S205">
        <f t="shared" ca="1" si="107"/>
        <v>0.74515297248985413</v>
      </c>
      <c r="T205">
        <f t="shared" ca="1" si="107"/>
        <v>0.73078747660846477</v>
      </c>
    </row>
    <row r="206" spans="5:36" x14ac:dyDescent="0.15">
      <c r="E206">
        <v>1991</v>
      </c>
      <c r="F206">
        <f t="shared" ref="F206:T206" ca="1" si="108">F145/F176</f>
        <v>1.5530440304255944</v>
      </c>
      <c r="G206">
        <f t="shared" ca="1" si="108"/>
        <v>1.5619595147488916</v>
      </c>
      <c r="H206">
        <f t="shared" ca="1" si="108"/>
        <v>1.5713294222990233</v>
      </c>
      <c r="I206">
        <f t="shared" ca="1" si="108"/>
        <v>1.5663120582596162</v>
      </c>
      <c r="J206">
        <f t="shared" ca="1" si="108"/>
        <v>1.4944978441826413</v>
      </c>
      <c r="K206">
        <f t="shared" ca="1" si="108"/>
        <v>1.2058977743738493</v>
      </c>
      <c r="L206">
        <f t="shared" ca="1" si="108"/>
        <v>1.2126101677764685</v>
      </c>
      <c r="M206">
        <f t="shared" ca="1" si="108"/>
        <v>0.97943028765046736</v>
      </c>
      <c r="N206">
        <f t="shared" ca="1" si="108"/>
        <v>0.9159807727117496</v>
      </c>
      <c r="O206">
        <f t="shared" ca="1" si="108"/>
        <v>1.1359493357855488</v>
      </c>
      <c r="P206">
        <f t="shared" ca="1" si="108"/>
        <v>0.97404397168050094</v>
      </c>
      <c r="Q206">
        <f t="shared" ca="1" si="108"/>
        <v>0.37962341384222836</v>
      </c>
      <c r="R206">
        <f t="shared" ca="1" si="108"/>
        <v>0.21553749821791476</v>
      </c>
      <c r="S206">
        <f t="shared" ca="1" si="108"/>
        <v>0.45067138158800552</v>
      </c>
      <c r="T206">
        <f t="shared" ca="1" si="108"/>
        <v>0.68806129365478208</v>
      </c>
    </row>
    <row r="207" spans="5:36" x14ac:dyDescent="0.15">
      <c r="E207">
        <v>1992</v>
      </c>
      <c r="F207">
        <f t="shared" ref="F207:T207" ca="1" si="109">F146/F177</f>
        <v>1.6299265458246766</v>
      </c>
      <c r="G207">
        <f t="shared" ca="1" si="109"/>
        <v>1.633769818908376</v>
      </c>
      <c r="H207">
        <f t="shared" ca="1" si="109"/>
        <v>1.6401461468610774</v>
      </c>
      <c r="I207">
        <f t="shared" ca="1" si="109"/>
        <v>1.7996662536323775</v>
      </c>
      <c r="J207">
        <f t="shared" ca="1" si="109"/>
        <v>1.8602040265062929</v>
      </c>
      <c r="K207">
        <f t="shared" ca="1" si="109"/>
        <v>1.7912836264731604</v>
      </c>
      <c r="L207">
        <f t="shared" ca="1" si="109"/>
        <v>1.3476255290079655</v>
      </c>
      <c r="M207">
        <f t="shared" ca="1" si="109"/>
        <v>1.414173343174626</v>
      </c>
      <c r="N207">
        <f t="shared" ca="1" si="109"/>
        <v>1.1551131567162756</v>
      </c>
      <c r="O207">
        <f t="shared" ca="1" si="109"/>
        <v>1.0954234765490929</v>
      </c>
      <c r="P207">
        <f t="shared" ca="1" si="109"/>
        <v>1.3350941491185582</v>
      </c>
      <c r="Q207">
        <f t="shared" ca="1" si="109"/>
        <v>1.110995825042866</v>
      </c>
      <c r="R207">
        <f t="shared" ca="1" si="109"/>
        <v>0.41879229835611603</v>
      </c>
      <c r="S207">
        <f t="shared" ca="1" si="109"/>
        <v>0.22624765551954071</v>
      </c>
      <c r="T207">
        <f t="shared" ca="1" si="109"/>
        <v>0.46471918575304116</v>
      </c>
    </row>
    <row r="208" spans="5:36" x14ac:dyDescent="0.15">
      <c r="E208">
        <v>1993</v>
      </c>
      <c r="F208">
        <f t="shared" ref="F208:T208" ca="1" si="110">F147/F178</f>
        <v>1.189167924481356</v>
      </c>
      <c r="G208">
        <f t="shared" ca="1" si="110"/>
        <v>1.1924576823949757</v>
      </c>
      <c r="H208">
        <f t="shared" ca="1" si="110"/>
        <v>1.19254422755022</v>
      </c>
      <c r="I208">
        <f t="shared" ca="1" si="110"/>
        <v>1.261915457673799</v>
      </c>
      <c r="J208">
        <f t="shared" ca="1" si="110"/>
        <v>1.8461604090381718</v>
      </c>
      <c r="K208">
        <f t="shared" ca="1" si="110"/>
        <v>2.1283285890338424</v>
      </c>
      <c r="L208">
        <f t="shared" ca="1" si="110"/>
        <v>2.0809521560213784</v>
      </c>
      <c r="M208">
        <f t="shared" ca="1" si="110"/>
        <v>1.5543102491192573</v>
      </c>
      <c r="N208">
        <f t="shared" ca="1" si="110"/>
        <v>1.6057546553144957</v>
      </c>
      <c r="O208">
        <f t="shared" ca="1" si="110"/>
        <v>1.2490750862318296</v>
      </c>
      <c r="P208">
        <f t="shared" ca="1" si="110"/>
        <v>1.1566010472839656</v>
      </c>
      <c r="Q208">
        <f t="shared" ca="1" si="110"/>
        <v>1.4182876812564384</v>
      </c>
      <c r="R208">
        <f t="shared" ca="1" si="110"/>
        <v>1.1870804167990046</v>
      </c>
      <c r="S208">
        <f t="shared" ca="1" si="110"/>
        <v>0.45920514347310309</v>
      </c>
      <c r="T208">
        <f t="shared" ca="1" si="110"/>
        <v>0.23733064853101182</v>
      </c>
    </row>
    <row r="209" spans="5:20" x14ac:dyDescent="0.15">
      <c r="E209">
        <v>1994</v>
      </c>
      <c r="F209">
        <f t="shared" ref="F209:T209" ca="1" si="111">F148/F179</f>
        <v>0.90506388937390592</v>
      </c>
      <c r="G209">
        <f t="shared" ca="1" si="111"/>
        <v>0.90108133381949573</v>
      </c>
      <c r="H209">
        <f t="shared" ca="1" si="111"/>
        <v>0.90172005386384269</v>
      </c>
      <c r="I209">
        <f t="shared" ca="1" si="111"/>
        <v>0.84017789521032704</v>
      </c>
      <c r="J209">
        <f t="shared" ca="1" si="111"/>
        <v>0.90600286513347172</v>
      </c>
      <c r="K209">
        <f t="shared" ca="1" si="111"/>
        <v>1.6508032380133204</v>
      </c>
      <c r="L209">
        <f t="shared" ca="1" si="111"/>
        <v>2.0308977997282009</v>
      </c>
      <c r="M209">
        <f t="shared" ca="1" si="111"/>
        <v>1.9121105499580267</v>
      </c>
      <c r="N209">
        <f t="shared" ca="1" si="111"/>
        <v>1.3860689458958966</v>
      </c>
      <c r="O209">
        <f t="shared" ca="1" si="111"/>
        <v>1.4577727927240267</v>
      </c>
      <c r="P209">
        <f t="shared" ca="1" si="111"/>
        <v>1.1653532881132718</v>
      </c>
      <c r="Q209">
        <f t="shared" ca="1" si="111"/>
        <v>1.0711079287056726</v>
      </c>
      <c r="R209">
        <f t="shared" ca="1" si="111"/>
        <v>1.386995663075228</v>
      </c>
      <c r="S209">
        <f t="shared" ca="1" si="111"/>
        <v>1.1648513307483701</v>
      </c>
      <c r="T209">
        <f t="shared" ca="1" si="111"/>
        <v>0.47238393296546655</v>
      </c>
    </row>
    <row r="210" spans="5:20" x14ac:dyDescent="0.15">
      <c r="E210">
        <v>1995</v>
      </c>
      <c r="F210">
        <f t="shared" ref="F210:T210" ca="1" si="112">F149/F180</f>
        <v>1.1028483117693035</v>
      </c>
      <c r="G210">
        <f t="shared" ca="1" si="112"/>
        <v>1.094466069599745</v>
      </c>
      <c r="H210">
        <f t="shared" ca="1" si="112"/>
        <v>1.0869188071064568</v>
      </c>
      <c r="I210">
        <f t="shared" ca="1" si="112"/>
        <v>1.0453508571426304</v>
      </c>
      <c r="J210">
        <f t="shared" ca="1" si="112"/>
        <v>0.74589129483134686</v>
      </c>
      <c r="K210">
        <f t="shared" ca="1" si="112"/>
        <v>0.75661023683790707</v>
      </c>
      <c r="L210">
        <f t="shared" ca="1" si="112"/>
        <v>1.4561013358955337</v>
      </c>
      <c r="M210">
        <f t="shared" ca="1" si="112"/>
        <v>1.7865909998359777</v>
      </c>
      <c r="N210">
        <f t="shared" ca="1" si="112"/>
        <v>1.7432018590607234</v>
      </c>
      <c r="O210">
        <f t="shared" ca="1" si="112"/>
        <v>1.2670190341814966</v>
      </c>
      <c r="P210">
        <f t="shared" ca="1" si="112"/>
        <v>1.3394778071635978</v>
      </c>
      <c r="Q210">
        <f t="shared" ca="1" si="112"/>
        <v>1.0811029749816037</v>
      </c>
      <c r="R210">
        <f t="shared" ca="1" si="112"/>
        <v>1.0129096933622181</v>
      </c>
      <c r="S210">
        <f t="shared" ca="1" si="112"/>
        <v>1.372953589758231</v>
      </c>
      <c r="T210">
        <f t="shared" ca="1" si="112"/>
        <v>1.206487030336608</v>
      </c>
    </row>
    <row r="211" spans="5:20" x14ac:dyDescent="0.15">
      <c r="E211">
        <v>1996</v>
      </c>
      <c r="F211">
        <f t="shared" ref="F211:T211" ca="1" si="113">F150/F181</f>
        <v>1.5422620863545766</v>
      </c>
      <c r="G211">
        <f t="shared" ca="1" si="113"/>
        <v>1.5474116660497799</v>
      </c>
      <c r="H211">
        <f t="shared" ca="1" si="113"/>
        <v>1.5349152999151778</v>
      </c>
      <c r="I211">
        <f t="shared" ca="1" si="113"/>
        <v>1.5020238013392921</v>
      </c>
      <c r="J211">
        <f t="shared" ca="1" si="113"/>
        <v>1.4464407784646884</v>
      </c>
      <c r="K211">
        <f t="shared" ca="1" si="113"/>
        <v>0.83691000708846497</v>
      </c>
      <c r="L211">
        <f t="shared" ca="1" si="113"/>
        <v>0.81532008401687017</v>
      </c>
      <c r="M211">
        <f t="shared" ca="1" si="113"/>
        <v>1.6164079641128672</v>
      </c>
      <c r="N211">
        <f t="shared" ca="1" si="113"/>
        <v>1.9601044453836192</v>
      </c>
      <c r="O211">
        <f t="shared" ca="1" si="113"/>
        <v>1.8030866701401203</v>
      </c>
      <c r="P211">
        <f t="shared" ca="1" si="113"/>
        <v>1.2783943324531821</v>
      </c>
      <c r="Q211">
        <f t="shared" ca="1" si="113"/>
        <v>1.3341802261793116</v>
      </c>
      <c r="R211">
        <f t="shared" ca="1" si="113"/>
        <v>1.0407431229487543</v>
      </c>
      <c r="S211">
        <f t="shared" ca="1" si="113"/>
        <v>0.96747012389197629</v>
      </c>
      <c r="T211">
        <f t="shared" ca="1" si="113"/>
        <v>1.3238247749351899</v>
      </c>
    </row>
    <row r="212" spans="5:20" x14ac:dyDescent="0.15">
      <c r="E212">
        <v>1997</v>
      </c>
      <c r="F212">
        <f t="shared" ref="F212:T212" ca="1" si="114">F151/F182</f>
        <v>1.0700207755422788</v>
      </c>
      <c r="G212">
        <f t="shared" ca="1" si="114"/>
        <v>1.0781357257241466</v>
      </c>
      <c r="H212">
        <f t="shared" ca="1" si="114"/>
        <v>1.0811952128696132</v>
      </c>
      <c r="I212">
        <f t="shared" ca="1" si="114"/>
        <v>1.0628316022873929</v>
      </c>
      <c r="J212">
        <f t="shared" ca="1" si="114"/>
        <v>1.0315688338553808</v>
      </c>
      <c r="K212">
        <f t="shared" ca="1" si="114"/>
        <v>1.080815655265347</v>
      </c>
      <c r="L212">
        <f t="shared" ca="1" si="114"/>
        <v>0.68610902627449755</v>
      </c>
      <c r="M212">
        <f t="shared" ca="1" si="114"/>
        <v>0.75821907204006089</v>
      </c>
      <c r="N212">
        <f t="shared" ca="1" si="114"/>
        <v>1.6606114298873669</v>
      </c>
      <c r="O212">
        <f t="shared" ca="1" si="114"/>
        <v>2.141096571733454</v>
      </c>
      <c r="P212">
        <f t="shared" ca="1" si="114"/>
        <v>2.030754865498702</v>
      </c>
      <c r="Q212">
        <f t="shared" ca="1" si="114"/>
        <v>1.4462110145945017</v>
      </c>
      <c r="R212">
        <f t="shared" ca="1" si="114"/>
        <v>1.5017514870294375</v>
      </c>
      <c r="S212">
        <f t="shared" ca="1" si="114"/>
        <v>1.111597183130612</v>
      </c>
      <c r="T212">
        <f t="shared" ca="1" si="114"/>
        <v>1.0291391828385617</v>
      </c>
    </row>
    <row r="213" spans="5:20" x14ac:dyDescent="0.15">
      <c r="E213">
        <v>1998</v>
      </c>
      <c r="F213">
        <f t="shared" ref="F213:T213" ca="1" si="115">F152/F183</f>
        <v>1.0201901733308203</v>
      </c>
      <c r="G213">
        <f t="shared" ca="1" si="115"/>
        <v>1.0160307714524479</v>
      </c>
      <c r="H213">
        <f t="shared" ca="1" si="115"/>
        <v>1.0212572544558469</v>
      </c>
      <c r="I213">
        <f t="shared" ca="1" si="115"/>
        <v>1.0330678792334538</v>
      </c>
      <c r="J213">
        <f t="shared" ca="1" si="115"/>
        <v>0.95551977293374701</v>
      </c>
      <c r="K213">
        <f t="shared" ca="1" si="115"/>
        <v>0.91362529805658788</v>
      </c>
      <c r="L213">
        <f t="shared" ca="1" si="115"/>
        <v>1.0479761108767482</v>
      </c>
      <c r="M213">
        <f t="shared" ca="1" si="115"/>
        <v>0.68464457043593574</v>
      </c>
      <c r="N213">
        <f t="shared" ca="1" si="115"/>
        <v>0.77598355190805302</v>
      </c>
      <c r="O213">
        <f t="shared" ca="1" si="115"/>
        <v>1.7380171647307183</v>
      </c>
      <c r="P213">
        <f t="shared" ca="1" si="115"/>
        <v>2.1873062229781248</v>
      </c>
      <c r="Q213">
        <f t="shared" ca="1" si="115"/>
        <v>2.036568911442282</v>
      </c>
      <c r="R213">
        <f t="shared" ca="1" si="115"/>
        <v>1.4038592104790291</v>
      </c>
      <c r="S213">
        <f t="shared" ca="1" si="115"/>
        <v>1.4014119168538266</v>
      </c>
      <c r="T213">
        <f t="shared" ca="1" si="115"/>
        <v>1.0532204969439491</v>
      </c>
    </row>
    <row r="214" spans="5:20" x14ac:dyDescent="0.15">
      <c r="E214">
        <v>1999</v>
      </c>
      <c r="F214">
        <f t="shared" ref="F214:T214" ca="1" si="116">F153/F184</f>
        <v>0.72858339190252974</v>
      </c>
      <c r="G214">
        <f t="shared" ca="1" si="116"/>
        <v>0.72249799314819929</v>
      </c>
      <c r="H214">
        <f t="shared" ca="1" si="116"/>
        <v>0.72188963546920615</v>
      </c>
      <c r="I214">
        <f t="shared" ca="1" si="116"/>
        <v>0.74321527254053099</v>
      </c>
      <c r="J214">
        <f t="shared" ca="1" si="116"/>
        <v>0.77602676870131371</v>
      </c>
      <c r="K214">
        <f t="shared" ca="1" si="116"/>
        <v>0.63566158589436361</v>
      </c>
      <c r="L214">
        <f t="shared" ca="1" si="116"/>
        <v>0.52945027961407365</v>
      </c>
      <c r="M214">
        <f t="shared" ca="1" si="116"/>
        <v>0.67737116187994262</v>
      </c>
      <c r="N214">
        <f t="shared" ca="1" si="116"/>
        <v>0.459353249810945</v>
      </c>
      <c r="O214">
        <f t="shared" ca="1" si="116"/>
        <v>0.5554313089737245</v>
      </c>
      <c r="P214">
        <f t="shared" ca="1" si="116"/>
        <v>1.3729188549276881</v>
      </c>
      <c r="Q214">
        <f t="shared" ca="1" si="116"/>
        <v>1.7732211114267737</v>
      </c>
      <c r="R214">
        <f t="shared" ca="1" si="116"/>
        <v>1.6685238321551987</v>
      </c>
      <c r="S214">
        <f t="shared" ca="1" si="116"/>
        <v>1.2258017332910283</v>
      </c>
      <c r="T214">
        <f t="shared" ca="1" si="116"/>
        <v>1.284355107889628</v>
      </c>
    </row>
    <row r="215" spans="5:20" x14ac:dyDescent="0.15">
      <c r="E215">
        <v>2000</v>
      </c>
      <c r="F215">
        <f t="shared" ref="F215:T215" ca="1" si="117">F154/F185</f>
        <v>0.64600588757243294</v>
      </c>
      <c r="G215">
        <f t="shared" ca="1" si="117"/>
        <v>0.6450466864460912</v>
      </c>
      <c r="H215">
        <f t="shared" ca="1" si="117"/>
        <v>0.64408442400913779</v>
      </c>
      <c r="I215">
        <f t="shared" ca="1" si="117"/>
        <v>0.64518480266145917</v>
      </c>
      <c r="J215">
        <f t="shared" ca="1" si="117"/>
        <v>0.71081629122340506</v>
      </c>
      <c r="K215">
        <f t="shared" ca="1" si="117"/>
        <v>0.77237383717469166</v>
      </c>
      <c r="L215">
        <f t="shared" ca="1" si="117"/>
        <v>0.56642192131539948</v>
      </c>
      <c r="M215">
        <f t="shared" ca="1" si="117"/>
        <v>0.4709034757501025</v>
      </c>
      <c r="N215">
        <f t="shared" ca="1" si="117"/>
        <v>0.62117836571127327</v>
      </c>
      <c r="O215">
        <f t="shared" ca="1" si="117"/>
        <v>0.41429221653338877</v>
      </c>
      <c r="P215">
        <f t="shared" ca="1" si="117"/>
        <v>0.49718815563996832</v>
      </c>
      <c r="Q215">
        <f t="shared" ca="1" si="117"/>
        <v>1.3007142943129926</v>
      </c>
      <c r="R215">
        <f t="shared" ca="1" si="117"/>
        <v>1.6930390040988033</v>
      </c>
      <c r="S215">
        <f t="shared" ca="1" si="117"/>
        <v>1.633057869823533</v>
      </c>
      <c r="T215">
        <f t="shared" ca="1" si="117"/>
        <v>1.1073650519161387</v>
      </c>
    </row>
    <row r="216" spans="5:20" x14ac:dyDescent="0.15">
      <c r="E216">
        <v>2001</v>
      </c>
      <c r="F216">
        <f t="shared" ref="F216:T216" ca="1" si="118">F155/F186</f>
        <v>1.1645560581988834</v>
      </c>
      <c r="G216">
        <f t="shared" ca="1" si="118"/>
        <v>1.169357606273389</v>
      </c>
      <c r="H216">
        <f t="shared" ca="1" si="118"/>
        <v>1.1716568324731493</v>
      </c>
      <c r="I216">
        <f t="shared" ca="1" si="118"/>
        <v>1.1405786956336958</v>
      </c>
      <c r="J216">
        <f t="shared" ca="1" si="118"/>
        <v>1.1139907664804793</v>
      </c>
      <c r="K216">
        <f t="shared" ca="1" si="118"/>
        <v>1.2924583073944533</v>
      </c>
      <c r="L216">
        <f t="shared" ca="1" si="118"/>
        <v>1.4318933355116983</v>
      </c>
      <c r="M216">
        <f t="shared" ca="1" si="118"/>
        <v>0.84187887555101748</v>
      </c>
      <c r="N216">
        <f t="shared" ca="1" si="118"/>
        <v>0.61746237308148944</v>
      </c>
      <c r="O216">
        <f t="shared" ca="1" si="118"/>
        <v>0.74447216508771186</v>
      </c>
      <c r="P216">
        <f t="shared" ca="1" si="118"/>
        <v>0.44908994728931584</v>
      </c>
      <c r="Q216">
        <f t="shared" ca="1" si="118"/>
        <v>0.54561047872901214</v>
      </c>
      <c r="R216">
        <f t="shared" ca="1" si="118"/>
        <v>1.4072694764248983</v>
      </c>
      <c r="S216">
        <f t="shared" ca="1" si="118"/>
        <v>1.8674549741297213</v>
      </c>
      <c r="T216">
        <f t="shared" ca="1" si="118"/>
        <v>1.7697487826304092</v>
      </c>
    </row>
    <row r="217" spans="5:20" x14ac:dyDescent="0.15">
      <c r="E217">
        <v>2002</v>
      </c>
      <c r="F217">
        <f t="shared" ref="F217:T217" ca="1" si="119">F156/F187</f>
        <v>1.1249473766585181</v>
      </c>
      <c r="G217">
        <f t="shared" ca="1" si="119"/>
        <v>1.1249090116710747</v>
      </c>
      <c r="H217">
        <f t="shared" ca="1" si="119"/>
        <v>1.129630670692471</v>
      </c>
      <c r="I217">
        <f t="shared" ca="1" si="119"/>
        <v>1.146960654413405</v>
      </c>
      <c r="J217">
        <f t="shared" ca="1" si="119"/>
        <v>1.0721202109180386</v>
      </c>
      <c r="K217">
        <f t="shared" ca="1" si="119"/>
        <v>1.0242492969613879</v>
      </c>
      <c r="L217">
        <f t="shared" ca="1" si="119"/>
        <v>1.270655034009865</v>
      </c>
      <c r="M217">
        <f t="shared" ca="1" si="119"/>
        <v>1.4195603087349502</v>
      </c>
      <c r="N217">
        <f t="shared" ca="1" si="119"/>
        <v>0.80552518092344316</v>
      </c>
      <c r="O217">
        <f t="shared" ca="1" si="119"/>
        <v>0.60233702454038196</v>
      </c>
      <c r="P217">
        <f t="shared" ca="1" si="119"/>
        <v>0.79913728338322698</v>
      </c>
      <c r="Q217">
        <f t="shared" ca="1" si="119"/>
        <v>0.47319989093462589</v>
      </c>
      <c r="R217">
        <f t="shared" ca="1" si="119"/>
        <v>0.57520130972921713</v>
      </c>
      <c r="S217">
        <f t="shared" ca="1" si="119"/>
        <v>1.4509254295574761</v>
      </c>
      <c r="T217">
        <f t="shared" ca="1" si="119"/>
        <v>1.9889594002863824</v>
      </c>
    </row>
    <row r="218" spans="5:20" x14ac:dyDescent="0.15">
      <c r="E218">
        <v>2003</v>
      </c>
      <c r="F218">
        <f t="shared" ref="F218:T218" ca="1" si="120">F157/F188</f>
        <v>1.2757785608310244</v>
      </c>
      <c r="G218">
        <f t="shared" ca="1" si="120"/>
        <v>1.2689699723217049</v>
      </c>
      <c r="H218">
        <f t="shared" ca="1" si="120"/>
        <v>1.2672901514989998</v>
      </c>
      <c r="I218">
        <f t="shared" ca="1" si="120"/>
        <v>1.2970340019796407</v>
      </c>
      <c r="J218">
        <f t="shared" ca="1" si="120"/>
        <v>1.3308583714937519</v>
      </c>
      <c r="K218">
        <f t="shared" ca="1" si="120"/>
        <v>1.2037535688896237</v>
      </c>
      <c r="L218">
        <f t="shared" ca="1" si="120"/>
        <v>1.1213417859095693</v>
      </c>
      <c r="M218">
        <f t="shared" ca="1" si="120"/>
        <v>1.3972989628307555</v>
      </c>
      <c r="N218">
        <f t="shared" ca="1" si="120"/>
        <v>1.5586766721940821</v>
      </c>
      <c r="O218">
        <f t="shared" ca="1" si="120"/>
        <v>0.85116228235821101</v>
      </c>
      <c r="P218">
        <f t="shared" ca="1" si="120"/>
        <v>0.61995432854147292</v>
      </c>
      <c r="Q218">
        <f t="shared" ca="1" si="120"/>
        <v>0.74075922370371672</v>
      </c>
      <c r="R218">
        <f t="shared" ca="1" si="120"/>
        <v>0.41403944884054728</v>
      </c>
      <c r="S218">
        <f t="shared" ca="1" si="120"/>
        <v>0.47968194352708654</v>
      </c>
      <c r="T218">
        <f t="shared" ca="1" si="120"/>
        <v>1.2729078089654455</v>
      </c>
    </row>
    <row r="219" spans="5:20" x14ac:dyDescent="0.15">
      <c r="E219">
        <v>2004</v>
      </c>
      <c r="F219">
        <f t="shared" ref="F219:T219" ca="1" si="121">F158/F189</f>
        <v>1.1077454154966977</v>
      </c>
      <c r="G219">
        <f t="shared" ca="1" si="121"/>
        <v>1.1069308261707977</v>
      </c>
      <c r="H219">
        <f t="shared" ca="1" si="121"/>
        <v>1.1004296826571949</v>
      </c>
      <c r="I219">
        <f t="shared" ca="1" si="121"/>
        <v>1.091376267463595</v>
      </c>
      <c r="J219">
        <f t="shared" ca="1" si="121"/>
        <v>1.1704058504220358</v>
      </c>
      <c r="K219">
        <f t="shared" ca="1" si="121"/>
        <v>1.286024004481211</v>
      </c>
      <c r="L219">
        <f t="shared" ca="1" si="121"/>
        <v>1.1740659372635118</v>
      </c>
      <c r="M219">
        <f t="shared" ca="1" si="121"/>
        <v>1.0920321300242268</v>
      </c>
      <c r="N219">
        <f t="shared" ca="1" si="121"/>
        <v>1.3911554577652046</v>
      </c>
      <c r="O219">
        <f t="shared" ca="1" si="121"/>
        <v>1.571410849500593</v>
      </c>
      <c r="P219">
        <f t="shared" ca="1" si="121"/>
        <v>0.81894924700655203</v>
      </c>
      <c r="Q219">
        <f t="shared" ca="1" si="121"/>
        <v>0.59302097437676882</v>
      </c>
      <c r="R219">
        <f t="shared" ca="1" si="121"/>
        <v>0.72986418228091376</v>
      </c>
      <c r="S219">
        <f t="shared" ca="1" si="121"/>
        <v>0.42563041603208029</v>
      </c>
      <c r="T219">
        <f t="shared" ca="1" si="121"/>
        <v>0.4815034253062595</v>
      </c>
    </row>
    <row r="220" spans="5:20" x14ac:dyDescent="0.15">
      <c r="E220">
        <v>2005</v>
      </c>
      <c r="F220">
        <f t="shared" ref="F220:T220" ca="1" si="122">F159/F190</f>
        <v>0.72915378969863232</v>
      </c>
      <c r="G220">
        <f t="shared" ca="1" si="122"/>
        <v>0.72900820701399838</v>
      </c>
      <c r="H220">
        <f t="shared" ca="1" si="122"/>
        <v>0.72625175499810501</v>
      </c>
      <c r="I220">
        <f t="shared" ca="1" si="122"/>
        <v>0.7106326782688499</v>
      </c>
      <c r="J220">
        <f t="shared" ca="1" si="122"/>
        <v>0.72057438073246349</v>
      </c>
      <c r="K220">
        <f t="shared" ca="1" si="122"/>
        <v>0.87704157943718664</v>
      </c>
      <c r="L220">
        <f t="shared" ca="1" si="122"/>
        <v>1.1278562499191433</v>
      </c>
      <c r="M220">
        <f t="shared" ca="1" si="122"/>
        <v>1.100078195242189</v>
      </c>
      <c r="N220">
        <f t="shared" ca="1" si="122"/>
        <v>1.0296612519393571</v>
      </c>
      <c r="O220">
        <f t="shared" ca="1" si="122"/>
        <v>1.3635408458661775</v>
      </c>
      <c r="P220">
        <f t="shared" ca="1" si="122"/>
        <v>1.5268387973723205</v>
      </c>
      <c r="Q220">
        <f t="shared" ca="1" si="122"/>
        <v>0.8495943756286114</v>
      </c>
      <c r="R220">
        <f t="shared" ca="1" si="122"/>
        <v>0.65138155873585701</v>
      </c>
      <c r="S220">
        <f t="shared" ca="1" si="122"/>
        <v>0.76998628282681281</v>
      </c>
      <c r="T220">
        <f t="shared" ca="1" si="122"/>
        <v>0.50306762178707842</v>
      </c>
    </row>
    <row r="221" spans="5:20" x14ac:dyDescent="0.15">
      <c r="E221">
        <v>2006</v>
      </c>
      <c r="F221">
        <f t="shared" ref="F221:T221" ca="1" si="123">F160/F191</f>
        <v>1.1055876978603569</v>
      </c>
      <c r="G221">
        <f t="shared" ca="1" si="123"/>
        <v>1.108608437412004</v>
      </c>
      <c r="H221">
        <f t="shared" ca="1" si="123"/>
        <v>1.1056449443770373</v>
      </c>
      <c r="I221">
        <f t="shared" ca="1" si="123"/>
        <v>1.0788266548009928</v>
      </c>
      <c r="J221">
        <f t="shared" ca="1" si="123"/>
        <v>0.98150706372282925</v>
      </c>
      <c r="K221">
        <f t="shared" ca="1" si="123"/>
        <v>0.91296003196643327</v>
      </c>
      <c r="L221">
        <f t="shared" ca="1" si="123"/>
        <v>0.99375310972074915</v>
      </c>
      <c r="M221">
        <f t="shared" ca="1" si="123"/>
        <v>1.1761712507876916</v>
      </c>
      <c r="N221">
        <f t="shared" ca="1" si="123"/>
        <v>1.0483218512760926</v>
      </c>
      <c r="O221">
        <f t="shared" ca="1" si="123"/>
        <v>0.95781801798491262</v>
      </c>
      <c r="P221">
        <f t="shared" ca="1" si="123"/>
        <v>1.2921679214247985</v>
      </c>
      <c r="Q221">
        <f t="shared" ca="1" si="123"/>
        <v>1.4791265447261104</v>
      </c>
      <c r="R221">
        <f t="shared" ca="1" si="123"/>
        <v>0.80476631644319374</v>
      </c>
      <c r="S221">
        <f t="shared" ca="1" si="123"/>
        <v>0.61876401169582518</v>
      </c>
      <c r="T221">
        <f t="shared" ca="1" si="123"/>
        <v>0.81751290696710266</v>
      </c>
    </row>
    <row r="222" spans="5:20" x14ac:dyDescent="0.15">
      <c r="E222">
        <v>2007</v>
      </c>
      <c r="F222">
        <f t="shared" ref="F222:T222" ca="1" si="124">F161/F192</f>
        <v>0.99983787565137872</v>
      </c>
      <c r="G222">
        <f t="shared" ca="1" si="124"/>
        <v>1.0061551504631938</v>
      </c>
      <c r="H222">
        <f t="shared" ca="1" si="124"/>
        <v>1.0075265261467632</v>
      </c>
      <c r="I222">
        <f t="shared" ca="1" si="124"/>
        <v>0.99990155576624895</v>
      </c>
      <c r="J222">
        <f t="shared" ca="1" si="124"/>
        <v>0.93527576140069169</v>
      </c>
      <c r="K222">
        <f t="shared" ca="1" si="124"/>
        <v>0.77736328774450436</v>
      </c>
      <c r="L222">
        <f t="shared" ca="1" si="124"/>
        <v>0.70037544944807051</v>
      </c>
      <c r="M222">
        <f t="shared" ca="1" si="124"/>
        <v>0.85924453346993046</v>
      </c>
      <c r="N222">
        <f t="shared" ca="1" si="124"/>
        <v>1.1286641487507669</v>
      </c>
      <c r="O222">
        <f t="shared" ca="1" si="124"/>
        <v>1.0379725245343085</v>
      </c>
      <c r="P222">
        <f t="shared" ca="1" si="124"/>
        <v>0.99569739256210188</v>
      </c>
      <c r="Q222">
        <f t="shared" ca="1" si="124"/>
        <v>1.3606626757705667</v>
      </c>
      <c r="R222">
        <f t="shared" ca="1" si="124"/>
        <v>1.5484439497492899</v>
      </c>
      <c r="S222">
        <f t="shared" ca="1" si="124"/>
        <v>0.90252097357706873</v>
      </c>
      <c r="T222">
        <f t="shared" ca="1" si="124"/>
        <v>0.57560441716915656</v>
      </c>
    </row>
    <row r="223" spans="5:20" x14ac:dyDescent="0.15">
      <c r="E223">
        <v>2008</v>
      </c>
      <c r="F223">
        <f t="shared" ref="F223:T223" ca="1" si="125">F162/F193</f>
        <v>1.0462458809548205</v>
      </c>
      <c r="G223">
        <f t="shared" ca="1" si="125"/>
        <v>1.0446833757257539</v>
      </c>
      <c r="H223">
        <f t="shared" ca="1" si="125"/>
        <v>1.0475732100441084</v>
      </c>
      <c r="I223">
        <f t="shared" ca="1" si="125"/>
        <v>1.0554940627392428</v>
      </c>
      <c r="J223">
        <f t="shared" ca="1" si="125"/>
        <v>1.0453164637035632</v>
      </c>
      <c r="K223">
        <f t="shared" ca="1" si="125"/>
        <v>0.97414380646194854</v>
      </c>
      <c r="L223">
        <f t="shared" ca="1" si="125"/>
        <v>0.8752889163204145</v>
      </c>
      <c r="M223">
        <f t="shared" ca="1" si="125"/>
        <v>0.82923493783940205</v>
      </c>
      <c r="N223">
        <f t="shared" ca="1" si="125"/>
        <v>1.0477868193091089</v>
      </c>
      <c r="O223">
        <f t="shared" ca="1" si="125"/>
        <v>1.3484142620414856</v>
      </c>
      <c r="P223">
        <f t="shared" ca="1" si="125"/>
        <v>1.212901212800205</v>
      </c>
      <c r="Q223">
        <f t="shared" ca="1" si="125"/>
        <v>1.1211149255448196</v>
      </c>
      <c r="R223">
        <f t="shared" ca="1" si="125"/>
        <v>1.4538335659220976</v>
      </c>
      <c r="S223">
        <f t="shared" ca="1" si="125"/>
        <v>1.6290813581509456</v>
      </c>
      <c r="T223">
        <f t="shared" ca="1" si="125"/>
        <v>0.86316835226776933</v>
      </c>
    </row>
    <row r="224" spans="5:20" x14ac:dyDescent="0.15">
      <c r="E224">
        <v>2009</v>
      </c>
      <c r="F224">
        <f t="shared" ref="F224:T224" ca="1" si="126">F163/F194</f>
        <v>1.1455971745060887</v>
      </c>
      <c r="G224">
        <f t="shared" ca="1" si="126"/>
        <v>1.1473617988658069</v>
      </c>
      <c r="H224">
        <f t="shared" ca="1" si="126"/>
        <v>1.1488952672920625</v>
      </c>
      <c r="I224">
        <f t="shared" ca="1" si="126"/>
        <v>1.1864168683235887</v>
      </c>
      <c r="J224">
        <f t="shared" ca="1" si="126"/>
        <v>1.2455954670052374</v>
      </c>
      <c r="K224">
        <f t="shared" ca="1" si="126"/>
        <v>1.1716377706001357</v>
      </c>
      <c r="L224">
        <f t="shared" ca="1" si="126"/>
        <v>0.96112305830961253</v>
      </c>
      <c r="M224">
        <f t="shared" ca="1" si="126"/>
        <v>0.83356524497992335</v>
      </c>
      <c r="N224">
        <f t="shared" ca="1" si="126"/>
        <v>0.90559256435212232</v>
      </c>
      <c r="O224">
        <f t="shared" ca="1" si="126"/>
        <v>1.2070481549540952</v>
      </c>
      <c r="P224">
        <f t="shared" ca="1" si="126"/>
        <v>1.3200563595510912</v>
      </c>
      <c r="Q224">
        <f t="shared" ca="1" si="126"/>
        <v>1.3154713506174487</v>
      </c>
      <c r="R224">
        <f t="shared" ca="1" si="126"/>
        <v>1.3830466384702236</v>
      </c>
      <c r="S224">
        <f t="shared" ca="1" si="126"/>
        <v>1.6853091255594064</v>
      </c>
      <c r="T224">
        <f t="shared" ca="1" si="126"/>
        <v>1.0591595679112003</v>
      </c>
    </row>
    <row r="229" spans="5:20" x14ac:dyDescent="0.15">
      <c r="F229">
        <f ca="1">AVERAGE(F197:F224)</f>
        <v>1.0190799286172325</v>
      </c>
      <c r="G229">
        <f t="shared" ref="G229:T229" ca="1" si="127">AVERAGE(G197:G224)</f>
        <v>1.0193666628956775</v>
      </c>
      <c r="H229">
        <f t="shared" ca="1" si="127"/>
        <v>1.0180351838058994</v>
      </c>
      <c r="I229">
        <f t="shared" ca="1" si="127"/>
        <v>1.0155275275084541</v>
      </c>
      <c r="J229">
        <f t="shared" ca="1" si="127"/>
        <v>1.004674781665013</v>
      </c>
      <c r="K229">
        <f t="shared" ca="1" si="127"/>
        <v>0.98140579347153234</v>
      </c>
      <c r="L229">
        <f t="shared" ca="1" si="127"/>
        <v>0.97182511588344933</v>
      </c>
      <c r="M229">
        <f t="shared" ca="1" si="127"/>
        <v>0.96785265099731266</v>
      </c>
      <c r="N229">
        <f t="shared" ca="1" si="127"/>
        <v>0.98179125672857015</v>
      </c>
      <c r="O229">
        <f t="shared" ca="1" si="127"/>
        <v>1.0064153339295789</v>
      </c>
      <c r="P229">
        <f t="shared" ca="1" si="127"/>
        <v>1.0046824895604654</v>
      </c>
      <c r="Q229">
        <f t="shared" ca="1" si="127"/>
        <v>1.0334668109958509</v>
      </c>
      <c r="R229">
        <f t="shared" ca="1" si="127"/>
        <v>1.0473563524499609</v>
      </c>
      <c r="S229">
        <f t="shared" ca="1" si="127"/>
        <v>1.0465379728943442</v>
      </c>
      <c r="T229">
        <f t="shared" ca="1" si="127"/>
        <v>0.9794660004788297</v>
      </c>
    </row>
    <row r="231" spans="5:20" x14ac:dyDescent="0.15">
      <c r="F231" t="s">
        <v>75</v>
      </c>
      <c r="G231" t="s">
        <v>81</v>
      </c>
      <c r="H231" t="s">
        <v>80</v>
      </c>
      <c r="I231" t="s">
        <v>76</v>
      </c>
      <c r="J231" t="s">
        <v>78</v>
      </c>
      <c r="K231" t="s">
        <v>79</v>
      </c>
      <c r="L231" t="s">
        <v>77</v>
      </c>
      <c r="M231" t="s">
        <v>149</v>
      </c>
      <c r="N231" t="s">
        <v>82</v>
      </c>
      <c r="O231" t="s">
        <v>83</v>
      </c>
      <c r="P231" t="s">
        <v>85</v>
      </c>
      <c r="Q231" t="s">
        <v>86</v>
      </c>
      <c r="R231" t="s">
        <v>87</v>
      </c>
      <c r="S231" t="s">
        <v>89</v>
      </c>
      <c r="T231" t="s">
        <v>88</v>
      </c>
    </row>
    <row r="232" spans="5:20" x14ac:dyDescent="0.15">
      <c r="E232">
        <v>1982</v>
      </c>
      <c r="F232">
        <f ca="1">F167/$F167</f>
        <v>1</v>
      </c>
      <c r="G232">
        <f t="shared" ref="G232:T232" ca="1" si="128">G167/$F167</f>
        <v>0.99104344287425206</v>
      </c>
      <c r="H232">
        <f t="shared" ca="1" si="128"/>
        <v>0.95710171447822934</v>
      </c>
      <c r="I232">
        <f t="shared" ca="1" si="128"/>
        <v>0.86540685689426178</v>
      </c>
      <c r="J232">
        <f t="shared" ca="1" si="128"/>
        <v>0.42086973296110669</v>
      </c>
      <c r="K232">
        <f t="shared" ca="1" si="128"/>
        <v>0.24100527723193707</v>
      </c>
      <c r="L232">
        <f t="shared" ca="1" si="128"/>
        <v>0.15489358382552562</v>
      </c>
      <c r="M232">
        <f t="shared" ca="1" si="128"/>
        <v>9.3265561302539726E-2</v>
      </c>
      <c r="N232">
        <f t="shared" ca="1" si="128"/>
        <v>4.9850846312044152E-2</v>
      </c>
      <c r="O232">
        <f t="shared" ca="1" si="128"/>
        <v>2.5208383627577907E-2</v>
      </c>
      <c r="P232">
        <f t="shared" ca="1" si="128"/>
        <v>9.3487433030825136E-3</v>
      </c>
      <c r="Q232">
        <f t="shared" ca="1" si="128"/>
        <v>5.7593740490773622E-3</v>
      </c>
      <c r="R232">
        <f t="shared" ca="1" si="128"/>
        <v>3.9338467167076034E-3</v>
      </c>
      <c r="S232">
        <f t="shared" ca="1" si="128"/>
        <v>2.0695037943107369E-3</v>
      </c>
      <c r="T232">
        <f t="shared" ca="1" si="128"/>
        <v>9.5137923750280564E-4</v>
      </c>
    </row>
    <row r="233" spans="5:20" x14ac:dyDescent="0.15">
      <c r="E233">
        <v>1983</v>
      </c>
      <c r="F233">
        <f t="shared" ref="F233:T233" ca="1" si="129">F168/$F168</f>
        <v>1</v>
      </c>
      <c r="G233">
        <f t="shared" ca="1" si="129"/>
        <v>0.98934357967072017</v>
      </c>
      <c r="H233">
        <f t="shared" ca="1" si="129"/>
        <v>0.96643427808054538</v>
      </c>
      <c r="I233">
        <f t="shared" ca="1" si="129"/>
        <v>0.85546874477791224</v>
      </c>
      <c r="J233">
        <f t="shared" ca="1" si="129"/>
        <v>0.70352814057958069</v>
      </c>
      <c r="K233">
        <f t="shared" ca="1" si="129"/>
        <v>0.2498310620819281</v>
      </c>
      <c r="L233">
        <f t="shared" ca="1" si="129"/>
        <v>0.10519578535226608</v>
      </c>
      <c r="M233">
        <f t="shared" ca="1" si="129"/>
        <v>5.9872830873585553E-2</v>
      </c>
      <c r="N233">
        <f t="shared" ca="1" si="129"/>
        <v>3.308478868593534E-2</v>
      </c>
      <c r="O233">
        <f t="shared" ca="1" si="129"/>
        <v>1.5709802506459029E-2</v>
      </c>
      <c r="P233">
        <f t="shared" ca="1" si="129"/>
        <v>7.8884651688972997E-3</v>
      </c>
      <c r="Q233">
        <f t="shared" ca="1" si="129"/>
        <v>3.206960475601621E-3</v>
      </c>
      <c r="R233">
        <f t="shared" ca="1" si="129"/>
        <v>2.2192800949977936E-3</v>
      </c>
      <c r="S233">
        <f t="shared" ca="1" si="129"/>
        <v>1.474488215398673E-3</v>
      </c>
      <c r="T233">
        <f t="shared" ca="1" si="129"/>
        <v>8.0756898760013908E-4</v>
      </c>
    </row>
    <row r="234" spans="5:20" x14ac:dyDescent="0.15">
      <c r="E234">
        <v>1984</v>
      </c>
      <c r="F234">
        <f t="shared" ref="F234:T234" ca="1" si="130">F169/$F169</f>
        <v>1</v>
      </c>
      <c r="G234">
        <f t="shared" ca="1" si="130"/>
        <v>0.99830707322336276</v>
      </c>
      <c r="H234">
        <f t="shared" ca="1" si="130"/>
        <v>0.98870080363901169</v>
      </c>
      <c r="I234">
        <f t="shared" ca="1" si="130"/>
        <v>0.96461420151808008</v>
      </c>
      <c r="J234">
        <f t="shared" ca="1" si="130"/>
        <v>0.85644140317977946</v>
      </c>
      <c r="K234">
        <f t="shared" ca="1" si="130"/>
        <v>0.67452802744045737</v>
      </c>
      <c r="L234">
        <f t="shared" ca="1" si="130"/>
        <v>0.22317481647835369</v>
      </c>
      <c r="M234">
        <f t="shared" ca="1" si="130"/>
        <v>9.0339857687734018E-2</v>
      </c>
      <c r="N234">
        <f t="shared" ca="1" si="130"/>
        <v>4.8629201587258378E-2</v>
      </c>
      <c r="O234">
        <f t="shared" ca="1" si="130"/>
        <v>2.7485125632678985E-2</v>
      </c>
      <c r="P234">
        <f t="shared" ca="1" si="130"/>
        <v>1.377448843439787E-2</v>
      </c>
      <c r="Q234">
        <f t="shared" ca="1" si="130"/>
        <v>5.7595836866354434E-3</v>
      </c>
      <c r="R234">
        <f t="shared" ca="1" si="130"/>
        <v>2.2344724928050146E-3</v>
      </c>
      <c r="S234">
        <f t="shared" ca="1" si="130"/>
        <v>1.4351100036120584E-3</v>
      </c>
      <c r="T234">
        <f t="shared" ca="1" si="130"/>
        <v>9.2176680199535237E-4</v>
      </c>
    </row>
    <row r="235" spans="5:20" x14ac:dyDescent="0.15">
      <c r="E235">
        <v>1985</v>
      </c>
      <c r="F235">
        <f t="shared" ref="F235:T235" ca="1" si="131">F170/$F170</f>
        <v>1</v>
      </c>
      <c r="G235">
        <f t="shared" ca="1" si="131"/>
        <v>0.98491809393546037</v>
      </c>
      <c r="H235">
        <f t="shared" ca="1" si="131"/>
        <v>0.97968841708600207</v>
      </c>
      <c r="I235">
        <f t="shared" ca="1" si="131"/>
        <v>0.89418863208130883</v>
      </c>
      <c r="J235">
        <f t="shared" ca="1" si="131"/>
        <v>0.8362375332988653</v>
      </c>
      <c r="K235">
        <f t="shared" ca="1" si="131"/>
        <v>0.68274128023776515</v>
      </c>
      <c r="L235">
        <f t="shared" ca="1" si="131"/>
        <v>0.50111460735814306</v>
      </c>
      <c r="M235">
        <f t="shared" ca="1" si="131"/>
        <v>0.14505395922034212</v>
      </c>
      <c r="N235">
        <f t="shared" ca="1" si="131"/>
        <v>5.4867774571201025E-2</v>
      </c>
      <c r="O235">
        <f t="shared" ca="1" si="131"/>
        <v>2.508489036699859E-2</v>
      </c>
      <c r="P235">
        <f t="shared" ca="1" si="131"/>
        <v>1.4255682080663136E-2</v>
      </c>
      <c r="Q235">
        <f t="shared" ca="1" si="131"/>
        <v>7.2355395487923024E-3</v>
      </c>
      <c r="R235">
        <f t="shared" ca="1" si="131"/>
        <v>3.7029573980199766E-3</v>
      </c>
      <c r="S235">
        <f t="shared" ca="1" si="131"/>
        <v>1.3180162945484232E-3</v>
      </c>
      <c r="T235">
        <f t="shared" ca="1" si="131"/>
        <v>8.097314680630762E-4</v>
      </c>
    </row>
    <row r="236" spans="5:20" x14ac:dyDescent="0.15">
      <c r="E236">
        <v>1986</v>
      </c>
      <c r="F236">
        <f t="shared" ref="F236:T236" ca="1" si="132">F171/$F171</f>
        <v>1</v>
      </c>
      <c r="G236">
        <f t="shared" ca="1" si="132"/>
        <v>0.99459362134584783</v>
      </c>
      <c r="H236">
        <f t="shared" ca="1" si="132"/>
        <v>0.98485521825112443</v>
      </c>
      <c r="I236">
        <f t="shared" ca="1" si="132"/>
        <v>0.97513852685604974</v>
      </c>
      <c r="J236">
        <f t="shared" ca="1" si="132"/>
        <v>0.83240363533754713</v>
      </c>
      <c r="K236">
        <f t="shared" ca="1" si="132"/>
        <v>0.75847672424916757</v>
      </c>
      <c r="L236">
        <f t="shared" ca="1" si="132"/>
        <v>0.55459610674997417</v>
      </c>
      <c r="M236">
        <f t="shared" ca="1" si="132"/>
        <v>0.39327623149049845</v>
      </c>
      <c r="N236">
        <f t="shared" ca="1" si="132"/>
        <v>0.10581436655996018</v>
      </c>
      <c r="O236">
        <f t="shared" ca="1" si="132"/>
        <v>3.8256046132174912E-2</v>
      </c>
      <c r="P236">
        <f t="shared" ca="1" si="132"/>
        <v>1.8325720859331759E-2</v>
      </c>
      <c r="Q236">
        <f t="shared" ca="1" si="132"/>
        <v>9.7502151824637694E-3</v>
      </c>
      <c r="R236">
        <f t="shared" ca="1" si="132"/>
        <v>4.7758879778965427E-3</v>
      </c>
      <c r="S236">
        <f t="shared" ca="1" si="132"/>
        <v>2.3291530498300386E-3</v>
      </c>
      <c r="T236">
        <f t="shared" ca="1" si="132"/>
        <v>8.2165089342722223E-4</v>
      </c>
    </row>
    <row r="237" spans="5:20" x14ac:dyDescent="0.15">
      <c r="E237">
        <v>1987</v>
      </c>
      <c r="F237">
        <f t="shared" ref="F237:T237" ca="1" si="133">F172/$F172</f>
        <v>1</v>
      </c>
      <c r="G237">
        <f t="shared" ca="1" si="133"/>
        <v>0.9970897025393457</v>
      </c>
      <c r="H237">
        <f t="shared" ca="1" si="133"/>
        <v>0.99056392333848442</v>
      </c>
      <c r="I237">
        <f t="shared" ca="1" si="133"/>
        <v>0.94247254919922752</v>
      </c>
      <c r="J237">
        <f t="shared" ca="1" si="133"/>
        <v>0.89944042911564692</v>
      </c>
      <c r="K237">
        <f t="shared" ca="1" si="133"/>
        <v>0.64302058793855965</v>
      </c>
      <c r="L237">
        <f t="shared" ca="1" si="133"/>
        <v>0.53943779733873443</v>
      </c>
      <c r="M237">
        <f t="shared" ca="1" si="133"/>
        <v>0.35382919337645308</v>
      </c>
      <c r="N237">
        <f t="shared" ca="1" si="133"/>
        <v>0.23562251236572165</v>
      </c>
      <c r="O237">
        <f t="shared" ca="1" si="133"/>
        <v>5.817833783199982E-2</v>
      </c>
      <c r="P237">
        <f t="shared" ca="1" si="133"/>
        <v>2.0839827841814599E-2</v>
      </c>
      <c r="Q237">
        <f t="shared" ca="1" si="133"/>
        <v>1.094594135435936E-2</v>
      </c>
      <c r="R237">
        <f t="shared" ca="1" si="133"/>
        <v>6.3438580550492082E-3</v>
      </c>
      <c r="S237">
        <f t="shared" ca="1" si="133"/>
        <v>3.1858386589256531E-3</v>
      </c>
      <c r="T237">
        <f t="shared" ca="1" si="133"/>
        <v>1.327723522272778E-3</v>
      </c>
    </row>
    <row r="238" spans="5:20" x14ac:dyDescent="0.15">
      <c r="E238">
        <v>1988</v>
      </c>
      <c r="F238">
        <f t="shared" ref="F238:T238" ca="1" si="134">F173/$F173</f>
        <v>1</v>
      </c>
      <c r="G238">
        <f t="shared" ca="1" si="134"/>
        <v>0.99848774364573711</v>
      </c>
      <c r="H238">
        <f t="shared" ca="1" si="134"/>
        <v>0.99444624044177998</v>
      </c>
      <c r="I238">
        <f t="shared" ca="1" si="134"/>
        <v>0.95864315296989466</v>
      </c>
      <c r="J238">
        <f t="shared" ca="1" si="134"/>
        <v>0.81258707558094012</v>
      </c>
      <c r="K238">
        <f t="shared" ca="1" si="134"/>
        <v>0.73172668340071123</v>
      </c>
      <c r="L238">
        <f t="shared" ca="1" si="134"/>
        <v>0.4181860619029345</v>
      </c>
      <c r="M238">
        <f t="shared" ca="1" si="134"/>
        <v>0.33468625965712512</v>
      </c>
      <c r="N238">
        <f t="shared" ca="1" si="134"/>
        <v>0.20958072418368054</v>
      </c>
      <c r="O238">
        <f t="shared" ca="1" si="134"/>
        <v>0.14138292062234353</v>
      </c>
      <c r="P238">
        <f t="shared" ca="1" si="134"/>
        <v>3.3903761105505831E-2</v>
      </c>
      <c r="Q238">
        <f t="shared" ca="1" si="134"/>
        <v>1.0856091270627123E-2</v>
      </c>
      <c r="R238">
        <f t="shared" ca="1" si="134"/>
        <v>5.6116341278054805E-3</v>
      </c>
      <c r="S238">
        <f t="shared" ca="1" si="134"/>
        <v>3.122026951123626E-3</v>
      </c>
      <c r="T238">
        <f t="shared" ca="1" si="134"/>
        <v>1.5188180269468756E-3</v>
      </c>
    </row>
    <row r="239" spans="5:20" x14ac:dyDescent="0.15">
      <c r="E239">
        <v>1989</v>
      </c>
      <c r="F239">
        <f t="shared" ref="F239:T239" ca="1" si="135">F174/$F174</f>
        <v>1</v>
      </c>
      <c r="G239">
        <f t="shared" ca="1" si="135"/>
        <v>0.99725355408127592</v>
      </c>
      <c r="H239">
        <f t="shared" ca="1" si="135"/>
        <v>0.99418051881497227</v>
      </c>
      <c r="I239">
        <f t="shared" ca="1" si="135"/>
        <v>0.98185387823041881</v>
      </c>
      <c r="J239">
        <f t="shared" ca="1" si="135"/>
        <v>0.91609318898101111</v>
      </c>
      <c r="K239">
        <f t="shared" ca="1" si="135"/>
        <v>0.6944028865113524</v>
      </c>
      <c r="L239">
        <f t="shared" ca="1" si="135"/>
        <v>0.60530425027430101</v>
      </c>
      <c r="M239">
        <f t="shared" ca="1" si="135"/>
        <v>0.31743451168118347</v>
      </c>
      <c r="N239">
        <f t="shared" ca="1" si="135"/>
        <v>0.25141101425526236</v>
      </c>
      <c r="O239">
        <f t="shared" ca="1" si="135"/>
        <v>0.1481109339067315</v>
      </c>
      <c r="P239">
        <f t="shared" ca="1" si="135"/>
        <v>9.7766039875691491E-2</v>
      </c>
      <c r="Q239">
        <f t="shared" ca="1" si="135"/>
        <v>2.2542890792367536E-2</v>
      </c>
      <c r="R239">
        <f t="shared" ca="1" si="135"/>
        <v>8.2096833269002505E-3</v>
      </c>
      <c r="S239">
        <f t="shared" ca="1" si="135"/>
        <v>4.0722429495569498E-3</v>
      </c>
      <c r="T239">
        <f t="shared" ca="1" si="135"/>
        <v>2.1415415791057237E-3</v>
      </c>
    </row>
    <row r="240" spans="5:20" x14ac:dyDescent="0.15">
      <c r="E240">
        <v>1990</v>
      </c>
      <c r="F240">
        <f t="shared" ref="F240:T240" ca="1" si="136">F175/$F175</f>
        <v>1</v>
      </c>
      <c r="G240">
        <f t="shared" ca="1" si="136"/>
        <v>0.99286547995036756</v>
      </c>
      <c r="H240">
        <f t="shared" ca="1" si="136"/>
        <v>0.98813520700144264</v>
      </c>
      <c r="I240">
        <f t="shared" ca="1" si="136"/>
        <v>0.98123192318902486</v>
      </c>
      <c r="J240">
        <f t="shared" ca="1" si="136"/>
        <v>0.94795417500199863</v>
      </c>
      <c r="K240">
        <f t="shared" ca="1" si="136"/>
        <v>0.84660791685983883</v>
      </c>
      <c r="L240">
        <f t="shared" ca="1" si="136"/>
        <v>0.57069577315370401</v>
      </c>
      <c r="M240">
        <f t="shared" ca="1" si="136"/>
        <v>0.48690046215206401</v>
      </c>
      <c r="N240">
        <f t="shared" ca="1" si="136"/>
        <v>0.242126682805824</v>
      </c>
      <c r="O240">
        <f t="shared" ca="1" si="136"/>
        <v>0.18773022956119134</v>
      </c>
      <c r="P240">
        <f t="shared" ca="1" si="136"/>
        <v>0.10993480473178148</v>
      </c>
      <c r="Q240">
        <f t="shared" ca="1" si="136"/>
        <v>6.9149365753764222E-2</v>
      </c>
      <c r="R240">
        <f t="shared" ca="1" si="136"/>
        <v>1.5343272571188516E-2</v>
      </c>
      <c r="S240">
        <f t="shared" ca="1" si="136"/>
        <v>5.21592612140923E-3</v>
      </c>
      <c r="T240">
        <f t="shared" ca="1" si="136"/>
        <v>2.5873481378596952E-3</v>
      </c>
    </row>
    <row r="241" spans="5:20" x14ac:dyDescent="0.15">
      <c r="E241">
        <v>1991</v>
      </c>
      <c r="F241">
        <f t="shared" ref="F241:T241" ca="1" si="137">F176/$F176</f>
        <v>1</v>
      </c>
      <c r="G241">
        <f t="shared" ca="1" si="137"/>
        <v>0.99156134609265001</v>
      </c>
      <c r="H241">
        <f t="shared" ca="1" si="137"/>
        <v>0.98261134679955686</v>
      </c>
      <c r="I241">
        <f t="shared" ca="1" si="137"/>
        <v>0.97353672040953176</v>
      </c>
      <c r="J241">
        <f t="shared" ca="1" si="137"/>
        <v>0.95198066962660277</v>
      </c>
      <c r="K241">
        <f t="shared" ca="1" si="137"/>
        <v>0.89430321584823058</v>
      </c>
      <c r="L241">
        <f t="shared" ca="1" si="137"/>
        <v>0.77524020287864992</v>
      </c>
      <c r="M241">
        <f t="shared" ca="1" si="137"/>
        <v>0.50334340241830522</v>
      </c>
      <c r="N241">
        <f t="shared" ca="1" si="137"/>
        <v>0.42626699872361928</v>
      </c>
      <c r="O241">
        <f t="shared" ca="1" si="137"/>
        <v>0.20249389167126919</v>
      </c>
      <c r="P241">
        <f t="shared" ca="1" si="137"/>
        <v>0.1558810166909971</v>
      </c>
      <c r="Q241">
        <f t="shared" ca="1" si="137"/>
        <v>9.2223242026301125E-2</v>
      </c>
      <c r="R241">
        <f t="shared" ca="1" si="137"/>
        <v>5.9154438498846919E-2</v>
      </c>
      <c r="S241">
        <f t="shared" ca="1" si="137"/>
        <v>1.4033224344016026E-2</v>
      </c>
      <c r="T241">
        <f t="shared" ca="1" si="137"/>
        <v>4.8337384997666185E-3</v>
      </c>
    </row>
    <row r="242" spans="5:20" x14ac:dyDescent="0.15">
      <c r="E242">
        <v>1992</v>
      </c>
      <c r="F242">
        <f t="shared" ref="F242:T242" ca="1" si="138">F177/$F177</f>
        <v>1</v>
      </c>
      <c r="G242">
        <f t="shared" ca="1" si="138"/>
        <v>0.99052986747260907</v>
      </c>
      <c r="H242">
        <f t="shared" ca="1" si="138"/>
        <v>0.98197822665862222</v>
      </c>
      <c r="I242">
        <f t="shared" ca="1" si="138"/>
        <v>0.88868475251361356</v>
      </c>
      <c r="J242">
        <f t="shared" ca="1" si="138"/>
        <v>0.83060548845439319</v>
      </c>
      <c r="K242">
        <f t="shared" ca="1" si="138"/>
        <v>0.77034630206053401</v>
      </c>
      <c r="L242">
        <f t="shared" ca="1" si="138"/>
        <v>0.69024530200010914</v>
      </c>
      <c r="M242">
        <f t="shared" ca="1" si="138"/>
        <v>0.56118437832691836</v>
      </c>
      <c r="N242">
        <f t="shared" ca="1" si="138"/>
        <v>0.34165372064463401</v>
      </c>
      <c r="O242">
        <f t="shared" ca="1" si="138"/>
        <v>0.27933168419896737</v>
      </c>
      <c r="P242">
        <f t="shared" ca="1" si="138"/>
        <v>0.13421200045006784</v>
      </c>
      <c r="Q242">
        <f t="shared" ca="1" si="138"/>
        <v>0.10144807417674266</v>
      </c>
      <c r="R242">
        <f t="shared" ca="1" si="138"/>
        <v>5.971553765857017E-2</v>
      </c>
      <c r="S242">
        <f t="shared" ca="1" si="138"/>
        <v>3.7576417871923444E-2</v>
      </c>
      <c r="T242">
        <f t="shared" ca="1" si="138"/>
        <v>9.074700469604971E-3</v>
      </c>
    </row>
    <row r="243" spans="5:20" x14ac:dyDescent="0.15">
      <c r="E243">
        <v>1993</v>
      </c>
      <c r="F243">
        <f t="shared" ref="F243:T243" ca="1" si="139">F178/$F178</f>
        <v>1</v>
      </c>
      <c r="G243">
        <f t="shared" ca="1" si="139"/>
        <v>0.98882582194507918</v>
      </c>
      <c r="H243">
        <f t="shared" ca="1" si="139"/>
        <v>0.97982940074753067</v>
      </c>
      <c r="I243">
        <f t="shared" ca="1" si="139"/>
        <v>0.9174137888364392</v>
      </c>
      <c r="J243">
        <f t="shared" ca="1" si="139"/>
        <v>0.61319962853933774</v>
      </c>
      <c r="K243">
        <f t="shared" ca="1" si="139"/>
        <v>0.49967693171382399</v>
      </c>
      <c r="L243">
        <f t="shared" ca="1" si="139"/>
        <v>0.44301392531498385</v>
      </c>
      <c r="M243">
        <f t="shared" ca="1" si="139"/>
        <v>0.38509675239826224</v>
      </c>
      <c r="N243">
        <f t="shared" ca="1" si="139"/>
        <v>0.31567901140400773</v>
      </c>
      <c r="O243">
        <f t="shared" ca="1" si="139"/>
        <v>0.19278203811214528</v>
      </c>
      <c r="P243">
        <f t="shared" ca="1" si="139"/>
        <v>0.16027022067788724</v>
      </c>
      <c r="Q243">
        <f t="shared" ca="1" si="139"/>
        <v>7.7324877568001091E-2</v>
      </c>
      <c r="R243">
        <f t="shared" ca="1" si="139"/>
        <v>5.9258462912916955E-2</v>
      </c>
      <c r="S243">
        <f t="shared" ca="1" si="139"/>
        <v>3.6340752067234264E-2</v>
      </c>
      <c r="T243">
        <f t="shared" ca="1" si="139"/>
        <v>2.4219909290400771E-2</v>
      </c>
    </row>
    <row r="244" spans="5:20" x14ac:dyDescent="0.15">
      <c r="E244">
        <v>1994</v>
      </c>
      <c r="F244">
        <f t="shared" ref="F244:T244" ca="1" si="140">F179/$F179</f>
        <v>1</v>
      </c>
      <c r="G244">
        <f t="shared" ca="1" si="140"/>
        <v>0.99490776331558561</v>
      </c>
      <c r="H244">
        <f t="shared" ca="1" si="140"/>
        <v>0.98561968239684161</v>
      </c>
      <c r="I244">
        <f t="shared" ca="1" si="140"/>
        <v>0.95731687672633725</v>
      </c>
      <c r="J244">
        <f t="shared" ca="1" si="140"/>
        <v>0.82974465406916631</v>
      </c>
      <c r="K244">
        <f t="shared" ca="1" si="140"/>
        <v>0.4223474998430351</v>
      </c>
      <c r="L244">
        <f t="shared" ca="1" si="140"/>
        <v>0.30760587644237541</v>
      </c>
      <c r="M244">
        <f t="shared" ca="1" si="140"/>
        <v>0.2656267526559003</v>
      </c>
      <c r="N244">
        <f t="shared" ca="1" si="140"/>
        <v>0.22309023381649504</v>
      </c>
      <c r="O244">
        <f t="shared" ca="1" si="140"/>
        <v>0.17342415895557289</v>
      </c>
      <c r="P244">
        <f t="shared" ca="1" si="140"/>
        <v>0.10423485853346126</v>
      </c>
      <c r="Q244">
        <f t="shared" ca="1" si="140"/>
        <v>8.5721509591332137E-2</v>
      </c>
      <c r="R244">
        <f t="shared" ca="1" si="140"/>
        <v>3.8966507400238416E-2</v>
      </c>
      <c r="S244">
        <f t="shared" ca="1" si="140"/>
        <v>2.9196051041168257E-2</v>
      </c>
      <c r="T244">
        <f t="shared" ca="1" si="140"/>
        <v>1.73866703093907E-2</v>
      </c>
    </row>
    <row r="245" spans="5:20" x14ac:dyDescent="0.15">
      <c r="E245">
        <v>1995</v>
      </c>
      <c r="F245">
        <f t="shared" ref="F245:T245" ca="1" si="141">F180/$F180</f>
        <v>1</v>
      </c>
      <c r="G245">
        <f t="shared" ca="1" si="141"/>
        <v>0.99639899185256453</v>
      </c>
      <c r="H245">
        <f t="shared" ca="1" si="141"/>
        <v>0.99418944025181855</v>
      </c>
      <c r="I245">
        <f t="shared" ca="1" si="141"/>
        <v>0.96787431827216552</v>
      </c>
      <c r="J245">
        <f t="shared" ca="1" si="141"/>
        <v>0.90665513835375022</v>
      </c>
      <c r="K245">
        <f t="shared" ca="1" si="141"/>
        <v>0.72833783332581947</v>
      </c>
      <c r="L245">
        <f t="shared" ca="1" si="141"/>
        <v>0.33553788296158438</v>
      </c>
      <c r="M245">
        <f t="shared" ca="1" si="141"/>
        <v>0.23771714023481363</v>
      </c>
      <c r="N245">
        <f t="shared" ca="1" si="141"/>
        <v>0.19971643730089964</v>
      </c>
      <c r="O245">
        <f t="shared" ca="1" si="141"/>
        <v>0.16780280290640789</v>
      </c>
      <c r="P245">
        <f t="shared" ca="1" si="141"/>
        <v>0.13195720104970263</v>
      </c>
      <c r="Q245">
        <f t="shared" ca="1" si="141"/>
        <v>7.8880192411910827E-2</v>
      </c>
      <c r="R245">
        <f t="shared" ca="1" si="141"/>
        <v>6.4520160296446055E-2</v>
      </c>
      <c r="S245">
        <f t="shared" ca="1" si="141"/>
        <v>2.9191326906274885E-2</v>
      </c>
      <c r="T245">
        <f t="shared" ca="1" si="141"/>
        <v>2.2139389318318544E-2</v>
      </c>
    </row>
    <row r="246" spans="5:20" x14ac:dyDescent="0.15">
      <c r="E246">
        <v>1996</v>
      </c>
      <c r="F246">
        <f t="shared" ref="F246:T246" ca="1" si="142">F181/$F181</f>
        <v>1</v>
      </c>
      <c r="G246">
        <f t="shared" ca="1" si="142"/>
        <v>0.99159684293869021</v>
      </c>
      <c r="H246">
        <f t="shared" ca="1" si="142"/>
        <v>0.99033729601202802</v>
      </c>
      <c r="I246">
        <f t="shared" ca="1" si="142"/>
        <v>0.98296280144557868</v>
      </c>
      <c r="J246">
        <f t="shared" ca="1" si="142"/>
        <v>0.88471214333750847</v>
      </c>
      <c r="K246">
        <f t="shared" ca="1" si="142"/>
        <v>0.77830415547379861</v>
      </c>
      <c r="L246">
        <f t="shared" ca="1" si="142"/>
        <v>0.58186826263331659</v>
      </c>
      <c r="M246">
        <f t="shared" ca="1" si="142"/>
        <v>0.25344224901014811</v>
      </c>
      <c r="N246">
        <f t="shared" ca="1" si="142"/>
        <v>0.17553330398361502</v>
      </c>
      <c r="O246">
        <f t="shared" ca="1" si="142"/>
        <v>0.14833757558327712</v>
      </c>
      <c r="P246">
        <f t="shared" ca="1" si="142"/>
        <v>0.12574951743113852</v>
      </c>
      <c r="Q246">
        <f t="shared" ca="1" si="142"/>
        <v>9.9090836180646277E-2</v>
      </c>
      <c r="R246">
        <f t="shared" ca="1" si="142"/>
        <v>5.7743900176606668E-2</v>
      </c>
      <c r="S246">
        <f t="shared" ca="1" si="142"/>
        <v>4.6541967012817542E-2</v>
      </c>
      <c r="T246">
        <f t="shared" ca="1" si="142"/>
        <v>2.0255552648523925E-2</v>
      </c>
    </row>
    <row r="247" spans="5:20" x14ac:dyDescent="0.15">
      <c r="E247">
        <v>1997</v>
      </c>
      <c r="F247">
        <f t="shared" ref="F247:T247" ca="1" si="143">F182/$F182</f>
        <v>1</v>
      </c>
      <c r="G247">
        <f t="shared" ca="1" si="143"/>
        <v>0.9888992606153717</v>
      </c>
      <c r="H247">
        <f t="shared" ca="1" si="143"/>
        <v>0.98391423050305737</v>
      </c>
      <c r="I247">
        <f t="shared" ca="1" si="143"/>
        <v>0.97442118434957403</v>
      </c>
      <c r="J247">
        <f t="shared" ca="1" si="143"/>
        <v>0.9404508961994088</v>
      </c>
      <c r="K247">
        <f t="shared" ca="1" si="143"/>
        <v>0.72106340195520613</v>
      </c>
      <c r="L247">
        <f t="shared" ca="1" si="143"/>
        <v>0.52328783327611794</v>
      </c>
      <c r="M247">
        <f t="shared" ca="1" si="143"/>
        <v>0.33547333235678428</v>
      </c>
      <c r="N247">
        <f t="shared" ca="1" si="143"/>
        <v>0.12868798400583334</v>
      </c>
      <c r="O247">
        <f t="shared" ca="1" si="143"/>
        <v>8.3860059221296676E-2</v>
      </c>
      <c r="P247">
        <f t="shared" ca="1" si="143"/>
        <v>6.9529291301693774E-2</v>
      </c>
      <c r="Q247">
        <f t="shared" ca="1" si="143"/>
        <v>5.8361776952157003E-2</v>
      </c>
      <c r="R247">
        <f t="shared" ca="1" si="143"/>
        <v>4.5971595536806728E-2</v>
      </c>
      <c r="S247">
        <f t="shared" ca="1" si="143"/>
        <v>2.8099501086708237E-2</v>
      </c>
      <c r="T247">
        <f t="shared" ca="1" si="143"/>
        <v>2.3018855878248857E-2</v>
      </c>
    </row>
    <row r="248" spans="5:20" x14ac:dyDescent="0.15">
      <c r="E248">
        <v>1998</v>
      </c>
      <c r="F248">
        <f t="shared" ref="F248:T248" ca="1" si="144">F183/$F183</f>
        <v>1</v>
      </c>
      <c r="G248">
        <f t="shared" ca="1" si="144"/>
        <v>0.99565621779916924</v>
      </c>
      <c r="H248">
        <f t="shared" ca="1" si="144"/>
        <v>0.98930252222572346</v>
      </c>
      <c r="I248">
        <f t="shared" ca="1" si="144"/>
        <v>0.97070968030542926</v>
      </c>
      <c r="J248">
        <f t="shared" ca="1" si="144"/>
        <v>0.94459022243797797</v>
      </c>
      <c r="K248">
        <f t="shared" ca="1" si="144"/>
        <v>0.86908522888530237</v>
      </c>
      <c r="L248">
        <f t="shared" ca="1" si="144"/>
        <v>0.5664406636282584</v>
      </c>
      <c r="M248">
        <f t="shared" ca="1" si="144"/>
        <v>0.37765477608678427</v>
      </c>
      <c r="N248">
        <f t="shared" ca="1" si="144"/>
        <v>0.23077467476732655</v>
      </c>
      <c r="O248">
        <f t="shared" ca="1" si="144"/>
        <v>8.7071946133065972E-2</v>
      </c>
      <c r="P248">
        <f t="shared" ca="1" si="144"/>
        <v>5.8651331320984046E-2</v>
      </c>
      <c r="Q248">
        <f t="shared" ca="1" si="144"/>
        <v>4.9638142255170353E-2</v>
      </c>
      <c r="R248">
        <f t="shared" ca="1" si="144"/>
        <v>4.1962726098344706E-2</v>
      </c>
      <c r="S248">
        <f t="shared" ca="1" si="144"/>
        <v>3.3881299868321439E-2</v>
      </c>
      <c r="T248">
        <f t="shared" ca="1" si="144"/>
        <v>1.9620312961407278E-2</v>
      </c>
    </row>
    <row r="249" spans="5:20" x14ac:dyDescent="0.15">
      <c r="E249">
        <v>1999</v>
      </c>
      <c r="F249">
        <f t="shared" ref="F249:T249" ca="1" si="145">F184/$F184</f>
        <v>1</v>
      </c>
      <c r="G249">
        <f t="shared" ca="1" si="145"/>
        <v>0.99722848282190701</v>
      </c>
      <c r="H249">
        <f t="shared" ca="1" si="145"/>
        <v>0.99303762262100603</v>
      </c>
      <c r="I249">
        <f t="shared" ca="1" si="145"/>
        <v>0.95523749022040749</v>
      </c>
      <c r="J249">
        <f t="shared" ca="1" si="145"/>
        <v>0.88295524266182346</v>
      </c>
      <c r="K249">
        <f t="shared" ca="1" si="145"/>
        <v>0.82646935229558849</v>
      </c>
      <c r="L249">
        <f t="shared" ca="1" si="145"/>
        <v>0.72010316962632692</v>
      </c>
      <c r="M249">
        <f t="shared" ca="1" si="145"/>
        <v>0.36083658728989659</v>
      </c>
      <c r="N249">
        <f t="shared" ca="1" si="145"/>
        <v>0.20411290857887068</v>
      </c>
      <c r="O249">
        <f t="shared" ca="1" si="145"/>
        <v>0.1100028849750883</v>
      </c>
      <c r="P249">
        <f t="shared" ca="1" si="145"/>
        <v>3.6897946816991795E-2</v>
      </c>
      <c r="Q249">
        <f t="shared" ca="1" si="145"/>
        <v>2.3979762667639199E-2</v>
      </c>
      <c r="R249">
        <f t="shared" ca="1" si="145"/>
        <v>2.0074116031123232E-2</v>
      </c>
      <c r="S249">
        <f t="shared" ca="1" si="145"/>
        <v>1.6701583344606086E-2</v>
      </c>
      <c r="T249">
        <f t="shared" ca="1" si="145"/>
        <v>1.3058036667948754E-2</v>
      </c>
    </row>
    <row r="250" spans="5:20" x14ac:dyDescent="0.15">
      <c r="E250">
        <v>2000</v>
      </c>
      <c r="F250">
        <f t="shared" ref="F250:T250" ca="1" si="146">F185/$F185</f>
        <v>1</v>
      </c>
      <c r="G250">
        <f t="shared" ca="1" si="146"/>
        <v>0.99713678437772801</v>
      </c>
      <c r="H250">
        <f t="shared" ca="1" si="146"/>
        <v>0.99225385698662383</v>
      </c>
      <c r="I250">
        <f t="shared" ca="1" si="146"/>
        <v>0.97194503964456302</v>
      </c>
      <c r="J250">
        <f t="shared" ca="1" si="146"/>
        <v>0.85846491220402033</v>
      </c>
      <c r="K250">
        <f t="shared" ca="1" si="146"/>
        <v>0.72689434525105279</v>
      </c>
      <c r="L250">
        <f t="shared" ca="1" si="146"/>
        <v>0.64602726323604687</v>
      </c>
      <c r="M250">
        <f t="shared" ca="1" si="146"/>
        <v>0.51808326203856525</v>
      </c>
      <c r="N250">
        <f t="shared" ca="1" si="146"/>
        <v>0.23999837539673796</v>
      </c>
      <c r="O250">
        <f t="shared" ca="1" si="146"/>
        <v>0.13577129282084188</v>
      </c>
      <c r="P250">
        <f t="shared" ca="1" si="146"/>
        <v>7.6206773869235106E-2</v>
      </c>
      <c r="Q250">
        <f t="shared" ca="1" si="146"/>
        <v>2.4653017411433015E-2</v>
      </c>
      <c r="R250">
        <f t="shared" ca="1" si="146"/>
        <v>1.601154376980796E-2</v>
      </c>
      <c r="S250">
        <f t="shared" ca="1" si="146"/>
        <v>1.3402782349597872E-2</v>
      </c>
      <c r="T250">
        <f t="shared" ca="1" si="146"/>
        <v>1.1445943383485695E-2</v>
      </c>
    </row>
    <row r="251" spans="5:20" x14ac:dyDescent="0.15">
      <c r="E251">
        <v>2001</v>
      </c>
      <c r="F251">
        <f t="shared" ref="F251:T251" ca="1" si="147">F186/$F186</f>
        <v>1</v>
      </c>
      <c r="G251">
        <f t="shared" ca="1" si="147"/>
        <v>0.9931337213256396</v>
      </c>
      <c r="H251">
        <f t="shared" ca="1" si="147"/>
        <v>0.98701936214690345</v>
      </c>
      <c r="I251">
        <f t="shared" ca="1" si="147"/>
        <v>0.97531859091653206</v>
      </c>
      <c r="J251">
        <f t="shared" ca="1" si="147"/>
        <v>0.92303357253931972</v>
      </c>
      <c r="K251">
        <f t="shared" ca="1" si="147"/>
        <v>0.7446815774443335</v>
      </c>
      <c r="L251">
        <f t="shared" ca="1" si="147"/>
        <v>0.58565850396732011</v>
      </c>
      <c r="M251">
        <f t="shared" ca="1" si="147"/>
        <v>0.49913882620374</v>
      </c>
      <c r="N251">
        <f t="shared" ca="1" si="147"/>
        <v>0.38496422552171961</v>
      </c>
      <c r="O251">
        <f t="shared" ca="1" si="147"/>
        <v>0.17207429924797935</v>
      </c>
      <c r="P251">
        <f t="shared" ca="1" si="147"/>
        <v>9.5681784373467055E-2</v>
      </c>
      <c r="Q251">
        <f t="shared" ca="1" si="147"/>
        <v>5.1182627492461559E-2</v>
      </c>
      <c r="R251">
        <f t="shared" ca="1" si="147"/>
        <v>1.6611909679460364E-2</v>
      </c>
      <c r="S251">
        <f t="shared" ca="1" si="147"/>
        <v>1.0415206971476633E-2</v>
      </c>
      <c r="T251">
        <f t="shared" ca="1" si="147"/>
        <v>8.5926408646772572E-3</v>
      </c>
    </row>
    <row r="252" spans="5:20" x14ac:dyDescent="0.15">
      <c r="E252">
        <v>2002</v>
      </c>
      <c r="F252">
        <f t="shared" ref="F252:T252" ca="1" si="148">F187/$F187</f>
        <v>1</v>
      </c>
      <c r="G252">
        <f t="shared" ca="1" si="148"/>
        <v>0.99717079169726686</v>
      </c>
      <c r="H252">
        <f t="shared" ca="1" si="148"/>
        <v>0.98814010840564415</v>
      </c>
      <c r="I252">
        <f t="shared" ca="1" si="148"/>
        <v>0.95329078499524134</v>
      </c>
      <c r="J252">
        <f t="shared" ca="1" si="148"/>
        <v>0.90076452351398284</v>
      </c>
      <c r="K252">
        <f t="shared" ca="1" si="148"/>
        <v>0.79835826026337942</v>
      </c>
      <c r="L252">
        <f t="shared" ca="1" si="148"/>
        <v>0.57194648081143218</v>
      </c>
      <c r="M252">
        <f t="shared" ca="1" si="148"/>
        <v>0.41056121598690792</v>
      </c>
      <c r="N252">
        <f t="shared" ca="1" si="148"/>
        <v>0.33516710488846396</v>
      </c>
      <c r="O252">
        <f t="shared" ca="1" si="148"/>
        <v>0.2535715944091062</v>
      </c>
      <c r="P252">
        <f t="shared" ca="1" si="148"/>
        <v>0.10727644940411785</v>
      </c>
      <c r="Q252">
        <f t="shared" ca="1" si="148"/>
        <v>5.8608101554993373E-2</v>
      </c>
      <c r="R252">
        <f t="shared" ca="1" si="148"/>
        <v>3.1314504774994228E-2</v>
      </c>
      <c r="S252">
        <f t="shared" ca="1" si="148"/>
        <v>1.0391591833016356E-2</v>
      </c>
      <c r="T252">
        <f t="shared" ca="1" si="148"/>
        <v>6.4737791936729221E-3</v>
      </c>
    </row>
    <row r="253" spans="5:20" x14ac:dyDescent="0.15">
      <c r="E253">
        <v>2003</v>
      </c>
      <c r="F253">
        <f t="shared" ref="F253:T253" ca="1" si="149">F188/$F188</f>
        <v>1</v>
      </c>
      <c r="G253">
        <f t="shared" ca="1" si="149"/>
        <v>0.99846232561945425</v>
      </c>
      <c r="H253">
        <f t="shared" ca="1" si="149"/>
        <v>0.99363049563880845</v>
      </c>
      <c r="I253">
        <f t="shared" ca="1" si="149"/>
        <v>0.95933533459577514</v>
      </c>
      <c r="J253">
        <f t="shared" ca="1" si="149"/>
        <v>0.88483227666908859</v>
      </c>
      <c r="K253">
        <f t="shared" ca="1" si="149"/>
        <v>0.78923860805302593</v>
      </c>
      <c r="L253">
        <f t="shared" ca="1" si="149"/>
        <v>0.66631830965240957</v>
      </c>
      <c r="M253">
        <f t="shared" ca="1" si="149"/>
        <v>0.4557296829728083</v>
      </c>
      <c r="N253">
        <f t="shared" ca="1" si="149"/>
        <v>0.31509363960402897</v>
      </c>
      <c r="O253">
        <f t="shared" ca="1" si="149"/>
        <v>0.25791638844988857</v>
      </c>
      <c r="P253">
        <f t="shared" ca="1" si="149"/>
        <v>0.19689961590059318</v>
      </c>
      <c r="Q253">
        <f t="shared" ca="1" si="149"/>
        <v>8.814969392537772E-2</v>
      </c>
      <c r="R253">
        <f t="shared" ca="1" si="149"/>
        <v>5.1186229435057261E-2</v>
      </c>
      <c r="S253">
        <f t="shared" ca="1" si="149"/>
        <v>2.7700641936040261E-2</v>
      </c>
      <c r="T253">
        <f t="shared" ca="1" si="149"/>
        <v>8.6120195970715296E-3</v>
      </c>
    </row>
    <row r="254" spans="5:20" x14ac:dyDescent="0.15">
      <c r="E254">
        <v>2004</v>
      </c>
      <c r="F254">
        <f t="shared" ref="F254:T254" ca="1" si="150">F189/$F189</f>
        <v>1</v>
      </c>
      <c r="G254">
        <f t="shared" ca="1" si="150"/>
        <v>0.99790460871980446</v>
      </c>
      <c r="H254">
        <f t="shared" ca="1" si="150"/>
        <v>0.99470933236881232</v>
      </c>
      <c r="I254">
        <f t="shared" ca="1" si="150"/>
        <v>0.96758884006880963</v>
      </c>
      <c r="J254">
        <f t="shared" ca="1" si="150"/>
        <v>0.85253997235649459</v>
      </c>
      <c r="K254">
        <f t="shared" ca="1" si="150"/>
        <v>0.68768366659488656</v>
      </c>
      <c r="L254">
        <f t="shared" ca="1" si="150"/>
        <v>0.53963842397561435</v>
      </c>
      <c r="M254">
        <f t="shared" ca="1" si="150"/>
        <v>0.41646879454009933</v>
      </c>
      <c r="N254">
        <f t="shared" ca="1" si="150"/>
        <v>0.26688593412984363</v>
      </c>
      <c r="O254">
        <f t="shared" ca="1" si="150"/>
        <v>0.17875196120489142</v>
      </c>
      <c r="P254">
        <f t="shared" ca="1" si="150"/>
        <v>0.14510666619762366</v>
      </c>
      <c r="Q254">
        <f t="shared" ca="1" si="150"/>
        <v>0.10947817803027793</v>
      </c>
      <c r="R254">
        <f t="shared" ca="1" si="150"/>
        <v>4.7527334461931747E-2</v>
      </c>
      <c r="S254">
        <f t="shared" ca="1" si="150"/>
        <v>2.7045149451605865E-2</v>
      </c>
      <c r="T254">
        <f t="shared" ca="1" si="150"/>
        <v>1.4893558063824353E-2</v>
      </c>
    </row>
    <row r="255" spans="5:20" x14ac:dyDescent="0.15">
      <c r="E255">
        <v>2005</v>
      </c>
      <c r="F255">
        <f t="shared" ref="F255:T255" ca="1" si="151">F190/$F190</f>
        <v>1</v>
      </c>
      <c r="G255">
        <f t="shared" ca="1" si="151"/>
        <v>0.99866171819757754</v>
      </c>
      <c r="H255">
        <f t="shared" ca="1" si="151"/>
        <v>0.99760095100501056</v>
      </c>
      <c r="I255">
        <f t="shared" ca="1" si="151"/>
        <v>0.98433834553788369</v>
      </c>
      <c r="J255">
        <f t="shared" ca="1" si="151"/>
        <v>0.89536739722152026</v>
      </c>
      <c r="K255">
        <f t="shared" ca="1" si="151"/>
        <v>0.65615625932767163</v>
      </c>
      <c r="L255">
        <f t="shared" ca="1" si="151"/>
        <v>0.43077167029350766</v>
      </c>
      <c r="M255">
        <f t="shared" ca="1" si="151"/>
        <v>0.30206673203319173</v>
      </c>
      <c r="N255">
        <f t="shared" ca="1" si="151"/>
        <v>0.22313330815787971</v>
      </c>
      <c r="O255">
        <f t="shared" ca="1" si="151"/>
        <v>0.13792084970080734</v>
      </c>
      <c r="P255">
        <f t="shared" ca="1" si="151"/>
        <v>9.4030949024353966E-2</v>
      </c>
      <c r="Q255">
        <f t="shared" ca="1" si="151"/>
        <v>7.5653376752767579E-2</v>
      </c>
      <c r="R255">
        <f t="shared" ca="1" si="151"/>
        <v>5.7297650927342972E-2</v>
      </c>
      <c r="S255">
        <f t="shared" ca="1" si="151"/>
        <v>2.6231672557329968E-2</v>
      </c>
      <c r="T255">
        <f t="shared" ca="1" si="151"/>
        <v>1.2482390943500959E-2</v>
      </c>
    </row>
    <row r="256" spans="5:20" x14ac:dyDescent="0.15">
      <c r="E256">
        <v>2006</v>
      </c>
      <c r="F256">
        <f t="shared" ref="F256:T256" ca="1" si="152">F191/$F191</f>
        <v>1</v>
      </c>
      <c r="G256">
        <f t="shared" ca="1" si="152"/>
        <v>0.99518551528825183</v>
      </c>
      <c r="H256">
        <f t="shared" ca="1" si="152"/>
        <v>0.99465782971899941</v>
      </c>
      <c r="I256">
        <f t="shared" ca="1" si="152"/>
        <v>0.99159055201911184</v>
      </c>
      <c r="J256">
        <f t="shared" ca="1" si="152"/>
        <v>0.9603167824350175</v>
      </c>
      <c r="K256">
        <f t="shared" ca="1" si="152"/>
        <v>0.83277972220668195</v>
      </c>
      <c r="L256">
        <f t="shared" ca="1" si="152"/>
        <v>0.60036803608880673</v>
      </c>
      <c r="M256">
        <f t="shared" ca="1" si="152"/>
        <v>0.39147596532214513</v>
      </c>
      <c r="N256">
        <f t="shared" ca="1" si="152"/>
        <v>0.28146490044708061</v>
      </c>
      <c r="O256">
        <f t="shared" ca="1" si="152"/>
        <v>0.20632935021655932</v>
      </c>
      <c r="P256">
        <f t="shared" ca="1" si="152"/>
        <v>0.12415425454048357</v>
      </c>
      <c r="Q256">
        <f t="shared" ca="1" si="152"/>
        <v>8.1830541981689472E-2</v>
      </c>
      <c r="R256">
        <f t="shared" ca="1" si="152"/>
        <v>6.5293036275972632E-2</v>
      </c>
      <c r="S256">
        <f t="shared" ca="1" si="152"/>
        <v>4.8323405943636211E-2</v>
      </c>
      <c r="T256">
        <f t="shared" ca="1" si="152"/>
        <v>2.014174263476886E-2</v>
      </c>
    </row>
    <row r="257" spans="5:20" x14ac:dyDescent="0.15">
      <c r="E257">
        <v>2007</v>
      </c>
      <c r="F257">
        <f t="shared" ref="F257:T257" ca="1" si="153">F192/$F192</f>
        <v>1</v>
      </c>
      <c r="G257">
        <f t="shared" ca="1" si="153"/>
        <v>0.99239149186619191</v>
      </c>
      <c r="H257">
        <f t="shared" ca="1" si="153"/>
        <v>0.98998804469724799</v>
      </c>
      <c r="I257">
        <f t="shared" ca="1" si="153"/>
        <v>0.98427565658760297</v>
      </c>
      <c r="J257">
        <f t="shared" ca="1" si="153"/>
        <v>0.95717463587932872</v>
      </c>
      <c r="K257">
        <f t="shared" ca="1" si="153"/>
        <v>0.84394245363071219</v>
      </c>
      <c r="L257">
        <f t="shared" ca="1" si="153"/>
        <v>0.61495849412835724</v>
      </c>
      <c r="M257">
        <f t="shared" ca="1" si="153"/>
        <v>0.35149220960576516</v>
      </c>
      <c r="N257">
        <f t="shared" ca="1" si="153"/>
        <v>0.19766476419275678</v>
      </c>
      <c r="O257">
        <f t="shared" ca="1" si="153"/>
        <v>0.13285369902710781</v>
      </c>
      <c r="P257">
        <f t="shared" ca="1" si="153"/>
        <v>9.44219649667601E-2</v>
      </c>
      <c r="Q257">
        <f t="shared" ca="1" si="153"/>
        <v>5.5591376794034329E-2</v>
      </c>
      <c r="R257">
        <f t="shared" ca="1" si="153"/>
        <v>3.6997375069523483E-2</v>
      </c>
      <c r="S257">
        <f t="shared" ca="1" si="153"/>
        <v>2.9060177582968638E-2</v>
      </c>
      <c r="T257">
        <f t="shared" ca="1" si="153"/>
        <v>2.1682195048778306E-2</v>
      </c>
    </row>
    <row r="258" spans="5:20" x14ac:dyDescent="0.15">
      <c r="E258">
        <v>2008</v>
      </c>
      <c r="F258">
        <f t="shared" ref="F258:T258" ca="1" si="154">F193/$F193</f>
        <v>1</v>
      </c>
      <c r="G258">
        <f t="shared" ca="1" si="154"/>
        <v>0.99667398787971906</v>
      </c>
      <c r="H258">
        <f t="shared" ca="1" si="154"/>
        <v>0.99339754713577222</v>
      </c>
      <c r="I258">
        <f t="shared" ca="1" si="154"/>
        <v>0.98290228933292567</v>
      </c>
      <c r="J258">
        <f t="shared" ca="1" si="154"/>
        <v>0.96117062432430023</v>
      </c>
      <c r="K258">
        <f t="shared" ca="1" si="154"/>
        <v>0.89441861491265817</v>
      </c>
      <c r="L258">
        <f t="shared" ca="1" si="154"/>
        <v>0.71762885728683257</v>
      </c>
      <c r="M258">
        <f t="shared" ca="1" si="154"/>
        <v>0.49392530092651482</v>
      </c>
      <c r="N258">
        <f t="shared" ca="1" si="154"/>
        <v>0.2810509612253877</v>
      </c>
      <c r="O258">
        <f t="shared" ca="1" si="154"/>
        <v>0.16009266503702868</v>
      </c>
      <c r="P258">
        <f t="shared" ca="1" si="154"/>
        <v>0.10709518305790855</v>
      </c>
      <c r="Q258">
        <f t="shared" ca="1" si="154"/>
        <v>7.6365826137795398E-2</v>
      </c>
      <c r="R258">
        <f t="shared" ca="1" si="154"/>
        <v>4.6987889026652525E-2</v>
      </c>
      <c r="S258">
        <f t="shared" ca="1" si="154"/>
        <v>3.103476948482306E-2</v>
      </c>
      <c r="T258">
        <f t="shared" ca="1" si="154"/>
        <v>2.4413795074291311E-2</v>
      </c>
    </row>
    <row r="259" spans="5:20" x14ac:dyDescent="0.15">
      <c r="E259">
        <v>2009</v>
      </c>
      <c r="F259">
        <f t="shared" ref="F259:T259" ca="1" si="155">F194/$F194</f>
        <v>1</v>
      </c>
      <c r="G259">
        <f t="shared" ca="1" si="155"/>
        <v>0.9936549356537786</v>
      </c>
      <c r="H259">
        <f t="shared" ca="1" si="155"/>
        <v>0.99180250085996358</v>
      </c>
      <c r="I259">
        <f t="shared" ca="1" si="155"/>
        <v>0.95747402535261283</v>
      </c>
      <c r="J259">
        <f t="shared" ca="1" si="155"/>
        <v>0.88322109523517434</v>
      </c>
      <c r="K259">
        <f t="shared" ca="1" si="155"/>
        <v>0.81427052002366518</v>
      </c>
      <c r="L259">
        <f t="shared" ca="1" si="155"/>
        <v>0.71560027601121978</v>
      </c>
      <c r="M259">
        <f t="shared" ca="1" si="155"/>
        <v>0.53801878432550843</v>
      </c>
      <c r="N259">
        <f t="shared" ca="1" si="155"/>
        <v>0.35606011728408621</v>
      </c>
      <c r="O259">
        <f t="shared" ca="1" si="155"/>
        <v>0.19582509583866342</v>
      </c>
      <c r="P259">
        <f t="shared" ca="1" si="155"/>
        <v>0.10774597779511158</v>
      </c>
      <c r="Q259">
        <f t="shared" ca="1" si="155"/>
        <v>7.1263306219876157E-2</v>
      </c>
      <c r="R259">
        <f t="shared" ca="1" si="155"/>
        <v>5.4083149325617044E-2</v>
      </c>
      <c r="S259">
        <f t="shared" ca="1" si="155"/>
        <v>3.2848073075712414E-2</v>
      </c>
      <c r="T259">
        <f t="shared" ca="1" si="155"/>
        <v>2.1785502535303137E-2</v>
      </c>
    </row>
    <row r="261" spans="5:20" x14ac:dyDescent="0.15">
      <c r="F261">
        <f ca="1">AVERAGE(F232:F259)</f>
        <v>1</v>
      </c>
      <c r="G261">
        <f t="shared" ref="G261:T261" ca="1" si="156">AVERAGE(G232:G259)</f>
        <v>0.99428152738376474</v>
      </c>
      <c r="H261">
        <f t="shared" ca="1" si="156"/>
        <v>0.98743307565398453</v>
      </c>
      <c r="I261">
        <f t="shared" ca="1" si="156"/>
        <v>0.95482984063736853</v>
      </c>
      <c r="J261">
        <f t="shared" ca="1" si="156"/>
        <v>0.86026197107481039</v>
      </c>
      <c r="K261">
        <f t="shared" ca="1" si="156"/>
        <v>0.70788208553789722</v>
      </c>
      <c r="L261">
        <f t="shared" ca="1" si="156"/>
        <v>0.52517350773740012</v>
      </c>
      <c r="M261">
        <f t="shared" ca="1" si="156"/>
        <v>0.35471410757766375</v>
      </c>
      <c r="N261">
        <f t="shared" ca="1" si="156"/>
        <v>0.22707094697857766</v>
      </c>
      <c r="O261">
        <f t="shared" ca="1" si="156"/>
        <v>0.14083431813921859</v>
      </c>
      <c r="P261">
        <f t="shared" ca="1" si="156"/>
        <v>8.7572876314419457E-2</v>
      </c>
      <c r="Q261">
        <f t="shared" ca="1" si="156"/>
        <v>5.3737515080153432E-2</v>
      </c>
      <c r="R261">
        <f t="shared" ca="1" si="156"/>
        <v>3.2966177147058233E-2</v>
      </c>
      <c r="S261">
        <f t="shared" ca="1" si="156"/>
        <v>1.9722782170285454E-2</v>
      </c>
      <c r="T261">
        <f t="shared" ca="1" si="156"/>
        <v>1.1286366501348516E-2</v>
      </c>
    </row>
    <row r="263" spans="5:20" x14ac:dyDescent="0.15">
      <c r="E263" s="21" t="s">
        <v>90</v>
      </c>
      <c r="F263">
        <f ca="1">F229*F261</f>
        <v>1.0190799286172325</v>
      </c>
      <c r="G263">
        <f t="shared" ref="G263:T263" ca="1" si="157">G229*G261</f>
        <v>1.0135374425480055</v>
      </c>
      <c r="H263">
        <f t="shared" ca="1" si="157"/>
        <v>1.0052416126694288</v>
      </c>
      <c r="I263">
        <f t="shared" ca="1" si="157"/>
        <v>0.96965598725375812</v>
      </c>
      <c r="J263">
        <f t="shared" ca="1" si="157"/>
        <v>0.86428350796429887</v>
      </c>
      <c r="K263">
        <f t="shared" ca="1" si="157"/>
        <v>0.69471957984160315</v>
      </c>
      <c r="L263">
        <f t="shared" ca="1" si="157"/>
        <v>0.5103768050158165</v>
      </c>
      <c r="M263">
        <f t="shared" ca="1" si="157"/>
        <v>0.34331098936518784</v>
      </c>
      <c r="N263">
        <f t="shared" ca="1" si="157"/>
        <v>0.22293627040064429</v>
      </c>
      <c r="O263">
        <f t="shared" ca="1" si="157"/>
        <v>0.14173781731882623</v>
      </c>
      <c r="P263">
        <f t="shared" ca="1" si="157"/>
        <v>8.7982935393541656E-2</v>
      </c>
      <c r="Q263">
        <f t="shared" ca="1" si="157"/>
        <v>5.5535938340727613E-2</v>
      </c>
      <c r="R263">
        <f t="shared" ca="1" si="157"/>
        <v>3.4527335050962171E-2</v>
      </c>
      <c r="S263">
        <f t="shared" ca="1" si="157"/>
        <v>2.0640640472327255E-2</v>
      </c>
      <c r="T263">
        <f t="shared" ca="1" si="157"/>
        <v>1.1054612257014073E-2</v>
      </c>
    </row>
    <row r="266" spans="5:20" x14ac:dyDescent="0.15">
      <c r="E266">
        <v>1982</v>
      </c>
      <c r="F266">
        <f ca="1">F136/$F136</f>
        <v>1</v>
      </c>
      <c r="G266">
        <f t="shared" ref="G266:T266" ca="1" si="158">G136/$F136</f>
        <v>0.99104344287425206</v>
      </c>
      <c r="H266">
        <f t="shared" ca="1" si="158"/>
        <v>0.95710171447822934</v>
      </c>
      <c r="I266">
        <f t="shared" ca="1" si="158"/>
        <v>0.86540685689426178</v>
      </c>
      <c r="J266">
        <f t="shared" ca="1" si="158"/>
        <v>0.42086973296110669</v>
      </c>
      <c r="K266">
        <f t="shared" ca="1" si="158"/>
        <v>0.24100527723193707</v>
      </c>
      <c r="L266">
        <f t="shared" ca="1" si="158"/>
        <v>0.15489358382552562</v>
      </c>
      <c r="M266">
        <f t="shared" ca="1" si="158"/>
        <v>9.3265561302539726E-2</v>
      </c>
      <c r="N266">
        <f t="shared" ca="1" si="158"/>
        <v>4.9850846312044152E-2</v>
      </c>
      <c r="O266">
        <f t="shared" ca="1" si="158"/>
        <v>2.5208383627577907E-2</v>
      </c>
      <c r="P266">
        <f t="shared" ca="1" si="158"/>
        <v>9.3487433030825136E-3</v>
      </c>
      <c r="Q266">
        <f t="shared" ca="1" si="158"/>
        <v>5.7593740490773622E-3</v>
      </c>
      <c r="R266">
        <f t="shared" ca="1" si="158"/>
        <v>3.9338467167076034E-3</v>
      </c>
      <c r="S266">
        <f t="shared" ca="1" si="158"/>
        <v>2.0695037943107369E-3</v>
      </c>
      <c r="T266">
        <f t="shared" ca="1" si="158"/>
        <v>9.5137923750280564E-4</v>
      </c>
    </row>
    <row r="267" spans="5:20" x14ac:dyDescent="0.15">
      <c r="E267">
        <v>1983</v>
      </c>
      <c r="F267">
        <f t="shared" ref="F267:T267" ca="1" si="159">F137/$F137</f>
        <v>1</v>
      </c>
      <c r="G267">
        <f t="shared" ca="1" si="159"/>
        <v>0.9916666666666667</v>
      </c>
      <c r="H267">
        <f t="shared" ca="1" si="159"/>
        <v>0.97499999999999998</v>
      </c>
      <c r="I267">
        <f t="shared" ca="1" si="159"/>
        <v>0.95</v>
      </c>
      <c r="J267">
        <f t="shared" ca="1" si="159"/>
        <v>0.91666666666666663</v>
      </c>
      <c r="K267">
        <f t="shared" ca="1" si="159"/>
        <v>0.875</v>
      </c>
      <c r="L267">
        <f t="shared" ca="1" si="159"/>
        <v>0.82499999999999996</v>
      </c>
      <c r="M267">
        <f t="shared" ca="1" si="159"/>
        <v>0.76666666666666672</v>
      </c>
      <c r="N267">
        <f t="shared" ca="1" si="159"/>
        <v>0.7</v>
      </c>
      <c r="O267">
        <f t="shared" ca="1" si="159"/>
        <v>0.625</v>
      </c>
      <c r="P267">
        <f t="shared" ca="1" si="159"/>
        <v>0.54166666666666663</v>
      </c>
      <c r="Q267">
        <f t="shared" ca="1" si="159"/>
        <v>0.45</v>
      </c>
      <c r="R267">
        <f t="shared" ca="1" si="159"/>
        <v>0.35</v>
      </c>
      <c r="S267">
        <f t="shared" ca="1" si="159"/>
        <v>0.24166666666666667</v>
      </c>
      <c r="T267">
        <f t="shared" ca="1" si="159"/>
        <v>0.125</v>
      </c>
    </row>
    <row r="268" spans="5:20" x14ac:dyDescent="0.15">
      <c r="E268">
        <v>1984</v>
      </c>
      <c r="F268">
        <f t="shared" ref="F268:T268" ca="1" si="160">F138/$F138</f>
        <v>1</v>
      </c>
      <c r="G268">
        <f t="shared" ca="1" si="160"/>
        <v>0.99104344287425206</v>
      </c>
      <c r="H268">
        <f t="shared" ca="1" si="160"/>
        <v>0.95710171447822934</v>
      </c>
      <c r="I268">
        <f t="shared" ca="1" si="160"/>
        <v>0.86540685689426178</v>
      </c>
      <c r="J268">
        <f t="shared" ca="1" si="160"/>
        <v>0.42086973296110669</v>
      </c>
      <c r="K268">
        <f t="shared" ca="1" si="160"/>
        <v>0.24100527723193707</v>
      </c>
      <c r="L268">
        <f t="shared" ca="1" si="160"/>
        <v>0.15489358382552562</v>
      </c>
      <c r="M268">
        <f t="shared" ca="1" si="160"/>
        <v>9.3265561302539726E-2</v>
      </c>
      <c r="N268">
        <f t="shared" ca="1" si="160"/>
        <v>4.9850846312044152E-2</v>
      </c>
      <c r="O268">
        <f t="shared" ca="1" si="160"/>
        <v>2.5208383627577907E-2</v>
      </c>
      <c r="P268">
        <f t="shared" ca="1" si="160"/>
        <v>9.3487433030825136E-3</v>
      </c>
      <c r="Q268">
        <f t="shared" ca="1" si="160"/>
        <v>5.7593740490773622E-3</v>
      </c>
      <c r="R268">
        <f t="shared" ca="1" si="160"/>
        <v>3.9338467167076034E-3</v>
      </c>
      <c r="S268">
        <f t="shared" ca="1" si="160"/>
        <v>2.0695037943107369E-3</v>
      </c>
      <c r="T268">
        <f t="shared" ca="1" si="160"/>
        <v>9.5137923750280564E-4</v>
      </c>
    </row>
    <row r="269" spans="5:20" x14ac:dyDescent="0.15">
      <c r="E269">
        <v>1985</v>
      </c>
      <c r="F269">
        <f t="shared" ref="F269:T269" ca="1" si="161">F139/$F139</f>
        <v>1</v>
      </c>
      <c r="G269">
        <f t="shared" ca="1" si="161"/>
        <v>0.98934357967072017</v>
      </c>
      <c r="H269">
        <f t="shared" ca="1" si="161"/>
        <v>0.96643427808054538</v>
      </c>
      <c r="I269">
        <f t="shared" ca="1" si="161"/>
        <v>0.85546874477791224</v>
      </c>
      <c r="J269">
        <f t="shared" ca="1" si="161"/>
        <v>0.70352814057958069</v>
      </c>
      <c r="K269">
        <f t="shared" ca="1" si="161"/>
        <v>0.2498310620819281</v>
      </c>
      <c r="L269">
        <f t="shared" ca="1" si="161"/>
        <v>0.10519578535226608</v>
      </c>
      <c r="M269">
        <f t="shared" ca="1" si="161"/>
        <v>5.9872830873585553E-2</v>
      </c>
      <c r="N269">
        <f t="shared" ca="1" si="161"/>
        <v>3.308478868593534E-2</v>
      </c>
      <c r="O269">
        <f t="shared" ca="1" si="161"/>
        <v>1.5709802506459029E-2</v>
      </c>
      <c r="P269">
        <f t="shared" ca="1" si="161"/>
        <v>7.8884651688972997E-3</v>
      </c>
      <c r="Q269">
        <f t="shared" ca="1" si="161"/>
        <v>3.206960475601621E-3</v>
      </c>
      <c r="R269">
        <f t="shared" ca="1" si="161"/>
        <v>2.2192800949977936E-3</v>
      </c>
      <c r="S269">
        <f t="shared" ca="1" si="161"/>
        <v>1.474488215398673E-3</v>
      </c>
      <c r="T269">
        <f t="shared" ca="1" si="161"/>
        <v>8.0756898760013908E-4</v>
      </c>
    </row>
    <row r="270" spans="5:20" x14ac:dyDescent="0.15">
      <c r="E270">
        <v>1986</v>
      </c>
      <c r="F270">
        <f t="shared" ref="F270:T270" ca="1" si="162">F140/$F140</f>
        <v>1</v>
      </c>
      <c r="G270">
        <f t="shared" ca="1" si="162"/>
        <v>0.99830707322336276</v>
      </c>
      <c r="H270">
        <f t="shared" ca="1" si="162"/>
        <v>0.98870080363901169</v>
      </c>
      <c r="I270">
        <f t="shared" ca="1" si="162"/>
        <v>0.96461420151808008</v>
      </c>
      <c r="J270">
        <f t="shared" ca="1" si="162"/>
        <v>0.85644140317977946</v>
      </c>
      <c r="K270">
        <f t="shared" ca="1" si="162"/>
        <v>0.67452802744045737</v>
      </c>
      <c r="L270">
        <f t="shared" ca="1" si="162"/>
        <v>0.22317481647835369</v>
      </c>
      <c r="M270">
        <f t="shared" ca="1" si="162"/>
        <v>9.0339857687734018E-2</v>
      </c>
      <c r="N270">
        <f t="shared" ca="1" si="162"/>
        <v>4.8629201587258378E-2</v>
      </c>
      <c r="O270">
        <f t="shared" ca="1" si="162"/>
        <v>2.7485125632678985E-2</v>
      </c>
      <c r="P270">
        <f t="shared" ca="1" si="162"/>
        <v>1.377448843439787E-2</v>
      </c>
      <c r="Q270">
        <f t="shared" ca="1" si="162"/>
        <v>5.7595836866354434E-3</v>
      </c>
      <c r="R270">
        <f t="shared" ca="1" si="162"/>
        <v>2.2344724928050146E-3</v>
      </c>
      <c r="S270">
        <f t="shared" ca="1" si="162"/>
        <v>1.4351100036120584E-3</v>
      </c>
      <c r="T270">
        <f t="shared" ca="1" si="162"/>
        <v>9.2176680199535237E-4</v>
      </c>
    </row>
    <row r="271" spans="5:20" x14ac:dyDescent="0.15">
      <c r="E271">
        <v>1987</v>
      </c>
      <c r="F271">
        <f t="shared" ref="F271:T271" ca="1" si="163">F141/$F141</f>
        <v>1</v>
      </c>
      <c r="G271">
        <f t="shared" ca="1" si="163"/>
        <v>0.98491809393546037</v>
      </c>
      <c r="H271">
        <f t="shared" ca="1" si="163"/>
        <v>0.97968841708600207</v>
      </c>
      <c r="I271">
        <f t="shared" ca="1" si="163"/>
        <v>0.89418863208130883</v>
      </c>
      <c r="J271">
        <f t="shared" ca="1" si="163"/>
        <v>0.8362375332988653</v>
      </c>
      <c r="K271">
        <f t="shared" ca="1" si="163"/>
        <v>0.68274128023776515</v>
      </c>
      <c r="L271">
        <f t="shared" ca="1" si="163"/>
        <v>0.50111460735814306</v>
      </c>
      <c r="M271">
        <f t="shared" ca="1" si="163"/>
        <v>0.14505395922034212</v>
      </c>
      <c r="N271">
        <f t="shared" ca="1" si="163"/>
        <v>5.4867774571201025E-2</v>
      </c>
      <c r="O271">
        <f t="shared" ca="1" si="163"/>
        <v>2.508489036699859E-2</v>
      </c>
      <c r="P271">
        <f t="shared" ca="1" si="163"/>
        <v>1.4255682080663136E-2</v>
      </c>
      <c r="Q271">
        <f t="shared" ca="1" si="163"/>
        <v>7.2355395487923024E-3</v>
      </c>
      <c r="R271">
        <f t="shared" ca="1" si="163"/>
        <v>3.7029573980199766E-3</v>
      </c>
      <c r="S271">
        <f t="shared" ca="1" si="163"/>
        <v>1.3180162945484232E-3</v>
      </c>
      <c r="T271">
        <f t="shared" ca="1" si="163"/>
        <v>8.097314680630762E-4</v>
      </c>
    </row>
    <row r="272" spans="5:20" x14ac:dyDescent="0.15">
      <c r="E272">
        <v>1988</v>
      </c>
      <c r="F272">
        <f t="shared" ref="F272:T272" ca="1" si="164">F142/$F142</f>
        <v>1</v>
      </c>
      <c r="G272">
        <f t="shared" ca="1" si="164"/>
        <v>0.99459362134584783</v>
      </c>
      <c r="H272">
        <f t="shared" ca="1" si="164"/>
        <v>0.98485521825112443</v>
      </c>
      <c r="I272">
        <f t="shared" ca="1" si="164"/>
        <v>0.97513852685604974</v>
      </c>
      <c r="J272">
        <f t="shared" ca="1" si="164"/>
        <v>0.83240363533754713</v>
      </c>
      <c r="K272">
        <f t="shared" ca="1" si="164"/>
        <v>0.75847672424916757</v>
      </c>
      <c r="L272">
        <f t="shared" ca="1" si="164"/>
        <v>0.55459610674997417</v>
      </c>
      <c r="M272">
        <f t="shared" ca="1" si="164"/>
        <v>0.39327623149049845</v>
      </c>
      <c r="N272">
        <f t="shared" ca="1" si="164"/>
        <v>0.10581436655996018</v>
      </c>
      <c r="O272">
        <f t="shared" ca="1" si="164"/>
        <v>3.8256046132174912E-2</v>
      </c>
      <c r="P272">
        <f t="shared" ca="1" si="164"/>
        <v>1.8325720859331759E-2</v>
      </c>
      <c r="Q272">
        <f t="shared" ca="1" si="164"/>
        <v>9.7502151824637694E-3</v>
      </c>
      <c r="R272">
        <f t="shared" ca="1" si="164"/>
        <v>4.7758879778965427E-3</v>
      </c>
      <c r="S272">
        <f t="shared" ca="1" si="164"/>
        <v>2.3291530498300386E-3</v>
      </c>
      <c r="T272">
        <f t="shared" ca="1" si="164"/>
        <v>8.2165089342722223E-4</v>
      </c>
    </row>
    <row r="273" spans="5:20" x14ac:dyDescent="0.15">
      <c r="E273">
        <v>1989</v>
      </c>
      <c r="F273">
        <f t="shared" ref="F273:T273" ca="1" si="165">F143/$F143</f>
        <v>1</v>
      </c>
      <c r="G273">
        <f t="shared" ca="1" si="165"/>
        <v>0.9970897025393457</v>
      </c>
      <c r="H273">
        <f t="shared" ca="1" si="165"/>
        <v>0.99056392333848442</v>
      </c>
      <c r="I273">
        <f t="shared" ca="1" si="165"/>
        <v>0.94247254919922752</v>
      </c>
      <c r="J273">
        <f t="shared" ca="1" si="165"/>
        <v>0.89944042911564692</v>
      </c>
      <c r="K273">
        <f t="shared" ca="1" si="165"/>
        <v>0.64302058793855965</v>
      </c>
      <c r="L273">
        <f t="shared" ca="1" si="165"/>
        <v>0.53943779733873443</v>
      </c>
      <c r="M273">
        <f t="shared" ca="1" si="165"/>
        <v>0.35382919337645308</v>
      </c>
      <c r="N273">
        <f t="shared" ca="1" si="165"/>
        <v>0.23562251236572165</v>
      </c>
      <c r="O273">
        <f t="shared" ca="1" si="165"/>
        <v>5.817833783199982E-2</v>
      </c>
      <c r="P273">
        <f t="shared" ca="1" si="165"/>
        <v>2.0839827841814599E-2</v>
      </c>
      <c r="Q273">
        <f t="shared" ca="1" si="165"/>
        <v>1.094594135435936E-2</v>
      </c>
      <c r="R273">
        <f t="shared" ca="1" si="165"/>
        <v>6.3438580550492082E-3</v>
      </c>
      <c r="S273">
        <f t="shared" ca="1" si="165"/>
        <v>3.1858386589256531E-3</v>
      </c>
      <c r="T273">
        <f t="shared" ca="1" si="165"/>
        <v>1.327723522272778E-3</v>
      </c>
    </row>
    <row r="274" spans="5:20" x14ac:dyDescent="0.15">
      <c r="E274">
        <v>1990</v>
      </c>
      <c r="F274">
        <f t="shared" ref="F274:T274" ca="1" si="166">F144/$F144</f>
        <v>1</v>
      </c>
      <c r="G274">
        <f t="shared" ca="1" si="166"/>
        <v>0.99848774364573711</v>
      </c>
      <c r="H274">
        <f t="shared" ca="1" si="166"/>
        <v>0.99444624044177998</v>
      </c>
      <c r="I274">
        <f t="shared" ca="1" si="166"/>
        <v>0.95864315296989466</v>
      </c>
      <c r="J274">
        <f t="shared" ca="1" si="166"/>
        <v>0.81258707558094012</v>
      </c>
      <c r="K274">
        <f t="shared" ca="1" si="166"/>
        <v>0.73172668340071123</v>
      </c>
      <c r="L274">
        <f t="shared" ca="1" si="166"/>
        <v>0.4181860619029345</v>
      </c>
      <c r="M274">
        <f t="shared" ca="1" si="166"/>
        <v>0.33468625965712512</v>
      </c>
      <c r="N274">
        <f t="shared" ca="1" si="166"/>
        <v>0.20958072418368054</v>
      </c>
      <c r="O274">
        <f t="shared" ca="1" si="166"/>
        <v>0.14138292062234353</v>
      </c>
      <c r="P274">
        <f t="shared" ca="1" si="166"/>
        <v>3.3903761105505831E-2</v>
      </c>
      <c r="Q274">
        <f t="shared" ca="1" si="166"/>
        <v>1.0856091270627123E-2</v>
      </c>
      <c r="R274">
        <f t="shared" ca="1" si="166"/>
        <v>5.6116341278054805E-3</v>
      </c>
      <c r="S274">
        <f t="shared" ca="1" si="166"/>
        <v>3.122026951123626E-3</v>
      </c>
      <c r="T274">
        <f t="shared" ca="1" si="166"/>
        <v>1.5188180269468756E-3</v>
      </c>
    </row>
    <row r="275" spans="5:20" x14ac:dyDescent="0.15">
      <c r="E275">
        <v>1991</v>
      </c>
      <c r="F275">
        <f t="shared" ref="F275:T275" ca="1" si="167">F145/$F145</f>
        <v>1</v>
      </c>
      <c r="G275">
        <f t="shared" ca="1" si="167"/>
        <v>0.99725355408127592</v>
      </c>
      <c r="H275">
        <f t="shared" ca="1" si="167"/>
        <v>0.99418051881497227</v>
      </c>
      <c r="I275">
        <f t="shared" ca="1" si="167"/>
        <v>0.98185387823041881</v>
      </c>
      <c r="J275">
        <f t="shared" ca="1" si="167"/>
        <v>0.91609318898101111</v>
      </c>
      <c r="K275">
        <f t="shared" ca="1" si="167"/>
        <v>0.6944028865113524</v>
      </c>
      <c r="L275">
        <f t="shared" ca="1" si="167"/>
        <v>0.60530425027430101</v>
      </c>
      <c r="M275">
        <f t="shared" ca="1" si="167"/>
        <v>0.31743451168118347</v>
      </c>
      <c r="N275">
        <f t="shared" ca="1" si="167"/>
        <v>0.25141101425526236</v>
      </c>
      <c r="O275">
        <f t="shared" ca="1" si="167"/>
        <v>0.1481109339067315</v>
      </c>
      <c r="P275">
        <f t="shared" ca="1" si="167"/>
        <v>9.7766039875691491E-2</v>
      </c>
      <c r="Q275">
        <f t="shared" ca="1" si="167"/>
        <v>2.2542890792367536E-2</v>
      </c>
      <c r="R275">
        <f t="shared" ca="1" si="167"/>
        <v>8.2096833269002505E-3</v>
      </c>
      <c r="S275">
        <f t="shared" ca="1" si="167"/>
        <v>4.0722429495569498E-3</v>
      </c>
      <c r="T275">
        <f t="shared" ca="1" si="167"/>
        <v>2.1415415791057237E-3</v>
      </c>
    </row>
    <row r="276" spans="5:20" x14ac:dyDescent="0.15">
      <c r="E276">
        <v>1992</v>
      </c>
      <c r="F276">
        <f t="shared" ref="F276:T276" ca="1" si="168">F146/$F146</f>
        <v>1</v>
      </c>
      <c r="G276">
        <f t="shared" ca="1" si="168"/>
        <v>0.99286547995036756</v>
      </c>
      <c r="H276">
        <f t="shared" ca="1" si="168"/>
        <v>0.98813520700144264</v>
      </c>
      <c r="I276">
        <f t="shared" ca="1" si="168"/>
        <v>0.98123192318902486</v>
      </c>
      <c r="J276">
        <f t="shared" ca="1" si="168"/>
        <v>0.94795417500199863</v>
      </c>
      <c r="K276">
        <f t="shared" ca="1" si="168"/>
        <v>0.84660791685983883</v>
      </c>
      <c r="L276">
        <f t="shared" ca="1" si="168"/>
        <v>0.57069577315370401</v>
      </c>
      <c r="M276">
        <f t="shared" ca="1" si="168"/>
        <v>0.48690046215206401</v>
      </c>
      <c r="N276">
        <f t="shared" ca="1" si="168"/>
        <v>0.242126682805824</v>
      </c>
      <c r="O276">
        <f t="shared" ca="1" si="168"/>
        <v>0.18773022956119134</v>
      </c>
      <c r="P276">
        <f t="shared" ca="1" si="168"/>
        <v>0.10993480473178148</v>
      </c>
      <c r="Q276">
        <f t="shared" ca="1" si="168"/>
        <v>6.9149365753764222E-2</v>
      </c>
      <c r="R276">
        <f t="shared" ca="1" si="168"/>
        <v>1.5343272571188516E-2</v>
      </c>
      <c r="S276">
        <f t="shared" ca="1" si="168"/>
        <v>5.21592612140923E-3</v>
      </c>
      <c r="T276">
        <f t="shared" ca="1" si="168"/>
        <v>2.5873481378596952E-3</v>
      </c>
    </row>
    <row r="277" spans="5:20" x14ac:dyDescent="0.15">
      <c r="E277">
        <v>1993</v>
      </c>
      <c r="F277">
        <f t="shared" ref="F277:T277" ca="1" si="169">F147/$F147</f>
        <v>1</v>
      </c>
      <c r="G277">
        <f t="shared" ca="1" si="169"/>
        <v>0.99156134609265001</v>
      </c>
      <c r="H277">
        <f t="shared" ca="1" si="169"/>
        <v>0.98261134679955686</v>
      </c>
      <c r="I277">
        <f t="shared" ca="1" si="169"/>
        <v>0.97353672040953176</v>
      </c>
      <c r="J277">
        <f t="shared" ca="1" si="169"/>
        <v>0.95198066962660277</v>
      </c>
      <c r="K277">
        <f t="shared" ca="1" si="169"/>
        <v>0.89430321584823058</v>
      </c>
      <c r="L277">
        <f t="shared" ca="1" si="169"/>
        <v>0.77524020287864992</v>
      </c>
      <c r="M277">
        <f t="shared" ca="1" si="169"/>
        <v>0.50334340241830522</v>
      </c>
      <c r="N277">
        <f t="shared" ca="1" si="169"/>
        <v>0.42626699872361928</v>
      </c>
      <c r="O277">
        <f t="shared" ca="1" si="169"/>
        <v>0.20249389167126919</v>
      </c>
      <c r="P277">
        <f t="shared" ca="1" si="169"/>
        <v>0.1558810166909971</v>
      </c>
      <c r="Q277">
        <f t="shared" ca="1" si="169"/>
        <v>9.2223242026301125E-2</v>
      </c>
      <c r="R277">
        <f t="shared" ca="1" si="169"/>
        <v>5.9154438498846919E-2</v>
      </c>
      <c r="S277">
        <f t="shared" ca="1" si="169"/>
        <v>1.4033224344016026E-2</v>
      </c>
      <c r="T277">
        <f t="shared" ca="1" si="169"/>
        <v>4.8337384997666185E-3</v>
      </c>
    </row>
    <row r="278" spans="5:20" x14ac:dyDescent="0.15">
      <c r="E278">
        <v>1994</v>
      </c>
      <c r="F278">
        <f t="shared" ref="F278:T278" ca="1" si="170">F148/$F148</f>
        <v>1</v>
      </c>
      <c r="G278">
        <f t="shared" ca="1" si="170"/>
        <v>0.99052986747260907</v>
      </c>
      <c r="H278">
        <f t="shared" ca="1" si="170"/>
        <v>0.98197822665862222</v>
      </c>
      <c r="I278">
        <f t="shared" ca="1" si="170"/>
        <v>0.88868475251361356</v>
      </c>
      <c r="J278">
        <f t="shared" ca="1" si="170"/>
        <v>0.83060548845439319</v>
      </c>
      <c r="K278">
        <f t="shared" ca="1" si="170"/>
        <v>0.77034630206053401</v>
      </c>
      <c r="L278">
        <f t="shared" ca="1" si="170"/>
        <v>0.69024530200010914</v>
      </c>
      <c r="M278">
        <f t="shared" ca="1" si="170"/>
        <v>0.56118437832691836</v>
      </c>
      <c r="N278">
        <f t="shared" ca="1" si="170"/>
        <v>0.34165372064463401</v>
      </c>
      <c r="O278">
        <f t="shared" ca="1" si="170"/>
        <v>0.27933168419896737</v>
      </c>
      <c r="P278">
        <f t="shared" ca="1" si="170"/>
        <v>0.13421200045006784</v>
      </c>
      <c r="Q278">
        <f t="shared" ca="1" si="170"/>
        <v>0.10144807417674266</v>
      </c>
      <c r="R278">
        <f t="shared" ca="1" si="170"/>
        <v>5.971553765857017E-2</v>
      </c>
      <c r="S278">
        <f t="shared" ca="1" si="170"/>
        <v>3.7576417871923444E-2</v>
      </c>
      <c r="T278">
        <f t="shared" ca="1" si="170"/>
        <v>9.074700469604971E-3</v>
      </c>
    </row>
    <row r="279" spans="5:20" x14ac:dyDescent="0.15">
      <c r="E279">
        <v>1995</v>
      </c>
      <c r="F279">
        <f t="shared" ref="F279:T279" ca="1" si="171">F149/$F149</f>
        <v>1</v>
      </c>
      <c r="G279">
        <f t="shared" ca="1" si="171"/>
        <v>0.98882582194507918</v>
      </c>
      <c r="H279">
        <f t="shared" ca="1" si="171"/>
        <v>0.97982940074753067</v>
      </c>
      <c r="I279">
        <f t="shared" ca="1" si="171"/>
        <v>0.9174137888364392</v>
      </c>
      <c r="J279">
        <f t="shared" ca="1" si="171"/>
        <v>0.61319962853933774</v>
      </c>
      <c r="K279">
        <f t="shared" ca="1" si="171"/>
        <v>0.49967693171382399</v>
      </c>
      <c r="L279">
        <f t="shared" ca="1" si="171"/>
        <v>0.44301392531498385</v>
      </c>
      <c r="M279">
        <f t="shared" ca="1" si="171"/>
        <v>0.38509675239826224</v>
      </c>
      <c r="N279">
        <f t="shared" ca="1" si="171"/>
        <v>0.31567901140400773</v>
      </c>
      <c r="O279">
        <f t="shared" ca="1" si="171"/>
        <v>0.19278203811214528</v>
      </c>
      <c r="P279">
        <f t="shared" ca="1" si="171"/>
        <v>0.16027022067788724</v>
      </c>
      <c r="Q279">
        <f t="shared" ca="1" si="171"/>
        <v>7.7324877568001091E-2</v>
      </c>
      <c r="R279">
        <f t="shared" ca="1" si="171"/>
        <v>5.9258462912916955E-2</v>
      </c>
      <c r="S279">
        <f t="shared" ca="1" si="171"/>
        <v>3.6340752067234264E-2</v>
      </c>
      <c r="T279">
        <f t="shared" ca="1" si="171"/>
        <v>2.4219909290400771E-2</v>
      </c>
    </row>
    <row r="280" spans="5:20" x14ac:dyDescent="0.15">
      <c r="E280">
        <v>1996</v>
      </c>
      <c r="F280">
        <f t="shared" ref="F280:T280" ca="1" si="172">F150/$F150</f>
        <v>1</v>
      </c>
      <c r="G280">
        <f t="shared" ca="1" si="172"/>
        <v>0.99490776331558561</v>
      </c>
      <c r="H280">
        <f t="shared" ca="1" si="172"/>
        <v>0.98561968239684161</v>
      </c>
      <c r="I280">
        <f t="shared" ca="1" si="172"/>
        <v>0.95731687672633725</v>
      </c>
      <c r="J280">
        <f t="shared" ca="1" si="172"/>
        <v>0.82974465406916631</v>
      </c>
      <c r="K280">
        <f t="shared" ca="1" si="172"/>
        <v>0.4223474998430351</v>
      </c>
      <c r="L280">
        <f t="shared" ca="1" si="172"/>
        <v>0.30760587644237541</v>
      </c>
      <c r="M280">
        <f t="shared" ca="1" si="172"/>
        <v>0.2656267526559003</v>
      </c>
      <c r="N280">
        <f t="shared" ca="1" si="172"/>
        <v>0.22309023381649504</v>
      </c>
      <c r="O280">
        <f t="shared" ca="1" si="172"/>
        <v>0.17342415895557289</v>
      </c>
      <c r="P280">
        <f t="shared" ca="1" si="172"/>
        <v>0.10423485853346126</v>
      </c>
      <c r="Q280">
        <f t="shared" ca="1" si="172"/>
        <v>8.5721509591332137E-2</v>
      </c>
      <c r="R280">
        <f t="shared" ca="1" si="172"/>
        <v>3.8966507400238416E-2</v>
      </c>
      <c r="S280">
        <f t="shared" ca="1" si="172"/>
        <v>2.9196051041168257E-2</v>
      </c>
      <c r="T280">
        <f t="shared" ca="1" si="172"/>
        <v>1.73866703093907E-2</v>
      </c>
    </row>
    <row r="281" spans="5:20" x14ac:dyDescent="0.15">
      <c r="E281">
        <v>1997</v>
      </c>
      <c r="F281">
        <f t="shared" ref="F281:T281" ca="1" si="173">F151/$F151</f>
        <v>1</v>
      </c>
      <c r="G281">
        <f t="shared" ca="1" si="173"/>
        <v>0.99639899185256453</v>
      </c>
      <c r="H281">
        <f t="shared" ca="1" si="173"/>
        <v>0.99418944025181855</v>
      </c>
      <c r="I281">
        <f t="shared" ca="1" si="173"/>
        <v>0.96787431827216552</v>
      </c>
      <c r="J281">
        <f t="shared" ca="1" si="173"/>
        <v>0.90665513835375022</v>
      </c>
      <c r="K281">
        <f t="shared" ca="1" si="173"/>
        <v>0.72833783332581947</v>
      </c>
      <c r="L281">
        <f t="shared" ca="1" si="173"/>
        <v>0.33553788296158438</v>
      </c>
      <c r="M281">
        <f t="shared" ca="1" si="173"/>
        <v>0.23771714023481363</v>
      </c>
      <c r="N281">
        <f t="shared" ca="1" si="173"/>
        <v>0.19971643730089964</v>
      </c>
      <c r="O281">
        <f t="shared" ca="1" si="173"/>
        <v>0.16780280290640789</v>
      </c>
      <c r="P281">
        <f t="shared" ca="1" si="173"/>
        <v>0.13195720104970263</v>
      </c>
      <c r="Q281">
        <f t="shared" ca="1" si="173"/>
        <v>7.8880192411910827E-2</v>
      </c>
      <c r="R281">
        <f t="shared" ca="1" si="173"/>
        <v>6.4520160296446055E-2</v>
      </c>
      <c r="S281">
        <f t="shared" ca="1" si="173"/>
        <v>2.9191326906274885E-2</v>
      </c>
      <c r="T281">
        <f t="shared" ca="1" si="173"/>
        <v>2.2139389318318544E-2</v>
      </c>
    </row>
    <row r="282" spans="5:20" x14ac:dyDescent="0.15">
      <c r="E282">
        <v>1998</v>
      </c>
      <c r="F282">
        <f t="shared" ref="F282:T282" ca="1" si="174">F152/$F152</f>
        <v>1</v>
      </c>
      <c r="G282">
        <f t="shared" ca="1" si="174"/>
        <v>0.99159684293869021</v>
      </c>
      <c r="H282">
        <f t="shared" ca="1" si="174"/>
        <v>0.99033729601202802</v>
      </c>
      <c r="I282">
        <f t="shared" ca="1" si="174"/>
        <v>0.98296280144557868</v>
      </c>
      <c r="J282">
        <f t="shared" ca="1" si="174"/>
        <v>0.88471214333750847</v>
      </c>
      <c r="K282">
        <f t="shared" ca="1" si="174"/>
        <v>0.77830415547379861</v>
      </c>
      <c r="L282">
        <f t="shared" ca="1" si="174"/>
        <v>0.58186826263331659</v>
      </c>
      <c r="M282">
        <f t="shared" ca="1" si="174"/>
        <v>0.25344224901014811</v>
      </c>
      <c r="N282">
        <f t="shared" ca="1" si="174"/>
        <v>0.17553330398361502</v>
      </c>
      <c r="O282">
        <f t="shared" ca="1" si="174"/>
        <v>0.14833757558327712</v>
      </c>
      <c r="P282">
        <f t="shared" ca="1" si="174"/>
        <v>0.12574951743113852</v>
      </c>
      <c r="Q282">
        <f t="shared" ca="1" si="174"/>
        <v>9.9090836180646277E-2</v>
      </c>
      <c r="R282">
        <f t="shared" ca="1" si="174"/>
        <v>5.7743900176606668E-2</v>
      </c>
      <c r="S282">
        <f t="shared" ca="1" si="174"/>
        <v>4.6541967012817542E-2</v>
      </c>
      <c r="T282">
        <f t="shared" ca="1" si="174"/>
        <v>2.0255552648523925E-2</v>
      </c>
    </row>
    <row r="283" spans="5:20" x14ac:dyDescent="0.15">
      <c r="E283">
        <v>1999</v>
      </c>
      <c r="F283">
        <f t="shared" ref="F283:T283" ca="1" si="175">F153/$F153</f>
        <v>1</v>
      </c>
      <c r="G283">
        <f t="shared" ca="1" si="175"/>
        <v>0.9888992606153717</v>
      </c>
      <c r="H283">
        <f t="shared" ca="1" si="175"/>
        <v>0.98391423050305737</v>
      </c>
      <c r="I283">
        <f t="shared" ca="1" si="175"/>
        <v>0.97442118434957403</v>
      </c>
      <c r="J283">
        <f t="shared" ca="1" si="175"/>
        <v>0.9404508961994088</v>
      </c>
      <c r="K283">
        <f t="shared" ca="1" si="175"/>
        <v>0.72106340195520613</v>
      </c>
      <c r="L283">
        <f t="shared" ca="1" si="175"/>
        <v>0.52328783327611794</v>
      </c>
      <c r="M283">
        <f t="shared" ca="1" si="175"/>
        <v>0.33547333235678428</v>
      </c>
      <c r="N283">
        <f t="shared" ca="1" si="175"/>
        <v>0.12868798400583334</v>
      </c>
      <c r="O283">
        <f t="shared" ca="1" si="175"/>
        <v>8.3860059221296676E-2</v>
      </c>
      <c r="P283">
        <f t="shared" ca="1" si="175"/>
        <v>6.9529291301693774E-2</v>
      </c>
      <c r="Q283">
        <f t="shared" ca="1" si="175"/>
        <v>5.8361776952157003E-2</v>
      </c>
      <c r="R283">
        <f t="shared" ca="1" si="175"/>
        <v>4.5971595536806728E-2</v>
      </c>
      <c r="S283">
        <f t="shared" ca="1" si="175"/>
        <v>2.8099501086708237E-2</v>
      </c>
      <c r="T283">
        <f t="shared" ca="1" si="175"/>
        <v>2.3018855878248857E-2</v>
      </c>
    </row>
    <row r="284" spans="5:20" x14ac:dyDescent="0.15">
      <c r="E284">
        <v>2000</v>
      </c>
      <c r="F284">
        <f t="shared" ref="F284:T284" ca="1" si="176">F154/$F154</f>
        <v>1</v>
      </c>
      <c r="G284">
        <f t="shared" ca="1" si="176"/>
        <v>0.99565621779916924</v>
      </c>
      <c r="H284">
        <f t="shared" ca="1" si="176"/>
        <v>0.98930252222572346</v>
      </c>
      <c r="I284">
        <f t="shared" ca="1" si="176"/>
        <v>0.97070968030542926</v>
      </c>
      <c r="J284">
        <f t="shared" ca="1" si="176"/>
        <v>0.94459022243797797</v>
      </c>
      <c r="K284">
        <f t="shared" ca="1" si="176"/>
        <v>0.86908522888530237</v>
      </c>
      <c r="L284">
        <f t="shared" ca="1" si="176"/>
        <v>0.5664406636282584</v>
      </c>
      <c r="M284">
        <f t="shared" ca="1" si="176"/>
        <v>0.37765477608678427</v>
      </c>
      <c r="N284">
        <f t="shared" ca="1" si="176"/>
        <v>0.23077467476732655</v>
      </c>
      <c r="O284">
        <f t="shared" ca="1" si="176"/>
        <v>8.7071946133065972E-2</v>
      </c>
      <c r="P284">
        <f t="shared" ca="1" si="176"/>
        <v>5.8651331320984046E-2</v>
      </c>
      <c r="Q284">
        <f t="shared" ca="1" si="176"/>
        <v>4.9638142255170353E-2</v>
      </c>
      <c r="R284">
        <f t="shared" ca="1" si="176"/>
        <v>4.1962726098344706E-2</v>
      </c>
      <c r="S284">
        <f t="shared" ca="1" si="176"/>
        <v>3.3881299868321439E-2</v>
      </c>
      <c r="T284">
        <f t="shared" ca="1" si="176"/>
        <v>1.9620312961407278E-2</v>
      </c>
    </row>
    <row r="285" spans="5:20" x14ac:dyDescent="0.15">
      <c r="E285">
        <v>2001</v>
      </c>
      <c r="F285">
        <f t="shared" ref="F285:T285" ca="1" si="177">F155/$F155</f>
        <v>1</v>
      </c>
      <c r="G285">
        <f t="shared" ca="1" si="177"/>
        <v>0.99722848282190701</v>
      </c>
      <c r="H285">
        <f t="shared" ca="1" si="177"/>
        <v>0.99303762262100603</v>
      </c>
      <c r="I285">
        <f t="shared" ca="1" si="177"/>
        <v>0.95523749022040749</v>
      </c>
      <c r="J285">
        <f t="shared" ca="1" si="177"/>
        <v>0.88295524266182346</v>
      </c>
      <c r="K285">
        <f t="shared" ca="1" si="177"/>
        <v>0.82646935229558849</v>
      </c>
      <c r="L285">
        <f t="shared" ca="1" si="177"/>
        <v>0.72010316962632692</v>
      </c>
      <c r="M285">
        <f t="shared" ca="1" si="177"/>
        <v>0.36083658728989659</v>
      </c>
      <c r="N285">
        <f t="shared" ca="1" si="177"/>
        <v>0.20411290857887068</v>
      </c>
      <c r="O285">
        <f t="shared" ca="1" si="177"/>
        <v>0.1100028849750883</v>
      </c>
      <c r="P285">
        <f t="shared" ca="1" si="177"/>
        <v>3.6897946816991795E-2</v>
      </c>
      <c r="Q285">
        <f t="shared" ca="1" si="177"/>
        <v>2.3979762667639199E-2</v>
      </c>
      <c r="R285">
        <f t="shared" ca="1" si="177"/>
        <v>2.0074116031123232E-2</v>
      </c>
      <c r="S285">
        <f t="shared" ca="1" si="177"/>
        <v>1.6701583344606086E-2</v>
      </c>
      <c r="T285">
        <f t="shared" ca="1" si="177"/>
        <v>1.3058036667948754E-2</v>
      </c>
    </row>
    <row r="286" spans="5:20" x14ac:dyDescent="0.15">
      <c r="E286">
        <v>2002</v>
      </c>
      <c r="F286">
        <f t="shared" ref="F286:T286" ca="1" si="178">F156/$F156</f>
        <v>1</v>
      </c>
      <c r="G286">
        <f t="shared" ca="1" si="178"/>
        <v>0.99713678437772801</v>
      </c>
      <c r="H286">
        <f t="shared" ca="1" si="178"/>
        <v>0.99225385698662383</v>
      </c>
      <c r="I286">
        <f t="shared" ca="1" si="178"/>
        <v>0.97194503964456302</v>
      </c>
      <c r="J286">
        <f t="shared" ca="1" si="178"/>
        <v>0.85846491220402033</v>
      </c>
      <c r="K286">
        <f t="shared" ca="1" si="178"/>
        <v>0.72689434525105279</v>
      </c>
      <c r="L286">
        <f t="shared" ca="1" si="178"/>
        <v>0.64602726323604687</v>
      </c>
      <c r="M286">
        <f t="shared" ca="1" si="178"/>
        <v>0.51808326203856525</v>
      </c>
      <c r="N286">
        <f t="shared" ca="1" si="178"/>
        <v>0.23999837539673796</v>
      </c>
      <c r="O286">
        <f t="shared" ca="1" si="178"/>
        <v>0.13577129282084188</v>
      </c>
      <c r="P286">
        <f t="shared" ca="1" si="178"/>
        <v>7.6206773869235106E-2</v>
      </c>
      <c r="Q286">
        <f t="shared" ca="1" si="178"/>
        <v>2.4653017411433015E-2</v>
      </c>
      <c r="R286">
        <f t="shared" ca="1" si="178"/>
        <v>1.601154376980796E-2</v>
      </c>
      <c r="S286">
        <f t="shared" ca="1" si="178"/>
        <v>1.3402782349597872E-2</v>
      </c>
      <c r="T286">
        <f t="shared" ca="1" si="178"/>
        <v>1.1445943383485695E-2</v>
      </c>
    </row>
    <row r="287" spans="5:20" x14ac:dyDescent="0.15">
      <c r="E287">
        <v>2003</v>
      </c>
      <c r="F287">
        <f t="shared" ref="F287:T287" ca="1" si="179">F157/$F157</f>
        <v>1</v>
      </c>
      <c r="G287">
        <f t="shared" ca="1" si="179"/>
        <v>0.9931337213256396</v>
      </c>
      <c r="H287">
        <f t="shared" ca="1" si="179"/>
        <v>0.98701936214690345</v>
      </c>
      <c r="I287">
        <f t="shared" ca="1" si="179"/>
        <v>0.97531859091653206</v>
      </c>
      <c r="J287">
        <f t="shared" ca="1" si="179"/>
        <v>0.92303357253931972</v>
      </c>
      <c r="K287">
        <f t="shared" ca="1" si="179"/>
        <v>0.7446815774443335</v>
      </c>
      <c r="L287">
        <f t="shared" ca="1" si="179"/>
        <v>0.58565850396732011</v>
      </c>
      <c r="M287">
        <f t="shared" ca="1" si="179"/>
        <v>0.49913882620374</v>
      </c>
      <c r="N287">
        <f t="shared" ca="1" si="179"/>
        <v>0.38496422552171961</v>
      </c>
      <c r="O287">
        <f t="shared" ca="1" si="179"/>
        <v>0.17207429924797935</v>
      </c>
      <c r="P287">
        <f t="shared" ca="1" si="179"/>
        <v>9.5681784373467055E-2</v>
      </c>
      <c r="Q287">
        <f t="shared" ca="1" si="179"/>
        <v>5.1182627492461559E-2</v>
      </c>
      <c r="R287">
        <f t="shared" ca="1" si="179"/>
        <v>1.6611909679460364E-2</v>
      </c>
      <c r="S287">
        <f t="shared" ca="1" si="179"/>
        <v>1.0415206971476633E-2</v>
      </c>
      <c r="T287">
        <f t="shared" ca="1" si="179"/>
        <v>8.5926408646772572E-3</v>
      </c>
    </row>
    <row r="288" spans="5:20" x14ac:dyDescent="0.15">
      <c r="E288">
        <v>2004</v>
      </c>
      <c r="F288">
        <f t="shared" ref="F288:T288" ca="1" si="180">F158/$F158</f>
        <v>1</v>
      </c>
      <c r="G288">
        <f t="shared" ca="1" si="180"/>
        <v>0.99717079169726686</v>
      </c>
      <c r="H288">
        <f t="shared" ca="1" si="180"/>
        <v>0.98814010840564415</v>
      </c>
      <c r="I288">
        <f t="shared" ca="1" si="180"/>
        <v>0.95329078499524134</v>
      </c>
      <c r="J288">
        <f t="shared" ca="1" si="180"/>
        <v>0.90076452351398284</v>
      </c>
      <c r="K288">
        <f t="shared" ca="1" si="180"/>
        <v>0.79835826026337942</v>
      </c>
      <c r="L288">
        <f t="shared" ca="1" si="180"/>
        <v>0.57194648081143218</v>
      </c>
      <c r="M288">
        <f t="shared" ca="1" si="180"/>
        <v>0.41056121598690792</v>
      </c>
      <c r="N288">
        <f t="shared" ca="1" si="180"/>
        <v>0.33516710488846396</v>
      </c>
      <c r="O288">
        <f t="shared" ca="1" si="180"/>
        <v>0.2535715944091062</v>
      </c>
      <c r="P288">
        <f t="shared" ca="1" si="180"/>
        <v>0.10727644940411785</v>
      </c>
      <c r="Q288">
        <f t="shared" ca="1" si="180"/>
        <v>5.8608101554993373E-2</v>
      </c>
      <c r="R288">
        <f t="shared" ca="1" si="180"/>
        <v>3.1314504774994228E-2</v>
      </c>
      <c r="S288">
        <f t="shared" ca="1" si="180"/>
        <v>1.0391591833016356E-2</v>
      </c>
      <c r="T288">
        <f t="shared" ca="1" si="180"/>
        <v>6.4737791936729221E-3</v>
      </c>
    </row>
    <row r="289" spans="5:20" x14ac:dyDescent="0.15">
      <c r="E289">
        <v>2005</v>
      </c>
      <c r="F289">
        <f t="shared" ref="F289:T289" ca="1" si="181">F159/$F159</f>
        <v>1</v>
      </c>
      <c r="G289">
        <f t="shared" ca="1" si="181"/>
        <v>0.99846232561945425</v>
      </c>
      <c r="H289">
        <f t="shared" ca="1" si="181"/>
        <v>0.99363049563880845</v>
      </c>
      <c r="I289">
        <f t="shared" ca="1" si="181"/>
        <v>0.95933533459577514</v>
      </c>
      <c r="J289">
        <f t="shared" ca="1" si="181"/>
        <v>0.88483227666908859</v>
      </c>
      <c r="K289">
        <f t="shared" ca="1" si="181"/>
        <v>0.78923860805302593</v>
      </c>
      <c r="L289">
        <f t="shared" ca="1" si="181"/>
        <v>0.66631830965240957</v>
      </c>
      <c r="M289">
        <f t="shared" ca="1" si="181"/>
        <v>0.4557296829728083</v>
      </c>
      <c r="N289">
        <f t="shared" ca="1" si="181"/>
        <v>0.31509363960402897</v>
      </c>
      <c r="O289">
        <f t="shared" ca="1" si="181"/>
        <v>0.25791638844988857</v>
      </c>
      <c r="P289">
        <f t="shared" ca="1" si="181"/>
        <v>0.19689961590059318</v>
      </c>
      <c r="Q289">
        <f t="shared" ca="1" si="181"/>
        <v>8.814969392537772E-2</v>
      </c>
      <c r="R289">
        <f t="shared" ca="1" si="181"/>
        <v>5.1186229435057261E-2</v>
      </c>
      <c r="S289">
        <f t="shared" ca="1" si="181"/>
        <v>2.7700641936040261E-2</v>
      </c>
      <c r="T289">
        <f t="shared" ca="1" si="181"/>
        <v>8.6120195970715296E-3</v>
      </c>
    </row>
    <row r="290" spans="5:20" x14ac:dyDescent="0.15">
      <c r="E290">
        <v>2006</v>
      </c>
      <c r="F290">
        <f t="shared" ref="F290:T290" ca="1" si="182">F160/$F160</f>
        <v>1</v>
      </c>
      <c r="G290">
        <f t="shared" ca="1" si="182"/>
        <v>0.99790460871980446</v>
      </c>
      <c r="H290">
        <f t="shared" ca="1" si="182"/>
        <v>0.99470933236881232</v>
      </c>
      <c r="I290">
        <f t="shared" ca="1" si="182"/>
        <v>0.96758884006880963</v>
      </c>
      <c r="J290">
        <f t="shared" ca="1" si="182"/>
        <v>0.85253997235649459</v>
      </c>
      <c r="K290">
        <f t="shared" ca="1" si="182"/>
        <v>0.68768366659488656</v>
      </c>
      <c r="L290">
        <f t="shared" ca="1" si="182"/>
        <v>0.53963842397561435</v>
      </c>
      <c r="M290">
        <f t="shared" ca="1" si="182"/>
        <v>0.41646879454009933</v>
      </c>
      <c r="N290">
        <f t="shared" ca="1" si="182"/>
        <v>0.26688593412984363</v>
      </c>
      <c r="O290">
        <f t="shared" ca="1" si="182"/>
        <v>0.17875196120489142</v>
      </c>
      <c r="P290">
        <f t="shared" ca="1" si="182"/>
        <v>0.14510666619762366</v>
      </c>
      <c r="Q290">
        <f t="shared" ca="1" si="182"/>
        <v>0.10947817803027793</v>
      </c>
      <c r="R290">
        <f t="shared" ca="1" si="182"/>
        <v>4.7527334461931747E-2</v>
      </c>
      <c r="S290">
        <f t="shared" ca="1" si="182"/>
        <v>2.7045149451605865E-2</v>
      </c>
      <c r="T290">
        <f t="shared" ca="1" si="182"/>
        <v>1.4893558063824353E-2</v>
      </c>
    </row>
    <row r="291" spans="5:20" x14ac:dyDescent="0.15">
      <c r="E291">
        <v>2007</v>
      </c>
      <c r="F291">
        <f t="shared" ref="F291:T291" ca="1" si="183">F161/$F161</f>
        <v>1</v>
      </c>
      <c r="G291">
        <f t="shared" ca="1" si="183"/>
        <v>0.99866171819757754</v>
      </c>
      <c r="H291">
        <f t="shared" ca="1" si="183"/>
        <v>0.99760095100501056</v>
      </c>
      <c r="I291">
        <f t="shared" ca="1" si="183"/>
        <v>0.98433834553788369</v>
      </c>
      <c r="J291">
        <f t="shared" ca="1" si="183"/>
        <v>0.89536739722152026</v>
      </c>
      <c r="K291">
        <f t="shared" ca="1" si="183"/>
        <v>0.65615625932767163</v>
      </c>
      <c r="L291">
        <f t="shared" ca="1" si="183"/>
        <v>0.43077167029350766</v>
      </c>
      <c r="M291">
        <f t="shared" ca="1" si="183"/>
        <v>0.30206673203319173</v>
      </c>
      <c r="N291">
        <f t="shared" ca="1" si="183"/>
        <v>0.22313330815787971</v>
      </c>
      <c r="O291">
        <f t="shared" ca="1" si="183"/>
        <v>0.13792084970080734</v>
      </c>
      <c r="P291">
        <f t="shared" ca="1" si="183"/>
        <v>9.4030949024353966E-2</v>
      </c>
      <c r="Q291">
        <f t="shared" ca="1" si="183"/>
        <v>7.5653376752767579E-2</v>
      </c>
      <c r="R291">
        <f t="shared" ca="1" si="183"/>
        <v>5.7297650927342972E-2</v>
      </c>
      <c r="S291">
        <f t="shared" ca="1" si="183"/>
        <v>2.6231672557329968E-2</v>
      </c>
      <c r="T291">
        <f t="shared" ca="1" si="183"/>
        <v>1.2482390943500959E-2</v>
      </c>
    </row>
    <row r="292" spans="5:20" x14ac:dyDescent="0.15">
      <c r="E292">
        <v>2008</v>
      </c>
      <c r="F292">
        <f t="shared" ref="F292:T292" ca="1" si="184">F162/$F162</f>
        <v>1</v>
      </c>
      <c r="G292">
        <f t="shared" ca="1" si="184"/>
        <v>0.99518551528825183</v>
      </c>
      <c r="H292">
        <f t="shared" ca="1" si="184"/>
        <v>0.99465782971899941</v>
      </c>
      <c r="I292">
        <f t="shared" ca="1" si="184"/>
        <v>0.99159055201911184</v>
      </c>
      <c r="J292">
        <f t="shared" ca="1" si="184"/>
        <v>0.9603167824350175</v>
      </c>
      <c r="K292">
        <f t="shared" ca="1" si="184"/>
        <v>0.83277972220668195</v>
      </c>
      <c r="L292">
        <f t="shared" ca="1" si="184"/>
        <v>0.60036803608880673</v>
      </c>
      <c r="M292">
        <f t="shared" ca="1" si="184"/>
        <v>0.39147596532214513</v>
      </c>
      <c r="N292">
        <f t="shared" ca="1" si="184"/>
        <v>0.28146490044708061</v>
      </c>
      <c r="O292">
        <f t="shared" ca="1" si="184"/>
        <v>0.20632935021655932</v>
      </c>
      <c r="P292">
        <f t="shared" ca="1" si="184"/>
        <v>0.12415425454048357</v>
      </c>
      <c r="Q292">
        <f t="shared" ca="1" si="184"/>
        <v>8.1830541981689472E-2</v>
      </c>
      <c r="R292">
        <f t="shared" ca="1" si="184"/>
        <v>6.5293036275972632E-2</v>
      </c>
      <c r="S292">
        <f t="shared" ca="1" si="184"/>
        <v>4.8323405943636211E-2</v>
      </c>
      <c r="T292">
        <f t="shared" ca="1" si="184"/>
        <v>2.014174263476886E-2</v>
      </c>
    </row>
    <row r="293" spans="5:20" x14ac:dyDescent="0.15">
      <c r="E293">
        <v>2009</v>
      </c>
      <c r="F293">
        <f t="shared" ref="F293:T293" ca="1" si="185">F163/$F163</f>
        <v>1</v>
      </c>
      <c r="G293">
        <f t="shared" ca="1" si="185"/>
        <v>0.99518551528825183</v>
      </c>
      <c r="H293">
        <f t="shared" ca="1" si="185"/>
        <v>0.99465782971899941</v>
      </c>
      <c r="I293">
        <f t="shared" ca="1" si="185"/>
        <v>0.99159055201911184</v>
      </c>
      <c r="J293">
        <f t="shared" ca="1" si="185"/>
        <v>0.9603167824350175</v>
      </c>
      <c r="K293">
        <f t="shared" ca="1" si="185"/>
        <v>0.83277972220668195</v>
      </c>
      <c r="L293">
        <f t="shared" ca="1" si="185"/>
        <v>0.60036803608880673</v>
      </c>
      <c r="M293">
        <f t="shared" ca="1" si="185"/>
        <v>0.39147596532214513</v>
      </c>
      <c r="N293">
        <f t="shared" ca="1" si="185"/>
        <v>0.28146490044708061</v>
      </c>
      <c r="O293">
        <f t="shared" ca="1" si="185"/>
        <v>0.20632935021655932</v>
      </c>
      <c r="P293">
        <f t="shared" ca="1" si="185"/>
        <v>0.12415425454048357</v>
      </c>
      <c r="Q293">
        <f t="shared" ca="1" si="185"/>
        <v>8.1830541981689472E-2</v>
      </c>
      <c r="R293">
        <f t="shared" ca="1" si="185"/>
        <v>6.5293036275972632E-2</v>
      </c>
      <c r="S293">
        <f t="shared" ca="1" si="185"/>
        <v>4.8323405943636211E-2</v>
      </c>
      <c r="T293">
        <f t="shared" ca="1" si="185"/>
        <v>2.014174263476886E-2</v>
      </c>
    </row>
    <row r="298" spans="5:20" x14ac:dyDescent="0.15">
      <c r="E298" s="21" t="s">
        <v>91</v>
      </c>
      <c r="F298">
        <f ca="1">AVERAGE(F266:F293)</f>
        <v>1</v>
      </c>
      <c r="G298">
        <f t="shared" ref="G298:T298" ca="1" si="186">AVERAGE(G266:G293)</f>
        <v>0.99410921343481751</v>
      </c>
      <c r="H298">
        <f t="shared" ca="1" si="186"/>
        <v>0.98570348463627899</v>
      </c>
      <c r="I298">
        <f t="shared" ca="1" si="186"/>
        <v>0.95062789198166253</v>
      </c>
      <c r="J298">
        <f t="shared" ca="1" si="186"/>
        <v>0.8422722148828099</v>
      </c>
      <c r="K298">
        <f t="shared" ca="1" si="186"/>
        <v>0.68631613592616802</v>
      </c>
      <c r="L298">
        <f t="shared" ca="1" si="186"/>
        <v>0.50846186461196885</v>
      </c>
      <c r="M298">
        <f t="shared" ca="1" si="186"/>
        <v>0.34999881823600532</v>
      </c>
      <c r="N298">
        <f t="shared" ca="1" si="186"/>
        <v>0.23409022926632389</v>
      </c>
      <c r="O298">
        <f t="shared" ca="1" si="186"/>
        <v>0.15396882792283775</v>
      </c>
      <c r="P298">
        <f t="shared" ca="1" si="186"/>
        <v>0.10064096698193563</v>
      </c>
      <c r="Q298">
        <f t="shared" ca="1" si="186"/>
        <v>6.5679279611548444E-2</v>
      </c>
      <c r="R298">
        <f t="shared" ca="1" si="186"/>
        <v>4.3007551060304204E-2</v>
      </c>
      <c r="S298">
        <f t="shared" ca="1" si="186"/>
        <v>2.6834087751039373E-2</v>
      </c>
      <c r="T298">
        <f t="shared" ca="1" si="186"/>
        <v>1.4079638973273476E-2</v>
      </c>
    </row>
    <row r="306" spans="5:23" x14ac:dyDescent="0.15">
      <c r="E306" s="21" t="s">
        <v>92</v>
      </c>
    </row>
    <row r="307" spans="5:23" x14ac:dyDescent="0.15">
      <c r="E307" s="31">
        <v>1982</v>
      </c>
      <c r="F307" s="31">
        <v>956.92040607315187</v>
      </c>
      <c r="G307" s="31">
        <v>2242.9886135956899</v>
      </c>
      <c r="H307" s="31">
        <v>2467.2326551923134</v>
      </c>
      <c r="I307" s="31">
        <v>3155.6816319692466</v>
      </c>
      <c r="J307" s="31">
        <v>1074.4230752246378</v>
      </c>
      <c r="K307" s="31">
        <v>145.61806968833267</v>
      </c>
      <c r="L307" s="31">
        <v>101.28934741744804</v>
      </c>
      <c r="M307" s="31">
        <v>48.640956149953624</v>
      </c>
      <c r="N307" s="31">
        <v>30.523338504942259</v>
      </c>
      <c r="O307" s="31">
        <v>19.398044352213407</v>
      </c>
      <c r="P307" s="31">
        <v>11.818340206843509</v>
      </c>
      <c r="Q307" s="31">
        <v>7.2289529610715357</v>
      </c>
      <c r="R307" s="31">
        <v>2.3159799743345046</v>
      </c>
      <c r="S307" s="31">
        <v>0.88440078196258265</v>
      </c>
      <c r="T307" s="31">
        <v>0.30716050176459297</v>
      </c>
      <c r="W307" s="27">
        <f t="shared" ref="W307:W329" si="187">SUM(F307:T307)</f>
        <v>10265.270972593909</v>
      </c>
    </row>
    <row r="308" spans="5:23" x14ac:dyDescent="0.15">
      <c r="E308" s="31">
        <v>1983</v>
      </c>
      <c r="F308" s="31">
        <v>1694.6170063530583</v>
      </c>
      <c r="G308" s="31">
        <v>616.13473604177261</v>
      </c>
      <c r="H308" s="31">
        <v>1487.784163511478</v>
      </c>
      <c r="I308" s="31">
        <v>2640.5232803223489</v>
      </c>
      <c r="J308" s="31">
        <v>5884.4468690383319</v>
      </c>
      <c r="K308" s="31">
        <v>1808.5143692431486</v>
      </c>
      <c r="L308" s="31">
        <v>333.07007021943946</v>
      </c>
      <c r="M308" s="31">
        <v>182.34190485664371</v>
      </c>
      <c r="N308" s="31">
        <v>82.641248876425522</v>
      </c>
      <c r="O308" s="31">
        <v>70.83035626255672</v>
      </c>
      <c r="P308" s="31">
        <v>53.14970132914965</v>
      </c>
      <c r="Q308" s="31">
        <v>18.712981468780189</v>
      </c>
      <c r="R308" s="31">
        <v>7.4817504420510828</v>
      </c>
      <c r="S308" s="31">
        <v>6.2825047853685376</v>
      </c>
      <c r="T308" s="31">
        <v>2.3818535886659702</v>
      </c>
      <c r="W308" s="27">
        <f t="shared" si="187"/>
        <v>14888.912796339218</v>
      </c>
    </row>
    <row r="309" spans="5:23" x14ac:dyDescent="0.15">
      <c r="E309" s="31">
        <v>1984</v>
      </c>
      <c r="F309" s="31">
        <v>363.93182458024251</v>
      </c>
      <c r="G309" s="31">
        <v>270.07258905387806</v>
      </c>
      <c r="H309" s="31">
        <v>399.60697649133363</v>
      </c>
      <c r="I309" s="31">
        <v>1156.1620092584228</v>
      </c>
      <c r="J309" s="31">
        <v>1462.4404138426346</v>
      </c>
      <c r="K309" s="31">
        <v>3435.5220168619376</v>
      </c>
      <c r="L309" s="31">
        <v>653.93917633432341</v>
      </c>
      <c r="M309" s="31">
        <v>145.46772722155171</v>
      </c>
      <c r="N309" s="31">
        <v>67.936063122971319</v>
      </c>
      <c r="O309" s="31">
        <v>24.23787756200981</v>
      </c>
      <c r="P309" s="31">
        <v>16.222233942695233</v>
      </c>
      <c r="Q309" s="31">
        <v>6.3897379159950667</v>
      </c>
      <c r="R309" s="31">
        <v>3.7170122463415596</v>
      </c>
      <c r="S309" s="31">
        <v>4.5415451694190772</v>
      </c>
      <c r="T309" s="31">
        <v>2.1802832811081907</v>
      </c>
      <c r="W309" s="27">
        <f t="shared" si="187"/>
        <v>8012.3674868848648</v>
      </c>
    </row>
    <row r="310" spans="5:23" x14ac:dyDescent="0.15">
      <c r="E310" s="31">
        <v>1985</v>
      </c>
      <c r="F310" s="31">
        <v>4967.5685225304678</v>
      </c>
      <c r="G310" s="31">
        <v>670.8717161332429</v>
      </c>
      <c r="H310" s="31">
        <v>2539.8175395643084</v>
      </c>
      <c r="I310" s="31">
        <v>814.12621794097902</v>
      </c>
      <c r="J310" s="31">
        <v>2851.0923449456968</v>
      </c>
      <c r="K310" s="31">
        <v>1862.7741152444364</v>
      </c>
      <c r="L310" s="31">
        <v>1300.6547176289375</v>
      </c>
      <c r="M310" s="31">
        <v>257.37703546309626</v>
      </c>
      <c r="N310" s="31">
        <v>66.386322655394125</v>
      </c>
      <c r="O310" s="31">
        <v>54.482849666495845</v>
      </c>
      <c r="P310" s="31">
        <v>18.544902169999315</v>
      </c>
      <c r="Q310" s="31">
        <v>6.3377636835756608</v>
      </c>
      <c r="R310" s="31">
        <v>6.8396232200717844</v>
      </c>
      <c r="S310" s="31">
        <v>0.74506636608614207</v>
      </c>
      <c r="T310" s="31">
        <v>0.31112270493009292</v>
      </c>
      <c r="W310" s="27">
        <f t="shared" si="187"/>
        <v>15417.929859917716</v>
      </c>
    </row>
    <row r="311" spans="5:23" x14ac:dyDescent="0.15">
      <c r="E311" s="31">
        <v>1986</v>
      </c>
      <c r="F311" s="31">
        <v>2206.3444357970311</v>
      </c>
      <c r="G311" s="31">
        <v>327.22263928695992</v>
      </c>
      <c r="H311" s="31">
        <v>371.06219575609242</v>
      </c>
      <c r="I311" s="31">
        <v>1385.4422309855265</v>
      </c>
      <c r="J311" s="31">
        <v>845.46880307436516</v>
      </c>
      <c r="K311" s="31">
        <v>1431.5556751701458</v>
      </c>
      <c r="L311" s="31">
        <v>1262.5411596192621</v>
      </c>
      <c r="M311" s="31">
        <v>1161.7412628657555</v>
      </c>
      <c r="N311" s="31">
        <v>369.92311594357079</v>
      </c>
      <c r="O311" s="31">
        <v>57.465506345257204</v>
      </c>
      <c r="P311" s="31">
        <v>26.535579404112628</v>
      </c>
      <c r="Q311" s="31">
        <v>11.512101612852412</v>
      </c>
      <c r="R311" s="31">
        <v>0.91896473857166083</v>
      </c>
      <c r="S311" s="31">
        <v>2.9700051267597196</v>
      </c>
      <c r="T311" s="31">
        <v>0</v>
      </c>
      <c r="W311" s="27">
        <f t="shared" si="187"/>
        <v>9460.7036757262631</v>
      </c>
    </row>
    <row r="312" spans="5:23" x14ac:dyDescent="0.15">
      <c r="E312" s="31">
        <v>1987</v>
      </c>
      <c r="F312" s="31">
        <v>309.5238647639431</v>
      </c>
      <c r="G312" s="31">
        <v>556.62113188084777</v>
      </c>
      <c r="H312" s="31">
        <v>735.63668162734552</v>
      </c>
      <c r="I312" s="31">
        <v>529.9783271051806</v>
      </c>
      <c r="J312" s="31">
        <v>3309.1111815851627</v>
      </c>
      <c r="K312" s="31">
        <v>930.46404482053924</v>
      </c>
      <c r="L312" s="31">
        <v>942.11506179335618</v>
      </c>
      <c r="M312" s="31">
        <v>372.01437657054083</v>
      </c>
      <c r="N312" s="31">
        <v>1212.7764862295267</v>
      </c>
      <c r="O312" s="31">
        <v>191.52855029094272</v>
      </c>
      <c r="P312" s="31">
        <v>58.391698889015132</v>
      </c>
      <c r="Q312" s="31">
        <v>23.522007895114513</v>
      </c>
      <c r="R312" s="31">
        <v>4.8847328142687392</v>
      </c>
      <c r="S312" s="31">
        <v>2.0987717270465764</v>
      </c>
      <c r="T312" s="31">
        <v>1.472080402883728</v>
      </c>
      <c r="W312" s="27">
        <f t="shared" si="187"/>
        <v>9180.138998395716</v>
      </c>
    </row>
    <row r="313" spans="5:23" x14ac:dyDescent="0.15">
      <c r="E313" s="31">
        <v>1988</v>
      </c>
      <c r="F313" s="31">
        <v>820.49250221521743</v>
      </c>
      <c r="G313" s="31">
        <v>448.91717960021089</v>
      </c>
      <c r="H313" s="31">
        <v>1231.6483789387883</v>
      </c>
      <c r="I313" s="31">
        <v>2353.9165915742478</v>
      </c>
      <c r="J313" s="31">
        <v>1042.3424578234903</v>
      </c>
      <c r="K313" s="31">
        <v>3417.7117638307759</v>
      </c>
      <c r="L313" s="31">
        <v>1031.3562692159337</v>
      </c>
      <c r="M313" s="31">
        <v>809.28250232454729</v>
      </c>
      <c r="N313" s="31">
        <v>475.95752569286981</v>
      </c>
      <c r="O313" s="31">
        <v>1152.1309269801463</v>
      </c>
      <c r="P313" s="31">
        <v>110.40415194334388</v>
      </c>
      <c r="Q313" s="31">
        <v>65.904191349138515</v>
      </c>
      <c r="R313" s="31">
        <v>13.123798786438215</v>
      </c>
      <c r="S313" s="31">
        <v>16.866680665520622</v>
      </c>
      <c r="T313" s="31">
        <v>7.4430325773466794</v>
      </c>
      <c r="W313" s="27">
        <f t="shared" si="187"/>
        <v>12997.497953518014</v>
      </c>
    </row>
    <row r="314" spans="5:23" x14ac:dyDescent="0.15">
      <c r="E314" s="31">
        <v>1989</v>
      </c>
      <c r="F314" s="31">
        <v>670.39080040338877</v>
      </c>
      <c r="G314" s="31">
        <v>227.08936962319282</v>
      </c>
      <c r="H314" s="31">
        <v>444.85441055506197</v>
      </c>
      <c r="I314" s="31">
        <v>1458.13381905189</v>
      </c>
      <c r="J314" s="31">
        <v>3285.9710793834083</v>
      </c>
      <c r="K314" s="31">
        <v>659.07268675100784</v>
      </c>
      <c r="L314" s="31">
        <v>2531.3540152148539</v>
      </c>
      <c r="M314" s="31">
        <v>385.85237702996409</v>
      </c>
      <c r="N314" s="31">
        <v>476.58228877515478</v>
      </c>
      <c r="O314" s="31">
        <v>183.88356346141802</v>
      </c>
      <c r="P314" s="31">
        <v>586.79458946689329</v>
      </c>
      <c r="Q314" s="31">
        <v>100.91525794726587</v>
      </c>
      <c r="R314" s="31">
        <v>88.732449055418414</v>
      </c>
      <c r="S314" s="31">
        <v>44.089273841456695</v>
      </c>
      <c r="T314" s="31">
        <v>59.071073333168258</v>
      </c>
      <c r="W314" s="27">
        <f t="shared" si="187"/>
        <v>11202.787053893544</v>
      </c>
    </row>
    <row r="315" spans="5:23" x14ac:dyDescent="0.15">
      <c r="E315" s="31">
        <v>1990</v>
      </c>
      <c r="F315" s="31">
        <v>1741.9401712759925</v>
      </c>
      <c r="G315" s="31">
        <v>213.55415088103854</v>
      </c>
      <c r="H315" s="31">
        <v>71.83942337187149</v>
      </c>
      <c r="I315" s="31">
        <v>555.54267925377485</v>
      </c>
      <c r="J315" s="31">
        <v>1117.795362931741</v>
      </c>
      <c r="K315" s="31">
        <v>3779.9583227653193</v>
      </c>
      <c r="L315" s="31">
        <v>764.61323898142564</v>
      </c>
      <c r="M315" s="31">
        <v>1920.2403786377758</v>
      </c>
      <c r="N315" s="31">
        <v>198.85472930577359</v>
      </c>
      <c r="O315" s="31">
        <v>375.76027264007251</v>
      </c>
      <c r="P315" s="31">
        <v>58.191358362177702</v>
      </c>
      <c r="Q315" s="31">
        <v>548.18622749080191</v>
      </c>
      <c r="R315" s="31">
        <v>46.732229195707603</v>
      </c>
      <c r="S315" s="31">
        <v>35.845539846019335</v>
      </c>
      <c r="T315" s="31">
        <v>46.638848004345135</v>
      </c>
      <c r="W315" s="27">
        <f t="shared" si="187"/>
        <v>11475.692932943835</v>
      </c>
    </row>
    <row r="316" spans="5:23" x14ac:dyDescent="0.15">
      <c r="E316" s="31">
        <v>1991</v>
      </c>
      <c r="F316" s="31">
        <v>2468.8634283364622</v>
      </c>
      <c r="G316" s="31">
        <v>656.62097550030535</v>
      </c>
      <c r="H316" s="31">
        <v>234.36418746690313</v>
      </c>
      <c r="I316" s="31">
        <v>69.500653517947882</v>
      </c>
      <c r="J316" s="31">
        <v>469.91900647977479</v>
      </c>
      <c r="K316" s="31">
        <v>439.37371689689223</v>
      </c>
      <c r="L316" s="31">
        <v>1452.0191786968883</v>
      </c>
      <c r="M316" s="31">
        <v>545.46227641570158</v>
      </c>
      <c r="N316" s="31">
        <v>1177.9365271479237</v>
      </c>
      <c r="O316" s="31">
        <v>308.30269405094384</v>
      </c>
      <c r="P316" s="31">
        <v>424.67006990716044</v>
      </c>
      <c r="Q316" s="31">
        <v>88.085797198552015</v>
      </c>
      <c r="R316" s="31">
        <v>267.7926852027208</v>
      </c>
      <c r="S316" s="31">
        <v>37.627121976221758</v>
      </c>
      <c r="T316" s="31">
        <v>31.691273060275574</v>
      </c>
      <c r="W316" s="27">
        <f t="shared" si="187"/>
        <v>8672.2295918546733</v>
      </c>
    </row>
    <row r="317" spans="5:23" x14ac:dyDescent="0.15">
      <c r="E317" s="31">
        <v>1992</v>
      </c>
      <c r="F317" s="31">
        <v>1279.8162768307538</v>
      </c>
      <c r="G317" s="31">
        <v>300.816944494273</v>
      </c>
      <c r="H317" s="31">
        <v>1728.8457656155731</v>
      </c>
      <c r="I317" s="31">
        <v>289.20644361014337</v>
      </c>
      <c r="J317" s="31">
        <v>324.18437255482854</v>
      </c>
      <c r="K317" s="31">
        <v>545.00962822615224</v>
      </c>
      <c r="L317" s="31">
        <v>485.48087906917044</v>
      </c>
      <c r="M317" s="31">
        <v>699.90919719427529</v>
      </c>
      <c r="N317" s="31">
        <v>315.37267732110371</v>
      </c>
      <c r="O317" s="31">
        <v>604.18666896258753</v>
      </c>
      <c r="P317" s="31">
        <v>215.46308648180673</v>
      </c>
      <c r="Q317" s="31">
        <v>272.36515684303572</v>
      </c>
      <c r="R317" s="31">
        <v>118.74777255496384</v>
      </c>
      <c r="S317" s="31">
        <v>93.546518293476893</v>
      </c>
      <c r="T317" s="31">
        <v>72.758415076362851</v>
      </c>
      <c r="W317" s="27">
        <f t="shared" si="187"/>
        <v>7345.7098031285077</v>
      </c>
    </row>
    <row r="318" spans="5:23" x14ac:dyDescent="0.15">
      <c r="E318" s="31">
        <v>1993</v>
      </c>
      <c r="F318" s="31">
        <v>2219.1290113225577</v>
      </c>
      <c r="G318" s="31">
        <v>294.68300298774233</v>
      </c>
      <c r="H318" s="31">
        <v>735.24537721125535</v>
      </c>
      <c r="I318" s="31">
        <v>3065.8811187249062</v>
      </c>
      <c r="J318" s="31">
        <v>667.44045505642907</v>
      </c>
      <c r="K318" s="31">
        <v>537.03832778380718</v>
      </c>
      <c r="L318" s="31">
        <v>283.98762876647885</v>
      </c>
      <c r="M318" s="31">
        <v>395.89327802747977</v>
      </c>
      <c r="N318" s="31">
        <v>543.12690670083191</v>
      </c>
      <c r="O318" s="31">
        <v>335.1309633111872</v>
      </c>
      <c r="P318" s="31">
        <v>294.36618852363688</v>
      </c>
      <c r="Q318" s="31">
        <v>213.91639038091336</v>
      </c>
      <c r="R318" s="31">
        <v>169.16110630286036</v>
      </c>
      <c r="S318" s="31">
        <v>93.511131100283365</v>
      </c>
      <c r="T318" s="31">
        <v>110.41603978614734</v>
      </c>
      <c r="W318" s="27">
        <f t="shared" si="187"/>
        <v>9958.9269259865159</v>
      </c>
    </row>
    <row r="319" spans="5:23" x14ac:dyDescent="0.15">
      <c r="E319" s="31">
        <v>1994</v>
      </c>
      <c r="F319" s="31">
        <v>1121.7002493021491</v>
      </c>
      <c r="G319" s="31">
        <v>377.06857592072527</v>
      </c>
      <c r="H319" s="31">
        <v>406.90539875432358</v>
      </c>
      <c r="I319" s="31">
        <v>1188.5518472590425</v>
      </c>
      <c r="J319" s="31">
        <v>3225.2309393013156</v>
      </c>
      <c r="K319" s="31">
        <v>565.17277213653358</v>
      </c>
      <c r="L319" s="31">
        <v>149.7267689437785</v>
      </c>
      <c r="M319" s="31">
        <v>131.37199122626561</v>
      </c>
      <c r="N319" s="31">
        <v>148.97427468144679</v>
      </c>
      <c r="O319" s="31">
        <v>282.59836509348912</v>
      </c>
      <c r="P319" s="31">
        <v>172.97815860316874</v>
      </c>
      <c r="Q319" s="31">
        <v>243.89331712488467</v>
      </c>
      <c r="R319" s="31">
        <v>89.874787655792701</v>
      </c>
      <c r="S319" s="31">
        <v>87.340033958445417</v>
      </c>
      <c r="T319" s="31">
        <v>134.08235833919028</v>
      </c>
      <c r="W319" s="27">
        <f t="shared" si="187"/>
        <v>8325.4698383005507</v>
      </c>
    </row>
    <row r="320" spans="5:23" x14ac:dyDescent="0.15">
      <c r="E320" s="31">
        <v>1995</v>
      </c>
      <c r="F320" s="31">
        <v>1086.6282527129204</v>
      </c>
      <c r="G320" s="31">
        <v>91.50219402035593</v>
      </c>
      <c r="H320" s="31">
        <v>285.84898238169774</v>
      </c>
      <c r="I320" s="31">
        <v>1302.8928156588918</v>
      </c>
      <c r="J320" s="31">
        <v>1704.3968033758345</v>
      </c>
      <c r="K320" s="31">
        <v>2718.2337901890505</v>
      </c>
      <c r="L320" s="31">
        <v>1149.9476107350517</v>
      </c>
      <c r="M320" s="31">
        <v>303.07681374258624</v>
      </c>
      <c r="N320" s="31">
        <v>187.02991911440023</v>
      </c>
      <c r="O320" s="31">
        <v>121.23377380825659</v>
      </c>
      <c r="P320" s="31">
        <v>229.72561735750341</v>
      </c>
      <c r="Q320" s="31">
        <v>93.193733899481032</v>
      </c>
      <c r="R320" s="31">
        <v>174.40587812768382</v>
      </c>
      <c r="S320" s="31">
        <v>70.077366545553247</v>
      </c>
      <c r="T320" s="31">
        <v>99.685283999242898</v>
      </c>
      <c r="W320" s="27">
        <f t="shared" si="187"/>
        <v>9617.8788356685091</v>
      </c>
    </row>
    <row r="321" spans="5:23" x14ac:dyDescent="0.15">
      <c r="E321" s="31">
        <v>1996</v>
      </c>
      <c r="F321" s="31">
        <v>1421.108968311145</v>
      </c>
      <c r="G321" s="31">
        <v>341.60326543007113</v>
      </c>
      <c r="H321" s="31">
        <v>158.13881820402827</v>
      </c>
      <c r="I321" s="31">
        <v>313.01691361921996</v>
      </c>
      <c r="J321" s="31">
        <v>795.1886727547203</v>
      </c>
      <c r="K321" s="31">
        <v>1108.6851510688939</v>
      </c>
      <c r="L321" s="31">
        <v>1016.2497214776803</v>
      </c>
      <c r="M321" s="31">
        <v>346.16115125749502</v>
      </c>
      <c r="N321" s="31">
        <v>86.829422333229743</v>
      </c>
      <c r="O321" s="31">
        <v>93.819663254569761</v>
      </c>
      <c r="P321" s="31">
        <v>64.397961569527979</v>
      </c>
      <c r="Q321" s="31">
        <v>122.67507300718187</v>
      </c>
      <c r="R321" s="31">
        <v>40.081567969048379</v>
      </c>
      <c r="S321" s="31">
        <v>73.660786263413669</v>
      </c>
      <c r="T321" s="31">
        <v>97.28660393029206</v>
      </c>
      <c r="W321" s="27">
        <f t="shared" si="187"/>
        <v>6078.9037404505161</v>
      </c>
    </row>
    <row r="322" spans="5:23" x14ac:dyDescent="0.15">
      <c r="E322" s="31">
        <v>1997</v>
      </c>
      <c r="F322" s="31">
        <v>2190.8948877720868</v>
      </c>
      <c r="G322" s="31">
        <v>329.52009798549818</v>
      </c>
      <c r="H322" s="31">
        <v>153.6848819635639</v>
      </c>
      <c r="I322" s="31">
        <v>190.96183792828765</v>
      </c>
      <c r="J322" s="31">
        <v>2290.4148750588256</v>
      </c>
      <c r="K322" s="31">
        <v>1041.7378813182006</v>
      </c>
      <c r="L322" s="31">
        <v>636.67134231407204</v>
      </c>
      <c r="M322" s="31">
        <v>791.81137170767431</v>
      </c>
      <c r="N322" s="31">
        <v>137.9858171161479</v>
      </c>
      <c r="O322" s="31">
        <v>70.867884466184222</v>
      </c>
      <c r="P322" s="31">
        <v>53.328353886522237</v>
      </c>
      <c r="Q322" s="31">
        <v>59.16174949297406</v>
      </c>
      <c r="R322" s="31">
        <v>96.411981125096545</v>
      </c>
      <c r="S322" s="31">
        <v>31.575660870149186</v>
      </c>
      <c r="T322" s="31">
        <v>110.45096760036894</v>
      </c>
      <c r="W322" s="27">
        <f t="shared" si="187"/>
        <v>8185.4795906056524</v>
      </c>
    </row>
    <row r="323" spans="5:23" x14ac:dyDescent="0.15">
      <c r="E323" s="31">
        <v>1998</v>
      </c>
      <c r="F323" s="31">
        <v>622.2510239186206</v>
      </c>
      <c r="G323" s="31">
        <v>547.78612386940131</v>
      </c>
      <c r="H323" s="31">
        <v>282.72933090523424</v>
      </c>
      <c r="I323" s="31">
        <v>190.84170086852083</v>
      </c>
      <c r="J323" s="31">
        <v>369.22523155641903</v>
      </c>
      <c r="K323" s="31">
        <v>2110.4492293134554</v>
      </c>
      <c r="L323" s="31">
        <v>545.52239563713226</v>
      </c>
      <c r="M323" s="31">
        <v>349.50499114205638</v>
      </c>
      <c r="N323" s="31">
        <v>273.03737283993979</v>
      </c>
      <c r="O323" s="31">
        <v>68.573208502203741</v>
      </c>
      <c r="P323" s="31">
        <v>31.117876752254713</v>
      </c>
      <c r="Q323" s="31">
        <v>10.886257011247219</v>
      </c>
      <c r="R323" s="31">
        <v>24.133953396238088</v>
      </c>
      <c r="S323" s="31">
        <v>27.774622561769906</v>
      </c>
      <c r="T323" s="31">
        <v>64.497264860715759</v>
      </c>
      <c r="W323" s="27">
        <f t="shared" si="187"/>
        <v>5518.3305831352091</v>
      </c>
    </row>
    <row r="324" spans="5:23" x14ac:dyDescent="0.15">
      <c r="E324" s="31">
        <v>1999</v>
      </c>
      <c r="F324" s="31">
        <v>804.6902078976907</v>
      </c>
      <c r="G324" s="31">
        <v>689.67508966749369</v>
      </c>
      <c r="H324" s="31">
        <v>648.20703107912334</v>
      </c>
      <c r="I324" s="31">
        <v>704.21856908902112</v>
      </c>
      <c r="J324" s="31">
        <v>403.55762550122199</v>
      </c>
      <c r="K324" s="31">
        <v>729.45236225272743</v>
      </c>
      <c r="L324" s="31">
        <v>1856.485950474691</v>
      </c>
      <c r="M324" s="31">
        <v>517.46597577816476</v>
      </c>
      <c r="N324" s="31">
        <v>261.63716265231568</v>
      </c>
      <c r="O324" s="31">
        <v>244.91066410902408</v>
      </c>
      <c r="P324" s="31">
        <v>91.244061342104274</v>
      </c>
      <c r="Q324" s="31">
        <v>38.833078406117671</v>
      </c>
      <c r="R324" s="31">
        <v>15.768976722629544</v>
      </c>
      <c r="S324" s="31">
        <v>23.962354966450555</v>
      </c>
      <c r="T324" s="31">
        <v>80.993443717863087</v>
      </c>
      <c r="W324" s="27">
        <f t="shared" si="187"/>
        <v>7111.1025536566367</v>
      </c>
    </row>
    <row r="325" spans="5:23" x14ac:dyDescent="0.15">
      <c r="E325" s="31">
        <v>2000</v>
      </c>
      <c r="F325" s="31">
        <v>907.89280937872854</v>
      </c>
      <c r="G325" s="31">
        <v>281.61187816750277</v>
      </c>
      <c r="H325" s="31">
        <v>353.03219323842876</v>
      </c>
      <c r="I325" s="31">
        <v>1187.2255570289103</v>
      </c>
      <c r="J325" s="31">
        <v>1218.366952251539</v>
      </c>
      <c r="K325" s="31">
        <v>645.11988999253879</v>
      </c>
      <c r="L325" s="31">
        <v>568.23032506533787</v>
      </c>
      <c r="M325" s="31">
        <v>1869.9108781006003</v>
      </c>
      <c r="N325" s="31">
        <v>735.12058877226389</v>
      </c>
      <c r="O325" s="31">
        <v>393.57420212665318</v>
      </c>
      <c r="P325" s="31">
        <v>172.19150204406594</v>
      </c>
      <c r="Q325" s="31">
        <v>115.72156059977371</v>
      </c>
      <c r="R325" s="31">
        <v>36.123065593309626</v>
      </c>
      <c r="S325" s="31">
        <v>16.360764116461596</v>
      </c>
      <c r="T325" s="31">
        <v>73.984574821573787</v>
      </c>
      <c r="W325" s="27">
        <f t="shared" si="187"/>
        <v>8574.4667412976887</v>
      </c>
    </row>
    <row r="326" spans="5:23" x14ac:dyDescent="0.15">
      <c r="E326" s="31">
        <v>2001</v>
      </c>
      <c r="F326" s="31">
        <v>1465.3706033722733</v>
      </c>
      <c r="G326" s="31">
        <v>838.22158111099623</v>
      </c>
      <c r="H326" s="31">
        <v>441.36390312842184</v>
      </c>
      <c r="I326" s="31">
        <v>407.51075558246339</v>
      </c>
      <c r="J326" s="31">
        <v>1036.0980842292258</v>
      </c>
      <c r="K326" s="31">
        <v>1095.4093267484329</v>
      </c>
      <c r="L326" s="31">
        <v>475.99012953164595</v>
      </c>
      <c r="M326" s="31">
        <v>240.03456588328416</v>
      </c>
      <c r="N326" s="31">
        <v>720.96867467648076</v>
      </c>
      <c r="O326" s="31">
        <v>521.94820844706032</v>
      </c>
      <c r="P326" s="31">
        <v>203.15400833854972</v>
      </c>
      <c r="Q326" s="31">
        <v>163.68696536334016</v>
      </c>
      <c r="R326" s="31">
        <v>59.10032285962189</v>
      </c>
      <c r="S326" s="31">
        <v>24.023164237610612</v>
      </c>
      <c r="T326" s="31">
        <v>62.969327453640531</v>
      </c>
      <c r="W326" s="27">
        <f t="shared" si="187"/>
        <v>7755.8496209630475</v>
      </c>
    </row>
    <row r="327" spans="5:23" x14ac:dyDescent="0.15">
      <c r="E327" s="31">
        <v>2002</v>
      </c>
      <c r="F327" s="31">
        <v>649.24229796829252</v>
      </c>
      <c r="G327" s="31">
        <v>298.12545630901889</v>
      </c>
      <c r="H327" s="31">
        <v>625.34237667968796</v>
      </c>
      <c r="I327" s="31">
        <v>904.35158804967432</v>
      </c>
      <c r="J327" s="31">
        <v>933.1407672489006</v>
      </c>
      <c r="K327" s="31">
        <v>1215.6554302414702</v>
      </c>
      <c r="L327" s="31">
        <v>634.31312025176953</v>
      </c>
      <c r="M327" s="31">
        <v>309.92502836128983</v>
      </c>
      <c r="N327" s="31">
        <v>425.90399617898959</v>
      </c>
      <c r="O327" s="31">
        <v>802.03066834264303</v>
      </c>
      <c r="P327" s="31">
        <v>400.3559160632808</v>
      </c>
      <c r="Q327" s="31">
        <v>181.00047844597998</v>
      </c>
      <c r="R327" s="31">
        <v>107.57106827127744</v>
      </c>
      <c r="S327" s="31">
        <v>33.243995423513041</v>
      </c>
      <c r="T327" s="31">
        <v>37.491028540472158</v>
      </c>
      <c r="W327" s="27">
        <f t="shared" si="187"/>
        <v>7557.6932163762604</v>
      </c>
    </row>
    <row r="328" spans="5:23" x14ac:dyDescent="0.15">
      <c r="E328" s="31">
        <v>2003</v>
      </c>
      <c r="F328" s="31">
        <v>371.62686468163804</v>
      </c>
      <c r="G328" s="31">
        <v>121.56970631618647</v>
      </c>
      <c r="H328" s="31">
        <v>725.7897569101018</v>
      </c>
      <c r="I328" s="31">
        <v>1184.596583948347</v>
      </c>
      <c r="J328" s="31">
        <v>1385.533503345282</v>
      </c>
      <c r="K328" s="31">
        <v>1253.8436009805991</v>
      </c>
      <c r="L328" s="31">
        <v>1665.9065746450437</v>
      </c>
      <c r="M328" s="31">
        <v>924.21518565309498</v>
      </c>
      <c r="N328" s="31">
        <v>415.97576598311252</v>
      </c>
      <c r="O328" s="31">
        <v>542.67406008739408</v>
      </c>
      <c r="P328" s="31">
        <v>1093.4667486061194</v>
      </c>
      <c r="Q328" s="31">
        <v>474.31689719993625</v>
      </c>
      <c r="R328" s="31">
        <v>180.46294643254527</v>
      </c>
      <c r="S328" s="31">
        <v>90.254514954020493</v>
      </c>
      <c r="T328" s="31">
        <v>68.873783655247678</v>
      </c>
      <c r="W328" s="27">
        <f t="shared" si="187"/>
        <v>10499.106493398667</v>
      </c>
    </row>
    <row r="329" spans="5:23" x14ac:dyDescent="0.15">
      <c r="E329" s="31">
        <v>2004</v>
      </c>
      <c r="F329" s="31">
        <v>313.75797603885138</v>
      </c>
      <c r="G329" s="31">
        <v>225.46929005125239</v>
      </c>
      <c r="H329" s="31">
        <v>141.99685841166431</v>
      </c>
      <c r="I329" s="31">
        <v>1047.060972032114</v>
      </c>
      <c r="J329" s="31">
        <v>1013.4456443136908</v>
      </c>
      <c r="K329" s="31">
        <v>768.00132437601633</v>
      </c>
      <c r="L329" s="31">
        <v>451.64395322185652</v>
      </c>
      <c r="M329" s="31">
        <v>490.19861826676237</v>
      </c>
      <c r="N329" s="31">
        <v>243.78092567469116</v>
      </c>
      <c r="O329" s="31">
        <v>152.66994517399044</v>
      </c>
      <c r="P329" s="31">
        <v>153.17391567631799</v>
      </c>
      <c r="Q329" s="31">
        <v>277.05985888660013</v>
      </c>
      <c r="R329" s="31">
        <v>118.85073321664576</v>
      </c>
      <c r="S329" s="31">
        <v>29.564004240680486</v>
      </c>
      <c r="T329" s="31">
        <v>22.759357607858352</v>
      </c>
      <c r="W329" s="27">
        <f t="shared" si="187"/>
        <v>5449.4333771889915</v>
      </c>
    </row>
    <row r="330" spans="5:23" x14ac:dyDescent="0.15">
      <c r="E330" s="31">
        <v>2005</v>
      </c>
      <c r="F330" s="31">
        <v>347.38584640830106</v>
      </c>
      <c r="G330" s="31">
        <v>124.01883865143208</v>
      </c>
      <c r="H330" s="31">
        <v>185.29456375553954</v>
      </c>
      <c r="I330" s="31">
        <v>799.12579168113814</v>
      </c>
      <c r="J330" s="31">
        <v>2321.2661861890642</v>
      </c>
      <c r="K330" s="31">
        <v>1580.632870722548</v>
      </c>
      <c r="L330" s="31">
        <v>839.54654715877962</v>
      </c>
      <c r="M330" s="31">
        <v>387.83446427917158</v>
      </c>
      <c r="N330" s="31">
        <v>298.05463404055422</v>
      </c>
      <c r="O330" s="31">
        <v>230.65296071920943</v>
      </c>
      <c r="P330" s="31">
        <v>59.918304124396712</v>
      </c>
      <c r="Q330" s="31">
        <v>127.03322537943288</v>
      </c>
      <c r="R330" s="31">
        <v>207.8958971232459</v>
      </c>
      <c r="S330" s="31">
        <v>81.407447250065744</v>
      </c>
      <c r="T330" s="31">
        <v>84.143706443714521</v>
      </c>
      <c r="W330" s="27">
        <f>SUM(F330:T330)</f>
        <v>7674.2112839265947</v>
      </c>
    </row>
    <row r="331" spans="5:23" x14ac:dyDescent="0.15">
      <c r="E331" s="31">
        <v>2006</v>
      </c>
      <c r="F331" s="31">
        <v>729.44377483759047</v>
      </c>
      <c r="G331" s="31">
        <v>35.952824756630974</v>
      </c>
      <c r="H331" s="31">
        <v>48.410810174266189</v>
      </c>
      <c r="I331" s="31">
        <v>301.72852382258026</v>
      </c>
      <c r="J331" s="31">
        <v>803.99878766942675</v>
      </c>
      <c r="K331" s="31">
        <v>1029.4949947739801</v>
      </c>
      <c r="L331" s="31">
        <v>662.46530562337227</v>
      </c>
      <c r="M331" s="31">
        <v>319.84753608444015</v>
      </c>
      <c r="N331" s="31">
        <v>183.26743156795601</v>
      </c>
      <c r="O331" s="31">
        <v>158.74327410091911</v>
      </c>
      <c r="P331" s="31">
        <v>76.286888857891398</v>
      </c>
      <c r="Q331" s="31">
        <v>47.578539658844029</v>
      </c>
      <c r="R331" s="31">
        <v>68.528426666012976</v>
      </c>
      <c r="S331" s="31">
        <v>92.37038587505387</v>
      </c>
      <c r="T331" s="31">
        <v>90.262517566080064</v>
      </c>
      <c r="W331" s="27">
        <f>SUM(F331:T331)</f>
        <v>4648.3800220350449</v>
      </c>
    </row>
    <row r="332" spans="5:23" x14ac:dyDescent="0.15">
      <c r="E332" s="31">
        <v>2007</v>
      </c>
      <c r="F332" s="31">
        <v>2100.5324497958472</v>
      </c>
      <c r="G332" s="31">
        <v>32.486763171901671</v>
      </c>
      <c r="H332" s="31">
        <v>83.241502091366002</v>
      </c>
      <c r="I332" s="31">
        <v>313.4596062322226</v>
      </c>
      <c r="J332" s="31">
        <v>1062.6234655224823</v>
      </c>
      <c r="K332" s="31">
        <v>1259.5594680541767</v>
      </c>
      <c r="L332" s="31">
        <v>916.34592544289228</v>
      </c>
      <c r="M332" s="31">
        <v>664.33319464440285</v>
      </c>
      <c r="N332" s="31">
        <v>281.79263715153417</v>
      </c>
      <c r="O332" s="31">
        <v>126.73433730498556</v>
      </c>
      <c r="P332" s="31">
        <v>117.76749509065374</v>
      </c>
      <c r="Q332" s="31">
        <v>101.84487713120242</v>
      </c>
      <c r="R332" s="31">
        <v>46.438354104100142</v>
      </c>
      <c r="S332" s="31">
        <v>58.549181551498023</v>
      </c>
      <c r="T332" s="31">
        <v>111.80041380060077</v>
      </c>
      <c r="W332" s="27">
        <f>SUM(F332:T332)</f>
        <v>7277.509671089867</v>
      </c>
    </row>
    <row r="333" spans="5:23" x14ac:dyDescent="0.15">
      <c r="E333" s="31">
        <v>2008</v>
      </c>
      <c r="F333" s="31">
        <v>442.42622092646729</v>
      </c>
      <c r="G333" s="31">
        <v>75.808102965102336</v>
      </c>
      <c r="H333" s="31">
        <v>66.512030698174627</v>
      </c>
      <c r="I333" s="31">
        <v>129.70205155457052</v>
      </c>
      <c r="J333" s="31">
        <v>419.86826915631264</v>
      </c>
      <c r="K333" s="31">
        <v>871.83100893488552</v>
      </c>
      <c r="L333" s="31">
        <v>689.92099204763429</v>
      </c>
      <c r="M333" s="31">
        <v>482.41047881981967</v>
      </c>
      <c r="N333" s="31">
        <v>307.43832583475387</v>
      </c>
      <c r="O333" s="31">
        <v>121.27289809638829</v>
      </c>
      <c r="P333" s="31">
        <v>101.97448644171372</v>
      </c>
      <c r="Q333" s="31">
        <v>77.736067513184992</v>
      </c>
      <c r="R333" s="31">
        <v>35.210957795048181</v>
      </c>
      <c r="S333" s="31">
        <v>19.508909997296698</v>
      </c>
      <c r="T333" s="31">
        <v>122.55874022301757</v>
      </c>
      <c r="W333" s="27">
        <f>SUM(F333:T333)</f>
        <v>3964.1795410043701</v>
      </c>
    </row>
    <row r="334" spans="5:23" x14ac:dyDescent="0.15">
      <c r="E334" s="31">
        <v>2009</v>
      </c>
      <c r="F334" s="31">
        <v>701.16021195033886</v>
      </c>
      <c r="G334" s="31">
        <v>169.748172312609</v>
      </c>
      <c r="H334" s="31">
        <v>333.44678866205078</v>
      </c>
      <c r="I334" s="31">
        <v>344.7922456130695</v>
      </c>
      <c r="J334" s="31">
        <v>194.34281158695245</v>
      </c>
      <c r="K334" s="31">
        <v>309.68332676211611</v>
      </c>
      <c r="L334" s="31">
        <v>442.68077789536534</v>
      </c>
      <c r="M334" s="31">
        <v>353.75357424776593</v>
      </c>
      <c r="N334" s="31">
        <v>259.1857391321127</v>
      </c>
      <c r="O334" s="31">
        <v>126.74526606395087</v>
      </c>
      <c r="P334" s="31">
        <v>84.625270184803398</v>
      </c>
      <c r="Q334" s="31">
        <v>28.521755127240365</v>
      </c>
      <c r="R334" s="31">
        <v>28.653943462917308</v>
      </c>
      <c r="S334" s="31">
        <v>14.975852466063294</v>
      </c>
      <c r="T334" s="31">
        <v>61.305134358164025</v>
      </c>
      <c r="W334" s="27">
        <f>SUM(F334:T334)</f>
        <v>3453.62086982552</v>
      </c>
    </row>
    <row r="335" spans="5:23" x14ac:dyDescent="0.15"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W335" s="27"/>
    </row>
    <row r="336" spans="5:23" x14ac:dyDescent="0.15">
      <c r="E336" s="21" t="s">
        <v>93</v>
      </c>
      <c r="W336" s="27"/>
    </row>
    <row r="337" spans="5:20" x14ac:dyDescent="0.15">
      <c r="E337">
        <v>1982</v>
      </c>
      <c r="F337">
        <f t="shared" ref="F337:T337" si="188">F307*Z40</f>
        <v>28.961882605279399</v>
      </c>
      <c r="G337">
        <f t="shared" si="188"/>
        <v>162.81291872067993</v>
      </c>
      <c r="H337">
        <f t="shared" si="188"/>
        <v>439.40937593811356</v>
      </c>
      <c r="I337">
        <f t="shared" si="188"/>
        <v>1091.9710338280818</v>
      </c>
      <c r="J337">
        <f t="shared" si="188"/>
        <v>474.63102489587271</v>
      </c>
      <c r="K337">
        <f t="shared" si="188"/>
        <v>101.61319703082779</v>
      </c>
      <c r="L337">
        <f t="shared" si="188"/>
        <v>102.15354112329105</v>
      </c>
      <c r="M337">
        <f t="shared" si="188"/>
        <v>54.580619495634934</v>
      </c>
      <c r="N337">
        <f t="shared" si="188"/>
        <v>37.172287626762703</v>
      </c>
      <c r="O337">
        <f t="shared" si="188"/>
        <v>27.377381799620444</v>
      </c>
      <c r="P337">
        <f t="shared" si="188"/>
        <v>18.17647868961792</v>
      </c>
      <c r="Q337">
        <f t="shared" si="188"/>
        <v>9.3103493448852976</v>
      </c>
      <c r="R337">
        <f t="shared" si="188"/>
        <v>3.8442064400299407</v>
      </c>
      <c r="S337">
        <f t="shared" si="188"/>
        <v>1.5516493054175549</v>
      </c>
      <c r="T337">
        <f t="shared" si="188"/>
        <v>0.50565912828060455</v>
      </c>
    </row>
    <row r="338" spans="5:20" x14ac:dyDescent="0.15">
      <c r="E338">
        <v>1983</v>
      </c>
      <c r="F338">
        <f t="shared" ref="F338:F363" si="189">F308*Z41</f>
        <v>28.472596682888835</v>
      </c>
      <c r="G338">
        <f t="shared" ref="G338:G363" si="190">G308*AA41</f>
        <v>115.22512103045638</v>
      </c>
      <c r="H338">
        <f t="shared" ref="H338:H363" si="191">H308*AB41</f>
        <v>495.95022626429824</v>
      </c>
      <c r="I338">
        <f t="shared" ref="I338:I363" si="192">I308*AC41</f>
        <v>1048.7660872418485</v>
      </c>
      <c r="J338">
        <f t="shared" ref="J338:J363" si="193">J308*AD41</f>
        <v>3238.4490952399992</v>
      </c>
      <c r="K338">
        <f t="shared" ref="K338:K363" si="194">K308*AE41</f>
        <v>1207.175387342272</v>
      </c>
      <c r="L338">
        <f t="shared" ref="L338:L363" si="195">L308*AF41</f>
        <v>263.84153423187166</v>
      </c>
      <c r="M338">
        <f t="shared" ref="M338:M363" si="196">M308*AG41</f>
        <v>189.81767811864194</v>
      </c>
      <c r="N338">
        <f t="shared" ref="N338:N363" si="197">N308*AH41</f>
        <v>94.116484976400272</v>
      </c>
      <c r="O338">
        <f t="shared" ref="O338:O363" si="198">O308*AI41</f>
        <v>72.084845656442624</v>
      </c>
      <c r="P338">
        <f t="shared" ref="P338:P363" si="199">P308*AJ41</f>
        <v>59.283502703758202</v>
      </c>
      <c r="Q338">
        <f t="shared" ref="Q338:Q363" si="200">Q308*AK41</f>
        <v>21.384306157083145</v>
      </c>
      <c r="R338">
        <f t="shared" ref="R338:R363" si="201">R308*AL41</f>
        <v>10.660354474804715</v>
      </c>
      <c r="S338">
        <f t="shared" ref="S338:S363" si="202">S308*AM41</f>
        <v>10.136360682049474</v>
      </c>
      <c r="T338">
        <f t="shared" ref="T338:T363" si="203">T308*AN41</f>
        <v>4.3064878132882818</v>
      </c>
    </row>
    <row r="339" spans="5:20" x14ac:dyDescent="0.15">
      <c r="E339">
        <v>1984</v>
      </c>
      <c r="F339">
        <f t="shared" si="189"/>
        <v>5.4116162578251936</v>
      </c>
      <c r="G339">
        <f t="shared" si="190"/>
        <v>15.460731457435566</v>
      </c>
      <c r="H339">
        <f t="shared" si="191"/>
        <v>110.76810259868927</v>
      </c>
      <c r="I339">
        <f t="shared" si="192"/>
        <v>478.84690734438828</v>
      </c>
      <c r="J339">
        <f t="shared" si="193"/>
        <v>914.45627357285071</v>
      </c>
      <c r="K339">
        <f t="shared" si="194"/>
        <v>2578.6694609833635</v>
      </c>
      <c r="L339">
        <f t="shared" si="195"/>
        <v>574.21139355190405</v>
      </c>
      <c r="M339">
        <f t="shared" si="196"/>
        <v>155.18289926083204</v>
      </c>
      <c r="N339">
        <f t="shared" si="197"/>
        <v>83.443168091843432</v>
      </c>
      <c r="O339">
        <f t="shared" si="198"/>
        <v>33.126297223671941</v>
      </c>
      <c r="P339">
        <f t="shared" si="199"/>
        <v>25.890906320188787</v>
      </c>
      <c r="Q339">
        <f t="shared" si="200"/>
        <v>8.2295032960561976</v>
      </c>
      <c r="R339">
        <f t="shared" si="201"/>
        <v>5.2765243464187161</v>
      </c>
      <c r="S339">
        <f t="shared" si="202"/>
        <v>6.8486225393377014</v>
      </c>
      <c r="T339">
        <f t="shared" si="203"/>
        <v>3.5892640394723729</v>
      </c>
    </row>
    <row r="340" spans="5:20" x14ac:dyDescent="0.15">
      <c r="E340">
        <v>1985</v>
      </c>
      <c r="F340">
        <f t="shared" si="189"/>
        <v>121.75836003444319</v>
      </c>
      <c r="G340">
        <f t="shared" si="190"/>
        <v>59.557213277117377</v>
      </c>
      <c r="H340">
        <f t="shared" si="191"/>
        <v>675.82357075948573</v>
      </c>
      <c r="I340">
        <f t="shared" si="192"/>
        <v>338.72651700338827</v>
      </c>
      <c r="J340">
        <f t="shared" si="193"/>
        <v>1424.3549557173235</v>
      </c>
      <c r="K340">
        <f t="shared" si="194"/>
        <v>1384.4225893626642</v>
      </c>
      <c r="L340">
        <f t="shared" si="195"/>
        <v>1139.1266485190565</v>
      </c>
      <c r="M340">
        <f t="shared" si="196"/>
        <v>256.25257603709241</v>
      </c>
      <c r="N340">
        <f t="shared" si="197"/>
        <v>89.153271168316522</v>
      </c>
      <c r="O340">
        <f t="shared" si="198"/>
        <v>62.137764853100862</v>
      </c>
      <c r="P340">
        <f t="shared" si="199"/>
        <v>23.734821091265957</v>
      </c>
      <c r="Q340">
        <f t="shared" si="200"/>
        <v>8.1625643820305065</v>
      </c>
      <c r="R340">
        <f t="shared" si="201"/>
        <v>10.911566560380912</v>
      </c>
      <c r="S340">
        <f t="shared" si="202"/>
        <v>1.2310900830915312</v>
      </c>
      <c r="T340">
        <f t="shared" si="203"/>
        <v>0.51218185560793794</v>
      </c>
    </row>
    <row r="341" spans="5:20" x14ac:dyDescent="0.15">
      <c r="E341">
        <v>1986</v>
      </c>
      <c r="F341">
        <f t="shared" si="189"/>
        <v>34.262545067352626</v>
      </c>
      <c r="G341">
        <f t="shared" si="190"/>
        <v>30.166872565362084</v>
      </c>
      <c r="H341">
        <f t="shared" si="191"/>
        <v>58.061613051308527</v>
      </c>
      <c r="I341">
        <f t="shared" si="192"/>
        <v>560.46572196506054</v>
      </c>
      <c r="J341">
        <f t="shared" si="193"/>
        <v>439.09166451027806</v>
      </c>
      <c r="K341">
        <f t="shared" si="194"/>
        <v>1062.7591199742553</v>
      </c>
      <c r="L341">
        <f t="shared" si="195"/>
        <v>1070.0533322922361</v>
      </c>
      <c r="M341">
        <f t="shared" si="196"/>
        <v>1140.9759502406391</v>
      </c>
      <c r="N341">
        <f t="shared" si="197"/>
        <v>410.48342435362991</v>
      </c>
      <c r="O341">
        <f t="shared" si="198"/>
        <v>79.852034794071528</v>
      </c>
      <c r="P341">
        <f t="shared" si="199"/>
        <v>37.848018375037299</v>
      </c>
      <c r="Q341">
        <f t="shared" si="200"/>
        <v>16.615488442447202</v>
      </c>
      <c r="R341">
        <f t="shared" si="201"/>
        <v>1.3093847407632182</v>
      </c>
      <c r="S341">
        <f t="shared" si="202"/>
        <v>4.7918854375542823</v>
      </c>
      <c r="T341">
        <f t="shared" si="203"/>
        <v>0</v>
      </c>
    </row>
    <row r="342" spans="5:20" x14ac:dyDescent="0.15">
      <c r="E342">
        <v>1987</v>
      </c>
      <c r="F342">
        <f t="shared" si="189"/>
        <v>8.7796938254670955</v>
      </c>
      <c r="G342">
        <f t="shared" si="190"/>
        <v>58.541411169749082</v>
      </c>
      <c r="H342">
        <f t="shared" si="191"/>
        <v>162.46937207460067</v>
      </c>
      <c r="I342">
        <f t="shared" si="192"/>
        <v>187.26966322876132</v>
      </c>
      <c r="J342">
        <f t="shared" si="193"/>
        <v>1521.1948842787933</v>
      </c>
      <c r="K342">
        <f t="shared" si="194"/>
        <v>569.32573801307751</v>
      </c>
      <c r="L342">
        <f t="shared" si="195"/>
        <v>718.03950141805012</v>
      </c>
      <c r="M342">
        <f t="shared" si="196"/>
        <v>322.15825282958434</v>
      </c>
      <c r="N342">
        <f t="shared" si="197"/>
        <v>1154.3034978869875</v>
      </c>
      <c r="O342">
        <f t="shared" si="198"/>
        <v>198.01743271464917</v>
      </c>
      <c r="P342">
        <f t="shared" si="199"/>
        <v>70.042540607799552</v>
      </c>
      <c r="Q342">
        <f t="shared" si="200"/>
        <v>31.708057049975675</v>
      </c>
      <c r="R342">
        <f t="shared" si="201"/>
        <v>7.9262662157851516</v>
      </c>
      <c r="S342">
        <f t="shared" si="202"/>
        <v>4.0313406253072337</v>
      </c>
      <c r="T342">
        <f t="shared" si="203"/>
        <v>2.4233939227369508</v>
      </c>
    </row>
    <row r="343" spans="5:20" x14ac:dyDescent="0.15">
      <c r="E343">
        <v>1988</v>
      </c>
      <c r="F343">
        <f t="shared" si="189"/>
        <v>15.383346781250307</v>
      </c>
      <c r="G343">
        <f t="shared" si="190"/>
        <v>42.302746562143049</v>
      </c>
      <c r="H343">
        <f t="shared" si="191"/>
        <v>389.41597885263002</v>
      </c>
      <c r="I343">
        <f t="shared" si="192"/>
        <v>939.67279387586098</v>
      </c>
      <c r="J343">
        <f t="shared" si="193"/>
        <v>539.59675356433729</v>
      </c>
      <c r="K343">
        <f t="shared" si="194"/>
        <v>2032.1158322016734</v>
      </c>
      <c r="L343">
        <f t="shared" si="195"/>
        <v>712.16208910025466</v>
      </c>
      <c r="M343">
        <f t="shared" si="196"/>
        <v>682.75244964219905</v>
      </c>
      <c r="N343">
        <f t="shared" si="197"/>
        <v>432.20687939504398</v>
      </c>
      <c r="O343">
        <f t="shared" si="198"/>
        <v>1261.6182156029488</v>
      </c>
      <c r="P343">
        <f t="shared" si="199"/>
        <v>136.15888504847851</v>
      </c>
      <c r="Q343">
        <f t="shared" si="200"/>
        <v>81.653254241649634</v>
      </c>
      <c r="R343">
        <f t="shared" si="201"/>
        <v>18.715693317062694</v>
      </c>
      <c r="S343">
        <f t="shared" si="202"/>
        <v>27.213152170267424</v>
      </c>
      <c r="T343">
        <f t="shared" si="203"/>
        <v>12.492135526688527</v>
      </c>
    </row>
    <row r="344" spans="5:20" x14ac:dyDescent="0.15">
      <c r="E344">
        <v>1989</v>
      </c>
      <c r="F344">
        <f t="shared" si="189"/>
        <v>16.814792028028567</v>
      </c>
      <c r="G344">
        <f t="shared" si="190"/>
        <v>21.306740645545055</v>
      </c>
      <c r="H344">
        <f t="shared" si="191"/>
        <v>77.907838908049044</v>
      </c>
      <c r="I344">
        <f t="shared" si="192"/>
        <v>542.70364859085112</v>
      </c>
      <c r="J344">
        <f t="shared" si="193"/>
        <v>1550.6166757396825</v>
      </c>
      <c r="K344">
        <f t="shared" si="194"/>
        <v>373.45269510985787</v>
      </c>
      <c r="L344">
        <f t="shared" si="195"/>
        <v>1667.7652889610242</v>
      </c>
      <c r="M344">
        <f t="shared" si="196"/>
        <v>283.45728978881601</v>
      </c>
      <c r="N344">
        <f t="shared" si="197"/>
        <v>464.73955851017104</v>
      </c>
      <c r="O344">
        <f t="shared" si="198"/>
        <v>177.24194875298053</v>
      </c>
      <c r="P344">
        <f t="shared" si="199"/>
        <v>651.5477126536756</v>
      </c>
      <c r="Q344">
        <f t="shared" si="200"/>
        <v>112.61821585594585</v>
      </c>
      <c r="R344">
        <f t="shared" si="201"/>
        <v>126.4302207985692</v>
      </c>
      <c r="S344">
        <f t="shared" si="202"/>
        <v>71.134809623617059</v>
      </c>
      <c r="T344">
        <f t="shared" si="203"/>
        <v>97.245014501056147</v>
      </c>
    </row>
    <row r="345" spans="5:20" x14ac:dyDescent="0.15">
      <c r="E345">
        <v>1990</v>
      </c>
      <c r="F345">
        <f t="shared" si="189"/>
        <v>44.670420080815759</v>
      </c>
      <c r="G345">
        <f t="shared" si="190"/>
        <v>20.808627077855423</v>
      </c>
      <c r="H345">
        <f t="shared" si="191"/>
        <v>11.750681380145306</v>
      </c>
      <c r="I345">
        <f t="shared" si="192"/>
        <v>203.74329727087985</v>
      </c>
      <c r="J345">
        <f t="shared" si="193"/>
        <v>592.14331742075672</v>
      </c>
      <c r="K345">
        <f t="shared" si="194"/>
        <v>2485.6342999218164</v>
      </c>
      <c r="L345">
        <f t="shared" si="195"/>
        <v>536.54752258965379</v>
      </c>
      <c r="M345">
        <f t="shared" si="196"/>
        <v>1565.3668302922474</v>
      </c>
      <c r="N345">
        <f t="shared" si="197"/>
        <v>179.3286303855829</v>
      </c>
      <c r="O345">
        <f t="shared" si="198"/>
        <v>413.195238683752</v>
      </c>
      <c r="P345">
        <f t="shared" si="199"/>
        <v>68.406574003202991</v>
      </c>
      <c r="Q345">
        <f t="shared" si="200"/>
        <v>657.13137317895746</v>
      </c>
      <c r="R345">
        <f t="shared" si="201"/>
        <v>55.67403614030173</v>
      </c>
      <c r="S345">
        <f t="shared" si="202"/>
        <v>49.04605769801109</v>
      </c>
      <c r="T345">
        <f t="shared" si="203"/>
        <v>73.046000816926039</v>
      </c>
    </row>
    <row r="346" spans="5:20" x14ac:dyDescent="0.15">
      <c r="E346">
        <v>1991</v>
      </c>
      <c r="F346">
        <f t="shared" si="189"/>
        <v>46.806357660816417</v>
      </c>
      <c r="G346">
        <f t="shared" si="190"/>
        <v>39.039871605300398</v>
      </c>
      <c r="H346">
        <f t="shared" si="191"/>
        <v>32.729547317087068</v>
      </c>
      <c r="I346">
        <f t="shared" si="192"/>
        <v>26.263211482166557</v>
      </c>
      <c r="J346">
        <f t="shared" si="193"/>
        <v>257.52242820916592</v>
      </c>
      <c r="K346">
        <f t="shared" si="194"/>
        <v>280.9587091154458</v>
      </c>
      <c r="L346">
        <f t="shared" si="195"/>
        <v>1115.4724971855228</v>
      </c>
      <c r="M346">
        <f t="shared" si="196"/>
        <v>438.88503937910195</v>
      </c>
      <c r="N346">
        <f t="shared" si="197"/>
        <v>1144.7258637302757</v>
      </c>
      <c r="O346">
        <f t="shared" si="198"/>
        <v>311.55032957981251</v>
      </c>
      <c r="P346">
        <f t="shared" si="199"/>
        <v>498.66429638782716</v>
      </c>
      <c r="Q346">
        <f t="shared" si="200"/>
        <v>109.70144597137632</v>
      </c>
      <c r="R346">
        <f t="shared" si="201"/>
        <v>351.9034664399806</v>
      </c>
      <c r="S346">
        <f t="shared" si="202"/>
        <v>53.238963483917246</v>
      </c>
      <c r="T346">
        <f t="shared" si="203"/>
        <v>56.057665718988474</v>
      </c>
    </row>
    <row r="347" spans="5:20" x14ac:dyDescent="0.15">
      <c r="E347">
        <v>1992</v>
      </c>
      <c r="F347">
        <f t="shared" si="189"/>
        <v>37.501966426514876</v>
      </c>
      <c r="G347">
        <f t="shared" si="190"/>
        <v>23.667461697323827</v>
      </c>
      <c r="H347">
        <f t="shared" si="191"/>
        <v>412.76852186649751</v>
      </c>
      <c r="I347">
        <f t="shared" si="192"/>
        <v>107.03191001514001</v>
      </c>
      <c r="J347">
        <f t="shared" si="193"/>
        <v>194.25778540444614</v>
      </c>
      <c r="K347">
        <f t="shared" si="194"/>
        <v>364.64085997444641</v>
      </c>
      <c r="L347">
        <f t="shared" si="195"/>
        <v>422.49414795069669</v>
      </c>
      <c r="M347">
        <f t="shared" si="196"/>
        <v>669.36538674260157</v>
      </c>
      <c r="N347">
        <f t="shared" si="197"/>
        <v>331.82691774785803</v>
      </c>
      <c r="O347">
        <f t="shared" si="198"/>
        <v>640.29305411020812</v>
      </c>
      <c r="P347">
        <f t="shared" si="199"/>
        <v>259.22775345118214</v>
      </c>
      <c r="Q347">
        <f t="shared" si="200"/>
        <v>356.1050988005212</v>
      </c>
      <c r="R347">
        <f t="shared" si="201"/>
        <v>168.31439363768044</v>
      </c>
      <c r="S347">
        <f t="shared" si="202"/>
        <v>132.04550876759595</v>
      </c>
      <c r="T347">
        <f t="shared" si="203"/>
        <v>121.60071202003715</v>
      </c>
    </row>
    <row r="348" spans="5:20" x14ac:dyDescent="0.15">
      <c r="E348">
        <v>1993</v>
      </c>
      <c r="F348">
        <f t="shared" si="189"/>
        <v>43.825989318693637</v>
      </c>
      <c r="G348">
        <f t="shared" si="190"/>
        <v>25.877609571389527</v>
      </c>
      <c r="H348">
        <f t="shared" si="191"/>
        <v>205.42357412307027</v>
      </c>
      <c r="I348">
        <f t="shared" si="192"/>
        <v>1295.8312630260159</v>
      </c>
      <c r="J348">
        <f t="shared" si="193"/>
        <v>337.38902351188369</v>
      </c>
      <c r="K348">
        <f t="shared" si="194"/>
        <v>315.03665843215981</v>
      </c>
      <c r="L348">
        <f t="shared" si="195"/>
        <v>203.82393810636157</v>
      </c>
      <c r="M348">
        <f t="shared" si="196"/>
        <v>328.51281772221159</v>
      </c>
      <c r="N348">
        <f t="shared" si="197"/>
        <v>549.65797208251979</v>
      </c>
      <c r="O348">
        <f t="shared" si="198"/>
        <v>352.60247224948409</v>
      </c>
      <c r="P348">
        <f t="shared" si="199"/>
        <v>342.62508414951634</v>
      </c>
      <c r="Q348">
        <f t="shared" si="200"/>
        <v>273.2534824760308</v>
      </c>
      <c r="R348">
        <f t="shared" si="201"/>
        <v>234.02114491063202</v>
      </c>
      <c r="S348">
        <f t="shared" si="202"/>
        <v>139.84892045070032</v>
      </c>
      <c r="T348">
        <f t="shared" si="203"/>
        <v>201.17007926470026</v>
      </c>
    </row>
    <row r="349" spans="5:20" x14ac:dyDescent="0.15">
      <c r="E349">
        <v>1994</v>
      </c>
      <c r="F349">
        <f t="shared" si="189"/>
        <v>22.321739872629202</v>
      </c>
      <c r="G349">
        <f t="shared" si="190"/>
        <v>26.981905384008591</v>
      </c>
      <c r="H349">
        <f t="shared" si="191"/>
        <v>90.415917684265168</v>
      </c>
      <c r="I349">
        <f t="shared" si="192"/>
        <v>571.05106877152411</v>
      </c>
      <c r="J349">
        <f t="shared" si="193"/>
        <v>2020.4051255842664</v>
      </c>
      <c r="K349">
        <f t="shared" si="194"/>
        <v>388.19403256818345</v>
      </c>
      <c r="L349">
        <f t="shared" si="195"/>
        <v>110.73937404220673</v>
      </c>
      <c r="M349">
        <f t="shared" si="196"/>
        <v>133.46121261193815</v>
      </c>
      <c r="N349">
        <f t="shared" si="197"/>
        <v>175.53265869380616</v>
      </c>
      <c r="O349">
        <f t="shared" si="198"/>
        <v>321.84887330990108</v>
      </c>
      <c r="P349">
        <f t="shared" si="199"/>
        <v>206.68048939968622</v>
      </c>
      <c r="Q349">
        <f t="shared" si="200"/>
        <v>319.48405078262283</v>
      </c>
      <c r="R349">
        <f t="shared" si="201"/>
        <v>124.00623513049264</v>
      </c>
      <c r="S349">
        <f t="shared" si="202"/>
        <v>124.36994115002537</v>
      </c>
      <c r="T349">
        <f t="shared" si="203"/>
        <v>217.63174717985143</v>
      </c>
    </row>
    <row r="350" spans="5:20" x14ac:dyDescent="0.15">
      <c r="E350">
        <v>1995</v>
      </c>
      <c r="F350">
        <f t="shared" si="189"/>
        <v>16.847733408152695</v>
      </c>
      <c r="G350">
        <f t="shared" si="190"/>
        <v>7.2881262804552209</v>
      </c>
      <c r="H350">
        <f t="shared" si="191"/>
        <v>45.597433742283243</v>
      </c>
      <c r="I350">
        <f t="shared" si="192"/>
        <v>490.35888995368572</v>
      </c>
      <c r="J350">
        <f t="shared" si="193"/>
        <v>1054.412936162367</v>
      </c>
      <c r="K350">
        <f t="shared" si="194"/>
        <v>1949.6880980753926</v>
      </c>
      <c r="L350">
        <f t="shared" si="195"/>
        <v>866.74739031301999</v>
      </c>
      <c r="M350">
        <f t="shared" si="196"/>
        <v>283.85892777420304</v>
      </c>
      <c r="N350">
        <f t="shared" si="197"/>
        <v>202.66131817825374</v>
      </c>
      <c r="O350">
        <f t="shared" si="198"/>
        <v>146.71623103458603</v>
      </c>
      <c r="P350">
        <f t="shared" si="199"/>
        <v>285.29894715366174</v>
      </c>
      <c r="Q350">
        <f t="shared" si="200"/>
        <v>122.84855641640479</v>
      </c>
      <c r="R350">
        <f t="shared" si="201"/>
        <v>245.57830699536734</v>
      </c>
      <c r="S350">
        <f t="shared" si="202"/>
        <v>99.283023761444497</v>
      </c>
      <c r="T350">
        <f t="shared" si="203"/>
        <v>165.2112283197533</v>
      </c>
    </row>
    <row r="351" spans="5:20" x14ac:dyDescent="0.15">
      <c r="E351">
        <v>1996</v>
      </c>
      <c r="F351">
        <f t="shared" si="189"/>
        <v>26.670810640285435</v>
      </c>
      <c r="G351">
        <f t="shared" si="190"/>
        <v>22.182313160845656</v>
      </c>
      <c r="H351">
        <f t="shared" si="191"/>
        <v>23.032231478954902</v>
      </c>
      <c r="I351">
        <f t="shared" si="192"/>
        <v>110.96424256334302</v>
      </c>
      <c r="J351">
        <f t="shared" si="193"/>
        <v>382.22688648846616</v>
      </c>
      <c r="K351">
        <f t="shared" si="194"/>
        <v>761.07445021229648</v>
      </c>
      <c r="L351">
        <f t="shared" si="195"/>
        <v>833.64381268026682</v>
      </c>
      <c r="M351">
        <f t="shared" si="196"/>
        <v>305.06039828803324</v>
      </c>
      <c r="N351">
        <f t="shared" si="197"/>
        <v>85.912361622166344</v>
      </c>
      <c r="O351">
        <f t="shared" si="198"/>
        <v>104.46586345576709</v>
      </c>
      <c r="P351">
        <f t="shared" si="199"/>
        <v>83.66854622270327</v>
      </c>
      <c r="Q351">
        <f t="shared" si="200"/>
        <v>171.04145700399965</v>
      </c>
      <c r="R351">
        <f t="shared" si="201"/>
        <v>59.34148810798812</v>
      </c>
      <c r="S351">
        <f t="shared" si="202"/>
        <v>111.05915837654499</v>
      </c>
      <c r="T351">
        <f t="shared" si="203"/>
        <v>154.63647165500544</v>
      </c>
    </row>
    <row r="352" spans="5:20" x14ac:dyDescent="0.15">
      <c r="E352">
        <v>1997</v>
      </c>
      <c r="F352">
        <f t="shared" si="189"/>
        <v>48.464896618934013</v>
      </c>
      <c r="G352">
        <f t="shared" si="190"/>
        <v>24.874451255746333</v>
      </c>
      <c r="H352">
        <f t="shared" si="191"/>
        <v>29.894305867332779</v>
      </c>
      <c r="I352">
        <f t="shared" si="192"/>
        <v>56.87284714598696</v>
      </c>
      <c r="J352">
        <f t="shared" si="193"/>
        <v>1018.4091825378973</v>
      </c>
      <c r="K352">
        <f t="shared" si="194"/>
        <v>732.208178139285</v>
      </c>
      <c r="L352">
        <f t="shared" si="195"/>
        <v>509.02282799550096</v>
      </c>
      <c r="M352">
        <f t="shared" si="196"/>
        <v>707.02447914194204</v>
      </c>
      <c r="N352">
        <f t="shared" si="197"/>
        <v>142.69631579018267</v>
      </c>
      <c r="O352">
        <f t="shared" si="198"/>
        <v>78.556459253729983</v>
      </c>
      <c r="P352">
        <f t="shared" si="199"/>
        <v>63.191210711927724</v>
      </c>
      <c r="Q352">
        <f t="shared" si="200"/>
        <v>77.653067100562865</v>
      </c>
      <c r="R352">
        <f t="shared" si="201"/>
        <v>126.68192306991838</v>
      </c>
      <c r="S352">
        <f t="shared" si="202"/>
        <v>46.266210180761043</v>
      </c>
      <c r="T352">
        <f t="shared" si="203"/>
        <v>183.90738452504215</v>
      </c>
    </row>
    <row r="353" spans="3:36" x14ac:dyDescent="0.15">
      <c r="E353">
        <v>1998</v>
      </c>
      <c r="F353">
        <f t="shared" si="189"/>
        <v>12.390001367822208</v>
      </c>
      <c r="G353">
        <f t="shared" si="190"/>
        <v>32.516775335936281</v>
      </c>
      <c r="H353">
        <f t="shared" si="191"/>
        <v>47.353454151213079</v>
      </c>
      <c r="I353">
        <f t="shared" si="192"/>
        <v>64.095619580742706</v>
      </c>
      <c r="J353">
        <f t="shared" si="193"/>
        <v>178.89417438695497</v>
      </c>
      <c r="K353">
        <f t="shared" si="194"/>
        <v>1170.665042721505</v>
      </c>
      <c r="L353">
        <f t="shared" si="195"/>
        <v>400.26920207275992</v>
      </c>
      <c r="M353">
        <f t="shared" si="196"/>
        <v>295.34480288715696</v>
      </c>
      <c r="N353">
        <f t="shared" si="197"/>
        <v>254.91249223207498</v>
      </c>
      <c r="O353">
        <f t="shared" si="198"/>
        <v>69.85610603931805</v>
      </c>
      <c r="P353">
        <f t="shared" si="199"/>
        <v>33.728245776142053</v>
      </c>
      <c r="Q353">
        <f t="shared" si="200"/>
        <v>13.825222038524702</v>
      </c>
      <c r="R353">
        <f t="shared" si="201"/>
        <v>32.223092356269596</v>
      </c>
      <c r="S353">
        <f t="shared" si="202"/>
        <v>45.393643237309234</v>
      </c>
      <c r="T353">
        <f t="shared" si="203"/>
        <v>114.11954044451633</v>
      </c>
    </row>
    <row r="354" spans="3:36" x14ac:dyDescent="0.15">
      <c r="E354">
        <v>1999</v>
      </c>
      <c r="F354">
        <f t="shared" si="189"/>
        <v>12.857262389315476</v>
      </c>
      <c r="G354">
        <f t="shared" si="190"/>
        <v>38.964999984773655</v>
      </c>
      <c r="H354">
        <f t="shared" si="191"/>
        <v>123.43816531368817</v>
      </c>
      <c r="I354">
        <f t="shared" si="192"/>
        <v>257.80662780093252</v>
      </c>
      <c r="J354">
        <f t="shared" si="193"/>
        <v>195.65360242432538</v>
      </c>
      <c r="K354">
        <f t="shared" si="194"/>
        <v>427.69287901329619</v>
      </c>
      <c r="L354">
        <f t="shared" si="195"/>
        <v>1503.6523311485414</v>
      </c>
      <c r="M354">
        <f t="shared" si="196"/>
        <v>506.77394929701319</v>
      </c>
      <c r="N354">
        <f t="shared" si="197"/>
        <v>292.73338883900885</v>
      </c>
      <c r="O354">
        <f t="shared" si="198"/>
        <v>280.11356297550941</v>
      </c>
      <c r="P354">
        <f t="shared" si="199"/>
        <v>109.36467942609585</v>
      </c>
      <c r="Q354">
        <f t="shared" si="200"/>
        <v>49.267659032959017</v>
      </c>
      <c r="R354">
        <f t="shared" si="201"/>
        <v>24.270372525909181</v>
      </c>
      <c r="S354">
        <f t="shared" si="202"/>
        <v>40.182855247835136</v>
      </c>
      <c r="T354">
        <f t="shared" si="203"/>
        <v>149.63842545443788</v>
      </c>
    </row>
    <row r="355" spans="3:36" x14ac:dyDescent="0.15">
      <c r="E355">
        <v>2000</v>
      </c>
      <c r="F355">
        <f t="shared" si="189"/>
        <v>13.718535839067458</v>
      </c>
      <c r="G355">
        <f t="shared" si="190"/>
        <v>16.687174806730475</v>
      </c>
      <c r="H355">
        <f t="shared" si="191"/>
        <v>67.467809802577548</v>
      </c>
      <c r="I355">
        <f t="shared" si="192"/>
        <v>465.20479574733315</v>
      </c>
      <c r="J355">
        <f t="shared" si="193"/>
        <v>606.66574350801147</v>
      </c>
      <c r="K355">
        <f t="shared" si="194"/>
        <v>374.84270563334763</v>
      </c>
      <c r="L355">
        <f t="shared" si="195"/>
        <v>411.685219976741</v>
      </c>
      <c r="M355">
        <f t="shared" si="196"/>
        <v>1497.5137980774866</v>
      </c>
      <c r="N355">
        <f t="shared" si="197"/>
        <v>658.67471480683571</v>
      </c>
      <c r="O355">
        <f t="shared" si="198"/>
        <v>404.00363229079477</v>
      </c>
      <c r="P355">
        <f t="shared" si="199"/>
        <v>208.16455199449868</v>
      </c>
      <c r="Q355">
        <f t="shared" si="200"/>
        <v>141.98868936850263</v>
      </c>
      <c r="R355">
        <f t="shared" si="201"/>
        <v>47.345771361933643</v>
      </c>
      <c r="S355">
        <f t="shared" si="202"/>
        <v>22.718582410635587</v>
      </c>
      <c r="T355">
        <f t="shared" si="203"/>
        <v>143.07288245134075</v>
      </c>
    </row>
    <row r="356" spans="3:36" x14ac:dyDescent="0.15">
      <c r="E356">
        <v>2001</v>
      </c>
      <c r="F356">
        <f t="shared" si="189"/>
        <v>30.473874287875969</v>
      </c>
      <c r="G356">
        <f t="shared" si="190"/>
        <v>47.198596734754609</v>
      </c>
      <c r="H356">
        <f t="shared" si="191"/>
        <v>51.23650431471134</v>
      </c>
      <c r="I356">
        <f t="shared" si="192"/>
        <v>161.93434379623542</v>
      </c>
      <c r="J356">
        <f t="shared" si="193"/>
        <v>595.03694284254823</v>
      </c>
      <c r="K356">
        <f t="shared" si="194"/>
        <v>715.28880736383348</v>
      </c>
      <c r="L356">
        <f t="shared" si="195"/>
        <v>353.05630363664915</v>
      </c>
      <c r="M356">
        <f t="shared" si="196"/>
        <v>211.79817840861435</v>
      </c>
      <c r="N356">
        <f t="shared" si="197"/>
        <v>657.4698834036891</v>
      </c>
      <c r="O356">
        <f t="shared" si="198"/>
        <v>510.45378562630418</v>
      </c>
      <c r="P356">
        <f t="shared" si="199"/>
        <v>233.65366586325504</v>
      </c>
      <c r="Q356">
        <f t="shared" si="200"/>
        <v>201.03164242455412</v>
      </c>
      <c r="R356">
        <f t="shared" si="201"/>
        <v>79.159932118539388</v>
      </c>
      <c r="S356">
        <f t="shared" si="202"/>
        <v>33.56301459805713</v>
      </c>
      <c r="T356">
        <f t="shared" si="203"/>
        <v>112.87952192929257</v>
      </c>
    </row>
    <row r="357" spans="3:36" x14ac:dyDescent="0.15">
      <c r="E357">
        <v>2002</v>
      </c>
      <c r="F357">
        <f t="shared" si="189"/>
        <v>13.357138840989391</v>
      </c>
      <c r="G357">
        <f t="shared" si="190"/>
        <v>22.448467795939326</v>
      </c>
      <c r="H357">
        <f t="shared" si="191"/>
        <v>158.81101894344192</v>
      </c>
      <c r="I357">
        <f t="shared" si="192"/>
        <v>336.86043991701126</v>
      </c>
      <c r="J357">
        <f t="shared" si="193"/>
        <v>554.10253010819497</v>
      </c>
      <c r="K357">
        <f t="shared" si="194"/>
        <v>840.18320280560079</v>
      </c>
      <c r="L357">
        <f t="shared" si="195"/>
        <v>479.90895602021408</v>
      </c>
      <c r="M357">
        <f t="shared" si="196"/>
        <v>268.20417821793922</v>
      </c>
      <c r="N357">
        <f t="shared" si="197"/>
        <v>403.60730596278557</v>
      </c>
      <c r="O357">
        <f t="shared" si="198"/>
        <v>791.27579454304373</v>
      </c>
      <c r="P357">
        <f t="shared" si="199"/>
        <v>407.39867982986055</v>
      </c>
      <c r="Q357">
        <f t="shared" si="200"/>
        <v>213.37543252221502</v>
      </c>
      <c r="R357">
        <f t="shared" si="201"/>
        <v>135.12432420288329</v>
      </c>
      <c r="S357">
        <f t="shared" si="202"/>
        <v>47.831400932243078</v>
      </c>
      <c r="T357">
        <f t="shared" si="203"/>
        <v>67.872840802114609</v>
      </c>
    </row>
    <row r="358" spans="3:36" x14ac:dyDescent="0.15">
      <c r="E358">
        <v>2003</v>
      </c>
      <c r="F358">
        <f t="shared" si="189"/>
        <v>8.0932303592092296</v>
      </c>
      <c r="G358">
        <f t="shared" si="190"/>
        <v>13.070700861497079</v>
      </c>
      <c r="H358">
        <f t="shared" si="191"/>
        <v>206.03937297413262</v>
      </c>
      <c r="I358">
        <f t="shared" si="192"/>
        <v>550.28084629049465</v>
      </c>
      <c r="J358">
        <f t="shared" si="193"/>
        <v>825.6758809976227</v>
      </c>
      <c r="K358">
        <f t="shared" si="194"/>
        <v>869.46569706298703</v>
      </c>
      <c r="L358">
        <f t="shared" si="195"/>
        <v>1251.7617724976949</v>
      </c>
      <c r="M358">
        <f t="shared" si="196"/>
        <v>786.92196967437906</v>
      </c>
      <c r="N358">
        <f t="shared" si="197"/>
        <v>374.50866755953285</v>
      </c>
      <c r="O358">
        <f t="shared" si="198"/>
        <v>530.55546732512505</v>
      </c>
      <c r="P358">
        <f t="shared" si="199"/>
        <v>1107.332908517466</v>
      </c>
      <c r="Q358">
        <f t="shared" si="200"/>
        <v>512.20756684150842</v>
      </c>
      <c r="R358">
        <f t="shared" si="201"/>
        <v>257.13220367869263</v>
      </c>
      <c r="S358">
        <f t="shared" si="202"/>
        <v>145.61904017773281</v>
      </c>
      <c r="T358">
        <f t="shared" si="203"/>
        <v>132.74379459799147</v>
      </c>
    </row>
    <row r="359" spans="3:36" x14ac:dyDescent="0.15">
      <c r="E359">
        <v>2004</v>
      </c>
      <c r="F359">
        <f t="shared" si="189"/>
        <v>8.779556305709324</v>
      </c>
      <c r="G359">
        <f t="shared" si="190"/>
        <v>22.521460483935606</v>
      </c>
      <c r="H359">
        <f t="shared" si="191"/>
        <v>39.713548650828535</v>
      </c>
      <c r="I359">
        <f t="shared" si="192"/>
        <v>481.87890544113657</v>
      </c>
      <c r="J359">
        <f t="shared" si="193"/>
        <v>574.81608492981718</v>
      </c>
      <c r="K359">
        <f t="shared" si="194"/>
        <v>537.16825223749061</v>
      </c>
      <c r="L359">
        <f t="shared" si="195"/>
        <v>359.53850190382531</v>
      </c>
      <c r="M359">
        <f t="shared" si="196"/>
        <v>410.68242162148994</v>
      </c>
      <c r="N359">
        <f t="shared" si="197"/>
        <v>238.8984250816913</v>
      </c>
      <c r="O359">
        <f t="shared" si="198"/>
        <v>154.62920553360192</v>
      </c>
      <c r="P359">
        <f t="shared" si="199"/>
        <v>168.01735287860413</v>
      </c>
      <c r="Q359">
        <f t="shared" si="200"/>
        <v>311.33142001716294</v>
      </c>
      <c r="R359">
        <f t="shared" si="201"/>
        <v>139.24074513806559</v>
      </c>
      <c r="S359">
        <f t="shared" si="202"/>
        <v>42.753495746220068</v>
      </c>
      <c r="T359">
        <f t="shared" si="203"/>
        <v>40.826282399463253</v>
      </c>
    </row>
    <row r="360" spans="3:36" x14ac:dyDescent="0.15">
      <c r="E360">
        <v>2005</v>
      </c>
      <c r="F360">
        <f t="shared" si="189"/>
        <v>7.6812133027006313</v>
      </c>
      <c r="G360">
        <f t="shared" si="190"/>
        <v>7.6958909825986934</v>
      </c>
      <c r="H360">
        <f t="shared" si="191"/>
        <v>33.951973980608813</v>
      </c>
      <c r="I360">
        <f t="shared" si="192"/>
        <v>327.90032781349237</v>
      </c>
      <c r="J360">
        <f t="shared" si="193"/>
        <v>1345.7639489006774</v>
      </c>
      <c r="K360">
        <f t="shared" si="194"/>
        <v>1041.1975204339624</v>
      </c>
      <c r="L360">
        <f t="shared" si="195"/>
        <v>638.82717218553648</v>
      </c>
      <c r="M360">
        <f t="shared" si="196"/>
        <v>338.02628754343044</v>
      </c>
      <c r="N360">
        <f t="shared" si="197"/>
        <v>279.43110795511609</v>
      </c>
      <c r="O360">
        <f t="shared" si="198"/>
        <v>227.18292124227699</v>
      </c>
      <c r="P360">
        <f t="shared" si="199"/>
        <v>67.06799690850815</v>
      </c>
      <c r="Q360">
        <f t="shared" si="200"/>
        <v>146.60384929207135</v>
      </c>
      <c r="R360">
        <f t="shared" si="201"/>
        <v>240.04033634264962</v>
      </c>
      <c r="S360">
        <f t="shared" si="202"/>
        <v>131.34494532393381</v>
      </c>
      <c r="T360">
        <f t="shared" si="203"/>
        <v>129.05399552899007</v>
      </c>
    </row>
    <row r="361" spans="3:36" x14ac:dyDescent="0.15">
      <c r="E361">
        <v>2006</v>
      </c>
      <c r="F361">
        <f t="shared" si="189"/>
        <v>15.586947017813744</v>
      </c>
      <c r="G361">
        <f t="shared" si="190"/>
        <v>2.6076843243873395</v>
      </c>
      <c r="H361">
        <f t="shared" si="191"/>
        <v>7.5928455978498324</v>
      </c>
      <c r="I361">
        <f t="shared" si="192"/>
        <v>111.60492492154509</v>
      </c>
      <c r="J361">
        <f t="shared" si="193"/>
        <v>464.15034885388076</v>
      </c>
      <c r="K361">
        <f t="shared" si="194"/>
        <v>685.73986472068032</v>
      </c>
      <c r="L361">
        <f t="shared" si="195"/>
        <v>516.78054434594435</v>
      </c>
      <c r="M361">
        <f t="shared" si="196"/>
        <v>273.27175702813457</v>
      </c>
      <c r="N361">
        <f t="shared" si="197"/>
        <v>199.24781688788218</v>
      </c>
      <c r="O361">
        <f t="shared" si="198"/>
        <v>185.84667788341264</v>
      </c>
      <c r="P361">
        <f t="shared" si="199"/>
        <v>92.642998871785423</v>
      </c>
      <c r="Q361">
        <f t="shared" si="200"/>
        <v>61.357339178235023</v>
      </c>
      <c r="R361">
        <f t="shared" si="201"/>
        <v>93.652930169317997</v>
      </c>
      <c r="S361">
        <f t="shared" si="202"/>
        <v>123.95013291365733</v>
      </c>
      <c r="T361">
        <f t="shared" si="203"/>
        <v>139.81507327449665</v>
      </c>
    </row>
    <row r="362" spans="3:36" x14ac:dyDescent="0.15">
      <c r="E362">
        <v>2007</v>
      </c>
      <c r="F362">
        <f t="shared" si="189"/>
        <v>43.951631363556139</v>
      </c>
      <c r="G362">
        <f t="shared" si="190"/>
        <v>3.082369312011211</v>
      </c>
      <c r="H362">
        <f t="shared" si="191"/>
        <v>21.977717911456811</v>
      </c>
      <c r="I362">
        <f t="shared" si="192"/>
        <v>141.79903121249401</v>
      </c>
      <c r="J362">
        <f t="shared" si="193"/>
        <v>606.58362801224041</v>
      </c>
      <c r="K362">
        <f t="shared" si="194"/>
        <v>954.3641447115898</v>
      </c>
      <c r="L362">
        <f t="shared" si="195"/>
        <v>867.34894109739821</v>
      </c>
      <c r="M362">
        <f t="shared" si="196"/>
        <v>692.20370758565036</v>
      </c>
      <c r="N362">
        <f t="shared" si="197"/>
        <v>310.5337574494053</v>
      </c>
      <c r="O362">
        <f t="shared" si="198"/>
        <v>163.62462589671344</v>
      </c>
      <c r="P362">
        <f t="shared" si="199"/>
        <v>153.73931919419451</v>
      </c>
      <c r="Q362">
        <f t="shared" si="200"/>
        <v>129.61704501974248</v>
      </c>
      <c r="R362">
        <f t="shared" si="201"/>
        <v>68.819878137754898</v>
      </c>
      <c r="S362">
        <f t="shared" si="202"/>
        <v>83.400756000662739</v>
      </c>
      <c r="T362">
        <f t="shared" si="203"/>
        <v>170.98219156916227</v>
      </c>
    </row>
    <row r="363" spans="3:36" x14ac:dyDescent="0.15">
      <c r="E363">
        <v>2008</v>
      </c>
      <c r="F363">
        <f t="shared" si="189"/>
        <v>10.054590727932075</v>
      </c>
      <c r="G363">
        <f t="shared" si="190"/>
        <v>5.1381824177920867</v>
      </c>
      <c r="H363">
        <f t="shared" si="191"/>
        <v>12.388488251815465</v>
      </c>
      <c r="I363">
        <f t="shared" si="192"/>
        <v>54.206343393064941</v>
      </c>
      <c r="J363">
        <f t="shared" si="193"/>
        <v>233.2659185081948</v>
      </c>
      <c r="K363">
        <f t="shared" si="194"/>
        <v>597.82637995485118</v>
      </c>
      <c r="L363">
        <f t="shared" si="195"/>
        <v>563.14668189421195</v>
      </c>
      <c r="M363">
        <f t="shared" si="196"/>
        <v>461.77180969127454</v>
      </c>
      <c r="N363">
        <f t="shared" si="197"/>
        <v>330.184086448058</v>
      </c>
      <c r="O363">
        <f t="shared" si="198"/>
        <v>142.62324625995913</v>
      </c>
      <c r="P363">
        <f t="shared" si="199"/>
        <v>136.97993870023421</v>
      </c>
      <c r="Q363">
        <f t="shared" si="200"/>
        <v>100.11822585411608</v>
      </c>
      <c r="R363">
        <f t="shared" si="201"/>
        <v>50.170250184086399</v>
      </c>
      <c r="S363">
        <f t="shared" si="202"/>
        <v>31.476195403270196</v>
      </c>
      <c r="T363">
        <f t="shared" si="203"/>
        <v>201.76079081885351</v>
      </c>
    </row>
    <row r="364" spans="3:36" x14ac:dyDescent="0.15">
      <c r="E364">
        <v>2009</v>
      </c>
      <c r="F364">
        <f t="shared" ref="F364:T364" si="204">F334*Z67</f>
        <v>15.098339027739939</v>
      </c>
      <c r="G364">
        <f t="shared" si="204"/>
        <v>9.7114741943613883</v>
      </c>
      <c r="H364">
        <f t="shared" si="204"/>
        <v>74.710968112090512</v>
      </c>
      <c r="I364">
        <f t="shared" si="204"/>
        <v>147.92400805962905</v>
      </c>
      <c r="J364">
        <f t="shared" si="204"/>
        <v>116.32639105290194</v>
      </c>
      <c r="K364">
        <f t="shared" si="204"/>
        <v>208.84839744424252</v>
      </c>
      <c r="L364">
        <f t="shared" si="204"/>
        <v>420.89385553455008</v>
      </c>
      <c r="M364">
        <f t="shared" si="204"/>
        <v>385.44002550392116</v>
      </c>
      <c r="N364">
        <f t="shared" si="204"/>
        <v>320.07162265385216</v>
      </c>
      <c r="O364">
        <f t="shared" si="204"/>
        <v>171.72031411619091</v>
      </c>
      <c r="P364">
        <f t="shared" si="204"/>
        <v>117.35071790215831</v>
      </c>
      <c r="Q364">
        <f t="shared" si="204"/>
        <v>36.733881876652788</v>
      </c>
      <c r="R364">
        <f t="shared" si="204"/>
        <v>45.761244923525645</v>
      </c>
      <c r="S364">
        <f t="shared" si="204"/>
        <v>25.386098514710927</v>
      </c>
      <c r="T364">
        <f t="shared" si="204"/>
        <v>121.02268888264554</v>
      </c>
    </row>
    <row r="366" spans="3:36" x14ac:dyDescent="0.15">
      <c r="E366" s="21" t="s">
        <v>94</v>
      </c>
    </row>
    <row r="367" spans="3:36" x14ac:dyDescent="0.15">
      <c r="F367" t="s">
        <v>75</v>
      </c>
      <c r="G367" t="s">
        <v>81</v>
      </c>
      <c r="H367" t="s">
        <v>80</v>
      </c>
      <c r="I367" t="s">
        <v>76</v>
      </c>
      <c r="J367" t="s">
        <v>78</v>
      </c>
      <c r="K367" t="s">
        <v>79</v>
      </c>
      <c r="L367" t="s">
        <v>77</v>
      </c>
      <c r="M367" t="s">
        <v>149</v>
      </c>
      <c r="N367" t="s">
        <v>82</v>
      </c>
      <c r="O367" t="s">
        <v>320</v>
      </c>
      <c r="P367" t="s">
        <v>85</v>
      </c>
      <c r="Q367" t="s">
        <v>86</v>
      </c>
      <c r="R367" t="s">
        <v>87</v>
      </c>
      <c r="S367" t="s">
        <v>89</v>
      </c>
      <c r="T367" t="s">
        <v>88</v>
      </c>
      <c r="V367" t="s">
        <v>322</v>
      </c>
      <c r="W367" t="s">
        <v>323</v>
      </c>
      <c r="X367" t="s">
        <v>324</v>
      </c>
      <c r="Y367" t="s">
        <v>325</v>
      </c>
      <c r="Z367" t="s">
        <v>326</v>
      </c>
      <c r="AA367" t="s">
        <v>327</v>
      </c>
      <c r="AB367" t="s">
        <v>328</v>
      </c>
      <c r="AC367" t="s">
        <v>329</v>
      </c>
      <c r="AD367" t="s">
        <v>330</v>
      </c>
      <c r="AE367" t="s">
        <v>331</v>
      </c>
      <c r="AF367" t="s">
        <v>332</v>
      </c>
      <c r="AG367" t="s">
        <v>309</v>
      </c>
      <c r="AH367" t="s">
        <v>333</v>
      </c>
      <c r="AI367" t="s">
        <v>334</v>
      </c>
      <c r="AJ367" t="s">
        <v>335</v>
      </c>
    </row>
    <row r="368" spans="3:36" x14ac:dyDescent="0.15">
      <c r="C368" t="s">
        <v>321</v>
      </c>
      <c r="D368">
        <f>SUM(F337:$T$337)</f>
        <v>2554.0716059723954</v>
      </c>
      <c r="E368">
        <v>1982</v>
      </c>
      <c r="F368">
        <f ca="1">SUM(INDIRECT(V368))</f>
        <v>2554.0716059723954</v>
      </c>
      <c r="G368">
        <f t="shared" ref="G368:G387" ca="1" si="205">SUM(INDIRECT(W368))</f>
        <v>2525.1097233671162</v>
      </c>
      <c r="H368">
        <f t="shared" ref="H368:H387" ca="1" si="206">SUM(INDIRECT(X368))</f>
        <v>2362.2968046464362</v>
      </c>
      <c r="I368">
        <f t="shared" ref="I368:I387" ca="1" si="207">SUM(INDIRECT(Y368))</f>
        <v>1922.8874287083227</v>
      </c>
      <c r="J368">
        <f t="shared" ref="J368:J387" ca="1" si="208">SUM(INDIRECT(Z368))</f>
        <v>830.91639488024077</v>
      </c>
      <c r="K368">
        <f t="shared" ref="K368:K387" ca="1" si="209">SUM(INDIRECT(AA368))</f>
        <v>356.28536998436823</v>
      </c>
      <c r="L368">
        <f t="shared" ref="L368:L387" ca="1" si="210">SUM(INDIRECT(AB368))</f>
        <v>254.67217295354047</v>
      </c>
      <c r="M368">
        <f t="shared" ref="M368:M387" ca="1" si="211">SUM(INDIRECT(AC368))</f>
        <v>152.5186318302494</v>
      </c>
      <c r="N368">
        <f t="shared" ref="N368:N387" ca="1" si="212">SUM(INDIRECT(AD368))</f>
        <v>97.938012334614456</v>
      </c>
      <c r="O368">
        <f t="shared" ref="O368:O387" ca="1" si="213">SUM(INDIRECT(AE368))</f>
        <v>60.76572470785176</v>
      </c>
      <c r="P368">
        <f t="shared" ref="P368:P387" ca="1" si="214">SUM(INDIRECT(AF368))</f>
        <v>33.388342908231316</v>
      </c>
      <c r="Q368">
        <f t="shared" ref="Q368:Q387" ca="1" si="215">SUM(INDIRECT(AG368))</f>
        <v>15.2118642186134</v>
      </c>
      <c r="R368">
        <f t="shared" ref="R368:R387" ca="1" si="216">SUM(INDIRECT(AH368))</f>
        <v>5.9015148737281002</v>
      </c>
      <c r="S368">
        <f t="shared" ref="S368:S387" ca="1" si="217">SUM(INDIRECT(AI368))</f>
        <v>2.0573084336981595</v>
      </c>
      <c r="T368">
        <f t="shared" ref="T368:T387" ca="1" si="218">SUM(INDIRECT(AJ368))</f>
        <v>0.50565912828060455</v>
      </c>
      <c r="U368">
        <f>ROW(T337)</f>
        <v>337</v>
      </c>
      <c r="V368" t="str">
        <f>V$367&amp;$U368&amp;":"&amp;$AJ$367&amp;$U368</f>
        <v>f337:t337</v>
      </c>
      <c r="W368" t="str">
        <f t="shared" ref="W368:AJ383" si="219">W$367&amp;$U368&amp;":"&amp;$AJ$367&amp;$U368</f>
        <v>g337:t337</v>
      </c>
      <c r="X368" t="str">
        <f t="shared" si="219"/>
        <v>h337:t337</v>
      </c>
      <c r="Y368" t="str">
        <f t="shared" si="219"/>
        <v>I337:t337</v>
      </c>
      <c r="Z368" t="str">
        <f t="shared" si="219"/>
        <v>j337:t337</v>
      </c>
      <c r="AA368" t="str">
        <f t="shared" si="219"/>
        <v>k337:t337</v>
      </c>
      <c r="AB368" t="str">
        <f t="shared" si="219"/>
        <v>l337:t337</v>
      </c>
      <c r="AC368" t="str">
        <f t="shared" si="219"/>
        <v>m337:t337</v>
      </c>
      <c r="AD368" t="str">
        <f t="shared" si="219"/>
        <v>n337:t337</v>
      </c>
      <c r="AE368" t="str">
        <f t="shared" si="219"/>
        <v>o337:t337</v>
      </c>
      <c r="AF368" t="str">
        <f t="shared" si="219"/>
        <v>p337:t337</v>
      </c>
      <c r="AG368" t="str">
        <f t="shared" si="219"/>
        <v>q337:t337</v>
      </c>
      <c r="AH368" t="str">
        <f t="shared" si="219"/>
        <v>r337:t337</v>
      </c>
      <c r="AI368" t="str">
        <f t="shared" si="219"/>
        <v>s337:t337</v>
      </c>
      <c r="AJ368" t="str">
        <f t="shared" si="219"/>
        <v>t337:t337</v>
      </c>
    </row>
    <row r="369" spans="4:36" x14ac:dyDescent="0.15">
      <c r="D369">
        <f ca="1">SUM(INDIRECT(C368))</f>
        <v>7.3024945390771352</v>
      </c>
      <c r="E369">
        <v>1983</v>
      </c>
      <c r="F369">
        <f t="shared" ref="F369:F387" ca="1" si="220">SUM(INDIRECT(V369))</f>
        <v>6859.6700686161039</v>
      </c>
      <c r="G369">
        <f t="shared" ca="1" si="205"/>
        <v>6831.1974719332147</v>
      </c>
      <c r="H369">
        <f t="shared" ca="1" si="206"/>
        <v>6715.9723509027581</v>
      </c>
      <c r="I369">
        <f t="shared" ca="1" si="207"/>
        <v>6220.0221246384599</v>
      </c>
      <c r="J369">
        <f t="shared" ca="1" si="208"/>
        <v>5171.2560373966116</v>
      </c>
      <c r="K369">
        <f t="shared" ca="1" si="209"/>
        <v>1932.806942156612</v>
      </c>
      <c r="L369">
        <f t="shared" ca="1" si="210"/>
        <v>725.63155481434046</v>
      </c>
      <c r="M369">
        <f t="shared" ca="1" si="211"/>
        <v>461.79002058246863</v>
      </c>
      <c r="N369">
        <f t="shared" ca="1" si="212"/>
        <v>271.97234246382669</v>
      </c>
      <c r="O369">
        <f t="shared" ca="1" si="213"/>
        <v>177.85585748742645</v>
      </c>
      <c r="P369">
        <f t="shared" ca="1" si="214"/>
        <v>105.77101183098382</v>
      </c>
      <c r="Q369">
        <f t="shared" ca="1" si="215"/>
        <v>46.487509127225621</v>
      </c>
      <c r="R369">
        <f t="shared" ca="1" si="216"/>
        <v>25.103202970142473</v>
      </c>
      <c r="S369">
        <f t="shared" ca="1" si="217"/>
        <v>14.442848495337756</v>
      </c>
      <c r="T369">
        <f t="shared" ca="1" si="218"/>
        <v>4.3064878132882818</v>
      </c>
      <c r="U369">
        <f t="shared" ref="U369:U387" si="221">ROW(T338)</f>
        <v>338</v>
      </c>
      <c r="V369" t="str">
        <f t="shared" ref="V369:V396" si="222">V$367&amp;$U369&amp;":"&amp;$AJ$367&amp;$U369</f>
        <v>f338:t338</v>
      </c>
      <c r="W369" t="str">
        <f t="shared" si="219"/>
        <v>g338:t338</v>
      </c>
      <c r="X369" t="str">
        <f t="shared" si="219"/>
        <v>h338:t338</v>
      </c>
      <c r="Y369" t="str">
        <f t="shared" si="219"/>
        <v>I338:t338</v>
      </c>
      <c r="Z369" t="str">
        <f t="shared" si="219"/>
        <v>j338:t338</v>
      </c>
      <c r="AA369" t="str">
        <f t="shared" si="219"/>
        <v>k338:t338</v>
      </c>
      <c r="AB369" t="str">
        <f t="shared" si="219"/>
        <v>l338:t338</v>
      </c>
      <c r="AC369" t="str">
        <f t="shared" si="219"/>
        <v>m338:t338</v>
      </c>
      <c r="AD369" t="str">
        <f t="shared" si="219"/>
        <v>n338:t338</v>
      </c>
      <c r="AE369" t="str">
        <f t="shared" si="219"/>
        <v>o338:t338</v>
      </c>
      <c r="AF369" t="str">
        <f t="shared" si="219"/>
        <v>p338:t338</v>
      </c>
      <c r="AG369" t="str">
        <f t="shared" si="219"/>
        <v>q338:t338</v>
      </c>
      <c r="AH369" t="str">
        <f t="shared" si="219"/>
        <v>r338:t338</v>
      </c>
      <c r="AI369" t="str">
        <f t="shared" si="219"/>
        <v>s338:t338</v>
      </c>
      <c r="AJ369" t="str">
        <f t="shared" si="219"/>
        <v>t338:t338</v>
      </c>
    </row>
    <row r="370" spans="4:36" x14ac:dyDescent="0.15">
      <c r="E370">
        <v>1984</v>
      </c>
      <c r="F370">
        <f t="shared" ca="1" si="220"/>
        <v>4999.4116708842785</v>
      </c>
      <c r="G370">
        <f t="shared" ca="1" si="205"/>
        <v>4994.0000546264528</v>
      </c>
      <c r="H370">
        <f t="shared" ca="1" si="206"/>
        <v>4978.5393231690177</v>
      </c>
      <c r="I370">
        <f t="shared" ca="1" si="207"/>
        <v>4867.7712205703283</v>
      </c>
      <c r="J370">
        <f t="shared" ca="1" si="208"/>
        <v>4388.9243132259408</v>
      </c>
      <c r="K370">
        <f t="shared" ca="1" si="209"/>
        <v>3474.468039653088</v>
      </c>
      <c r="L370">
        <f t="shared" ca="1" si="210"/>
        <v>895.79857866972532</v>
      </c>
      <c r="M370">
        <f t="shared" ca="1" si="211"/>
        <v>321.58718511782121</v>
      </c>
      <c r="N370">
        <f t="shared" ca="1" si="212"/>
        <v>166.40428585698913</v>
      </c>
      <c r="O370">
        <f t="shared" ca="1" si="213"/>
        <v>82.961117765145701</v>
      </c>
      <c r="P370">
        <f t="shared" ca="1" si="214"/>
        <v>49.834820541473782</v>
      </c>
      <c r="Q370">
        <f t="shared" ca="1" si="215"/>
        <v>23.943914221284988</v>
      </c>
      <c r="R370">
        <f t="shared" ca="1" si="216"/>
        <v>15.71441092522879</v>
      </c>
      <c r="S370">
        <f t="shared" ca="1" si="217"/>
        <v>10.437886578810074</v>
      </c>
      <c r="T370">
        <f t="shared" ca="1" si="218"/>
        <v>3.5892640394723729</v>
      </c>
      <c r="U370">
        <f t="shared" si="221"/>
        <v>339</v>
      </c>
      <c r="V370" t="str">
        <f t="shared" si="222"/>
        <v>f339:t339</v>
      </c>
      <c r="W370" t="str">
        <f t="shared" si="219"/>
        <v>g339:t339</v>
      </c>
      <c r="X370" t="str">
        <f t="shared" si="219"/>
        <v>h339:t339</v>
      </c>
      <c r="Y370" t="str">
        <f t="shared" si="219"/>
        <v>I339:t339</v>
      </c>
      <c r="Z370" t="str">
        <f t="shared" si="219"/>
        <v>j339:t339</v>
      </c>
      <c r="AA370" t="str">
        <f t="shared" si="219"/>
        <v>k339:t339</v>
      </c>
      <c r="AB370" t="str">
        <f t="shared" si="219"/>
        <v>l339:t339</v>
      </c>
      <c r="AC370" t="str">
        <f t="shared" si="219"/>
        <v>m339:t339</v>
      </c>
      <c r="AD370" t="str">
        <f t="shared" si="219"/>
        <v>n339:t339</v>
      </c>
      <c r="AE370" t="str">
        <f t="shared" si="219"/>
        <v>o339:t339</v>
      </c>
      <c r="AF370" t="str">
        <f t="shared" si="219"/>
        <v>p339:t339</v>
      </c>
      <c r="AG370" t="str">
        <f t="shared" si="219"/>
        <v>q339:t339</v>
      </c>
      <c r="AH370" t="str">
        <f t="shared" si="219"/>
        <v>r339:t339</v>
      </c>
      <c r="AI370" t="str">
        <f t="shared" si="219"/>
        <v>s339:t339</v>
      </c>
      <c r="AJ370" t="str">
        <f t="shared" si="219"/>
        <v>t339:t339</v>
      </c>
    </row>
    <row r="371" spans="4:36" x14ac:dyDescent="0.15">
      <c r="E371">
        <v>1985</v>
      </c>
      <c r="F371">
        <f t="shared" ca="1" si="220"/>
        <v>5595.8656907043669</v>
      </c>
      <c r="G371">
        <f t="shared" ca="1" si="205"/>
        <v>5474.1073306699236</v>
      </c>
      <c r="H371">
        <f t="shared" ca="1" si="206"/>
        <v>5414.550117392806</v>
      </c>
      <c r="I371">
        <f t="shared" ca="1" si="207"/>
        <v>4738.7265466333201</v>
      </c>
      <c r="J371">
        <f t="shared" ca="1" si="208"/>
        <v>4400.0000296299322</v>
      </c>
      <c r="K371">
        <f t="shared" ca="1" si="209"/>
        <v>2975.645073912608</v>
      </c>
      <c r="L371">
        <f t="shared" ca="1" si="210"/>
        <v>1591.2224845499429</v>
      </c>
      <c r="M371">
        <f t="shared" ca="1" si="211"/>
        <v>452.09583603088663</v>
      </c>
      <c r="N371">
        <f t="shared" ca="1" si="212"/>
        <v>195.84325999379422</v>
      </c>
      <c r="O371">
        <f t="shared" ca="1" si="213"/>
        <v>106.6899888254777</v>
      </c>
      <c r="P371">
        <f t="shared" ca="1" si="214"/>
        <v>44.552223972376837</v>
      </c>
      <c r="Q371">
        <f t="shared" ca="1" si="215"/>
        <v>20.817402881110887</v>
      </c>
      <c r="R371">
        <f t="shared" ca="1" si="216"/>
        <v>12.654838499080382</v>
      </c>
      <c r="S371">
        <f t="shared" ca="1" si="217"/>
        <v>1.7432719386994693</v>
      </c>
      <c r="T371">
        <f t="shared" ca="1" si="218"/>
        <v>0.51218185560793794</v>
      </c>
      <c r="U371">
        <f t="shared" si="221"/>
        <v>340</v>
      </c>
      <c r="V371" t="str">
        <f t="shared" si="222"/>
        <v>f340:t340</v>
      </c>
      <c r="W371" t="str">
        <f t="shared" si="219"/>
        <v>g340:t340</v>
      </c>
      <c r="X371" t="str">
        <f t="shared" si="219"/>
        <v>h340:t340</v>
      </c>
      <c r="Y371" t="str">
        <f t="shared" si="219"/>
        <v>I340:t340</v>
      </c>
      <c r="Z371" t="str">
        <f t="shared" si="219"/>
        <v>j340:t340</v>
      </c>
      <c r="AA371" t="str">
        <f t="shared" si="219"/>
        <v>k340:t340</v>
      </c>
      <c r="AB371" t="str">
        <f t="shared" si="219"/>
        <v>l340:t340</v>
      </c>
      <c r="AC371" t="str">
        <f t="shared" si="219"/>
        <v>m340:t340</v>
      </c>
      <c r="AD371" t="str">
        <f t="shared" si="219"/>
        <v>n340:t340</v>
      </c>
      <c r="AE371" t="str">
        <f t="shared" si="219"/>
        <v>o340:t340</v>
      </c>
      <c r="AF371" t="str">
        <f t="shared" si="219"/>
        <v>p340:t340</v>
      </c>
      <c r="AG371" t="str">
        <f t="shared" si="219"/>
        <v>q340:t340</v>
      </c>
      <c r="AH371" t="str">
        <f t="shared" si="219"/>
        <v>r340:t340</v>
      </c>
      <c r="AI371" t="str">
        <f t="shared" si="219"/>
        <v>s340:t340</v>
      </c>
      <c r="AJ371" t="str">
        <f t="shared" si="219"/>
        <v>t340:t340</v>
      </c>
    </row>
    <row r="372" spans="4:36" x14ac:dyDescent="0.15">
      <c r="E372">
        <v>1986</v>
      </c>
      <c r="F372">
        <f t="shared" ca="1" si="220"/>
        <v>4946.7370558099947</v>
      </c>
      <c r="G372">
        <f t="shared" ca="1" si="205"/>
        <v>4912.4745107426415</v>
      </c>
      <c r="H372">
        <f t="shared" ca="1" si="206"/>
        <v>4882.3076381772798</v>
      </c>
      <c r="I372">
        <f t="shared" ca="1" si="207"/>
        <v>4824.2460251259718</v>
      </c>
      <c r="J372">
        <f t="shared" ca="1" si="208"/>
        <v>4263.780303160911</v>
      </c>
      <c r="K372">
        <f t="shared" ca="1" si="209"/>
        <v>3824.6886386506335</v>
      </c>
      <c r="L372">
        <f t="shared" ca="1" si="210"/>
        <v>2761.9295186763784</v>
      </c>
      <c r="M372">
        <f t="shared" ca="1" si="211"/>
        <v>1691.8761863841426</v>
      </c>
      <c r="N372">
        <f t="shared" ca="1" si="212"/>
        <v>550.90023614350343</v>
      </c>
      <c r="O372">
        <f t="shared" ca="1" si="213"/>
        <v>140.41681178987352</v>
      </c>
      <c r="P372">
        <f t="shared" ca="1" si="214"/>
        <v>60.564776995802006</v>
      </c>
      <c r="Q372">
        <f t="shared" ca="1" si="215"/>
        <v>22.716758620764701</v>
      </c>
      <c r="R372">
        <f t="shared" ca="1" si="216"/>
        <v>6.1012701783175007</v>
      </c>
      <c r="S372">
        <f t="shared" ca="1" si="217"/>
        <v>4.7918854375542823</v>
      </c>
      <c r="T372">
        <f t="shared" ca="1" si="218"/>
        <v>0</v>
      </c>
      <c r="U372">
        <f t="shared" si="221"/>
        <v>341</v>
      </c>
      <c r="V372" t="str">
        <f t="shared" si="222"/>
        <v>f341:t341</v>
      </c>
      <c r="W372" t="str">
        <f t="shared" si="219"/>
        <v>g341:t341</v>
      </c>
      <c r="X372" t="str">
        <f t="shared" si="219"/>
        <v>h341:t341</v>
      </c>
      <c r="Y372" t="str">
        <f t="shared" si="219"/>
        <v>I341:t341</v>
      </c>
      <c r="Z372" t="str">
        <f t="shared" si="219"/>
        <v>j341:t341</v>
      </c>
      <c r="AA372" t="str">
        <f t="shared" si="219"/>
        <v>k341:t341</v>
      </c>
      <c r="AB372" t="str">
        <f t="shared" si="219"/>
        <v>l341:t341</v>
      </c>
      <c r="AC372" t="str">
        <f t="shared" si="219"/>
        <v>m341:t341</v>
      </c>
      <c r="AD372" t="str">
        <f t="shared" si="219"/>
        <v>n341:t341</v>
      </c>
      <c r="AE372" t="str">
        <f t="shared" si="219"/>
        <v>o341:t341</v>
      </c>
      <c r="AF372" t="str">
        <f t="shared" si="219"/>
        <v>p341:t341</v>
      </c>
      <c r="AG372" t="str">
        <f t="shared" si="219"/>
        <v>q341:t341</v>
      </c>
      <c r="AH372" t="str">
        <f t="shared" si="219"/>
        <v>r341:t341</v>
      </c>
      <c r="AI372" t="str">
        <f t="shared" si="219"/>
        <v>s341:t341</v>
      </c>
      <c r="AJ372" t="str">
        <f t="shared" si="219"/>
        <v>t341:t341</v>
      </c>
    </row>
    <row r="373" spans="4:36" x14ac:dyDescent="0.15">
      <c r="E373">
        <v>1987</v>
      </c>
      <c r="F373">
        <f t="shared" ca="1" si="220"/>
        <v>5016.2310458613247</v>
      </c>
      <c r="G373">
        <f t="shared" ca="1" si="205"/>
        <v>5007.4513520358578</v>
      </c>
      <c r="H373">
        <f t="shared" ca="1" si="206"/>
        <v>4948.9099408661086</v>
      </c>
      <c r="I373">
        <f t="shared" ca="1" si="207"/>
        <v>4786.4405687915078</v>
      </c>
      <c r="J373">
        <f t="shared" ca="1" si="208"/>
        <v>4599.1709055627462</v>
      </c>
      <c r="K373">
        <f t="shared" ca="1" si="209"/>
        <v>3077.9760212839537</v>
      </c>
      <c r="L373">
        <f t="shared" ca="1" si="210"/>
        <v>2508.6502832708761</v>
      </c>
      <c r="M373">
        <f t="shared" ca="1" si="211"/>
        <v>1790.6107818528255</v>
      </c>
      <c r="N373">
        <f t="shared" ca="1" si="212"/>
        <v>1468.4525290232411</v>
      </c>
      <c r="O373">
        <f t="shared" ca="1" si="213"/>
        <v>314.14903113625377</v>
      </c>
      <c r="P373">
        <f t="shared" ca="1" si="214"/>
        <v>116.13159842160456</v>
      </c>
      <c r="Q373">
        <f t="shared" ca="1" si="215"/>
        <v>46.089057813805013</v>
      </c>
      <c r="R373">
        <f t="shared" ca="1" si="216"/>
        <v>14.381000763829336</v>
      </c>
      <c r="S373">
        <f t="shared" ca="1" si="217"/>
        <v>6.4547345480441845</v>
      </c>
      <c r="T373">
        <f t="shared" ca="1" si="218"/>
        <v>2.4233939227369508</v>
      </c>
      <c r="U373">
        <f t="shared" si="221"/>
        <v>342</v>
      </c>
      <c r="V373" t="str">
        <f t="shared" si="222"/>
        <v>f342:t342</v>
      </c>
      <c r="W373" t="str">
        <f t="shared" si="219"/>
        <v>g342:t342</v>
      </c>
      <c r="X373" t="str">
        <f t="shared" si="219"/>
        <v>h342:t342</v>
      </c>
      <c r="Y373" t="str">
        <f t="shared" si="219"/>
        <v>I342:t342</v>
      </c>
      <c r="Z373" t="str">
        <f t="shared" si="219"/>
        <v>j342:t342</v>
      </c>
      <c r="AA373" t="str">
        <f t="shared" si="219"/>
        <v>k342:t342</v>
      </c>
      <c r="AB373" t="str">
        <f t="shared" si="219"/>
        <v>l342:t342</v>
      </c>
      <c r="AC373" t="str">
        <f t="shared" si="219"/>
        <v>m342:t342</v>
      </c>
      <c r="AD373" t="str">
        <f t="shared" si="219"/>
        <v>n342:t342</v>
      </c>
      <c r="AE373" t="str">
        <f t="shared" si="219"/>
        <v>o342:t342</v>
      </c>
      <c r="AF373" t="str">
        <f t="shared" si="219"/>
        <v>p342:t342</v>
      </c>
      <c r="AG373" t="str">
        <f t="shared" si="219"/>
        <v>q342:t342</v>
      </c>
      <c r="AH373" t="str">
        <f t="shared" si="219"/>
        <v>r342:t342</v>
      </c>
      <c r="AI373" t="str">
        <f t="shared" si="219"/>
        <v>s342:t342</v>
      </c>
      <c r="AJ373" t="str">
        <f t="shared" si="219"/>
        <v>t342:t342</v>
      </c>
    </row>
    <row r="374" spans="4:36" x14ac:dyDescent="0.15">
      <c r="E374">
        <v>1988</v>
      </c>
      <c r="F374">
        <f t="shared" ca="1" si="220"/>
        <v>7323.4602058824894</v>
      </c>
      <c r="G374">
        <f t="shared" ca="1" si="205"/>
        <v>7308.0768591012393</v>
      </c>
      <c r="H374">
        <f t="shared" ca="1" si="206"/>
        <v>7265.7741125390967</v>
      </c>
      <c r="I374">
        <f t="shared" ca="1" si="207"/>
        <v>6876.3581336864663</v>
      </c>
      <c r="J374">
        <f t="shared" ca="1" si="208"/>
        <v>5936.685339810605</v>
      </c>
      <c r="K374">
        <f t="shared" ca="1" si="209"/>
        <v>5397.0885862462674</v>
      </c>
      <c r="L374">
        <f t="shared" ca="1" si="210"/>
        <v>3364.9727540445929</v>
      </c>
      <c r="M374">
        <f t="shared" ca="1" si="211"/>
        <v>2652.8106649443389</v>
      </c>
      <c r="N374">
        <f t="shared" ca="1" si="212"/>
        <v>1970.0582153021398</v>
      </c>
      <c r="O374">
        <f t="shared" ca="1" si="213"/>
        <v>1537.8513359070955</v>
      </c>
      <c r="P374">
        <f t="shared" ca="1" si="214"/>
        <v>276.23312030414678</v>
      </c>
      <c r="Q374">
        <f t="shared" ca="1" si="215"/>
        <v>140.07423525566827</v>
      </c>
      <c r="R374">
        <f t="shared" ca="1" si="216"/>
        <v>58.420981014018651</v>
      </c>
      <c r="S374">
        <f t="shared" ca="1" si="217"/>
        <v>39.705287696955949</v>
      </c>
      <c r="T374">
        <f t="shared" ca="1" si="218"/>
        <v>12.492135526688527</v>
      </c>
      <c r="U374">
        <f t="shared" si="221"/>
        <v>343</v>
      </c>
      <c r="V374" t="str">
        <f t="shared" si="222"/>
        <v>f343:t343</v>
      </c>
      <c r="W374" t="str">
        <f t="shared" si="219"/>
        <v>g343:t343</v>
      </c>
      <c r="X374" t="str">
        <f t="shared" si="219"/>
        <v>h343:t343</v>
      </c>
      <c r="Y374" t="str">
        <f t="shared" si="219"/>
        <v>I343:t343</v>
      </c>
      <c r="Z374" t="str">
        <f t="shared" si="219"/>
        <v>j343:t343</v>
      </c>
      <c r="AA374" t="str">
        <f t="shared" si="219"/>
        <v>k343:t343</v>
      </c>
      <c r="AB374" t="str">
        <f t="shared" si="219"/>
        <v>l343:t343</v>
      </c>
      <c r="AC374" t="str">
        <f t="shared" si="219"/>
        <v>m343:t343</v>
      </c>
      <c r="AD374" t="str">
        <f t="shared" si="219"/>
        <v>n343:t343</v>
      </c>
      <c r="AE374" t="str">
        <f t="shared" si="219"/>
        <v>o343:t343</v>
      </c>
      <c r="AF374" t="str">
        <f t="shared" si="219"/>
        <v>p343:t343</v>
      </c>
      <c r="AG374" t="str">
        <f t="shared" si="219"/>
        <v>q343:t343</v>
      </c>
      <c r="AH374" t="str">
        <f t="shared" si="219"/>
        <v>r343:t343</v>
      </c>
      <c r="AI374" t="str">
        <f t="shared" si="219"/>
        <v>s343:t343</v>
      </c>
      <c r="AJ374" t="str">
        <f t="shared" si="219"/>
        <v>t343:t343</v>
      </c>
    </row>
    <row r="375" spans="4:36" x14ac:dyDescent="0.15">
      <c r="E375">
        <v>1989</v>
      </c>
      <c r="F375">
        <f t="shared" ca="1" si="220"/>
        <v>6234.9824504678691</v>
      </c>
      <c r="G375">
        <f t="shared" ca="1" si="205"/>
        <v>6218.167658439841</v>
      </c>
      <c r="H375">
        <f t="shared" ca="1" si="206"/>
        <v>6196.8609177942953</v>
      </c>
      <c r="I375">
        <f t="shared" ca="1" si="207"/>
        <v>6118.9530788862467</v>
      </c>
      <c r="J375">
        <f t="shared" ca="1" si="208"/>
        <v>5576.2494302953955</v>
      </c>
      <c r="K375">
        <f t="shared" ca="1" si="209"/>
        <v>4025.6327545557137</v>
      </c>
      <c r="L375">
        <f t="shared" ca="1" si="210"/>
        <v>3652.1800594458559</v>
      </c>
      <c r="M375">
        <f t="shared" ca="1" si="211"/>
        <v>1984.4147704848315</v>
      </c>
      <c r="N375">
        <f t="shared" ca="1" si="212"/>
        <v>1700.9574806960154</v>
      </c>
      <c r="O375">
        <f t="shared" ca="1" si="213"/>
        <v>1236.2179221858444</v>
      </c>
      <c r="P375">
        <f t="shared" ca="1" si="214"/>
        <v>1058.9759734328638</v>
      </c>
      <c r="Q375">
        <f t="shared" ca="1" si="215"/>
        <v>407.42826077918824</v>
      </c>
      <c r="R375">
        <f t="shared" ca="1" si="216"/>
        <v>294.8100449232424</v>
      </c>
      <c r="S375">
        <f t="shared" ca="1" si="217"/>
        <v>168.37982412467321</v>
      </c>
      <c r="T375">
        <f t="shared" ca="1" si="218"/>
        <v>97.245014501056147</v>
      </c>
      <c r="U375">
        <f t="shared" si="221"/>
        <v>344</v>
      </c>
      <c r="V375" t="str">
        <f t="shared" si="222"/>
        <v>f344:t344</v>
      </c>
      <c r="W375" t="str">
        <f t="shared" si="219"/>
        <v>g344:t344</v>
      </c>
      <c r="X375" t="str">
        <f t="shared" si="219"/>
        <v>h344:t344</v>
      </c>
      <c r="Y375" t="str">
        <f t="shared" si="219"/>
        <v>I344:t344</v>
      </c>
      <c r="Z375" t="str">
        <f t="shared" si="219"/>
        <v>j344:t344</v>
      </c>
      <c r="AA375" t="str">
        <f t="shared" si="219"/>
        <v>k344:t344</v>
      </c>
      <c r="AB375" t="str">
        <f t="shared" si="219"/>
        <v>l344:t344</v>
      </c>
      <c r="AC375" t="str">
        <f t="shared" si="219"/>
        <v>m344:t344</v>
      </c>
      <c r="AD375" t="str">
        <f t="shared" si="219"/>
        <v>n344:t344</v>
      </c>
      <c r="AE375" t="str">
        <f t="shared" si="219"/>
        <v>o344:t344</v>
      </c>
      <c r="AF375" t="str">
        <f t="shared" si="219"/>
        <v>p344:t344</v>
      </c>
      <c r="AG375" t="str">
        <f t="shared" si="219"/>
        <v>q344:t344</v>
      </c>
      <c r="AH375" t="str">
        <f t="shared" si="219"/>
        <v>r344:t344</v>
      </c>
      <c r="AI375" t="str">
        <f t="shared" si="219"/>
        <v>s344:t344</v>
      </c>
      <c r="AJ375" t="str">
        <f t="shared" si="219"/>
        <v>t344:t344</v>
      </c>
    </row>
    <row r="376" spans="4:36" x14ac:dyDescent="0.15">
      <c r="E376">
        <v>1990</v>
      </c>
      <c r="F376">
        <f t="shared" ca="1" si="220"/>
        <v>6956.4929069409054</v>
      </c>
      <c r="G376">
        <f t="shared" ca="1" si="205"/>
        <v>6911.8224868600892</v>
      </c>
      <c r="H376">
        <f t="shared" ca="1" si="206"/>
        <v>6891.0138597822342</v>
      </c>
      <c r="I376">
        <f t="shared" ca="1" si="207"/>
        <v>6879.2631784020887</v>
      </c>
      <c r="J376">
        <f t="shared" ca="1" si="208"/>
        <v>6675.5198811312084</v>
      </c>
      <c r="K376">
        <f t="shared" ca="1" si="209"/>
        <v>6083.3765637104525</v>
      </c>
      <c r="L376">
        <f t="shared" ca="1" si="210"/>
        <v>3597.7422637886357</v>
      </c>
      <c r="M376">
        <f t="shared" ca="1" si="211"/>
        <v>3061.1947411989818</v>
      </c>
      <c r="N376">
        <f t="shared" ca="1" si="212"/>
        <v>1495.8279109067339</v>
      </c>
      <c r="O376">
        <f t="shared" ca="1" si="213"/>
        <v>1316.4992805211514</v>
      </c>
      <c r="P376">
        <f t="shared" ca="1" si="214"/>
        <v>903.30404183739927</v>
      </c>
      <c r="Q376">
        <f t="shared" ca="1" si="215"/>
        <v>834.89746783419628</v>
      </c>
      <c r="R376">
        <f t="shared" ca="1" si="216"/>
        <v>177.76609465523887</v>
      </c>
      <c r="S376">
        <f t="shared" ca="1" si="217"/>
        <v>122.09205851493712</v>
      </c>
      <c r="T376">
        <f t="shared" ca="1" si="218"/>
        <v>73.046000816926039</v>
      </c>
      <c r="U376">
        <f t="shared" si="221"/>
        <v>345</v>
      </c>
      <c r="V376" t="str">
        <f t="shared" si="222"/>
        <v>f345:t345</v>
      </c>
      <c r="W376" t="str">
        <f t="shared" si="219"/>
        <v>g345:t345</v>
      </c>
      <c r="X376" t="str">
        <f t="shared" si="219"/>
        <v>h345:t345</v>
      </c>
      <c r="Y376" t="str">
        <f t="shared" si="219"/>
        <v>I345:t345</v>
      </c>
      <c r="Z376" t="str">
        <f t="shared" si="219"/>
        <v>j345:t345</v>
      </c>
      <c r="AA376" t="str">
        <f t="shared" si="219"/>
        <v>k345:t345</v>
      </c>
      <c r="AB376" t="str">
        <f t="shared" si="219"/>
        <v>l345:t345</v>
      </c>
      <c r="AC376" t="str">
        <f t="shared" si="219"/>
        <v>m345:t345</v>
      </c>
      <c r="AD376" t="str">
        <f t="shared" si="219"/>
        <v>n345:t345</v>
      </c>
      <c r="AE376" t="str">
        <f t="shared" si="219"/>
        <v>o345:t345</v>
      </c>
      <c r="AF376" t="str">
        <f t="shared" si="219"/>
        <v>p345:t345</v>
      </c>
      <c r="AG376" t="str">
        <f t="shared" si="219"/>
        <v>q345:t345</v>
      </c>
      <c r="AH376" t="str">
        <f t="shared" si="219"/>
        <v>r345:t345</v>
      </c>
      <c r="AI376" t="str">
        <f t="shared" si="219"/>
        <v>s345:t345</v>
      </c>
      <c r="AJ376" t="str">
        <f t="shared" si="219"/>
        <v>t345:t345</v>
      </c>
    </row>
    <row r="377" spans="4:36" x14ac:dyDescent="0.15">
      <c r="E377">
        <v>1991</v>
      </c>
      <c r="F377">
        <f t="shared" ca="1" si="220"/>
        <v>4763.5196932667859</v>
      </c>
      <c r="G377">
        <f t="shared" ca="1" si="205"/>
        <v>4716.7133356059694</v>
      </c>
      <c r="H377">
        <f t="shared" ca="1" si="206"/>
        <v>4677.6734640006689</v>
      </c>
      <c r="I377">
        <f t="shared" ca="1" si="207"/>
        <v>4644.9439166835809</v>
      </c>
      <c r="J377">
        <f t="shared" ca="1" si="208"/>
        <v>4618.6807052014146</v>
      </c>
      <c r="K377">
        <f t="shared" ca="1" si="209"/>
        <v>4361.1582769922488</v>
      </c>
      <c r="L377">
        <f t="shared" ca="1" si="210"/>
        <v>4080.199567876803</v>
      </c>
      <c r="M377">
        <f t="shared" ca="1" si="211"/>
        <v>2964.7270706912805</v>
      </c>
      <c r="N377">
        <f t="shared" ca="1" si="212"/>
        <v>2525.8420313121783</v>
      </c>
      <c r="O377">
        <f t="shared" ca="1" si="213"/>
        <v>1381.1161675819026</v>
      </c>
      <c r="P377">
        <f t="shared" ca="1" si="214"/>
        <v>1069.5658380020898</v>
      </c>
      <c r="Q377">
        <f t="shared" ca="1" si="215"/>
        <v>570.90154161426256</v>
      </c>
      <c r="R377">
        <f t="shared" ca="1" si="216"/>
        <v>461.20009564288631</v>
      </c>
      <c r="S377">
        <f t="shared" ca="1" si="217"/>
        <v>109.29662920290572</v>
      </c>
      <c r="T377">
        <f t="shared" ca="1" si="218"/>
        <v>56.057665718988474</v>
      </c>
      <c r="U377">
        <f t="shared" si="221"/>
        <v>346</v>
      </c>
      <c r="V377" t="str">
        <f t="shared" si="222"/>
        <v>f346:t346</v>
      </c>
      <c r="W377" t="str">
        <f t="shared" si="219"/>
        <v>g346:t346</v>
      </c>
      <c r="X377" t="str">
        <f t="shared" si="219"/>
        <v>h346:t346</v>
      </c>
      <c r="Y377" t="str">
        <f t="shared" si="219"/>
        <v>I346:t346</v>
      </c>
      <c r="Z377" t="str">
        <f t="shared" si="219"/>
        <v>j346:t346</v>
      </c>
      <c r="AA377" t="str">
        <f t="shared" si="219"/>
        <v>k346:t346</v>
      </c>
      <c r="AB377" t="str">
        <f t="shared" si="219"/>
        <v>l346:t346</v>
      </c>
      <c r="AC377" t="str">
        <f t="shared" si="219"/>
        <v>m346:t346</v>
      </c>
      <c r="AD377" t="str">
        <f t="shared" si="219"/>
        <v>n346:t346</v>
      </c>
      <c r="AE377" t="str">
        <f t="shared" si="219"/>
        <v>o346:t346</v>
      </c>
      <c r="AF377" t="str">
        <f t="shared" si="219"/>
        <v>p346:t346</v>
      </c>
      <c r="AG377" t="str">
        <f t="shared" si="219"/>
        <v>q346:t346</v>
      </c>
      <c r="AH377" t="str">
        <f t="shared" si="219"/>
        <v>r346:t346</v>
      </c>
      <c r="AI377" t="str">
        <f t="shared" si="219"/>
        <v>s346:t346</v>
      </c>
      <c r="AJ377" t="str">
        <f t="shared" si="219"/>
        <v>t346:t346</v>
      </c>
    </row>
    <row r="378" spans="4:36" x14ac:dyDescent="0.15">
      <c r="E378">
        <v>1992</v>
      </c>
      <c r="F378">
        <f t="shared" ca="1" si="220"/>
        <v>4241.1414786127507</v>
      </c>
      <c r="G378">
        <f t="shared" ca="1" si="205"/>
        <v>4203.6395121862361</v>
      </c>
      <c r="H378">
        <f t="shared" ca="1" si="206"/>
        <v>4179.9720504889119</v>
      </c>
      <c r="I378">
        <f t="shared" ca="1" si="207"/>
        <v>3767.2035286224141</v>
      </c>
      <c r="J378">
        <f t="shared" ca="1" si="208"/>
        <v>3660.171618607274</v>
      </c>
      <c r="K378">
        <f t="shared" ca="1" si="209"/>
        <v>3465.9138332028278</v>
      </c>
      <c r="L378">
        <f t="shared" ca="1" si="210"/>
        <v>3101.2729732283815</v>
      </c>
      <c r="M378">
        <f t="shared" ca="1" si="211"/>
        <v>2678.7788252776845</v>
      </c>
      <c r="N378">
        <f t="shared" ca="1" si="212"/>
        <v>2009.4134385350833</v>
      </c>
      <c r="O378">
        <f t="shared" ca="1" si="213"/>
        <v>1677.586520787225</v>
      </c>
      <c r="P378">
        <f t="shared" ca="1" si="214"/>
        <v>1037.293466677017</v>
      </c>
      <c r="Q378">
        <f t="shared" ca="1" si="215"/>
        <v>778.06571322583466</v>
      </c>
      <c r="R378">
        <f t="shared" ca="1" si="216"/>
        <v>421.96061442531357</v>
      </c>
      <c r="S378">
        <f t="shared" ca="1" si="217"/>
        <v>253.6462207876331</v>
      </c>
      <c r="T378">
        <f t="shared" ca="1" si="218"/>
        <v>121.60071202003715</v>
      </c>
      <c r="U378">
        <f t="shared" si="221"/>
        <v>347</v>
      </c>
      <c r="V378" t="str">
        <f t="shared" si="222"/>
        <v>f347:t347</v>
      </c>
      <c r="W378" t="str">
        <f t="shared" si="219"/>
        <v>g347:t347</v>
      </c>
      <c r="X378" t="str">
        <f t="shared" si="219"/>
        <v>h347:t347</v>
      </c>
      <c r="Y378" t="str">
        <f t="shared" si="219"/>
        <v>I347:t347</v>
      </c>
      <c r="Z378" t="str">
        <f t="shared" si="219"/>
        <v>j347:t347</v>
      </c>
      <c r="AA378" t="str">
        <f t="shared" si="219"/>
        <v>k347:t347</v>
      </c>
      <c r="AB378" t="str">
        <f t="shared" si="219"/>
        <v>l347:t347</v>
      </c>
      <c r="AC378" t="str">
        <f t="shared" si="219"/>
        <v>m347:t347</v>
      </c>
      <c r="AD378" t="str">
        <f t="shared" si="219"/>
        <v>n347:t347</v>
      </c>
      <c r="AE378" t="str">
        <f t="shared" si="219"/>
        <v>o347:t347</v>
      </c>
      <c r="AF378" t="str">
        <f t="shared" si="219"/>
        <v>p347:t347</v>
      </c>
      <c r="AG378" t="str">
        <f t="shared" si="219"/>
        <v>q347:t347</v>
      </c>
      <c r="AH378" t="str">
        <f t="shared" si="219"/>
        <v>r347:t347</v>
      </c>
      <c r="AI378" t="str">
        <f t="shared" si="219"/>
        <v>s347:t347</v>
      </c>
      <c r="AJ378" t="str">
        <f t="shared" si="219"/>
        <v>t347:t347</v>
      </c>
    </row>
    <row r="379" spans="4:36" x14ac:dyDescent="0.15">
      <c r="E379">
        <v>1993</v>
      </c>
      <c r="F379">
        <f t="shared" ca="1" si="220"/>
        <v>4848.9000293953695</v>
      </c>
      <c r="G379">
        <f t="shared" ca="1" si="205"/>
        <v>4805.0740400766763</v>
      </c>
      <c r="H379">
        <f t="shared" ca="1" si="206"/>
        <v>4779.196430505287</v>
      </c>
      <c r="I379">
        <f t="shared" ca="1" si="207"/>
        <v>4573.7728563822166</v>
      </c>
      <c r="J379">
        <f t="shared" ca="1" si="208"/>
        <v>3277.9415933562</v>
      </c>
      <c r="K379">
        <f t="shared" ca="1" si="209"/>
        <v>2940.5525698443166</v>
      </c>
      <c r="L379">
        <f t="shared" ca="1" si="210"/>
        <v>2625.5159114121566</v>
      </c>
      <c r="M379">
        <f t="shared" ca="1" si="211"/>
        <v>2421.6919733057953</v>
      </c>
      <c r="N379">
        <f t="shared" ca="1" si="212"/>
        <v>2093.1791555835835</v>
      </c>
      <c r="O379">
        <f t="shared" ca="1" si="213"/>
        <v>1543.5211835010637</v>
      </c>
      <c r="P379">
        <f t="shared" ca="1" si="214"/>
        <v>1190.9187112515799</v>
      </c>
      <c r="Q379">
        <f t="shared" ca="1" si="215"/>
        <v>848.2936271020634</v>
      </c>
      <c r="R379">
        <f t="shared" ca="1" si="216"/>
        <v>575.04014462603254</v>
      </c>
      <c r="S379">
        <f t="shared" ca="1" si="217"/>
        <v>341.01899971540058</v>
      </c>
      <c r="T379">
        <f t="shared" ca="1" si="218"/>
        <v>201.17007926470026</v>
      </c>
      <c r="U379">
        <f t="shared" si="221"/>
        <v>348</v>
      </c>
      <c r="V379" t="str">
        <f t="shared" si="222"/>
        <v>f348:t348</v>
      </c>
      <c r="W379" t="str">
        <f t="shared" si="219"/>
        <v>g348:t348</v>
      </c>
      <c r="X379" t="str">
        <f t="shared" si="219"/>
        <v>h348:t348</v>
      </c>
      <c r="Y379" t="str">
        <f t="shared" si="219"/>
        <v>I348:t348</v>
      </c>
      <c r="Z379" t="str">
        <f t="shared" si="219"/>
        <v>j348:t348</v>
      </c>
      <c r="AA379" t="str">
        <f t="shared" si="219"/>
        <v>k348:t348</v>
      </c>
      <c r="AB379" t="str">
        <f t="shared" si="219"/>
        <v>l348:t348</v>
      </c>
      <c r="AC379" t="str">
        <f t="shared" si="219"/>
        <v>m348:t348</v>
      </c>
      <c r="AD379" t="str">
        <f t="shared" si="219"/>
        <v>n348:t348</v>
      </c>
      <c r="AE379" t="str">
        <f t="shared" si="219"/>
        <v>o348:t348</v>
      </c>
      <c r="AF379" t="str">
        <f t="shared" si="219"/>
        <v>p348:t348</v>
      </c>
      <c r="AG379" t="str">
        <f t="shared" si="219"/>
        <v>q348:t348</v>
      </c>
      <c r="AH379" t="str">
        <f t="shared" si="219"/>
        <v>r348:t348</v>
      </c>
      <c r="AI379" t="str">
        <f t="shared" si="219"/>
        <v>s348:t348</v>
      </c>
      <c r="AJ379" t="str">
        <f t="shared" si="219"/>
        <v>t348:t348</v>
      </c>
    </row>
    <row r="380" spans="4:36" x14ac:dyDescent="0.15">
      <c r="E380">
        <v>1994</v>
      </c>
      <c r="F380">
        <f t="shared" ca="1" si="220"/>
        <v>4853.1243721654073</v>
      </c>
      <c r="G380">
        <f t="shared" ca="1" si="205"/>
        <v>4830.8026322927781</v>
      </c>
      <c r="H380">
        <f t="shared" ca="1" si="206"/>
        <v>4803.8207269087698</v>
      </c>
      <c r="I380">
        <f t="shared" ca="1" si="207"/>
        <v>4713.4048092245048</v>
      </c>
      <c r="J380">
        <f t="shared" ca="1" si="208"/>
        <v>4142.3537404529807</v>
      </c>
      <c r="K380">
        <f t="shared" ca="1" si="209"/>
        <v>2121.9486148687142</v>
      </c>
      <c r="L380">
        <f t="shared" ca="1" si="210"/>
        <v>1733.7545823005305</v>
      </c>
      <c r="M380">
        <f t="shared" ca="1" si="211"/>
        <v>1623.0152082583238</v>
      </c>
      <c r="N380">
        <f t="shared" ca="1" si="212"/>
        <v>1489.5539956463856</v>
      </c>
      <c r="O380">
        <f t="shared" ca="1" si="213"/>
        <v>1314.0213369525795</v>
      </c>
      <c r="P380">
        <f t="shared" ca="1" si="214"/>
        <v>992.17246364267862</v>
      </c>
      <c r="Q380">
        <f t="shared" ca="1" si="215"/>
        <v>785.49197424299234</v>
      </c>
      <c r="R380">
        <f t="shared" ca="1" si="216"/>
        <v>466.0079234603694</v>
      </c>
      <c r="S380">
        <f t="shared" ca="1" si="217"/>
        <v>342.0016883298768</v>
      </c>
      <c r="T380">
        <f t="shared" ca="1" si="218"/>
        <v>217.63174717985143</v>
      </c>
      <c r="U380">
        <f t="shared" si="221"/>
        <v>349</v>
      </c>
      <c r="V380" t="str">
        <f t="shared" si="222"/>
        <v>f349:t349</v>
      </c>
      <c r="W380" t="str">
        <f t="shared" si="219"/>
        <v>g349:t349</v>
      </c>
      <c r="X380" t="str">
        <f t="shared" si="219"/>
        <v>h349:t349</v>
      </c>
      <c r="Y380" t="str">
        <f t="shared" si="219"/>
        <v>I349:t349</v>
      </c>
      <c r="Z380" t="str">
        <f t="shared" si="219"/>
        <v>j349:t349</v>
      </c>
      <c r="AA380" t="str">
        <f t="shared" si="219"/>
        <v>k349:t349</v>
      </c>
      <c r="AB380" t="str">
        <f t="shared" si="219"/>
        <v>l349:t349</v>
      </c>
      <c r="AC380" t="str">
        <f t="shared" si="219"/>
        <v>m349:t349</v>
      </c>
      <c r="AD380" t="str">
        <f t="shared" si="219"/>
        <v>n349:t349</v>
      </c>
      <c r="AE380" t="str">
        <f t="shared" si="219"/>
        <v>o349:t349</v>
      </c>
      <c r="AF380" t="str">
        <f t="shared" si="219"/>
        <v>p349:t349</v>
      </c>
      <c r="AG380" t="str">
        <f t="shared" si="219"/>
        <v>q349:t349</v>
      </c>
      <c r="AH380" t="str">
        <f t="shared" si="219"/>
        <v>r349:t349</v>
      </c>
      <c r="AI380" t="str">
        <f t="shared" si="219"/>
        <v>s349:t349</v>
      </c>
      <c r="AJ380" t="str">
        <f t="shared" si="219"/>
        <v>t349:t349</v>
      </c>
    </row>
    <row r="381" spans="4:36" x14ac:dyDescent="0.15">
      <c r="E381">
        <v>1995</v>
      </c>
      <c r="F381">
        <f t="shared" ca="1" si="220"/>
        <v>5982.3971475690314</v>
      </c>
      <c r="G381">
        <f t="shared" ca="1" si="205"/>
        <v>5965.5494141608788</v>
      </c>
      <c r="H381">
        <f t="shared" ca="1" si="206"/>
        <v>5958.2612878804239</v>
      </c>
      <c r="I381">
        <f t="shared" ca="1" si="207"/>
        <v>5912.6638541381408</v>
      </c>
      <c r="J381">
        <f t="shared" ca="1" si="208"/>
        <v>5422.3049641844536</v>
      </c>
      <c r="K381">
        <f t="shared" ca="1" si="209"/>
        <v>4367.8920280220864</v>
      </c>
      <c r="L381">
        <f t="shared" ca="1" si="210"/>
        <v>2418.2039299466942</v>
      </c>
      <c r="M381">
        <f t="shared" ca="1" si="211"/>
        <v>1551.4565396336741</v>
      </c>
      <c r="N381">
        <f t="shared" ca="1" si="212"/>
        <v>1267.5976118594715</v>
      </c>
      <c r="O381">
        <f t="shared" ca="1" si="213"/>
        <v>1064.9362936812176</v>
      </c>
      <c r="P381">
        <f t="shared" ca="1" si="214"/>
        <v>918.22006264663173</v>
      </c>
      <c r="Q381">
        <f t="shared" ca="1" si="215"/>
        <v>632.92111549296999</v>
      </c>
      <c r="R381">
        <f t="shared" ca="1" si="216"/>
        <v>510.0725590765652</v>
      </c>
      <c r="S381">
        <f t="shared" ca="1" si="217"/>
        <v>264.49425208119783</v>
      </c>
      <c r="T381">
        <f t="shared" ca="1" si="218"/>
        <v>165.2112283197533</v>
      </c>
      <c r="U381">
        <f t="shared" si="221"/>
        <v>350</v>
      </c>
      <c r="V381" t="str">
        <f t="shared" si="222"/>
        <v>f350:t350</v>
      </c>
      <c r="W381" t="str">
        <f t="shared" si="219"/>
        <v>g350:t350</v>
      </c>
      <c r="X381" t="str">
        <f t="shared" si="219"/>
        <v>h350:t350</v>
      </c>
      <c r="Y381" t="str">
        <f t="shared" si="219"/>
        <v>I350:t350</v>
      </c>
      <c r="Z381" t="str">
        <f t="shared" si="219"/>
        <v>j350:t350</v>
      </c>
      <c r="AA381" t="str">
        <f t="shared" si="219"/>
        <v>k350:t350</v>
      </c>
      <c r="AB381" t="str">
        <f t="shared" si="219"/>
        <v>l350:t350</v>
      </c>
      <c r="AC381" t="str">
        <f t="shared" si="219"/>
        <v>m350:t350</v>
      </c>
      <c r="AD381" t="str">
        <f t="shared" si="219"/>
        <v>n350:t350</v>
      </c>
      <c r="AE381" t="str">
        <f t="shared" si="219"/>
        <v>o350:t350</v>
      </c>
      <c r="AF381" t="str">
        <f t="shared" si="219"/>
        <v>p350:t350</v>
      </c>
      <c r="AG381" t="str">
        <f t="shared" si="219"/>
        <v>q350:t350</v>
      </c>
      <c r="AH381" t="str">
        <f t="shared" si="219"/>
        <v>r350:t350</v>
      </c>
      <c r="AI381" t="str">
        <f t="shared" si="219"/>
        <v>s350:t350</v>
      </c>
      <c r="AJ381" t="str">
        <f t="shared" si="219"/>
        <v>t350:t350</v>
      </c>
    </row>
    <row r="382" spans="4:36" x14ac:dyDescent="0.15">
      <c r="E382">
        <v>1996</v>
      </c>
      <c r="F382">
        <f t="shared" ca="1" si="220"/>
        <v>3234.9804919566673</v>
      </c>
      <c r="G382">
        <f t="shared" ca="1" si="205"/>
        <v>3208.3096813163816</v>
      </c>
      <c r="H382">
        <f t="shared" ca="1" si="206"/>
        <v>3186.1273681555363</v>
      </c>
      <c r="I382">
        <f t="shared" ca="1" si="207"/>
        <v>3163.0951366765812</v>
      </c>
      <c r="J382">
        <f t="shared" ca="1" si="208"/>
        <v>3052.1308941132379</v>
      </c>
      <c r="K382">
        <f t="shared" ca="1" si="209"/>
        <v>2669.9040076247716</v>
      </c>
      <c r="L382">
        <f t="shared" ca="1" si="210"/>
        <v>1908.829557412475</v>
      </c>
      <c r="M382">
        <f t="shared" ca="1" si="211"/>
        <v>1075.1857447322079</v>
      </c>
      <c r="N382">
        <f t="shared" ca="1" si="212"/>
        <v>770.12534644417497</v>
      </c>
      <c r="O382">
        <f t="shared" ca="1" si="213"/>
        <v>684.21298482200859</v>
      </c>
      <c r="P382">
        <f t="shared" ca="1" si="214"/>
        <v>579.74712136624146</v>
      </c>
      <c r="Q382">
        <f t="shared" ca="1" si="215"/>
        <v>496.07857514353822</v>
      </c>
      <c r="R382">
        <f t="shared" ca="1" si="216"/>
        <v>325.03711813953851</v>
      </c>
      <c r="S382">
        <f t="shared" ca="1" si="217"/>
        <v>265.69563003155042</v>
      </c>
      <c r="T382">
        <f t="shared" ca="1" si="218"/>
        <v>154.63647165500544</v>
      </c>
      <c r="U382">
        <f t="shared" si="221"/>
        <v>351</v>
      </c>
      <c r="V382" t="str">
        <f t="shared" si="222"/>
        <v>f351:t351</v>
      </c>
      <c r="W382" t="str">
        <f t="shared" si="219"/>
        <v>g351:t351</v>
      </c>
      <c r="X382" t="str">
        <f t="shared" si="219"/>
        <v>h351:t351</v>
      </c>
      <c r="Y382" t="str">
        <f t="shared" si="219"/>
        <v>I351:t351</v>
      </c>
      <c r="Z382" t="str">
        <f t="shared" si="219"/>
        <v>j351:t351</v>
      </c>
      <c r="AA382" t="str">
        <f t="shared" si="219"/>
        <v>k351:t351</v>
      </c>
      <c r="AB382" t="str">
        <f t="shared" si="219"/>
        <v>l351:t351</v>
      </c>
      <c r="AC382" t="str">
        <f t="shared" si="219"/>
        <v>m351:t351</v>
      </c>
      <c r="AD382" t="str">
        <f t="shared" si="219"/>
        <v>n351:t351</v>
      </c>
      <c r="AE382" t="str">
        <f t="shared" si="219"/>
        <v>o351:t351</v>
      </c>
      <c r="AF382" t="str">
        <f t="shared" si="219"/>
        <v>p351:t351</v>
      </c>
      <c r="AG382" t="str">
        <f t="shared" si="219"/>
        <v>q351:t351</v>
      </c>
      <c r="AH382" t="str">
        <f t="shared" si="219"/>
        <v>r351:t351</v>
      </c>
      <c r="AI382" t="str">
        <f t="shared" si="219"/>
        <v>s351:t351</v>
      </c>
      <c r="AJ382" t="str">
        <f t="shared" si="219"/>
        <v>t351:t351</v>
      </c>
    </row>
    <row r="383" spans="4:36" x14ac:dyDescent="0.15">
      <c r="E383">
        <v>1997</v>
      </c>
      <c r="F383">
        <f t="shared" ca="1" si="220"/>
        <v>3845.72373933475</v>
      </c>
      <c r="G383">
        <f t="shared" ca="1" si="205"/>
        <v>3797.2588427158166</v>
      </c>
      <c r="H383">
        <f t="shared" ca="1" si="206"/>
        <v>3772.3843914600698</v>
      </c>
      <c r="I383">
        <f t="shared" ca="1" si="207"/>
        <v>3742.4900855927376</v>
      </c>
      <c r="J383">
        <f t="shared" ca="1" si="208"/>
        <v>3685.6172384467504</v>
      </c>
      <c r="K383">
        <f t="shared" ca="1" si="209"/>
        <v>2667.2080559088531</v>
      </c>
      <c r="L383">
        <f t="shared" ca="1" si="210"/>
        <v>1934.9998777695678</v>
      </c>
      <c r="M383">
        <f t="shared" ca="1" si="211"/>
        <v>1425.9770497740667</v>
      </c>
      <c r="N383">
        <f t="shared" ca="1" si="212"/>
        <v>718.95257063212489</v>
      </c>
      <c r="O383">
        <f t="shared" ca="1" si="213"/>
        <v>576.25625484194222</v>
      </c>
      <c r="P383">
        <f t="shared" ca="1" si="214"/>
        <v>497.69979558821217</v>
      </c>
      <c r="Q383">
        <f t="shared" ca="1" si="215"/>
        <v>434.50858487628443</v>
      </c>
      <c r="R383">
        <f t="shared" ca="1" si="216"/>
        <v>356.85551777572158</v>
      </c>
      <c r="S383">
        <f t="shared" ca="1" si="217"/>
        <v>230.1735947058032</v>
      </c>
      <c r="T383">
        <f t="shared" ca="1" si="218"/>
        <v>183.90738452504215</v>
      </c>
      <c r="U383">
        <f t="shared" si="221"/>
        <v>352</v>
      </c>
      <c r="V383" t="str">
        <f t="shared" si="222"/>
        <v>f352:t352</v>
      </c>
      <c r="W383" t="str">
        <f t="shared" si="219"/>
        <v>g352:t352</v>
      </c>
      <c r="X383" t="str">
        <f t="shared" si="219"/>
        <v>h352:t352</v>
      </c>
      <c r="Y383" t="str">
        <f t="shared" si="219"/>
        <v>I352:t352</v>
      </c>
      <c r="Z383" t="str">
        <f t="shared" si="219"/>
        <v>j352:t352</v>
      </c>
      <c r="AA383" t="str">
        <f t="shared" si="219"/>
        <v>k352:t352</v>
      </c>
      <c r="AB383" t="str">
        <f t="shared" si="219"/>
        <v>l352:t352</v>
      </c>
      <c r="AC383" t="str">
        <f t="shared" si="219"/>
        <v>m352:t352</v>
      </c>
      <c r="AD383" t="str">
        <f t="shared" si="219"/>
        <v>n352:t352</v>
      </c>
      <c r="AE383" t="str">
        <f t="shared" si="219"/>
        <v>o352:t352</v>
      </c>
      <c r="AF383" t="str">
        <f t="shared" si="219"/>
        <v>p352:t352</v>
      </c>
      <c r="AG383" t="str">
        <f t="shared" si="219"/>
        <v>q352:t352</v>
      </c>
      <c r="AH383" t="str">
        <f t="shared" si="219"/>
        <v>r352:t352</v>
      </c>
      <c r="AI383" t="str">
        <f t="shared" si="219"/>
        <v>s352:t352</v>
      </c>
      <c r="AJ383" t="str">
        <f t="shared" si="219"/>
        <v>t352:t352</v>
      </c>
    </row>
    <row r="384" spans="4:36" x14ac:dyDescent="0.15">
      <c r="E384">
        <v>1998</v>
      </c>
      <c r="F384">
        <f t="shared" ca="1" si="220"/>
        <v>2765.5874146282463</v>
      </c>
      <c r="G384">
        <f t="shared" ca="1" si="205"/>
        <v>2753.1974132604241</v>
      </c>
      <c r="H384">
        <f t="shared" ca="1" si="206"/>
        <v>2720.6806379244877</v>
      </c>
      <c r="I384">
        <f t="shared" ca="1" si="207"/>
        <v>2673.3271837732746</v>
      </c>
      <c r="J384">
        <f t="shared" ca="1" si="208"/>
        <v>2609.231564192532</v>
      </c>
      <c r="K384">
        <f t="shared" ca="1" si="209"/>
        <v>2430.337389805577</v>
      </c>
      <c r="L384">
        <f t="shared" ca="1" si="210"/>
        <v>1259.672347084072</v>
      </c>
      <c r="M384">
        <f t="shared" ca="1" si="211"/>
        <v>859.40314501131195</v>
      </c>
      <c r="N384">
        <f t="shared" ca="1" si="212"/>
        <v>564.05834212415493</v>
      </c>
      <c r="O384">
        <f t="shared" ca="1" si="213"/>
        <v>309.14584989207992</v>
      </c>
      <c r="P384">
        <f t="shared" ca="1" si="214"/>
        <v>239.28974385276192</v>
      </c>
      <c r="Q384">
        <f t="shared" ca="1" si="215"/>
        <v>205.56149807661987</v>
      </c>
      <c r="R384">
        <f t="shared" ca="1" si="216"/>
        <v>191.73627603809516</v>
      </c>
      <c r="S384">
        <f t="shared" ca="1" si="217"/>
        <v>159.51318368182558</v>
      </c>
      <c r="T384">
        <f t="shared" ca="1" si="218"/>
        <v>114.11954044451633</v>
      </c>
      <c r="U384">
        <f t="shared" si="221"/>
        <v>353</v>
      </c>
      <c r="V384" t="str">
        <f t="shared" si="222"/>
        <v>f353:t353</v>
      </c>
      <c r="W384" t="str">
        <f t="shared" ref="W384:AJ396" si="223">W$367&amp;$U384&amp;":"&amp;$AJ$367&amp;$U384</f>
        <v>g353:t353</v>
      </c>
      <c r="X384" t="str">
        <f t="shared" si="223"/>
        <v>h353:t353</v>
      </c>
      <c r="Y384" t="str">
        <f t="shared" si="223"/>
        <v>I353:t353</v>
      </c>
      <c r="Z384" t="str">
        <f t="shared" si="223"/>
        <v>j353:t353</v>
      </c>
      <c r="AA384" t="str">
        <f t="shared" si="223"/>
        <v>k353:t353</v>
      </c>
      <c r="AB384" t="str">
        <f t="shared" si="223"/>
        <v>l353:t353</v>
      </c>
      <c r="AC384" t="str">
        <f t="shared" si="223"/>
        <v>m353:t353</v>
      </c>
      <c r="AD384" t="str">
        <f t="shared" si="223"/>
        <v>n353:t353</v>
      </c>
      <c r="AE384" t="str">
        <f t="shared" si="223"/>
        <v>o353:t353</v>
      </c>
      <c r="AF384" t="str">
        <f t="shared" si="223"/>
        <v>p353:t353</v>
      </c>
      <c r="AG384" t="str">
        <f t="shared" si="223"/>
        <v>q353:t353</v>
      </c>
      <c r="AH384" t="str">
        <f t="shared" si="223"/>
        <v>r353:t353</v>
      </c>
      <c r="AI384" t="str">
        <f t="shared" si="223"/>
        <v>s353:t353</v>
      </c>
      <c r="AJ384" t="str">
        <f t="shared" si="223"/>
        <v>t353:t353</v>
      </c>
    </row>
    <row r="385" spans="5:36" x14ac:dyDescent="0.15">
      <c r="E385">
        <v>1999</v>
      </c>
      <c r="F385">
        <f t="shared" ca="1" si="220"/>
        <v>4012.4107608736413</v>
      </c>
      <c r="G385">
        <f t="shared" ca="1" si="205"/>
        <v>3999.5534984843257</v>
      </c>
      <c r="H385">
        <f t="shared" ca="1" si="206"/>
        <v>3960.5884984995519</v>
      </c>
      <c r="I385">
        <f t="shared" ca="1" si="207"/>
        <v>3837.1503331858639</v>
      </c>
      <c r="J385">
        <f t="shared" ca="1" si="208"/>
        <v>3579.3437053849311</v>
      </c>
      <c r="K385">
        <f t="shared" ca="1" si="209"/>
        <v>3383.6901029606061</v>
      </c>
      <c r="L385">
        <f t="shared" ca="1" si="210"/>
        <v>2955.9972239473095</v>
      </c>
      <c r="M385">
        <f t="shared" ca="1" si="211"/>
        <v>1452.3448927987683</v>
      </c>
      <c r="N385">
        <f t="shared" ca="1" si="212"/>
        <v>945.57094350175521</v>
      </c>
      <c r="O385">
        <f t="shared" ca="1" si="213"/>
        <v>652.83755466274647</v>
      </c>
      <c r="P385">
        <f t="shared" ca="1" si="214"/>
        <v>372.72399168723706</v>
      </c>
      <c r="Q385">
        <f t="shared" ca="1" si="215"/>
        <v>263.35931226114121</v>
      </c>
      <c r="R385">
        <f t="shared" ca="1" si="216"/>
        <v>214.0916532281822</v>
      </c>
      <c r="S385">
        <f t="shared" ca="1" si="217"/>
        <v>189.82128070227301</v>
      </c>
      <c r="T385">
        <f t="shared" ca="1" si="218"/>
        <v>149.63842545443788</v>
      </c>
      <c r="U385">
        <f t="shared" si="221"/>
        <v>354</v>
      </c>
      <c r="V385" t="str">
        <f t="shared" si="222"/>
        <v>f354:t354</v>
      </c>
      <c r="W385" t="str">
        <f t="shared" si="223"/>
        <v>g354:t354</v>
      </c>
      <c r="X385" t="str">
        <f t="shared" si="223"/>
        <v>h354:t354</v>
      </c>
      <c r="Y385" t="str">
        <f t="shared" si="223"/>
        <v>I354:t354</v>
      </c>
      <c r="Z385" t="str">
        <f t="shared" si="223"/>
        <v>j354:t354</v>
      </c>
      <c r="AA385" t="str">
        <f t="shared" si="223"/>
        <v>k354:t354</v>
      </c>
      <c r="AB385" t="str">
        <f t="shared" si="223"/>
        <v>l354:t354</v>
      </c>
      <c r="AC385" t="str">
        <f t="shared" si="223"/>
        <v>m354:t354</v>
      </c>
      <c r="AD385" t="str">
        <f t="shared" si="223"/>
        <v>n354:t354</v>
      </c>
      <c r="AE385" t="str">
        <f t="shared" si="223"/>
        <v>o354:t354</v>
      </c>
      <c r="AF385" t="str">
        <f t="shared" si="223"/>
        <v>p354:t354</v>
      </c>
      <c r="AG385" t="str">
        <f t="shared" si="223"/>
        <v>q354:t354</v>
      </c>
      <c r="AH385" t="str">
        <f t="shared" si="223"/>
        <v>r354:t354</v>
      </c>
      <c r="AI385" t="str">
        <f t="shared" si="223"/>
        <v>s354:t354</v>
      </c>
      <c r="AJ385" t="str">
        <f t="shared" si="223"/>
        <v>t354:t354</v>
      </c>
    </row>
    <row r="386" spans="5:36" x14ac:dyDescent="0.15">
      <c r="E386">
        <v>2000</v>
      </c>
      <c r="F386">
        <f t="shared" ca="1" si="220"/>
        <v>5079.7546080758366</v>
      </c>
      <c r="G386">
        <f t="shared" ca="1" si="205"/>
        <v>5066.0360722367686</v>
      </c>
      <c r="H386">
        <f t="shared" ca="1" si="206"/>
        <v>5049.348897430039</v>
      </c>
      <c r="I386">
        <f t="shared" ca="1" si="207"/>
        <v>4981.8810876274611</v>
      </c>
      <c r="J386">
        <f t="shared" ca="1" si="208"/>
        <v>4516.6762918801287</v>
      </c>
      <c r="K386">
        <f t="shared" ca="1" si="209"/>
        <v>3910.0105483721172</v>
      </c>
      <c r="L386">
        <f t="shared" ca="1" si="210"/>
        <v>3535.1678427387692</v>
      </c>
      <c r="M386">
        <f t="shared" ca="1" si="211"/>
        <v>3123.4826227620283</v>
      </c>
      <c r="N386">
        <f t="shared" ca="1" si="212"/>
        <v>1625.9688246845419</v>
      </c>
      <c r="O386">
        <f t="shared" ca="1" si="213"/>
        <v>967.29410987770609</v>
      </c>
      <c r="P386">
        <f t="shared" ca="1" si="214"/>
        <v>563.29047758691127</v>
      </c>
      <c r="Q386">
        <f t="shared" ca="1" si="215"/>
        <v>355.12592559241261</v>
      </c>
      <c r="R386">
        <f t="shared" ca="1" si="216"/>
        <v>213.13723622390998</v>
      </c>
      <c r="S386">
        <f t="shared" ca="1" si="217"/>
        <v>165.79146486197632</v>
      </c>
      <c r="T386">
        <f t="shared" ca="1" si="218"/>
        <v>143.07288245134075</v>
      </c>
      <c r="U386">
        <f t="shared" si="221"/>
        <v>355</v>
      </c>
      <c r="V386" t="str">
        <f t="shared" si="222"/>
        <v>f355:t355</v>
      </c>
      <c r="W386" t="str">
        <f t="shared" si="223"/>
        <v>g355:t355</v>
      </c>
      <c r="X386" t="str">
        <f t="shared" si="223"/>
        <v>h355:t355</v>
      </c>
      <c r="Y386" t="str">
        <f t="shared" si="223"/>
        <v>I355:t355</v>
      </c>
      <c r="Z386" t="str">
        <f t="shared" si="223"/>
        <v>j355:t355</v>
      </c>
      <c r="AA386" t="str">
        <f t="shared" si="223"/>
        <v>k355:t355</v>
      </c>
      <c r="AB386" t="str">
        <f t="shared" si="223"/>
        <v>l355:t355</v>
      </c>
      <c r="AC386" t="str">
        <f t="shared" si="223"/>
        <v>m355:t355</v>
      </c>
      <c r="AD386" t="str">
        <f t="shared" si="223"/>
        <v>n355:t355</v>
      </c>
      <c r="AE386" t="str">
        <f t="shared" si="223"/>
        <v>o355:t355</v>
      </c>
      <c r="AF386" t="str">
        <f t="shared" si="223"/>
        <v>p355:t355</v>
      </c>
      <c r="AG386" t="str">
        <f t="shared" si="223"/>
        <v>q355:t355</v>
      </c>
      <c r="AH386" t="str">
        <f t="shared" si="223"/>
        <v>r355:t355</v>
      </c>
      <c r="AI386" t="str">
        <f t="shared" si="223"/>
        <v>s355:t355</v>
      </c>
      <c r="AJ386" t="str">
        <f t="shared" si="223"/>
        <v>t355:t355</v>
      </c>
    </row>
    <row r="387" spans="5:36" x14ac:dyDescent="0.15">
      <c r="E387">
        <v>2001</v>
      </c>
      <c r="F387">
        <f t="shared" ca="1" si="220"/>
        <v>3994.234997348914</v>
      </c>
      <c r="G387">
        <f t="shared" ca="1" si="205"/>
        <v>3963.7611230610378</v>
      </c>
      <c r="H387">
        <f t="shared" ca="1" si="206"/>
        <v>3916.5625263262832</v>
      </c>
      <c r="I387">
        <f t="shared" ca="1" si="207"/>
        <v>3865.3260220115721</v>
      </c>
      <c r="J387">
        <f t="shared" ca="1" si="208"/>
        <v>3703.3916782153365</v>
      </c>
      <c r="K387">
        <f t="shared" ca="1" si="209"/>
        <v>3108.3547353727886</v>
      </c>
      <c r="L387">
        <f t="shared" ca="1" si="210"/>
        <v>2393.0659280089549</v>
      </c>
      <c r="M387">
        <f t="shared" ca="1" si="211"/>
        <v>2040.0096243723062</v>
      </c>
      <c r="N387">
        <f t="shared" ca="1" si="212"/>
        <v>1828.2114459636919</v>
      </c>
      <c r="O387">
        <f t="shared" ca="1" si="213"/>
        <v>1170.7415625600026</v>
      </c>
      <c r="P387">
        <f t="shared" ca="1" si="214"/>
        <v>660.2877769336983</v>
      </c>
      <c r="Q387">
        <f t="shared" ca="1" si="215"/>
        <v>426.63411107044317</v>
      </c>
      <c r="R387">
        <f t="shared" ca="1" si="216"/>
        <v>225.60246864588908</v>
      </c>
      <c r="S387">
        <f t="shared" ca="1" si="217"/>
        <v>146.44253652734969</v>
      </c>
      <c r="T387">
        <f t="shared" ca="1" si="218"/>
        <v>112.87952192929257</v>
      </c>
      <c r="U387">
        <f t="shared" si="221"/>
        <v>356</v>
      </c>
      <c r="V387" t="str">
        <f t="shared" si="222"/>
        <v>f356:t356</v>
      </c>
      <c r="W387" t="str">
        <f t="shared" si="223"/>
        <v>g356:t356</v>
      </c>
      <c r="X387" t="str">
        <f t="shared" si="223"/>
        <v>h356:t356</v>
      </c>
      <c r="Y387" t="str">
        <f t="shared" si="223"/>
        <v>I356:t356</v>
      </c>
      <c r="Z387" t="str">
        <f t="shared" si="223"/>
        <v>j356:t356</v>
      </c>
      <c r="AA387" t="str">
        <f t="shared" si="223"/>
        <v>k356:t356</v>
      </c>
      <c r="AB387" t="str">
        <f t="shared" si="223"/>
        <v>l356:t356</v>
      </c>
      <c r="AC387" t="str">
        <f t="shared" si="223"/>
        <v>m356:t356</v>
      </c>
      <c r="AD387" t="str">
        <f t="shared" si="223"/>
        <v>n356:t356</v>
      </c>
      <c r="AE387" t="str">
        <f t="shared" si="223"/>
        <v>o356:t356</v>
      </c>
      <c r="AF387" t="str">
        <f t="shared" si="223"/>
        <v>p356:t356</v>
      </c>
      <c r="AG387" t="str">
        <f t="shared" si="223"/>
        <v>q356:t356</v>
      </c>
      <c r="AH387" t="str">
        <f t="shared" si="223"/>
        <v>r356:t356</v>
      </c>
      <c r="AI387" t="str">
        <f t="shared" si="223"/>
        <v>s356:t356</v>
      </c>
      <c r="AJ387" t="str">
        <f t="shared" si="223"/>
        <v>t356:t356</v>
      </c>
    </row>
    <row r="388" spans="5:36" x14ac:dyDescent="0.15">
      <c r="E388">
        <v>2002</v>
      </c>
      <c r="F388">
        <f t="shared" ref="F388:T390" ca="1" si="224">SUM(INDIRECT(V388))</f>
        <v>4740.361711444476</v>
      </c>
      <c r="G388">
        <f t="shared" ca="1" si="224"/>
        <v>4727.0045726034868</v>
      </c>
      <c r="H388">
        <f t="shared" ca="1" si="224"/>
        <v>4704.5561048075469</v>
      </c>
      <c r="I388">
        <f t="shared" ca="1" si="224"/>
        <v>4545.745085864105</v>
      </c>
      <c r="J388">
        <f t="shared" ca="1" si="224"/>
        <v>4208.8846459470942</v>
      </c>
      <c r="K388">
        <f t="shared" ca="1" si="224"/>
        <v>3654.7821158388997</v>
      </c>
      <c r="L388">
        <f t="shared" ca="1" si="224"/>
        <v>2814.5989130332987</v>
      </c>
      <c r="M388">
        <f t="shared" ca="1" si="224"/>
        <v>2334.6899570130849</v>
      </c>
      <c r="N388">
        <f t="shared" ca="1" si="224"/>
        <v>2066.485778795146</v>
      </c>
      <c r="O388">
        <f t="shared" ca="1" si="224"/>
        <v>1662.8784728323603</v>
      </c>
      <c r="P388">
        <f t="shared" ca="1" si="224"/>
        <v>871.6026782893166</v>
      </c>
      <c r="Q388">
        <f t="shared" ca="1" si="224"/>
        <v>464.20399845945599</v>
      </c>
      <c r="R388">
        <f t="shared" ca="1" si="224"/>
        <v>250.82856593724097</v>
      </c>
      <c r="S388">
        <f t="shared" ca="1" si="224"/>
        <v>115.70424173435768</v>
      </c>
      <c r="T388">
        <f t="shared" ca="1" si="224"/>
        <v>67.872840802114609</v>
      </c>
      <c r="U388">
        <f t="shared" ref="U388:U393" si="225">ROW(T357)</f>
        <v>357</v>
      </c>
      <c r="V388" t="str">
        <f t="shared" si="222"/>
        <v>f357:t357</v>
      </c>
      <c r="W388" t="str">
        <f t="shared" si="223"/>
        <v>g357:t357</v>
      </c>
      <c r="X388" t="str">
        <f t="shared" si="223"/>
        <v>h357:t357</v>
      </c>
      <c r="Y388" t="str">
        <f t="shared" si="223"/>
        <v>I357:t357</v>
      </c>
      <c r="Z388" t="str">
        <f t="shared" si="223"/>
        <v>j357:t357</v>
      </c>
      <c r="AA388" t="str">
        <f t="shared" si="223"/>
        <v>k357:t357</v>
      </c>
      <c r="AB388" t="str">
        <f t="shared" si="223"/>
        <v>l357:t357</v>
      </c>
      <c r="AC388" t="str">
        <f t="shared" si="223"/>
        <v>m357:t357</v>
      </c>
      <c r="AD388" t="str">
        <f t="shared" si="223"/>
        <v>n357:t357</v>
      </c>
      <c r="AE388" t="str">
        <f t="shared" si="223"/>
        <v>o357:t357</v>
      </c>
      <c r="AF388" t="str">
        <f t="shared" si="223"/>
        <v>p357:t357</v>
      </c>
      <c r="AG388" t="str">
        <f t="shared" si="223"/>
        <v>q357:t357</v>
      </c>
      <c r="AH388" t="str">
        <f t="shared" si="223"/>
        <v>r357:t357</v>
      </c>
      <c r="AI388" t="str">
        <f t="shared" si="223"/>
        <v>s357:t357</v>
      </c>
      <c r="AJ388" t="str">
        <f t="shared" si="223"/>
        <v>t357:t357</v>
      </c>
    </row>
    <row r="389" spans="5:36" x14ac:dyDescent="0.15">
      <c r="E389">
        <v>2003</v>
      </c>
      <c r="F389">
        <f t="shared" ca="1" si="224"/>
        <v>7571.4091194160674</v>
      </c>
      <c r="G389">
        <f t="shared" ca="1" si="224"/>
        <v>7563.3158890568584</v>
      </c>
      <c r="H389">
        <f t="shared" ca="1" si="224"/>
        <v>7550.2451881953612</v>
      </c>
      <c r="I389">
        <f t="shared" ca="1" si="224"/>
        <v>7344.2058152212276</v>
      </c>
      <c r="J389">
        <f t="shared" ca="1" si="224"/>
        <v>6793.9249689307335</v>
      </c>
      <c r="K389">
        <f t="shared" ca="1" si="224"/>
        <v>5968.2490879331099</v>
      </c>
      <c r="L389">
        <f t="shared" ca="1" si="224"/>
        <v>5098.7833908701232</v>
      </c>
      <c r="M389">
        <f t="shared" ca="1" si="224"/>
        <v>3847.0216183724283</v>
      </c>
      <c r="N389">
        <f t="shared" ca="1" si="224"/>
        <v>3060.0996486980489</v>
      </c>
      <c r="O389">
        <f t="shared" ca="1" si="224"/>
        <v>2685.5909811385159</v>
      </c>
      <c r="P389">
        <f t="shared" ca="1" si="224"/>
        <v>2155.0355138133914</v>
      </c>
      <c r="Q389">
        <f t="shared" ca="1" si="224"/>
        <v>1047.7026052959252</v>
      </c>
      <c r="R389">
        <f t="shared" ca="1" si="224"/>
        <v>535.49503845441689</v>
      </c>
      <c r="S389">
        <f t="shared" ca="1" si="224"/>
        <v>278.36283477572431</v>
      </c>
      <c r="T389">
        <f t="shared" ca="1" si="224"/>
        <v>132.74379459799147</v>
      </c>
      <c r="U389">
        <f t="shared" si="225"/>
        <v>358</v>
      </c>
      <c r="V389" t="str">
        <f t="shared" si="222"/>
        <v>f358:t358</v>
      </c>
      <c r="W389" t="str">
        <f t="shared" si="223"/>
        <v>g358:t358</v>
      </c>
      <c r="X389" t="str">
        <f t="shared" si="223"/>
        <v>h358:t358</v>
      </c>
      <c r="Y389" t="str">
        <f t="shared" si="223"/>
        <v>I358:t358</v>
      </c>
      <c r="Z389" t="str">
        <f t="shared" si="223"/>
        <v>j358:t358</v>
      </c>
      <c r="AA389" t="str">
        <f t="shared" si="223"/>
        <v>k358:t358</v>
      </c>
      <c r="AB389" t="str">
        <f t="shared" si="223"/>
        <v>l358:t358</v>
      </c>
      <c r="AC389" t="str">
        <f t="shared" si="223"/>
        <v>m358:t358</v>
      </c>
      <c r="AD389" t="str">
        <f t="shared" si="223"/>
        <v>n358:t358</v>
      </c>
      <c r="AE389" t="str">
        <f t="shared" si="223"/>
        <v>o358:t358</v>
      </c>
      <c r="AF389" t="str">
        <f t="shared" si="223"/>
        <v>p358:t358</v>
      </c>
      <c r="AG389" t="str">
        <f t="shared" si="223"/>
        <v>q358:t358</v>
      </c>
      <c r="AH389" t="str">
        <f t="shared" si="223"/>
        <v>r358:t358</v>
      </c>
      <c r="AI389" t="str">
        <f t="shared" si="223"/>
        <v>s358:t358</v>
      </c>
      <c r="AJ389" t="str">
        <f t="shared" si="223"/>
        <v>t358:t358</v>
      </c>
    </row>
    <row r="390" spans="5:36" x14ac:dyDescent="0.15">
      <c r="E390">
        <v>2004</v>
      </c>
      <c r="F390">
        <f t="shared" ca="1" si="224"/>
        <v>3530.795658369042</v>
      </c>
      <c r="G390">
        <f t="shared" ca="1" si="224"/>
        <v>3522.0161020633327</v>
      </c>
      <c r="H390">
        <f t="shared" ca="1" si="224"/>
        <v>3499.494641579397</v>
      </c>
      <c r="I390">
        <f t="shared" ca="1" si="224"/>
        <v>3459.7810929285683</v>
      </c>
      <c r="J390">
        <f t="shared" ca="1" si="224"/>
        <v>2977.902187487432</v>
      </c>
      <c r="K390">
        <f t="shared" ca="1" si="224"/>
        <v>2403.086102557615</v>
      </c>
      <c r="L390">
        <f t="shared" ca="1" si="224"/>
        <v>1865.9178503201247</v>
      </c>
      <c r="M390">
        <f t="shared" ca="1" si="224"/>
        <v>1506.3793484162993</v>
      </c>
      <c r="N390">
        <f t="shared" ca="1" si="224"/>
        <v>1095.6969267948091</v>
      </c>
      <c r="O390">
        <f t="shared" ca="1" si="224"/>
        <v>856.79850171311784</v>
      </c>
      <c r="P390">
        <f t="shared" ca="1" si="224"/>
        <v>702.16929617951598</v>
      </c>
      <c r="Q390">
        <f t="shared" ca="1" si="224"/>
        <v>534.15194330091185</v>
      </c>
      <c r="R390">
        <f t="shared" ca="1" si="224"/>
        <v>222.82052328374891</v>
      </c>
      <c r="S390">
        <f t="shared" ca="1" si="224"/>
        <v>83.579778145683321</v>
      </c>
      <c r="T390">
        <f t="shared" ca="1" si="224"/>
        <v>40.826282399463253</v>
      </c>
      <c r="U390">
        <f t="shared" si="225"/>
        <v>359</v>
      </c>
      <c r="V390" t="str">
        <f t="shared" si="222"/>
        <v>f359:t359</v>
      </c>
      <c r="W390" t="str">
        <f t="shared" si="223"/>
        <v>g359:t359</v>
      </c>
      <c r="X390" t="str">
        <f t="shared" si="223"/>
        <v>h359:t359</v>
      </c>
      <c r="Y390" t="str">
        <f t="shared" si="223"/>
        <v>I359:t359</v>
      </c>
      <c r="Z390" t="str">
        <f t="shared" si="223"/>
        <v>j359:t359</v>
      </c>
      <c r="AA390" t="str">
        <f t="shared" si="223"/>
        <v>k359:t359</v>
      </c>
      <c r="AB390" t="str">
        <f t="shared" si="223"/>
        <v>l359:t359</v>
      </c>
      <c r="AC390" t="str">
        <f t="shared" si="223"/>
        <v>m359:t359</v>
      </c>
      <c r="AD390" t="str">
        <f t="shared" si="223"/>
        <v>n359:t359</v>
      </c>
      <c r="AE390" t="str">
        <f t="shared" si="223"/>
        <v>o359:t359</v>
      </c>
      <c r="AF390" t="str">
        <f t="shared" si="223"/>
        <v>p359:t359</v>
      </c>
      <c r="AG390" t="str">
        <f t="shared" si="223"/>
        <v>q359:t359</v>
      </c>
      <c r="AH390" t="str">
        <f t="shared" si="223"/>
        <v>r359:t359</v>
      </c>
      <c r="AI390" t="str">
        <f t="shared" si="223"/>
        <v>s359:t359</v>
      </c>
      <c r="AJ390" t="str">
        <f t="shared" si="223"/>
        <v>t359:t359</v>
      </c>
    </row>
    <row r="391" spans="5:36" x14ac:dyDescent="0.15">
      <c r="E391">
        <v>2005</v>
      </c>
      <c r="F391">
        <f t="shared" ref="F391:T391" ca="1" si="226">SUM(INDIRECT(V391))</f>
        <v>4961.7694877365539</v>
      </c>
      <c r="G391">
        <f t="shared" ca="1" si="226"/>
        <v>4954.0882744338523</v>
      </c>
      <c r="H391">
        <f t="shared" ca="1" si="226"/>
        <v>4946.3923834512534</v>
      </c>
      <c r="I391">
        <f t="shared" ca="1" si="226"/>
        <v>4912.440409470646</v>
      </c>
      <c r="J391">
        <f t="shared" ca="1" si="226"/>
        <v>4584.5400816571528</v>
      </c>
      <c r="K391">
        <f t="shared" ca="1" si="226"/>
        <v>3238.7761327564754</v>
      </c>
      <c r="L391">
        <f t="shared" ca="1" si="226"/>
        <v>2197.578612322513</v>
      </c>
      <c r="M391">
        <f t="shared" ca="1" si="226"/>
        <v>1558.7514401369765</v>
      </c>
      <c r="N391">
        <f t="shared" ca="1" si="226"/>
        <v>1220.725152593546</v>
      </c>
      <c r="O391">
        <f t="shared" ca="1" si="226"/>
        <v>941.29404463843002</v>
      </c>
      <c r="P391">
        <f t="shared" ca="1" si="226"/>
        <v>714.11112339615306</v>
      </c>
      <c r="Q391">
        <f t="shared" ca="1" si="226"/>
        <v>647.04312648764494</v>
      </c>
      <c r="R391">
        <f t="shared" ca="1" si="226"/>
        <v>500.43927719557348</v>
      </c>
      <c r="S391">
        <f t="shared" ca="1" si="226"/>
        <v>260.39894085292389</v>
      </c>
      <c r="T391">
        <f t="shared" ca="1" si="226"/>
        <v>129.05399552899007</v>
      </c>
      <c r="U391">
        <f t="shared" si="225"/>
        <v>360</v>
      </c>
      <c r="V391" t="str">
        <f t="shared" si="222"/>
        <v>f360:t360</v>
      </c>
      <c r="W391" t="str">
        <f t="shared" si="223"/>
        <v>g360:t360</v>
      </c>
      <c r="X391" t="str">
        <f t="shared" si="223"/>
        <v>h360:t360</v>
      </c>
      <c r="Y391" t="str">
        <f t="shared" si="223"/>
        <v>I360:t360</v>
      </c>
      <c r="Z391" t="str">
        <f t="shared" si="223"/>
        <v>j360:t360</v>
      </c>
      <c r="AA391" t="str">
        <f t="shared" si="223"/>
        <v>k360:t360</v>
      </c>
      <c r="AB391" t="str">
        <f t="shared" si="223"/>
        <v>l360:t360</v>
      </c>
      <c r="AC391" t="str">
        <f t="shared" si="223"/>
        <v>m360:t360</v>
      </c>
      <c r="AD391" t="str">
        <f t="shared" si="223"/>
        <v>n360:t360</v>
      </c>
      <c r="AE391" t="str">
        <f t="shared" si="223"/>
        <v>o360:t360</v>
      </c>
      <c r="AF391" t="str">
        <f t="shared" si="223"/>
        <v>p360:t360</v>
      </c>
      <c r="AG391" t="str">
        <f t="shared" si="223"/>
        <v>q360:t360</v>
      </c>
      <c r="AH391" t="str">
        <f t="shared" si="223"/>
        <v>r360:t360</v>
      </c>
      <c r="AI391" t="str">
        <f t="shared" si="223"/>
        <v>s360:t360</v>
      </c>
      <c r="AJ391" t="str">
        <f t="shared" si="223"/>
        <v>t360:t360</v>
      </c>
    </row>
    <row r="392" spans="5:36" x14ac:dyDescent="0.15">
      <c r="E392">
        <v>2006</v>
      </c>
      <c r="F392">
        <f t="shared" ref="F392:T392" ca="1" si="227">SUM(INDIRECT(V392))</f>
        <v>2973.8478859890238</v>
      </c>
      <c r="G392">
        <f t="shared" ca="1" si="227"/>
        <v>2958.2609389712097</v>
      </c>
      <c r="H392">
        <f t="shared" ca="1" si="227"/>
        <v>2955.6532546468225</v>
      </c>
      <c r="I392">
        <f t="shared" ca="1" si="227"/>
        <v>2948.0604090489728</v>
      </c>
      <c r="J392">
        <f t="shared" ca="1" si="227"/>
        <v>2836.4554841274276</v>
      </c>
      <c r="K392">
        <f t="shared" ca="1" si="227"/>
        <v>2372.3051352735465</v>
      </c>
      <c r="L392">
        <f t="shared" ca="1" si="227"/>
        <v>1686.5652705528664</v>
      </c>
      <c r="M392">
        <f t="shared" ca="1" si="227"/>
        <v>1169.7847262069217</v>
      </c>
      <c r="N392">
        <f t="shared" ca="1" si="227"/>
        <v>896.51296917878722</v>
      </c>
      <c r="O392">
        <f t="shared" ca="1" si="227"/>
        <v>697.26515229090501</v>
      </c>
      <c r="P392">
        <f t="shared" ca="1" si="227"/>
        <v>511.41847440749245</v>
      </c>
      <c r="Q392">
        <f t="shared" ca="1" si="227"/>
        <v>418.77547553570696</v>
      </c>
      <c r="R392">
        <f t="shared" ca="1" si="227"/>
        <v>357.41813635747201</v>
      </c>
      <c r="S392">
        <f t="shared" ca="1" si="227"/>
        <v>263.76520618815397</v>
      </c>
      <c r="T392">
        <f t="shared" ca="1" si="227"/>
        <v>139.81507327449665</v>
      </c>
      <c r="U392">
        <f t="shared" si="225"/>
        <v>361</v>
      </c>
      <c r="V392" t="str">
        <f t="shared" si="222"/>
        <v>f361:t361</v>
      </c>
      <c r="W392" t="str">
        <f t="shared" si="223"/>
        <v>g361:t361</v>
      </c>
      <c r="X392" t="str">
        <f t="shared" si="223"/>
        <v>h361:t361</v>
      </c>
      <c r="Y392" t="str">
        <f t="shared" si="223"/>
        <v>I361:t361</v>
      </c>
      <c r="Z392" t="str">
        <f t="shared" si="223"/>
        <v>j361:t361</v>
      </c>
      <c r="AA392" t="str">
        <f t="shared" si="223"/>
        <v>k361:t361</v>
      </c>
      <c r="AB392" t="str">
        <f t="shared" si="223"/>
        <v>l361:t361</v>
      </c>
      <c r="AC392" t="str">
        <f t="shared" si="223"/>
        <v>m361:t361</v>
      </c>
      <c r="AD392" t="str">
        <f t="shared" si="223"/>
        <v>n361:t361</v>
      </c>
      <c r="AE392" t="str">
        <f t="shared" si="223"/>
        <v>o361:t361</v>
      </c>
      <c r="AF392" t="str">
        <f t="shared" si="223"/>
        <v>p361:t361</v>
      </c>
      <c r="AG392" t="str">
        <f t="shared" si="223"/>
        <v>q361:t361</v>
      </c>
      <c r="AH392" t="str">
        <f t="shared" si="223"/>
        <v>r361:t361</v>
      </c>
      <c r="AI392" t="str">
        <f t="shared" si="223"/>
        <v>s361:t361</v>
      </c>
      <c r="AJ392" t="str">
        <f t="shared" si="223"/>
        <v>t361:t361</v>
      </c>
    </row>
    <row r="393" spans="5:36" x14ac:dyDescent="0.15">
      <c r="E393">
        <v>2007</v>
      </c>
      <c r="F393">
        <f t="shared" ref="F393:T394" ca="1" si="228">SUM(INDIRECT(V393))</f>
        <v>4412.0287444740325</v>
      </c>
      <c r="G393">
        <f t="shared" ca="1" si="228"/>
        <v>4368.0771131104757</v>
      </c>
      <c r="H393">
        <f t="shared" ca="1" si="228"/>
        <v>4364.9947437984647</v>
      </c>
      <c r="I393">
        <f t="shared" ca="1" si="228"/>
        <v>4343.0170258870085</v>
      </c>
      <c r="J393">
        <f t="shared" ca="1" si="228"/>
        <v>4201.2179946745136</v>
      </c>
      <c r="K393">
        <f t="shared" ca="1" si="228"/>
        <v>3594.6343666622738</v>
      </c>
      <c r="L393">
        <f t="shared" ca="1" si="228"/>
        <v>2640.2702219506841</v>
      </c>
      <c r="M393">
        <f t="shared" ca="1" si="228"/>
        <v>1772.9212808532861</v>
      </c>
      <c r="N393">
        <f t="shared" ca="1" si="228"/>
        <v>1080.7175732676358</v>
      </c>
      <c r="O393">
        <f t="shared" ca="1" si="228"/>
        <v>770.18381581823041</v>
      </c>
      <c r="P393">
        <f t="shared" ca="1" si="228"/>
        <v>606.55918992151692</v>
      </c>
      <c r="Q393">
        <f t="shared" ca="1" si="228"/>
        <v>452.81987072732238</v>
      </c>
      <c r="R393">
        <f t="shared" ca="1" si="228"/>
        <v>323.2028257075799</v>
      </c>
      <c r="S393">
        <f t="shared" ca="1" si="228"/>
        <v>254.38294756982501</v>
      </c>
      <c r="T393">
        <f t="shared" ca="1" si="228"/>
        <v>170.98219156916227</v>
      </c>
      <c r="U393">
        <f t="shared" si="225"/>
        <v>362</v>
      </c>
      <c r="V393" t="str">
        <f t="shared" si="222"/>
        <v>f362:t362</v>
      </c>
      <c r="W393" t="str">
        <f t="shared" si="223"/>
        <v>g362:t362</v>
      </c>
      <c r="X393" t="str">
        <f t="shared" si="223"/>
        <v>h362:t362</v>
      </c>
      <c r="Y393" t="str">
        <f t="shared" si="223"/>
        <v>I362:t362</v>
      </c>
      <c r="Z393" t="str">
        <f t="shared" si="223"/>
        <v>j362:t362</v>
      </c>
      <c r="AA393" t="str">
        <f t="shared" si="223"/>
        <v>k362:t362</v>
      </c>
      <c r="AB393" t="str">
        <f t="shared" si="223"/>
        <v>l362:t362</v>
      </c>
      <c r="AC393" t="str">
        <f t="shared" si="223"/>
        <v>m362:t362</v>
      </c>
      <c r="AD393" t="str">
        <f t="shared" si="223"/>
        <v>n362:t362</v>
      </c>
      <c r="AE393" t="str">
        <f t="shared" si="223"/>
        <v>o362:t362</v>
      </c>
      <c r="AF393" t="str">
        <f t="shared" si="223"/>
        <v>p362:t362</v>
      </c>
      <c r="AG393" t="str">
        <f t="shared" si="223"/>
        <v>q362:t362</v>
      </c>
      <c r="AH393" t="str">
        <f t="shared" si="223"/>
        <v>r362:t362</v>
      </c>
      <c r="AI393" t="str">
        <f t="shared" si="223"/>
        <v>s362:t362</v>
      </c>
      <c r="AJ393" t="str">
        <f t="shared" si="223"/>
        <v>t362:t362</v>
      </c>
    </row>
    <row r="394" spans="5:36" x14ac:dyDescent="0.15">
      <c r="E394">
        <v>2008</v>
      </c>
      <c r="F394">
        <f t="shared" ca="1" si="228"/>
        <v>2931.1111285077141</v>
      </c>
      <c r="G394">
        <f t="shared" ref="G394:T394" ca="1" si="229">SUM(INDIRECT(W394))</f>
        <v>2921.056537779782</v>
      </c>
      <c r="H394">
        <f t="shared" ca="1" si="229"/>
        <v>2915.9183553619901</v>
      </c>
      <c r="I394">
        <f t="shared" ca="1" si="229"/>
        <v>2903.5298671101746</v>
      </c>
      <c r="J394">
        <f t="shared" ca="1" si="229"/>
        <v>2849.3235237171093</v>
      </c>
      <c r="K394">
        <f t="shared" ca="1" si="229"/>
        <v>2616.0576052089145</v>
      </c>
      <c r="L394">
        <f t="shared" ca="1" si="229"/>
        <v>2018.2312252540639</v>
      </c>
      <c r="M394">
        <f t="shared" ca="1" si="229"/>
        <v>1455.0845433598522</v>
      </c>
      <c r="N394">
        <f t="shared" ca="1" si="229"/>
        <v>993.31273366857761</v>
      </c>
      <c r="O394">
        <f t="shared" ca="1" si="229"/>
        <v>663.1286472205195</v>
      </c>
      <c r="P394">
        <f t="shared" ca="1" si="229"/>
        <v>520.50540096056045</v>
      </c>
      <c r="Q394">
        <f t="shared" ca="1" si="229"/>
        <v>383.52546226032621</v>
      </c>
      <c r="R394">
        <f t="shared" ca="1" si="229"/>
        <v>283.40723640621013</v>
      </c>
      <c r="S394">
        <f t="shared" ca="1" si="229"/>
        <v>233.2369862221237</v>
      </c>
      <c r="T394">
        <f t="shared" ca="1" si="229"/>
        <v>201.76079081885351</v>
      </c>
      <c r="U394">
        <f>ROW(T363)</f>
        <v>363</v>
      </c>
      <c r="V394" t="str">
        <f t="shared" si="222"/>
        <v>f363:t363</v>
      </c>
      <c r="W394" t="str">
        <f t="shared" si="223"/>
        <v>g363:t363</v>
      </c>
      <c r="X394" t="str">
        <f t="shared" si="223"/>
        <v>h363:t363</v>
      </c>
      <c r="Y394" t="str">
        <f t="shared" si="223"/>
        <v>I363:t363</v>
      </c>
      <c r="Z394" t="str">
        <f t="shared" si="223"/>
        <v>j363:t363</v>
      </c>
      <c r="AA394" t="str">
        <f t="shared" si="223"/>
        <v>k363:t363</v>
      </c>
      <c r="AB394" t="str">
        <f t="shared" si="223"/>
        <v>l363:t363</v>
      </c>
      <c r="AC394" t="str">
        <f t="shared" si="223"/>
        <v>m363:t363</v>
      </c>
      <c r="AD394" t="str">
        <f t="shared" si="223"/>
        <v>n363:t363</v>
      </c>
      <c r="AE394" t="str">
        <f t="shared" si="223"/>
        <v>o363:t363</v>
      </c>
      <c r="AF394" t="str">
        <f t="shared" si="223"/>
        <v>p363:t363</v>
      </c>
      <c r="AG394" t="str">
        <f t="shared" si="223"/>
        <v>q363:t363</v>
      </c>
      <c r="AH394" t="str">
        <f t="shared" si="223"/>
        <v>r363:t363</v>
      </c>
      <c r="AI394" t="str">
        <f t="shared" si="223"/>
        <v>s363:t363</v>
      </c>
      <c r="AJ394" t="str">
        <f t="shared" si="223"/>
        <v>t363:t363</v>
      </c>
    </row>
    <row r="395" spans="5:36" x14ac:dyDescent="0.15">
      <c r="E395">
        <v>2009</v>
      </c>
      <c r="F395">
        <f t="shared" ref="F395:T395" ca="1" si="230">SUM(INDIRECT(V395))</f>
        <v>2217.0000277991726</v>
      </c>
      <c r="G395">
        <f t="shared" ca="1" si="230"/>
        <v>2201.9016887714329</v>
      </c>
      <c r="H395">
        <f t="shared" ca="1" si="230"/>
        <v>2192.1902145770714</v>
      </c>
      <c r="I395">
        <f t="shared" ca="1" si="230"/>
        <v>2117.4792464649813</v>
      </c>
      <c r="J395">
        <f t="shared" ca="1" si="230"/>
        <v>1969.5552384053519</v>
      </c>
      <c r="K395">
        <f t="shared" ca="1" si="230"/>
        <v>1853.2288473524502</v>
      </c>
      <c r="L395">
        <f t="shared" ca="1" si="230"/>
        <v>1644.3804499082073</v>
      </c>
      <c r="M395">
        <f t="shared" ca="1" si="230"/>
        <v>1223.4865943736577</v>
      </c>
      <c r="N395">
        <f t="shared" ca="1" si="230"/>
        <v>838.04656886973623</v>
      </c>
      <c r="O395">
        <f t="shared" ca="1" si="230"/>
        <v>517.97494621588407</v>
      </c>
      <c r="P395">
        <f t="shared" ca="1" si="230"/>
        <v>346.2546320996932</v>
      </c>
      <c r="Q395">
        <f t="shared" ca="1" si="230"/>
        <v>228.9039141975349</v>
      </c>
      <c r="R395">
        <f t="shared" ca="1" si="230"/>
        <v>192.17003232088211</v>
      </c>
      <c r="S395">
        <f t="shared" ca="1" si="230"/>
        <v>146.40878739735646</v>
      </c>
      <c r="T395">
        <f t="shared" ca="1" si="230"/>
        <v>121.02268888264554</v>
      </c>
      <c r="U395">
        <f>ROW(T364)</f>
        <v>364</v>
      </c>
      <c r="V395" t="str">
        <f t="shared" si="222"/>
        <v>f364:t364</v>
      </c>
      <c r="W395" t="str">
        <f t="shared" si="223"/>
        <v>g364:t364</v>
      </c>
      <c r="X395" t="str">
        <f t="shared" si="223"/>
        <v>h364:t364</v>
      </c>
      <c r="Y395" t="str">
        <f t="shared" si="223"/>
        <v>I364:t364</v>
      </c>
      <c r="Z395" t="str">
        <f t="shared" si="223"/>
        <v>j364:t364</v>
      </c>
      <c r="AA395" t="str">
        <f t="shared" si="223"/>
        <v>k364:t364</v>
      </c>
      <c r="AB395" t="str">
        <f t="shared" si="223"/>
        <v>l364:t364</v>
      </c>
      <c r="AC395" t="str">
        <f t="shared" si="223"/>
        <v>m364:t364</v>
      </c>
      <c r="AD395" t="str">
        <f t="shared" si="223"/>
        <v>n364:t364</v>
      </c>
      <c r="AE395" t="str">
        <f t="shared" si="223"/>
        <v>o364:t364</v>
      </c>
      <c r="AF395" t="str">
        <f t="shared" si="223"/>
        <v>p364:t364</v>
      </c>
      <c r="AG395" t="str">
        <f t="shared" si="223"/>
        <v>q364:t364</v>
      </c>
      <c r="AH395" t="str">
        <f t="shared" si="223"/>
        <v>r364:t364</v>
      </c>
      <c r="AI395" t="str">
        <f t="shared" si="223"/>
        <v>s364:t364</v>
      </c>
      <c r="AJ395" t="str">
        <f t="shared" si="223"/>
        <v>t364:t364</v>
      </c>
    </row>
    <row r="396" spans="5:36" x14ac:dyDescent="0.15">
      <c r="E396">
        <v>2010</v>
      </c>
      <c r="F396">
        <f t="shared" ref="F396:T396" ca="1" si="231">SUM(INDIRECT(V396))</f>
        <v>0</v>
      </c>
      <c r="G396">
        <f t="shared" ca="1" si="231"/>
        <v>0</v>
      </c>
      <c r="H396">
        <f t="shared" ca="1" si="231"/>
        <v>0</v>
      </c>
      <c r="I396">
        <f t="shared" ca="1" si="231"/>
        <v>0</v>
      </c>
      <c r="J396">
        <f t="shared" ca="1" si="231"/>
        <v>0</v>
      </c>
      <c r="K396">
        <f t="shared" ca="1" si="231"/>
        <v>0</v>
      </c>
      <c r="L396">
        <f t="shared" ca="1" si="231"/>
        <v>0</v>
      </c>
      <c r="M396">
        <f t="shared" ca="1" si="231"/>
        <v>0</v>
      </c>
      <c r="N396">
        <f t="shared" ca="1" si="231"/>
        <v>0</v>
      </c>
      <c r="O396">
        <f t="shared" ca="1" si="231"/>
        <v>0</v>
      </c>
      <c r="P396">
        <f t="shared" ca="1" si="231"/>
        <v>0</v>
      </c>
      <c r="Q396">
        <f t="shared" ca="1" si="231"/>
        <v>0</v>
      </c>
      <c r="R396">
        <f t="shared" ca="1" si="231"/>
        <v>0</v>
      </c>
      <c r="S396">
        <f t="shared" ca="1" si="231"/>
        <v>0</v>
      </c>
      <c r="T396">
        <f t="shared" ca="1" si="231"/>
        <v>0</v>
      </c>
      <c r="U396">
        <f>ROW(T365)</f>
        <v>365</v>
      </c>
      <c r="V396" t="str">
        <f t="shared" si="222"/>
        <v>f365:t365</v>
      </c>
      <c r="W396" t="str">
        <f t="shared" si="223"/>
        <v>g365:t365</v>
      </c>
      <c r="X396" t="str">
        <f t="shared" si="223"/>
        <v>h365:t365</v>
      </c>
      <c r="Y396" t="str">
        <f t="shared" si="223"/>
        <v>I365:t365</v>
      </c>
      <c r="Z396" t="str">
        <f t="shared" si="223"/>
        <v>j365:t365</v>
      </c>
      <c r="AA396" t="str">
        <f t="shared" si="223"/>
        <v>k365:t365</v>
      </c>
      <c r="AB396" t="str">
        <f t="shared" si="223"/>
        <v>l365:t365</v>
      </c>
      <c r="AC396" t="str">
        <f t="shared" si="223"/>
        <v>m365:t365</v>
      </c>
      <c r="AD396" t="str">
        <f t="shared" si="223"/>
        <v>n365:t365</v>
      </c>
      <c r="AE396" t="str">
        <f t="shared" si="223"/>
        <v>o365:t365</v>
      </c>
      <c r="AF396" t="str">
        <f t="shared" si="223"/>
        <v>p365:t365</v>
      </c>
      <c r="AG396" t="str">
        <f t="shared" si="223"/>
        <v>q365:t365</v>
      </c>
      <c r="AH396" t="str">
        <f t="shared" si="223"/>
        <v>r365:t365</v>
      </c>
      <c r="AI396" t="str">
        <f t="shared" si="223"/>
        <v>s365:t365</v>
      </c>
      <c r="AJ396" t="str">
        <f t="shared" si="223"/>
        <v>t365:t365</v>
      </c>
    </row>
    <row r="397" spans="5:36" x14ac:dyDescent="0.15">
      <c r="E397" s="21" t="s">
        <v>94</v>
      </c>
    </row>
    <row r="398" spans="5:36" x14ac:dyDescent="0.15">
      <c r="F398" t="s">
        <v>75</v>
      </c>
      <c r="G398" t="s">
        <v>81</v>
      </c>
      <c r="H398" t="s">
        <v>80</v>
      </c>
      <c r="I398" t="s">
        <v>76</v>
      </c>
      <c r="J398" t="s">
        <v>78</v>
      </c>
      <c r="K398" t="s">
        <v>79</v>
      </c>
      <c r="L398" t="s">
        <v>77</v>
      </c>
      <c r="M398" t="s">
        <v>149</v>
      </c>
      <c r="N398" t="s">
        <v>82</v>
      </c>
      <c r="O398" t="s">
        <v>83</v>
      </c>
      <c r="P398" t="s">
        <v>85</v>
      </c>
      <c r="Q398" t="s">
        <v>86</v>
      </c>
      <c r="R398" t="s">
        <v>87</v>
      </c>
      <c r="S398" t="s">
        <v>89</v>
      </c>
      <c r="T398" t="s">
        <v>88</v>
      </c>
    </row>
    <row r="399" spans="5:36" x14ac:dyDescent="0.15">
      <c r="E399">
        <v>1982</v>
      </c>
      <c r="F399">
        <f ca="1">F368/$F368</f>
        <v>1</v>
      </c>
      <c r="G399">
        <f t="shared" ref="G399:T399" ca="1" si="232">G368/$F368</f>
        <v>0.98866050484349954</v>
      </c>
      <c r="H399">
        <f t="shared" ca="1" si="232"/>
        <v>0.92491408585510426</v>
      </c>
      <c r="I399">
        <f t="shared" ca="1" si="232"/>
        <v>0.75287138552101551</v>
      </c>
      <c r="J399">
        <f t="shared" ca="1" si="232"/>
        <v>0.32533010935842233</v>
      </c>
      <c r="K399">
        <f t="shared" ca="1" si="232"/>
        <v>0.13949701690087188</v>
      </c>
      <c r="L399">
        <f t="shared" ca="1" si="232"/>
        <v>9.9712229037752745E-2</v>
      </c>
      <c r="M399">
        <f t="shared" ca="1" si="232"/>
        <v>5.9715879333062771E-2</v>
      </c>
      <c r="N399">
        <f t="shared" ca="1" si="232"/>
        <v>3.8345836548042724E-2</v>
      </c>
      <c r="O399">
        <f t="shared" ca="1" si="232"/>
        <v>2.3791707548746197E-2</v>
      </c>
      <c r="P399">
        <f t="shared" ca="1" si="232"/>
        <v>1.3072594687696544E-2</v>
      </c>
      <c r="Q399">
        <f t="shared" ca="1" si="232"/>
        <v>5.9559270707376594E-3</v>
      </c>
      <c r="R399">
        <f t="shared" ca="1" si="232"/>
        <v>2.3106301561507136E-3</v>
      </c>
      <c r="S399">
        <f t="shared" ca="1" si="232"/>
        <v>8.0550147023575466E-4</v>
      </c>
      <c r="T399">
        <f t="shared" ca="1" si="232"/>
        <v>1.9798157855017856E-4</v>
      </c>
    </row>
    <row r="400" spans="5:36" x14ac:dyDescent="0.15">
      <c r="E400">
        <v>1983</v>
      </c>
      <c r="F400">
        <f t="shared" ref="F400:T400" ca="1" si="233">F369/$F369</f>
        <v>1</v>
      </c>
      <c r="G400">
        <f t="shared" ca="1" si="233"/>
        <v>0.99584927607332674</v>
      </c>
      <c r="H400">
        <f t="shared" ca="1" si="233"/>
        <v>0.97905180332640462</v>
      </c>
      <c r="I400">
        <f t="shared" ca="1" si="233"/>
        <v>0.90675237473823733</v>
      </c>
      <c r="J400">
        <f t="shared" ca="1" si="233"/>
        <v>0.75386366773757685</v>
      </c>
      <c r="K400">
        <f t="shared" ca="1" si="233"/>
        <v>0.28176383453184706</v>
      </c>
      <c r="L400">
        <f t="shared" ca="1" si="233"/>
        <v>0.10578228217333667</v>
      </c>
      <c r="M400">
        <f t="shared" ca="1" si="233"/>
        <v>6.7319567262457553E-2</v>
      </c>
      <c r="N400">
        <f t="shared" ca="1" si="233"/>
        <v>3.9648020931522067E-2</v>
      </c>
      <c r="O400">
        <f t="shared" ca="1" si="233"/>
        <v>2.5927756832087374E-2</v>
      </c>
      <c r="P400">
        <f t="shared" ca="1" si="233"/>
        <v>1.5419256432594355E-2</v>
      </c>
      <c r="Q400">
        <f t="shared" ca="1" si="233"/>
        <v>6.7769307652145129E-3</v>
      </c>
      <c r="R400">
        <f t="shared" ca="1" si="233"/>
        <v>3.6595350387175238E-3</v>
      </c>
      <c r="S400">
        <f t="shared" ca="1" si="233"/>
        <v>2.1054727633936354E-3</v>
      </c>
      <c r="T400">
        <f t="shared" ca="1" si="233"/>
        <v>6.2779809673223675E-4</v>
      </c>
    </row>
    <row r="401" spans="5:20" x14ac:dyDescent="0.15">
      <c r="E401">
        <v>1984</v>
      </c>
      <c r="F401">
        <f t="shared" ref="F401:T401" ca="1" si="234">F370/$F370</f>
        <v>1</v>
      </c>
      <c r="G401">
        <f t="shared" ca="1" si="234"/>
        <v>0.99891754938099175</v>
      </c>
      <c r="H401">
        <f t="shared" ca="1" si="234"/>
        <v>0.99582503920674947</v>
      </c>
      <c r="I401">
        <f t="shared" ca="1" si="234"/>
        <v>0.97366881165625918</v>
      </c>
      <c r="J401">
        <f t="shared" ca="1" si="234"/>
        <v>0.87788816007817239</v>
      </c>
      <c r="K401">
        <f t="shared" ca="1" si="234"/>
        <v>0.69497538278109761</v>
      </c>
      <c r="L401">
        <f t="shared" ca="1" si="234"/>
        <v>0.17918079919017343</v>
      </c>
      <c r="M401">
        <f t="shared" ca="1" si="234"/>
        <v>6.4325005878329677E-2</v>
      </c>
      <c r="N401">
        <f t="shared" ca="1" si="234"/>
        <v>3.3284773651687721E-2</v>
      </c>
      <c r="O401">
        <f t="shared" ca="1" si="234"/>
        <v>1.6594176120421751E-2</v>
      </c>
      <c r="P401">
        <f t="shared" ca="1" si="234"/>
        <v>9.9681370173421175E-3</v>
      </c>
      <c r="Q401">
        <f t="shared" ca="1" si="234"/>
        <v>4.789346386641905E-3</v>
      </c>
      <c r="R401">
        <f t="shared" ca="1" si="234"/>
        <v>3.1432520383842047E-3</v>
      </c>
      <c r="S401">
        <f t="shared" ca="1" si="234"/>
        <v>2.0878229811716739E-3</v>
      </c>
      <c r="T401">
        <f t="shared" ca="1" si="234"/>
        <v>7.1793728457603026E-4</v>
      </c>
    </row>
    <row r="402" spans="5:20" x14ac:dyDescent="0.15">
      <c r="E402">
        <v>1985</v>
      </c>
      <c r="F402">
        <f t="shared" ref="F402:T402" ca="1" si="235">F371/$F371</f>
        <v>1</v>
      </c>
      <c r="G402">
        <f t="shared" ca="1" si="235"/>
        <v>0.97824137197633187</v>
      </c>
      <c r="H402">
        <f t="shared" ca="1" si="235"/>
        <v>0.9675982978625175</v>
      </c>
      <c r="I402">
        <f t="shared" ca="1" si="235"/>
        <v>0.84682635512591153</v>
      </c>
      <c r="J402">
        <f t="shared" ca="1" si="235"/>
        <v>0.78629478847911594</v>
      </c>
      <c r="K402">
        <f t="shared" ca="1" si="235"/>
        <v>0.53175777232388421</v>
      </c>
      <c r="L402">
        <f t="shared" ca="1" si="235"/>
        <v>0.28435680420157677</v>
      </c>
      <c r="M402">
        <f t="shared" ca="1" si="235"/>
        <v>8.0791044856900432E-2</v>
      </c>
      <c r="N402">
        <f t="shared" ca="1" si="235"/>
        <v>3.4997848557931151E-2</v>
      </c>
      <c r="O402">
        <f t="shared" ca="1" si="235"/>
        <v>1.9065859461692751E-2</v>
      </c>
      <c r="P402">
        <f t="shared" ca="1" si="235"/>
        <v>7.9616321110753691E-3</v>
      </c>
      <c r="Q402">
        <f t="shared" ca="1" si="235"/>
        <v>3.7201398374682119E-3</v>
      </c>
      <c r="R402">
        <f t="shared" ca="1" si="235"/>
        <v>2.2614621576965482E-3</v>
      </c>
      <c r="S402">
        <f t="shared" ca="1" si="235"/>
        <v>3.1152855251606994E-4</v>
      </c>
      <c r="T402">
        <f t="shared" ca="1" si="235"/>
        <v>9.152861843320407E-5</v>
      </c>
    </row>
    <row r="403" spans="5:20" x14ac:dyDescent="0.15">
      <c r="E403">
        <v>1986</v>
      </c>
      <c r="F403">
        <f t="shared" ref="F403:T403" ca="1" si="236">F372/$F372</f>
        <v>1</v>
      </c>
      <c r="G403">
        <f t="shared" ca="1" si="236"/>
        <v>0.99307370804617334</v>
      </c>
      <c r="H403">
        <f t="shared" ca="1" si="236"/>
        <v>0.98697537045009465</v>
      </c>
      <c r="I403">
        <f t="shared" ca="1" si="236"/>
        <v>0.97523801461406645</v>
      </c>
      <c r="J403">
        <f t="shared" ca="1" si="236"/>
        <v>0.86193793101516403</v>
      </c>
      <c r="K403">
        <f t="shared" ca="1" si="236"/>
        <v>0.77317403280178321</v>
      </c>
      <c r="L403">
        <f t="shared" ca="1" si="236"/>
        <v>0.55833360203216442</v>
      </c>
      <c r="M403">
        <f t="shared" ca="1" si="236"/>
        <v>0.34201862102151076</v>
      </c>
      <c r="N403">
        <f t="shared" ca="1" si="236"/>
        <v>0.11136638756581277</v>
      </c>
      <c r="O403">
        <f t="shared" ca="1" si="236"/>
        <v>2.8385744017857692E-2</v>
      </c>
      <c r="P403">
        <f t="shared" ca="1" si="236"/>
        <v>1.2243379082514208E-2</v>
      </c>
      <c r="Q403">
        <f t="shared" ca="1" si="236"/>
        <v>4.5922713021674822E-3</v>
      </c>
      <c r="R403">
        <f t="shared" ca="1" si="236"/>
        <v>1.2333928627056283E-3</v>
      </c>
      <c r="S403">
        <f t="shared" ca="1" si="236"/>
        <v>9.6869620994432333E-4</v>
      </c>
      <c r="T403">
        <f t="shared" ca="1" si="236"/>
        <v>0</v>
      </c>
    </row>
    <row r="404" spans="5:20" x14ac:dyDescent="0.15">
      <c r="E404">
        <v>1987</v>
      </c>
      <c r="F404">
        <f t="shared" ref="F404:T404" ca="1" si="237">F373/$F373</f>
        <v>1</v>
      </c>
      <c r="G404">
        <f t="shared" ca="1" si="237"/>
        <v>0.99824974293544344</v>
      </c>
      <c r="H404">
        <f t="shared" ca="1" si="237"/>
        <v>0.98657934525349267</v>
      </c>
      <c r="I404">
        <f t="shared" ca="1" si="237"/>
        <v>0.95419061144334505</v>
      </c>
      <c r="J404">
        <f t="shared" ca="1" si="237"/>
        <v>0.916857868689546</v>
      </c>
      <c r="K404">
        <f t="shared" ca="1" si="237"/>
        <v>0.61360331953279124</v>
      </c>
      <c r="L404">
        <f t="shared" ca="1" si="237"/>
        <v>0.5001066060026591</v>
      </c>
      <c r="M404">
        <f t="shared" ca="1" si="237"/>
        <v>0.35696337857686622</v>
      </c>
      <c r="N404">
        <f t="shared" ca="1" si="237"/>
        <v>0.29274020985034127</v>
      </c>
      <c r="O404">
        <f t="shared" ca="1" si="237"/>
        <v>6.262650748422853E-2</v>
      </c>
      <c r="P404">
        <f t="shared" ca="1" si="237"/>
        <v>2.3151166156395394E-2</v>
      </c>
      <c r="Q404">
        <f t="shared" ca="1" si="237"/>
        <v>9.1879854401505489E-3</v>
      </c>
      <c r="R404">
        <f t="shared" ca="1" si="237"/>
        <v>2.8668936164123614E-3</v>
      </c>
      <c r="S404">
        <f t="shared" ca="1" si="237"/>
        <v>1.2867697857278139E-3</v>
      </c>
      <c r="T404">
        <f t="shared" ca="1" si="237"/>
        <v>4.8311050678903405E-4</v>
      </c>
    </row>
    <row r="405" spans="5:20" x14ac:dyDescent="0.15">
      <c r="E405">
        <v>1988</v>
      </c>
      <c r="F405">
        <f t="shared" ref="F405:T405" ca="1" si="238">F374/$F374</f>
        <v>1</v>
      </c>
      <c r="G405">
        <f t="shared" ca="1" si="238"/>
        <v>0.99789944283866061</v>
      </c>
      <c r="H405">
        <f t="shared" ca="1" si="238"/>
        <v>0.99212310960643213</v>
      </c>
      <c r="I405">
        <f t="shared" ca="1" si="238"/>
        <v>0.93894934093628402</v>
      </c>
      <c r="J405">
        <f t="shared" ca="1" si="238"/>
        <v>0.81063939352630432</v>
      </c>
      <c r="K405">
        <f t="shared" ca="1" si="238"/>
        <v>0.73695881926293738</v>
      </c>
      <c r="L405">
        <f t="shared" ca="1" si="238"/>
        <v>0.45947853329519223</v>
      </c>
      <c r="M405">
        <f t="shared" ca="1" si="238"/>
        <v>0.36223459817717008</v>
      </c>
      <c r="N405">
        <f t="shared" ca="1" si="238"/>
        <v>0.26900647507031061</v>
      </c>
      <c r="O405">
        <f t="shared" ca="1" si="238"/>
        <v>0.20998971697447516</v>
      </c>
      <c r="P405">
        <f t="shared" ca="1" si="238"/>
        <v>3.7718935112430262E-2</v>
      </c>
      <c r="Q405">
        <f t="shared" ca="1" si="238"/>
        <v>1.9126783148648116E-2</v>
      </c>
      <c r="R405">
        <f t="shared" ca="1" si="238"/>
        <v>7.9772374494631159E-3</v>
      </c>
      <c r="S405">
        <f t="shared" ca="1" si="238"/>
        <v>5.421656782549745E-3</v>
      </c>
      <c r="T405">
        <f t="shared" ca="1" si="238"/>
        <v>1.7057695645911143E-3</v>
      </c>
    </row>
    <row r="406" spans="5:20" x14ac:dyDescent="0.15">
      <c r="E406">
        <v>1989</v>
      </c>
      <c r="F406">
        <f t="shared" ref="F406:T406" ca="1" si="239">F375/$F375</f>
        <v>1</v>
      </c>
      <c r="G406">
        <f t="shared" ca="1" si="239"/>
        <v>0.99730315327082175</v>
      </c>
      <c r="H406">
        <f t="shared" ca="1" si="239"/>
        <v>0.99388586367701592</v>
      </c>
      <c r="I406">
        <f t="shared" ca="1" si="239"/>
        <v>0.98139058569877524</v>
      </c>
      <c r="J406">
        <f t="shared" ca="1" si="239"/>
        <v>0.89434885736959169</v>
      </c>
      <c r="K406">
        <f t="shared" ca="1" si="239"/>
        <v>0.64565261996104462</v>
      </c>
      <c r="L406">
        <f t="shared" ca="1" si="239"/>
        <v>0.58575626931745395</v>
      </c>
      <c r="M406">
        <f t="shared" ca="1" si="239"/>
        <v>0.31827110761729926</v>
      </c>
      <c r="N406">
        <f t="shared" ca="1" si="239"/>
        <v>0.27280870382696532</v>
      </c>
      <c r="O406">
        <f t="shared" ca="1" si="239"/>
        <v>0.19827127534145333</v>
      </c>
      <c r="P406">
        <f t="shared" ca="1" si="239"/>
        <v>0.16984425888053606</v>
      </c>
      <c r="Q406">
        <f t="shared" ca="1" si="239"/>
        <v>6.5345534492822044E-2</v>
      </c>
      <c r="R406">
        <f t="shared" ca="1" si="239"/>
        <v>4.7283219682698552E-2</v>
      </c>
      <c r="S406">
        <f t="shared" ca="1" si="239"/>
        <v>2.7005661276887489E-2</v>
      </c>
      <c r="T406">
        <f t="shared" ca="1" si="239"/>
        <v>1.5596678142014488E-2</v>
      </c>
    </row>
    <row r="407" spans="5:20" x14ac:dyDescent="0.15">
      <c r="E407">
        <v>1990</v>
      </c>
      <c r="F407">
        <f t="shared" ref="F407:T407" ca="1" si="240">F376/$F376</f>
        <v>1</v>
      </c>
      <c r="G407">
        <f t="shared" ca="1" si="240"/>
        <v>0.99357860049907532</v>
      </c>
      <c r="H407">
        <f t="shared" ca="1" si="240"/>
        <v>0.99058734795900694</v>
      </c>
      <c r="I407">
        <f t="shared" ca="1" si="240"/>
        <v>0.98889818050964151</v>
      </c>
      <c r="J407">
        <f t="shared" ca="1" si="240"/>
        <v>0.95960996013819644</v>
      </c>
      <c r="K407">
        <f t="shared" ca="1" si="240"/>
        <v>0.87448900546433495</v>
      </c>
      <c r="L407">
        <f t="shared" ca="1" si="240"/>
        <v>0.51717759392796259</v>
      </c>
      <c r="M407">
        <f t="shared" ca="1" si="240"/>
        <v>0.44004856788463714</v>
      </c>
      <c r="N407">
        <f t="shared" ca="1" si="240"/>
        <v>0.21502615339609671</v>
      </c>
      <c r="O407">
        <f t="shared" ca="1" si="240"/>
        <v>0.18924755593549186</v>
      </c>
      <c r="P407">
        <f t="shared" ca="1" si="240"/>
        <v>0.12985049419602215</v>
      </c>
      <c r="Q407">
        <f t="shared" ca="1" si="240"/>
        <v>0.12001700842692868</v>
      </c>
      <c r="R407">
        <f t="shared" ca="1" si="240"/>
        <v>2.5553982018420678E-2</v>
      </c>
      <c r="S407">
        <f t="shared" ca="1" si="240"/>
        <v>1.7550806153071561E-2</v>
      </c>
      <c r="T407">
        <f t="shared" ca="1" si="240"/>
        <v>1.0500406137702478E-2</v>
      </c>
    </row>
    <row r="408" spans="5:20" x14ac:dyDescent="0.15">
      <c r="E408">
        <v>1991</v>
      </c>
      <c r="F408">
        <f t="shared" ref="F408:T408" ca="1" si="241">F377/$F377</f>
        <v>1</v>
      </c>
      <c r="G408">
        <f t="shared" ca="1" si="241"/>
        <v>0.99017399723843336</v>
      </c>
      <c r="H408">
        <f t="shared" ca="1" si="241"/>
        <v>0.98197840361876532</v>
      </c>
      <c r="I408">
        <f t="shared" ca="1" si="241"/>
        <v>0.97510752884032126</v>
      </c>
      <c r="J408">
        <f t="shared" ca="1" si="241"/>
        <v>0.96959412422077307</v>
      </c>
      <c r="K408">
        <f t="shared" ca="1" si="241"/>
        <v>0.9155327484332072</v>
      </c>
      <c r="L408">
        <f t="shared" ca="1" si="241"/>
        <v>0.85655142218560509</v>
      </c>
      <c r="M408">
        <f t="shared" ca="1" si="241"/>
        <v>0.62238161309208173</v>
      </c>
      <c r="N408">
        <f t="shared" ca="1" si="241"/>
        <v>0.53024700094815291</v>
      </c>
      <c r="O408">
        <f t="shared" ca="1" si="241"/>
        <v>0.28993606755401979</v>
      </c>
      <c r="P408">
        <f t="shared" ca="1" si="241"/>
        <v>0.2245326789587784</v>
      </c>
      <c r="Q408">
        <f t="shared" ca="1" si="241"/>
        <v>0.11984867878708036</v>
      </c>
      <c r="R408">
        <f t="shared" ca="1" si="241"/>
        <v>9.6819185253876588E-2</v>
      </c>
      <c r="S408">
        <f t="shared" ca="1" si="241"/>
        <v>2.2944510832482969E-2</v>
      </c>
      <c r="T408">
        <f t="shared" ca="1" si="241"/>
        <v>1.1768118813117481E-2</v>
      </c>
    </row>
    <row r="409" spans="5:20" x14ac:dyDescent="0.15">
      <c r="E409">
        <v>1992</v>
      </c>
      <c r="F409">
        <f t="shared" ref="F409:T409" ca="1" si="242">F378/$F378</f>
        <v>1</v>
      </c>
      <c r="G409">
        <f t="shared" ca="1" si="242"/>
        <v>0.9911575771250194</v>
      </c>
      <c r="H409">
        <f t="shared" ca="1" si="242"/>
        <v>0.98557713096054345</v>
      </c>
      <c r="I409">
        <f t="shared" ca="1" si="242"/>
        <v>0.88825226595709827</v>
      </c>
      <c r="J409">
        <f t="shared" ca="1" si="242"/>
        <v>0.86301568506139337</v>
      </c>
      <c r="K409">
        <f t="shared" ca="1" si="242"/>
        <v>0.81721250061587314</v>
      </c>
      <c r="L409">
        <f t="shared" ca="1" si="242"/>
        <v>0.73123544424714337</v>
      </c>
      <c r="M409">
        <f t="shared" ca="1" si="242"/>
        <v>0.63161741686436157</v>
      </c>
      <c r="N409">
        <f t="shared" ca="1" si="242"/>
        <v>0.47379071145543322</v>
      </c>
      <c r="O409">
        <f t="shared" ca="1" si="242"/>
        <v>0.3955507094604051</v>
      </c>
      <c r="P409">
        <f t="shared" ca="1" si="242"/>
        <v>0.24457884083987427</v>
      </c>
      <c r="Q409">
        <f t="shared" ca="1" si="242"/>
        <v>0.18345667484790787</v>
      </c>
      <c r="R409">
        <f t="shared" ca="1" si="242"/>
        <v>9.9492227871477212E-2</v>
      </c>
      <c r="S409">
        <f t="shared" ca="1" si="242"/>
        <v>5.9806121080072785E-2</v>
      </c>
      <c r="T409">
        <f t="shared" ca="1" si="242"/>
        <v>2.8671694314666422E-2</v>
      </c>
    </row>
    <row r="410" spans="5:20" x14ac:dyDescent="0.15">
      <c r="E410">
        <v>1993</v>
      </c>
      <c r="F410">
        <f t="shared" ref="F410:T410" ca="1" si="243">F379/$F379</f>
        <v>1</v>
      </c>
      <c r="G410">
        <f t="shared" ca="1" si="243"/>
        <v>0.99096166366536576</v>
      </c>
      <c r="H410">
        <f t="shared" ca="1" si="243"/>
        <v>0.98562486368712077</v>
      </c>
      <c r="I410">
        <f t="shared" ca="1" si="243"/>
        <v>0.94325987928287736</v>
      </c>
      <c r="J410">
        <f t="shared" ca="1" si="243"/>
        <v>0.67601756552711212</v>
      </c>
      <c r="K410">
        <f t="shared" ca="1" si="243"/>
        <v>0.60643703768233537</v>
      </c>
      <c r="L410">
        <f t="shared" ca="1" si="243"/>
        <v>0.54146629039484317</v>
      </c>
      <c r="M410">
        <f t="shared" ca="1" si="243"/>
        <v>0.49943120266964269</v>
      </c>
      <c r="N410">
        <f t="shared" ca="1" si="243"/>
        <v>0.43168123551612819</v>
      </c>
      <c r="O410">
        <f t="shared" ca="1" si="243"/>
        <v>0.31832398567588782</v>
      </c>
      <c r="P410">
        <f t="shared" ca="1" si="243"/>
        <v>0.24560595269688015</v>
      </c>
      <c r="Q410">
        <f t="shared" ca="1" si="243"/>
        <v>0.17494557981386982</v>
      </c>
      <c r="R410">
        <f t="shared" ca="1" si="243"/>
        <v>0.11859187468085144</v>
      </c>
      <c r="S410">
        <f t="shared" ca="1" si="243"/>
        <v>7.0329146331755521E-2</v>
      </c>
      <c r="T410">
        <f t="shared" ca="1" si="243"/>
        <v>4.1487776205974915E-2</v>
      </c>
    </row>
    <row r="411" spans="5:20" x14ac:dyDescent="0.15">
      <c r="E411">
        <v>1994</v>
      </c>
      <c r="F411">
        <f t="shared" ref="F411:T411" ca="1" si="244">F380/$F380</f>
        <v>1</v>
      </c>
      <c r="G411">
        <f t="shared" ca="1" si="244"/>
        <v>0.99540054238035747</v>
      </c>
      <c r="H411">
        <f t="shared" ca="1" si="244"/>
        <v>0.98984084447960707</v>
      </c>
      <c r="I411">
        <f t="shared" ca="1" si="244"/>
        <v>0.97121038897287493</v>
      </c>
      <c r="J411">
        <f t="shared" ca="1" si="244"/>
        <v>0.85354370149898118</v>
      </c>
      <c r="K411">
        <f t="shared" ca="1" si="244"/>
        <v>0.43723351229960866</v>
      </c>
      <c r="L411">
        <f t="shared" ca="1" si="244"/>
        <v>0.35724503419782533</v>
      </c>
      <c r="M411">
        <f t="shared" ca="1" si="244"/>
        <v>0.33442687304017171</v>
      </c>
      <c r="N411">
        <f t="shared" ca="1" si="244"/>
        <v>0.30692681279498385</v>
      </c>
      <c r="O411">
        <f t="shared" ca="1" si="244"/>
        <v>0.27075781211975791</v>
      </c>
      <c r="P411">
        <f t="shared" ca="1" si="244"/>
        <v>0.20443994168646926</v>
      </c>
      <c r="Q411">
        <f t="shared" ca="1" si="244"/>
        <v>0.16185284241798958</v>
      </c>
      <c r="R411">
        <f t="shared" ca="1" si="244"/>
        <v>9.6022250353423794E-2</v>
      </c>
      <c r="S411">
        <f t="shared" ca="1" si="244"/>
        <v>7.0470414954002025E-2</v>
      </c>
      <c r="T411">
        <f t="shared" ca="1" si="244"/>
        <v>4.484363690080885E-2</v>
      </c>
    </row>
    <row r="412" spans="5:20" x14ac:dyDescent="0.15">
      <c r="E412">
        <v>1995</v>
      </c>
      <c r="F412">
        <f t="shared" ref="F412:T412" ca="1" si="245">F381/$F381</f>
        <v>1</v>
      </c>
      <c r="G412">
        <f t="shared" ca="1" si="245"/>
        <v>0.99718378218754689</v>
      </c>
      <c r="H412">
        <f t="shared" ca="1" si="245"/>
        <v>0.99596552032684504</v>
      </c>
      <c r="I412">
        <f t="shared" ca="1" si="245"/>
        <v>0.98834358674110645</v>
      </c>
      <c r="J412">
        <f t="shared" ca="1" si="245"/>
        <v>0.90637662970734512</v>
      </c>
      <c r="K412">
        <f t="shared" ca="1" si="245"/>
        <v>0.73012404898544636</v>
      </c>
      <c r="L412">
        <f t="shared" ca="1" si="245"/>
        <v>0.40421989217638954</v>
      </c>
      <c r="M412">
        <f t="shared" ca="1" si="245"/>
        <v>0.25933693490478377</v>
      </c>
      <c r="N412">
        <f t="shared" ca="1" si="245"/>
        <v>0.21188790723707876</v>
      </c>
      <c r="O412">
        <f t="shared" ca="1" si="245"/>
        <v>0.17801163436866746</v>
      </c>
      <c r="P412">
        <f t="shared" ca="1" si="245"/>
        <v>0.15348697854667737</v>
      </c>
      <c r="Q412">
        <f t="shared" ca="1" si="245"/>
        <v>0.10579724145364701</v>
      </c>
      <c r="R412">
        <f t="shared" ca="1" si="245"/>
        <v>8.5262236273269662E-2</v>
      </c>
      <c r="S412">
        <f t="shared" ca="1" si="245"/>
        <v>4.4212085148622411E-2</v>
      </c>
      <c r="T412">
        <f t="shared" ca="1" si="245"/>
        <v>2.7616225443489233E-2</v>
      </c>
    </row>
    <row r="413" spans="5:20" x14ac:dyDescent="0.15">
      <c r="E413">
        <v>1996</v>
      </c>
      <c r="F413">
        <f t="shared" ref="F413:T413" ca="1" si="246">F382/$F382</f>
        <v>1</v>
      </c>
      <c r="G413">
        <f t="shared" ca="1" si="246"/>
        <v>0.99175549568023702</v>
      </c>
      <c r="H413">
        <f t="shared" ca="1" si="246"/>
        <v>0.9848984796283633</v>
      </c>
      <c r="I413">
        <f t="shared" ca="1" si="246"/>
        <v>0.97777873608239085</v>
      </c>
      <c r="J413">
        <f t="shared" ca="1" si="246"/>
        <v>0.94347737233715634</v>
      </c>
      <c r="K413">
        <f t="shared" ca="1" si="246"/>
        <v>0.82532306277058531</v>
      </c>
      <c r="L413">
        <f t="shared" ca="1" si="246"/>
        <v>0.59005906284706089</v>
      </c>
      <c r="M413">
        <f t="shared" ca="1" si="246"/>
        <v>0.33236235810556169</v>
      </c>
      <c r="N413">
        <f t="shared" ca="1" si="246"/>
        <v>0.23806182088546915</v>
      </c>
      <c r="O413">
        <f t="shared" ca="1" si="246"/>
        <v>0.21150451649498653</v>
      </c>
      <c r="P413">
        <f t="shared" ca="1" si="246"/>
        <v>0.17921193738500207</v>
      </c>
      <c r="Q413">
        <f t="shared" ca="1" si="246"/>
        <v>0.15334824317394469</v>
      </c>
      <c r="R413">
        <f t="shared" ca="1" si="246"/>
        <v>0.10047575833848101</v>
      </c>
      <c r="S413">
        <f t="shared" ca="1" si="246"/>
        <v>8.2132065615902777E-2</v>
      </c>
      <c r="T413">
        <f t="shared" ca="1" si="246"/>
        <v>4.7801361411448286E-2</v>
      </c>
    </row>
    <row r="414" spans="5:20" x14ac:dyDescent="0.15">
      <c r="E414">
        <v>1997</v>
      </c>
      <c r="F414">
        <f t="shared" ref="F414:T414" ca="1" si="247">F383/$F383</f>
        <v>1</v>
      </c>
      <c r="G414">
        <f t="shared" ca="1" si="247"/>
        <v>0.9873977175939016</v>
      </c>
      <c r="H414">
        <f t="shared" ca="1" si="247"/>
        <v>0.98092963695635438</v>
      </c>
      <c r="I414">
        <f t="shared" ca="1" si="247"/>
        <v>0.97315624815008939</v>
      </c>
      <c r="J414">
        <f t="shared" ca="1" si="247"/>
        <v>0.95836765411659663</v>
      </c>
      <c r="K414">
        <f t="shared" ca="1" si="247"/>
        <v>0.69355165287307885</v>
      </c>
      <c r="L414">
        <f t="shared" ca="1" si="247"/>
        <v>0.50315623506130802</v>
      </c>
      <c r="M414">
        <f t="shared" ca="1" si="247"/>
        <v>0.37079549817604379</v>
      </c>
      <c r="N414">
        <f t="shared" ca="1" si="247"/>
        <v>0.1869485744070874</v>
      </c>
      <c r="O414">
        <f t="shared" ca="1" si="247"/>
        <v>0.14984338291070942</v>
      </c>
      <c r="P414">
        <f t="shared" ca="1" si="247"/>
        <v>0.12941641920287972</v>
      </c>
      <c r="Q414">
        <f t="shared" ca="1" si="247"/>
        <v>0.11298486691387968</v>
      </c>
      <c r="R414">
        <f t="shared" ca="1" si="247"/>
        <v>9.2792811435137568E-2</v>
      </c>
      <c r="S414">
        <f t="shared" ca="1" si="247"/>
        <v>5.9851827720110655E-2</v>
      </c>
      <c r="T414">
        <f t="shared" ca="1" si="247"/>
        <v>4.7821267722380718E-2</v>
      </c>
    </row>
    <row r="415" spans="5:20" x14ac:dyDescent="0.15">
      <c r="E415">
        <v>1998</v>
      </c>
      <c r="F415">
        <f t="shared" ref="F415:T415" ca="1" si="248">F384/$F384</f>
        <v>1</v>
      </c>
      <c r="G415">
        <f t="shared" ca="1" si="248"/>
        <v>0.99551993862053079</v>
      </c>
      <c r="H415">
        <f t="shared" ca="1" si="248"/>
        <v>0.98376230074441706</v>
      </c>
      <c r="I415">
        <f t="shared" ca="1" si="248"/>
        <v>0.96663991513449465</v>
      </c>
      <c r="J415">
        <f t="shared" ca="1" si="248"/>
        <v>0.94346378291689914</v>
      </c>
      <c r="K415">
        <f t="shared" ca="1" si="248"/>
        <v>0.87877800461146005</v>
      </c>
      <c r="L415">
        <f t="shared" ca="1" si="248"/>
        <v>0.45548093704114528</v>
      </c>
      <c r="M415">
        <f t="shared" ca="1" si="248"/>
        <v>0.3107488631404674</v>
      </c>
      <c r="N415">
        <f t="shared" ca="1" si="248"/>
        <v>0.2039560706490908</v>
      </c>
      <c r="O415">
        <f t="shared" ca="1" si="248"/>
        <v>0.11178306939671827</v>
      </c>
      <c r="P415">
        <f t="shared" ca="1" si="248"/>
        <v>8.6524021112862753E-2</v>
      </c>
      <c r="Q415">
        <f t="shared" ca="1" si="248"/>
        <v>7.4328331474654077E-2</v>
      </c>
      <c r="R415">
        <f t="shared" ca="1" si="248"/>
        <v>6.9329313195427816E-2</v>
      </c>
      <c r="S415">
        <f t="shared" ca="1" si="248"/>
        <v>5.7677867218407029E-2</v>
      </c>
      <c r="T415">
        <f t="shared" ca="1" si="248"/>
        <v>4.1264123433920247E-2</v>
      </c>
    </row>
    <row r="416" spans="5:20" x14ac:dyDescent="0.15">
      <c r="E416">
        <v>1999</v>
      </c>
      <c r="F416">
        <f t="shared" ref="F416:T416" ca="1" si="249">F385/$F385</f>
        <v>1</v>
      </c>
      <c r="G416">
        <f t="shared" ca="1" si="249"/>
        <v>0.99679562658073517</v>
      </c>
      <c r="H416">
        <f t="shared" ca="1" si="249"/>
        <v>0.98708450717971707</v>
      </c>
      <c r="I416">
        <f t="shared" ca="1" si="249"/>
        <v>0.95632041729206785</v>
      </c>
      <c r="J416">
        <f t="shared" ca="1" si="249"/>
        <v>0.89206811533064068</v>
      </c>
      <c r="K416">
        <f t="shared" ca="1" si="249"/>
        <v>0.84330600843664849</v>
      </c>
      <c r="L416">
        <f t="shared" ca="1" si="249"/>
        <v>0.73671351217881942</v>
      </c>
      <c r="M416">
        <f t="shared" ca="1" si="249"/>
        <v>0.36196316363246478</v>
      </c>
      <c r="N416">
        <f t="shared" ca="1" si="249"/>
        <v>0.23566155108602876</v>
      </c>
      <c r="O416">
        <f t="shared" ca="1" si="249"/>
        <v>0.16270456679779241</v>
      </c>
      <c r="P416">
        <f t="shared" ca="1" si="249"/>
        <v>9.2892780400699079E-2</v>
      </c>
      <c r="Q416">
        <f t="shared" ca="1" si="249"/>
        <v>6.5636179333692826E-2</v>
      </c>
      <c r="R416">
        <f t="shared" ca="1" si="249"/>
        <v>5.3357361942067714E-2</v>
      </c>
      <c r="S416">
        <f t="shared" ca="1" si="249"/>
        <v>4.7308536442301416E-2</v>
      </c>
      <c r="T416">
        <f t="shared" ca="1" si="249"/>
        <v>3.7293894960509076E-2</v>
      </c>
    </row>
    <row r="417" spans="5:20" x14ac:dyDescent="0.15">
      <c r="E417">
        <v>2000</v>
      </c>
      <c r="F417">
        <f t="shared" ref="F417:T417" ca="1" si="250">F386/$F386</f>
        <v>1</v>
      </c>
      <c r="G417">
        <f t="shared" ca="1" si="250"/>
        <v>0.99729937036382466</v>
      </c>
      <c r="H417">
        <f t="shared" ca="1" si="250"/>
        <v>0.99401433474808831</v>
      </c>
      <c r="I417">
        <f t="shared" ca="1" si="250"/>
        <v>0.980732628246889</v>
      </c>
      <c r="J417">
        <f t="shared" ca="1" si="250"/>
        <v>0.88915245722686653</v>
      </c>
      <c r="K417">
        <f t="shared" ca="1" si="250"/>
        <v>0.76972429773594764</v>
      </c>
      <c r="L417">
        <f t="shared" ca="1" si="250"/>
        <v>0.69593279902114358</v>
      </c>
      <c r="M417">
        <f t="shared" ca="1" si="250"/>
        <v>0.61488848650214112</v>
      </c>
      <c r="N417">
        <f t="shared" ca="1" si="250"/>
        <v>0.32008806529739903</v>
      </c>
      <c r="O417">
        <f t="shared" ca="1" si="250"/>
        <v>0.19042142475541904</v>
      </c>
      <c r="P417">
        <f t="shared" ca="1" si="250"/>
        <v>0.11088930884405072</v>
      </c>
      <c r="Q417">
        <f t="shared" ca="1" si="250"/>
        <v>6.9910055306181607E-2</v>
      </c>
      <c r="R417">
        <f t="shared" ca="1" si="250"/>
        <v>4.1958175673498598E-2</v>
      </c>
      <c r="S417">
        <f t="shared" ca="1" si="250"/>
        <v>3.2637691710225465E-2</v>
      </c>
      <c r="T417">
        <f t="shared" ca="1" si="250"/>
        <v>2.8165313777929798E-2</v>
      </c>
    </row>
    <row r="418" spans="5:20" x14ac:dyDescent="0.15">
      <c r="E418">
        <v>2001</v>
      </c>
      <c r="F418">
        <f t="shared" ref="F418:T418" ca="1" si="251">F387/$F387</f>
        <v>1</v>
      </c>
      <c r="G418">
        <f t="shared" ca="1" si="251"/>
        <v>0.992370535457202</v>
      </c>
      <c r="H418">
        <f t="shared" ca="1" si="251"/>
        <v>0.98055385547565821</v>
      </c>
      <c r="I418">
        <f t="shared" ca="1" si="251"/>
        <v>0.9677262415899659</v>
      </c>
      <c r="J418">
        <f t="shared" ca="1" si="251"/>
        <v>0.9271842244318077</v>
      </c>
      <c r="K418">
        <f t="shared" ca="1" si="251"/>
        <v>0.77821027992491454</v>
      </c>
      <c r="L418">
        <f t="shared" ca="1" si="251"/>
        <v>0.59912997848081051</v>
      </c>
      <c r="M418">
        <f t="shared" ca="1" si="251"/>
        <v>0.51073850830667644</v>
      </c>
      <c r="N418">
        <f t="shared" ca="1" si="251"/>
        <v>0.45771253999254602</v>
      </c>
      <c r="O418">
        <f t="shared" ca="1" si="251"/>
        <v>0.29310783249785172</v>
      </c>
      <c r="P418">
        <f t="shared" ca="1" si="251"/>
        <v>0.16531019766537267</v>
      </c>
      <c r="Q418">
        <f t="shared" ca="1" si="251"/>
        <v>0.10681247131268246</v>
      </c>
      <c r="R418">
        <f t="shared" ca="1" si="251"/>
        <v>5.6482021912989039E-2</v>
      </c>
      <c r="S418">
        <f t="shared" ca="1" si="251"/>
        <v>3.6663475390042825E-2</v>
      </c>
      <c r="T418">
        <f t="shared" ca="1" si="251"/>
        <v>2.8260611106811162E-2</v>
      </c>
    </row>
    <row r="419" spans="5:20" x14ac:dyDescent="0.15">
      <c r="E419">
        <v>2002</v>
      </c>
      <c r="F419">
        <f t="shared" ref="F419:T419" ca="1" si="252">F388/$F388</f>
        <v>1</v>
      </c>
      <c r="G419">
        <f t="shared" ca="1" si="252"/>
        <v>0.99718225324267107</v>
      </c>
      <c r="H419">
        <f t="shared" ca="1" si="252"/>
        <v>0.99244665094849516</v>
      </c>
      <c r="I419">
        <f t="shared" ca="1" si="252"/>
        <v>0.95894477311498927</v>
      </c>
      <c r="J419">
        <f t="shared" ca="1" si="252"/>
        <v>0.88788259254262036</v>
      </c>
      <c r="K419">
        <f t="shared" ca="1" si="252"/>
        <v>0.77099224454017878</v>
      </c>
      <c r="L419">
        <f t="shared" ca="1" si="252"/>
        <v>0.59375192957071588</v>
      </c>
      <c r="M419">
        <f t="shared" ca="1" si="252"/>
        <v>0.49251303995991091</v>
      </c>
      <c r="N419">
        <f t="shared" ca="1" si="252"/>
        <v>0.43593419755418822</v>
      </c>
      <c r="O419">
        <f t="shared" ca="1" si="252"/>
        <v>0.35079147416487982</v>
      </c>
      <c r="P419">
        <f t="shared" ca="1" si="252"/>
        <v>0.18386839050383838</v>
      </c>
      <c r="Q419">
        <f t="shared" ca="1" si="252"/>
        <v>9.7925860243691071E-2</v>
      </c>
      <c r="R419">
        <f t="shared" ca="1" si="252"/>
        <v>5.291338113116454E-2</v>
      </c>
      <c r="S419">
        <f t="shared" ca="1" si="252"/>
        <v>2.4408314972044709E-2</v>
      </c>
      <c r="T419">
        <f t="shared" ca="1" si="252"/>
        <v>1.4318072107926232E-2</v>
      </c>
    </row>
    <row r="420" spans="5:20" x14ac:dyDescent="0.15">
      <c r="E420">
        <v>2003</v>
      </c>
      <c r="F420">
        <f t="shared" ref="F420:T420" ca="1" si="253">F389/$F389</f>
        <v>1</v>
      </c>
      <c r="G420">
        <f t="shared" ca="1" si="253"/>
        <v>0.99893108003654763</v>
      </c>
      <c r="H420">
        <f t="shared" ca="1" si="253"/>
        <v>0.99720475661968477</v>
      </c>
      <c r="I420">
        <f t="shared" ca="1" si="253"/>
        <v>0.96999193933237593</v>
      </c>
      <c r="J420">
        <f t="shared" ca="1" si="253"/>
        <v>0.89731315027059377</v>
      </c>
      <c r="K420">
        <f t="shared" ca="1" si="253"/>
        <v>0.78826133864939019</v>
      </c>
      <c r="L420">
        <f t="shared" ca="1" si="253"/>
        <v>0.67342595155700136</v>
      </c>
      <c r="M420">
        <f t="shared" ca="1" si="253"/>
        <v>0.50809850025237091</v>
      </c>
      <c r="N420">
        <f t="shared" ca="1" si="253"/>
        <v>0.4041651428993252</v>
      </c>
      <c r="O420">
        <f t="shared" ca="1" si="253"/>
        <v>0.3547016068979294</v>
      </c>
      <c r="P420">
        <f t="shared" ca="1" si="253"/>
        <v>0.28462806326064638</v>
      </c>
      <c r="Q420">
        <f t="shared" ca="1" si="253"/>
        <v>0.13837617130069013</v>
      </c>
      <c r="R420">
        <f t="shared" ca="1" si="253"/>
        <v>7.0725941500268064E-2</v>
      </c>
      <c r="S420">
        <f t="shared" ca="1" si="253"/>
        <v>3.6764997160421913E-2</v>
      </c>
      <c r="T420">
        <f t="shared" ca="1" si="253"/>
        <v>1.7532244329207389E-2</v>
      </c>
    </row>
    <row r="421" spans="5:20" x14ac:dyDescent="0.15">
      <c r="E421">
        <v>2004</v>
      </c>
      <c r="F421">
        <f t="shared" ref="F421:T421" ca="1" si="254">F390/$F390</f>
        <v>1</v>
      </c>
      <c r="G421">
        <f t="shared" ca="1" si="254"/>
        <v>0.99751343403719805</v>
      </c>
      <c r="H421">
        <f t="shared" ca="1" si="254"/>
        <v>0.99113485462817641</v>
      </c>
      <c r="I421">
        <f t="shared" ca="1" si="254"/>
        <v>0.97988709279390107</v>
      </c>
      <c r="J421">
        <f t="shared" ca="1" si="254"/>
        <v>0.8434082500438429</v>
      </c>
      <c r="K421">
        <f t="shared" ca="1" si="254"/>
        <v>0.68060752733214169</v>
      </c>
      <c r="L421">
        <f t="shared" ca="1" si="254"/>
        <v>0.5284695096691141</v>
      </c>
      <c r="M421">
        <f t="shared" ca="1" si="254"/>
        <v>0.42664019506360545</v>
      </c>
      <c r="N421">
        <f t="shared" ca="1" si="254"/>
        <v>0.31032578285794576</v>
      </c>
      <c r="O421">
        <f t="shared" ca="1" si="254"/>
        <v>0.24266442598632099</v>
      </c>
      <c r="P421">
        <f t="shared" ca="1" si="254"/>
        <v>0.19886998969061398</v>
      </c>
      <c r="Q421">
        <f t="shared" ca="1" si="254"/>
        <v>0.15128373176590154</v>
      </c>
      <c r="R421">
        <f t="shared" ca="1" si="254"/>
        <v>6.3107736851210183E-2</v>
      </c>
      <c r="S421">
        <f t="shared" ca="1" si="254"/>
        <v>2.3671655409333657E-2</v>
      </c>
      <c r="T421">
        <f t="shared" ca="1" si="254"/>
        <v>1.1562912824675297E-2</v>
      </c>
    </row>
    <row r="422" spans="5:20" x14ac:dyDescent="0.15">
      <c r="E422">
        <v>2005</v>
      </c>
      <c r="F422">
        <f t="shared" ref="F422:T422" ca="1" si="255">F391/$F391</f>
        <v>1</v>
      </c>
      <c r="G422">
        <f t="shared" ca="1" si="255"/>
        <v>0.99845192056549859</v>
      </c>
      <c r="H422">
        <f t="shared" ca="1" si="255"/>
        <v>0.99690088297666668</v>
      </c>
      <c r="I422">
        <f t="shared" ca="1" si="255"/>
        <v>0.99005816808140146</v>
      </c>
      <c r="J422">
        <f t="shared" ca="1" si="255"/>
        <v>0.92397280707784668</v>
      </c>
      <c r="K422">
        <f t="shared" ca="1" si="255"/>
        <v>0.65274619080176799</v>
      </c>
      <c r="L422">
        <f t="shared" ca="1" si="255"/>
        <v>0.44290219804729347</v>
      </c>
      <c r="M422">
        <f t="shared" ca="1" si="255"/>
        <v>0.31415232892006906</v>
      </c>
      <c r="N422">
        <f t="shared" ca="1" si="255"/>
        <v>0.24602617183459946</v>
      </c>
      <c r="O422">
        <f t="shared" ca="1" si="255"/>
        <v>0.18970934602361525</v>
      </c>
      <c r="P422">
        <f t="shared" ca="1" si="255"/>
        <v>0.14392267217595275</v>
      </c>
      <c r="Q422">
        <f t="shared" ca="1" si="255"/>
        <v>0.13040572079917628</v>
      </c>
      <c r="R422">
        <f t="shared" ca="1" si="255"/>
        <v>0.10085903394594466</v>
      </c>
      <c r="S422">
        <f t="shared" ca="1" si="255"/>
        <v>5.2481063760926941E-2</v>
      </c>
      <c r="T422">
        <f t="shared" ca="1" si="255"/>
        <v>2.600967172053403E-2</v>
      </c>
    </row>
    <row r="423" spans="5:20" x14ac:dyDescent="0.15">
      <c r="E423">
        <v>2006</v>
      </c>
      <c r="F423">
        <f t="shared" ref="F423:T423" ca="1" si="256">F392/$F392</f>
        <v>1</v>
      </c>
      <c r="G423">
        <f t="shared" ca="1" si="256"/>
        <v>0.99475866028950222</v>
      </c>
      <c r="H423">
        <f t="shared" ca="1" si="256"/>
        <v>0.99388178816141759</v>
      </c>
      <c r="I423">
        <f t="shared" ca="1" si="256"/>
        <v>0.99132858238595656</v>
      </c>
      <c r="J423">
        <f t="shared" ca="1" si="256"/>
        <v>0.95379978831166645</v>
      </c>
      <c r="K423">
        <f t="shared" ca="1" si="256"/>
        <v>0.79772242099214841</v>
      </c>
      <c r="L423">
        <f t="shared" ca="1" si="256"/>
        <v>0.56713232660585766</v>
      </c>
      <c r="M423">
        <f t="shared" ca="1" si="256"/>
        <v>0.39335728357803412</v>
      </c>
      <c r="N423">
        <f t="shared" ca="1" si="256"/>
        <v>0.30146564436016221</v>
      </c>
      <c r="O423">
        <f t="shared" ca="1" si="256"/>
        <v>0.23446564149296187</v>
      </c>
      <c r="P423">
        <f t="shared" ca="1" si="256"/>
        <v>0.17197196830980752</v>
      </c>
      <c r="Q423">
        <f t="shared" ca="1" si="256"/>
        <v>0.14081940018140277</v>
      </c>
      <c r="R423">
        <f t="shared" ca="1" si="256"/>
        <v>0.1201870943168985</v>
      </c>
      <c r="S423">
        <f t="shared" ca="1" si="256"/>
        <v>8.8694921966539178E-2</v>
      </c>
      <c r="T423">
        <f t="shared" ca="1" si="256"/>
        <v>4.7014870509423462E-2</v>
      </c>
    </row>
    <row r="424" spans="5:20" x14ac:dyDescent="0.15">
      <c r="E424">
        <v>2007</v>
      </c>
      <c r="F424">
        <f t="shared" ref="F424:T424" ca="1" si="257">F393/$F393</f>
        <v>1</v>
      </c>
      <c r="G424">
        <f t="shared" ca="1" si="257"/>
        <v>0.99003822642393136</v>
      </c>
      <c r="H424">
        <f t="shared" ca="1" si="257"/>
        <v>0.98933959785858672</v>
      </c>
      <c r="I424">
        <f t="shared" ca="1" si="257"/>
        <v>0.9843582799242957</v>
      </c>
      <c r="J424">
        <f t="shared" ca="1" si="257"/>
        <v>0.95221908967307733</v>
      </c>
      <c r="K424">
        <f t="shared" ca="1" si="257"/>
        <v>0.81473502890580052</v>
      </c>
      <c r="L424">
        <f t="shared" ca="1" si="257"/>
        <v>0.59842543529607861</v>
      </c>
      <c r="M424">
        <f t="shared" ca="1" si="257"/>
        <v>0.40183810748600185</v>
      </c>
      <c r="N424">
        <f t="shared" ca="1" si="257"/>
        <v>0.24494799011026627</v>
      </c>
      <c r="O424">
        <f t="shared" ca="1" si="257"/>
        <v>0.1745645507824192</v>
      </c>
      <c r="P424">
        <f t="shared" ca="1" si="257"/>
        <v>0.13747852179821329</v>
      </c>
      <c r="Q424">
        <f t="shared" ca="1" si="257"/>
        <v>0.10263302824000618</v>
      </c>
      <c r="R424">
        <f t="shared" ca="1" si="257"/>
        <v>7.3254922945002174E-2</v>
      </c>
      <c r="S424">
        <f t="shared" ca="1" si="257"/>
        <v>5.7656684102168183E-2</v>
      </c>
      <c r="T424">
        <f t="shared" ca="1" si="257"/>
        <v>3.875364406528712E-2</v>
      </c>
    </row>
    <row r="425" spans="5:20" x14ac:dyDescent="0.15">
      <c r="E425">
        <v>2008</v>
      </c>
      <c r="F425">
        <f t="shared" ref="F425:T425" ca="1" si="258">F394/$F394</f>
        <v>1</v>
      </c>
      <c r="G425">
        <f t="shared" ca="1" si="258"/>
        <v>0.99656969992364264</v>
      </c>
      <c r="H425">
        <f t="shared" ca="1" si="258"/>
        <v>0.99481671882107758</v>
      </c>
      <c r="I425">
        <f t="shared" ca="1" si="258"/>
        <v>0.99059016864652905</v>
      </c>
      <c r="J425">
        <f t="shared" ca="1" si="258"/>
        <v>0.97209672332272012</v>
      </c>
      <c r="K425">
        <f t="shared" ca="1" si="258"/>
        <v>0.89251396160499741</v>
      </c>
      <c r="L425">
        <f t="shared" ca="1" si="258"/>
        <v>0.6885550007384349</v>
      </c>
      <c r="M425">
        <f t="shared" ca="1" si="258"/>
        <v>0.49642762746449132</v>
      </c>
      <c r="N425">
        <f t="shared" ca="1" si="258"/>
        <v>0.33888607088544354</v>
      </c>
      <c r="O425">
        <f t="shared" ca="1" si="258"/>
        <v>0.22623797534354531</v>
      </c>
      <c r="P425">
        <f t="shared" ca="1" si="258"/>
        <v>0.17757955196518255</v>
      </c>
      <c r="Q425">
        <f t="shared" ca="1" si="258"/>
        <v>0.13084644199607215</v>
      </c>
      <c r="R425">
        <f t="shared" ca="1" si="258"/>
        <v>9.6689352256152189E-2</v>
      </c>
      <c r="S425">
        <f t="shared" ca="1" si="258"/>
        <v>7.9572890960592543E-2</v>
      </c>
      <c r="T425">
        <f t="shared" ca="1" si="258"/>
        <v>6.8834234518284493E-2</v>
      </c>
    </row>
    <row r="426" spans="5:20" x14ac:dyDescent="0.15">
      <c r="E426">
        <v>2009</v>
      </c>
      <c r="F426">
        <f t="shared" ref="F426:T426" ca="1" si="259">F395/$F395</f>
        <v>1</v>
      </c>
      <c r="G426">
        <f t="shared" ca="1" si="259"/>
        <v>0.99318974341974731</v>
      </c>
      <c r="H426">
        <f t="shared" ca="1" si="259"/>
        <v>0.98880928601217477</v>
      </c>
      <c r="I426">
        <f t="shared" ca="1" si="259"/>
        <v>0.95511015783207454</v>
      </c>
      <c r="J426">
        <f t="shared" ca="1" si="259"/>
        <v>0.88838755692779114</v>
      </c>
      <c r="K426">
        <f t="shared" ca="1" si="259"/>
        <v>0.83591737668680144</v>
      </c>
      <c r="L426">
        <f t="shared" ca="1" si="259"/>
        <v>0.74171422160088663</v>
      </c>
      <c r="M426">
        <f t="shared" ca="1" si="259"/>
        <v>0.55186584530096694</v>
      </c>
      <c r="N426">
        <f t="shared" ca="1" si="259"/>
        <v>0.37800927305430365</v>
      </c>
      <c r="O426">
        <f t="shared" ca="1" si="259"/>
        <v>0.23363777163777508</v>
      </c>
      <c r="P426">
        <f t="shared" ca="1" si="259"/>
        <v>0.15618160927287941</v>
      </c>
      <c r="Q426">
        <f t="shared" ca="1" si="259"/>
        <v>0.1032493961782982</v>
      </c>
      <c r="R426">
        <f t="shared" ca="1" si="259"/>
        <v>8.668021195816146E-2</v>
      </c>
      <c r="S426">
        <f t="shared" ca="1" si="259"/>
        <v>6.6039145494597593E-2</v>
      </c>
      <c r="T426">
        <f t="shared" ca="1" si="259"/>
        <v>5.4588492271145976E-2</v>
      </c>
    </row>
    <row r="429" spans="5:20" x14ac:dyDescent="0.15">
      <c r="E429" s="98" t="s">
        <v>517</v>
      </c>
      <c r="F429">
        <f ca="1">AVERAGE(F399:F426)</f>
        <v>1</v>
      </c>
      <c r="G429">
        <f t="shared" ref="G429:T429" ca="1" si="260">AVERAGE(G399:G426)</f>
        <v>0.99408659338200767</v>
      </c>
      <c r="H429">
        <f t="shared" ca="1" si="260"/>
        <v>0.98615373846530596</v>
      </c>
      <c r="I429">
        <f t="shared" ca="1" si="260"/>
        <v>0.95455652352304432</v>
      </c>
      <c r="J429">
        <f t="shared" ca="1" si="260"/>
        <v>0.86886114310492235</v>
      </c>
      <c r="K429">
        <f t="shared" ca="1" si="260"/>
        <v>0.70788575169439028</v>
      </c>
      <c r="L429">
        <f t="shared" ca="1" si="260"/>
        <v>0.52126613928913401</v>
      </c>
      <c r="M429">
        <f t="shared" ca="1" si="260"/>
        <v>0.37590255775243159</v>
      </c>
      <c r="N429">
        <f t="shared" ca="1" si="260"/>
        <v>0.27014096332944076</v>
      </c>
      <c r="O429">
        <f t="shared" ca="1" si="260"/>
        <v>0.19116493193136133</v>
      </c>
      <c r="P429">
        <f t="shared" ca="1" si="260"/>
        <v>0.13252213135690313</v>
      </c>
      <c r="Q429">
        <f t="shared" ca="1" si="260"/>
        <v>9.1570458657555281E-2</v>
      </c>
      <c r="R429">
        <f t="shared" ca="1" si="260"/>
        <v>5.9688946316283999E-2</v>
      </c>
      <c r="S429">
        <f t="shared" ca="1" si="260"/>
        <v>3.8245261865930309E-2</v>
      </c>
      <c r="T429">
        <f t="shared" ca="1" si="260"/>
        <v>2.4768906298818893E-2</v>
      </c>
    </row>
    <row r="436" spans="3:13" x14ac:dyDescent="0.15">
      <c r="M436">
        <v>1000</v>
      </c>
    </row>
    <row r="437" spans="3:13" x14ac:dyDescent="0.15">
      <c r="E437" t="s">
        <v>147</v>
      </c>
      <c r="F437" t="s">
        <v>140</v>
      </c>
      <c r="H437">
        <v>2</v>
      </c>
      <c r="I437" t="s">
        <v>341</v>
      </c>
      <c r="J437" t="s">
        <v>342</v>
      </c>
    </row>
    <row r="438" spans="3:13" x14ac:dyDescent="0.15">
      <c r="C438" s="27">
        <v>3216.6486749999999</v>
      </c>
      <c r="D438" s="27">
        <v>411.25423940000002</v>
      </c>
      <c r="E438">
        <v>1982</v>
      </c>
      <c r="F438" s="27">
        <v>3216.6486749999999</v>
      </c>
      <c r="G438" s="27">
        <f>2*$D438</f>
        <v>822.50847880000003</v>
      </c>
      <c r="H438" s="27">
        <f t="shared" ref="H438:H465" si="261">2*$D438</f>
        <v>822.50847880000003</v>
      </c>
      <c r="I438" s="27">
        <f>F438-G438</f>
        <v>2394.1401962</v>
      </c>
      <c r="J438" s="27">
        <f>F438+G438</f>
        <v>4039.1571537999998</v>
      </c>
    </row>
    <row r="439" spans="3:13" x14ac:dyDescent="0.15">
      <c r="C439" s="27">
        <v>6558.2079800000001</v>
      </c>
      <c r="D439" s="27">
        <v>552.91415110000003</v>
      </c>
      <c r="E439">
        <v>1983</v>
      </c>
      <c r="F439" s="27">
        <v>6558.2079800000001</v>
      </c>
      <c r="G439" s="27">
        <f t="shared" ref="G439:G465" si="262">2*$D439</f>
        <v>1105.8283022000001</v>
      </c>
      <c r="H439" s="27">
        <f t="shared" si="261"/>
        <v>1105.8283022000001</v>
      </c>
      <c r="I439" s="27">
        <f t="shared" ref="I439:I463" si="263">F439-G439</f>
        <v>5452.3796777999996</v>
      </c>
      <c r="J439" s="27">
        <f t="shared" ref="J439:J463" si="264">F439+G439</f>
        <v>7664.0362822000006</v>
      </c>
    </row>
    <row r="440" spans="3:13" x14ac:dyDescent="0.15">
      <c r="C440" s="27">
        <v>4978.7974480000003</v>
      </c>
      <c r="D440" s="27">
        <v>508.9437484</v>
      </c>
      <c r="E440">
        <v>1984</v>
      </c>
      <c r="F440" s="27">
        <v>4978.7974480000003</v>
      </c>
      <c r="G440" s="27">
        <f t="shared" si="262"/>
        <v>1017.8874968</v>
      </c>
      <c r="H440" s="27">
        <f t="shared" si="261"/>
        <v>1017.8874968</v>
      </c>
      <c r="I440" s="27">
        <f t="shared" si="263"/>
        <v>3960.9099512000003</v>
      </c>
      <c r="J440" s="27">
        <f t="shared" si="264"/>
        <v>5996.6849448000003</v>
      </c>
    </row>
    <row r="441" spans="3:13" x14ac:dyDescent="0.15">
      <c r="C441" s="27">
        <v>5944.3651970000001</v>
      </c>
      <c r="D441" s="27">
        <v>434.49305320000002</v>
      </c>
      <c r="E441">
        <v>1985</v>
      </c>
      <c r="F441" s="27">
        <v>5944.3651970000001</v>
      </c>
      <c r="G441" s="27">
        <f t="shared" si="262"/>
        <v>868.98610640000004</v>
      </c>
      <c r="H441" s="27">
        <f t="shared" si="261"/>
        <v>868.98610640000004</v>
      </c>
      <c r="I441" s="27">
        <f t="shared" si="263"/>
        <v>5075.3790906000004</v>
      </c>
      <c r="J441" s="27">
        <f t="shared" si="264"/>
        <v>6813.3513033999998</v>
      </c>
    </row>
    <row r="442" spans="3:13" x14ac:dyDescent="0.15">
      <c r="C442" s="27">
        <v>5226.6983339999997</v>
      </c>
      <c r="D442" s="27">
        <v>516.44759859999999</v>
      </c>
      <c r="E442">
        <v>1986</v>
      </c>
      <c r="F442" s="27">
        <v>5226.6983339999997</v>
      </c>
      <c r="G442" s="27">
        <f t="shared" si="262"/>
        <v>1032.8951972</v>
      </c>
      <c r="H442" s="27">
        <f t="shared" si="261"/>
        <v>1032.8951972</v>
      </c>
      <c r="I442" s="27">
        <f t="shared" si="263"/>
        <v>4193.8031367999993</v>
      </c>
      <c r="J442" s="27">
        <f t="shared" si="264"/>
        <v>6259.5935312000001</v>
      </c>
    </row>
    <row r="443" spans="3:13" x14ac:dyDescent="0.15">
      <c r="C443" s="27">
        <v>5524.5928219999996</v>
      </c>
      <c r="D443" s="27">
        <v>613.1572175</v>
      </c>
      <c r="E443">
        <v>1987</v>
      </c>
      <c r="F443" s="27">
        <v>5524.5928219999996</v>
      </c>
      <c r="G443" s="27">
        <f t="shared" si="262"/>
        <v>1226.314435</v>
      </c>
      <c r="H443" s="27">
        <f t="shared" si="261"/>
        <v>1226.314435</v>
      </c>
      <c r="I443" s="27">
        <f t="shared" si="263"/>
        <v>4298.2783869999994</v>
      </c>
      <c r="J443" s="27">
        <f t="shared" si="264"/>
        <v>6750.9072569999998</v>
      </c>
    </row>
    <row r="444" spans="3:13" x14ac:dyDescent="0.15">
      <c r="C444" s="27">
        <v>7184.3911179999996</v>
      </c>
      <c r="D444" s="27">
        <v>747.42532630000005</v>
      </c>
      <c r="E444">
        <v>1988</v>
      </c>
      <c r="F444" s="27">
        <v>7184.3911179999996</v>
      </c>
      <c r="G444" s="27">
        <f t="shared" si="262"/>
        <v>1494.8506526000001</v>
      </c>
      <c r="H444" s="27">
        <f t="shared" si="261"/>
        <v>1494.8506526000001</v>
      </c>
      <c r="I444" s="27">
        <f t="shared" si="263"/>
        <v>5689.5404653999994</v>
      </c>
      <c r="J444" s="27">
        <f t="shared" si="264"/>
        <v>8679.2417705999997</v>
      </c>
    </row>
    <row r="445" spans="3:13" x14ac:dyDescent="0.15">
      <c r="C445" s="27">
        <v>6518.8092770000003</v>
      </c>
      <c r="D445" s="27">
        <v>584.72741410000003</v>
      </c>
      <c r="E445">
        <v>1989</v>
      </c>
      <c r="F445" s="27">
        <v>6518.8092770000003</v>
      </c>
      <c r="G445" s="27">
        <f t="shared" si="262"/>
        <v>1169.4548282000001</v>
      </c>
      <c r="H445" s="27">
        <f t="shared" si="261"/>
        <v>1169.4548282000001</v>
      </c>
      <c r="I445" s="27">
        <f t="shared" si="263"/>
        <v>5349.3544488000007</v>
      </c>
      <c r="J445" s="27">
        <f t="shared" si="264"/>
        <v>7688.2641051999999</v>
      </c>
    </row>
    <row r="446" spans="3:13" x14ac:dyDescent="0.15">
      <c r="C446" s="27">
        <v>7302.3218589999997</v>
      </c>
      <c r="D446" s="27">
        <v>959.71130029999995</v>
      </c>
      <c r="E446">
        <v>1990</v>
      </c>
      <c r="F446" s="27">
        <v>7302.3218589999997</v>
      </c>
      <c r="G446" s="27">
        <f t="shared" si="262"/>
        <v>1919.4226005999999</v>
      </c>
      <c r="H446" s="27">
        <f t="shared" si="261"/>
        <v>1919.4226005999999</v>
      </c>
      <c r="I446" s="27">
        <f t="shared" si="263"/>
        <v>5382.8992583999998</v>
      </c>
      <c r="J446" s="27">
        <f t="shared" si="264"/>
        <v>9221.7444595999987</v>
      </c>
    </row>
    <row r="447" spans="3:13" x14ac:dyDescent="0.15">
      <c r="C447" s="27">
        <v>5167.7476390000002</v>
      </c>
      <c r="D447" s="27">
        <v>644.1168854</v>
      </c>
      <c r="E447">
        <v>1991</v>
      </c>
      <c r="F447" s="27">
        <v>5167.7476390000002</v>
      </c>
      <c r="G447" s="27">
        <f t="shared" si="262"/>
        <v>1288.2337708</v>
      </c>
      <c r="H447" s="27">
        <f t="shared" si="261"/>
        <v>1288.2337708</v>
      </c>
      <c r="I447" s="27">
        <f t="shared" si="263"/>
        <v>3879.5138682000002</v>
      </c>
      <c r="J447" s="27">
        <f t="shared" si="264"/>
        <v>6455.9814098000006</v>
      </c>
    </row>
    <row r="448" spans="3:13" x14ac:dyDescent="0.15">
      <c r="C448" s="27">
        <v>4526.1794689999997</v>
      </c>
      <c r="D448" s="27">
        <v>513.34400819999996</v>
      </c>
      <c r="E448">
        <v>1992</v>
      </c>
      <c r="F448" s="27">
        <v>4526.1794689999997</v>
      </c>
      <c r="G448" s="27">
        <f t="shared" si="262"/>
        <v>1026.6880163999999</v>
      </c>
      <c r="H448" s="27">
        <f t="shared" si="261"/>
        <v>1026.6880163999999</v>
      </c>
      <c r="I448" s="27">
        <f t="shared" si="263"/>
        <v>3499.4914525999998</v>
      </c>
      <c r="J448" s="27">
        <f t="shared" si="264"/>
        <v>5552.8674854000001</v>
      </c>
    </row>
    <row r="449" spans="3:10" x14ac:dyDescent="0.15">
      <c r="C449" s="27">
        <v>5299.8439859999999</v>
      </c>
      <c r="D449" s="27">
        <v>471.18548600000003</v>
      </c>
      <c r="E449">
        <v>1993</v>
      </c>
      <c r="F449" s="27">
        <v>5299.8439859999999</v>
      </c>
      <c r="G449" s="27">
        <f t="shared" si="262"/>
        <v>942.37097200000005</v>
      </c>
      <c r="H449" s="27">
        <f t="shared" si="261"/>
        <v>942.37097200000005</v>
      </c>
      <c r="I449" s="27">
        <f t="shared" si="263"/>
        <v>4357.4730140000001</v>
      </c>
      <c r="J449" s="27">
        <f t="shared" si="264"/>
        <v>6242.2149579999996</v>
      </c>
    </row>
    <row r="450" spans="3:10" x14ac:dyDescent="0.15">
      <c r="C450" s="27">
        <v>5026.740288</v>
      </c>
      <c r="D450" s="27">
        <v>527.04953799999998</v>
      </c>
      <c r="E450">
        <v>1994</v>
      </c>
      <c r="F450" s="27">
        <v>5026.740288</v>
      </c>
      <c r="G450" s="27">
        <f t="shared" si="262"/>
        <v>1054.099076</v>
      </c>
      <c r="H450" s="27">
        <f t="shared" si="261"/>
        <v>1054.099076</v>
      </c>
      <c r="I450" s="27">
        <f t="shared" si="263"/>
        <v>3972.641212</v>
      </c>
      <c r="J450" s="27">
        <f t="shared" si="264"/>
        <v>6080.8393639999995</v>
      </c>
    </row>
    <row r="451" spans="3:10" x14ac:dyDescent="0.15">
      <c r="C451" s="27">
        <v>5482.2533290000001</v>
      </c>
      <c r="D451" s="27">
        <v>1041.3724299999999</v>
      </c>
      <c r="E451">
        <v>1995</v>
      </c>
      <c r="F451" s="27">
        <v>5482.2533290000001</v>
      </c>
      <c r="G451" s="27">
        <f t="shared" si="262"/>
        <v>2082.7448599999998</v>
      </c>
      <c r="H451" s="27">
        <f t="shared" si="261"/>
        <v>2082.7448599999998</v>
      </c>
      <c r="I451" s="27">
        <f t="shared" si="263"/>
        <v>3399.5084690000003</v>
      </c>
      <c r="J451" s="27">
        <f t="shared" si="264"/>
        <v>7564.9981889999999</v>
      </c>
    </row>
    <row r="452" spans="3:10" x14ac:dyDescent="0.15">
      <c r="C452" s="27">
        <v>3086.2136220000002</v>
      </c>
      <c r="D452" s="27">
        <v>274.00443419999999</v>
      </c>
      <c r="E452">
        <v>1996</v>
      </c>
      <c r="F452" s="27">
        <v>3086.2136220000002</v>
      </c>
      <c r="G452" s="27">
        <f t="shared" si="262"/>
        <v>548.00886839999998</v>
      </c>
      <c r="H452" s="27">
        <f t="shared" si="261"/>
        <v>548.00886839999998</v>
      </c>
      <c r="I452" s="27">
        <f t="shared" si="263"/>
        <v>2538.2047536</v>
      </c>
      <c r="J452" s="27">
        <f t="shared" si="264"/>
        <v>3634.2224904000004</v>
      </c>
    </row>
    <row r="453" spans="3:10" x14ac:dyDescent="0.15">
      <c r="C453" s="27">
        <v>3627.1489219999999</v>
      </c>
      <c r="D453" s="27">
        <v>452.33863769999999</v>
      </c>
      <c r="E453">
        <v>1997</v>
      </c>
      <c r="F453" s="27">
        <v>3627.1489219999999</v>
      </c>
      <c r="G453" s="27">
        <f t="shared" si="262"/>
        <v>904.67727539999998</v>
      </c>
      <c r="H453" s="27">
        <f t="shared" si="261"/>
        <v>904.67727539999998</v>
      </c>
      <c r="I453" s="27">
        <f t="shared" si="263"/>
        <v>2722.4716466</v>
      </c>
      <c r="J453" s="27">
        <f t="shared" si="264"/>
        <v>4531.8261973999997</v>
      </c>
    </row>
    <row r="454" spans="3:10" x14ac:dyDescent="0.15">
      <c r="C454" s="27">
        <v>2756.998192</v>
      </c>
      <c r="D454" s="27">
        <v>314.86719140000002</v>
      </c>
      <c r="E454">
        <v>1998</v>
      </c>
      <c r="F454" s="27">
        <v>2756.998192</v>
      </c>
      <c r="G454" s="27">
        <f t="shared" si="262"/>
        <v>629.73438280000005</v>
      </c>
      <c r="H454" s="27">
        <f t="shared" si="261"/>
        <v>629.73438280000005</v>
      </c>
      <c r="I454" s="27">
        <f t="shared" si="263"/>
        <v>2127.2638091999997</v>
      </c>
      <c r="J454" s="27">
        <f t="shared" si="264"/>
        <v>3386.7325748000003</v>
      </c>
    </row>
    <row r="455" spans="3:10" x14ac:dyDescent="0.15">
      <c r="C455" s="27">
        <v>3800.7168620000002</v>
      </c>
      <c r="D455" s="27">
        <v>448.63951070000002</v>
      </c>
      <c r="E455">
        <v>1999</v>
      </c>
      <c r="F455" s="27">
        <v>3800.7168620000002</v>
      </c>
      <c r="G455" s="27">
        <f t="shared" si="262"/>
        <v>897.27902140000003</v>
      </c>
      <c r="H455" s="27">
        <f t="shared" si="261"/>
        <v>897.27902140000003</v>
      </c>
      <c r="I455" s="27">
        <f t="shared" si="263"/>
        <v>2903.4378406000001</v>
      </c>
      <c r="J455" s="27">
        <f t="shared" si="264"/>
        <v>4697.9958833999999</v>
      </c>
    </row>
    <row r="456" spans="3:10" x14ac:dyDescent="0.15">
      <c r="C456" s="27">
        <v>5089.0695079999996</v>
      </c>
      <c r="D456" s="27">
        <v>580.72857750000003</v>
      </c>
      <c r="E456">
        <v>2000</v>
      </c>
      <c r="F456" s="27">
        <v>5089.0695079999996</v>
      </c>
      <c r="G456" s="27">
        <f t="shared" si="262"/>
        <v>1161.4571550000001</v>
      </c>
      <c r="H456" s="27">
        <f t="shared" si="261"/>
        <v>1161.4571550000001</v>
      </c>
      <c r="I456" s="27">
        <f t="shared" si="263"/>
        <v>3927.6123529999995</v>
      </c>
      <c r="J456" s="27">
        <f t="shared" si="264"/>
        <v>6250.5266629999996</v>
      </c>
    </row>
    <row r="457" spans="3:10" x14ac:dyDescent="0.15">
      <c r="C457" s="27">
        <v>4199.9086539999998</v>
      </c>
      <c r="D457" s="27">
        <v>339.97490690000001</v>
      </c>
      <c r="E457">
        <v>2001</v>
      </c>
      <c r="F457" s="27">
        <v>4199.9086539999998</v>
      </c>
      <c r="G457" s="27">
        <f t="shared" si="262"/>
        <v>679.94981380000002</v>
      </c>
      <c r="H457" s="27">
        <f t="shared" si="261"/>
        <v>679.94981380000002</v>
      </c>
      <c r="I457" s="27">
        <f t="shared" si="263"/>
        <v>3519.9588401999999</v>
      </c>
      <c r="J457" s="27">
        <f t="shared" si="264"/>
        <v>4879.8584677999997</v>
      </c>
    </row>
    <row r="458" spans="3:10" x14ac:dyDescent="0.15">
      <c r="C458" s="27">
        <v>4958.2878339999997</v>
      </c>
      <c r="D458" s="27">
        <v>449.67327189999997</v>
      </c>
      <c r="E458">
        <v>2002</v>
      </c>
      <c r="F458" s="27">
        <v>4958.2878339999997</v>
      </c>
      <c r="G458" s="27">
        <f t="shared" si="262"/>
        <v>899.34654379999995</v>
      </c>
      <c r="H458" s="27">
        <f t="shared" si="261"/>
        <v>899.34654379999995</v>
      </c>
      <c r="I458" s="27">
        <f t="shared" si="263"/>
        <v>4058.9412901999999</v>
      </c>
      <c r="J458" s="27">
        <f t="shared" si="264"/>
        <v>5857.6343778</v>
      </c>
    </row>
    <row r="459" spans="3:10" x14ac:dyDescent="0.15">
      <c r="C459" s="27">
        <v>8457.6622769999994</v>
      </c>
      <c r="D459" s="27">
        <v>2061.2711429999999</v>
      </c>
      <c r="E459">
        <v>2003</v>
      </c>
      <c r="F459" s="27">
        <v>8457.6622769999994</v>
      </c>
      <c r="G459" s="27">
        <f t="shared" si="262"/>
        <v>4122.5422859999999</v>
      </c>
      <c r="H459" s="27">
        <f t="shared" si="261"/>
        <v>4122.5422859999999</v>
      </c>
      <c r="I459" s="27">
        <f t="shared" si="263"/>
        <v>4335.1199909999996</v>
      </c>
      <c r="J459" s="27">
        <f t="shared" si="264"/>
        <v>12580.204562999999</v>
      </c>
    </row>
    <row r="460" spans="3:10" x14ac:dyDescent="0.15">
      <c r="C460" s="27">
        <v>3886.4550599999998</v>
      </c>
      <c r="D460" s="27">
        <v>358.174577</v>
      </c>
      <c r="E460">
        <v>2004</v>
      </c>
      <c r="F460" s="27">
        <v>3886.4550599999998</v>
      </c>
      <c r="G460" s="27">
        <f t="shared" si="262"/>
        <v>716.349154</v>
      </c>
      <c r="H460" s="27">
        <f t="shared" si="261"/>
        <v>716.349154</v>
      </c>
      <c r="I460" s="27">
        <f t="shared" si="263"/>
        <v>3170.1059059999998</v>
      </c>
      <c r="J460" s="27">
        <f t="shared" si="264"/>
        <v>4602.8042139999998</v>
      </c>
    </row>
    <row r="461" spans="3:10" x14ac:dyDescent="0.15">
      <c r="C461" s="27">
        <v>4843.1690639999997</v>
      </c>
      <c r="D461" s="27">
        <v>448.09536850000001</v>
      </c>
      <c r="E461">
        <v>2005</v>
      </c>
      <c r="F461" s="27">
        <v>4843.1690639999997</v>
      </c>
      <c r="G461" s="27">
        <f t="shared" si="262"/>
        <v>896.19073700000001</v>
      </c>
      <c r="H461" s="27">
        <f t="shared" si="261"/>
        <v>896.19073700000001</v>
      </c>
      <c r="I461" s="27">
        <f t="shared" si="263"/>
        <v>3946.9783269999998</v>
      </c>
      <c r="J461" s="27">
        <f t="shared" si="264"/>
        <v>5739.3598009999996</v>
      </c>
    </row>
    <row r="462" spans="3:10" x14ac:dyDescent="0.15">
      <c r="C462" s="27">
        <v>3045.4383509999998</v>
      </c>
      <c r="D462" s="27">
        <v>283.80559440000002</v>
      </c>
      <c r="E462">
        <v>2006</v>
      </c>
      <c r="F462" s="27">
        <v>3045.4383509999998</v>
      </c>
      <c r="G462" s="27">
        <f t="shared" si="262"/>
        <v>567.61118880000004</v>
      </c>
      <c r="H462" s="27">
        <f t="shared" si="261"/>
        <v>567.61118880000004</v>
      </c>
      <c r="I462" s="27">
        <f t="shared" si="263"/>
        <v>2477.8271621999997</v>
      </c>
      <c r="J462" s="27">
        <f t="shared" si="264"/>
        <v>3613.0495397999998</v>
      </c>
    </row>
    <row r="463" spans="3:10" x14ac:dyDescent="0.15">
      <c r="C463" s="27">
        <v>4337.5421380752796</v>
      </c>
      <c r="D463" s="27">
        <v>447.35814743246766</v>
      </c>
      <c r="E463">
        <v>2007</v>
      </c>
      <c r="F463" s="27">
        <v>4337.5421380752796</v>
      </c>
      <c r="G463" s="27">
        <f t="shared" si="262"/>
        <v>894.71629486493532</v>
      </c>
      <c r="H463" s="27">
        <f t="shared" si="261"/>
        <v>894.71629486493532</v>
      </c>
      <c r="I463" s="27">
        <f t="shared" si="263"/>
        <v>3442.8258432103444</v>
      </c>
      <c r="J463" s="27">
        <f t="shared" si="264"/>
        <v>5232.2584329402152</v>
      </c>
    </row>
    <row r="464" spans="3:10" x14ac:dyDescent="0.15">
      <c r="C464" s="27">
        <v>3031.1997265730997</v>
      </c>
      <c r="D464" s="27">
        <v>346.34892147606439</v>
      </c>
      <c r="E464">
        <v>2008</v>
      </c>
      <c r="F464" s="27">
        <v>3031.1997265730997</v>
      </c>
      <c r="G464" s="27">
        <f t="shared" si="262"/>
        <v>692.69784295212878</v>
      </c>
      <c r="H464" s="27">
        <f t="shared" si="261"/>
        <v>692.69784295212878</v>
      </c>
      <c r="I464" s="27">
        <f>F464-G464</f>
        <v>2338.5018836209711</v>
      </c>
      <c r="J464" s="27">
        <f>F464+G464</f>
        <v>3723.8975695252284</v>
      </c>
    </row>
    <row r="465" spans="3:15" x14ac:dyDescent="0.15">
      <c r="C465" s="31">
        <v>2282.4181841028203</v>
      </c>
      <c r="D465" s="27">
        <v>277.02308515463289</v>
      </c>
      <c r="E465">
        <v>2009</v>
      </c>
      <c r="F465" s="27">
        <v>2282.4181841028203</v>
      </c>
      <c r="G465" s="27">
        <f t="shared" si="262"/>
        <v>554.04617030926579</v>
      </c>
      <c r="H465" s="27">
        <f t="shared" si="261"/>
        <v>554.04617030926579</v>
      </c>
      <c r="I465" s="27">
        <f>F465-G465</f>
        <v>1728.3720137935545</v>
      </c>
      <c r="J465" s="27">
        <f>F465+G465</f>
        <v>2836.4643544120863</v>
      </c>
    </row>
    <row r="466" spans="3:15" x14ac:dyDescent="0.15">
      <c r="M466" s="27">
        <f>AVERAGE(pm.rep!B63:D103)</f>
        <v>12447.273658536582</v>
      </c>
      <c r="N466" s="27">
        <f>AVERAGE(pm.rep!E63:G103)</f>
        <v>2431.6575691056901</v>
      </c>
      <c r="O466" s="27">
        <f>AVERAGE(pm.rep!H63:P103)</f>
        <v>191.20009704065058</v>
      </c>
    </row>
    <row r="467" spans="3:15" x14ac:dyDescent="0.15">
      <c r="F467" t="s">
        <v>359</v>
      </c>
      <c r="G467" t="s">
        <v>360</v>
      </c>
      <c r="H467" t="s">
        <v>358</v>
      </c>
      <c r="M467" s="27">
        <f>AVERAGE(pm.rep!B77:D103)</f>
        <v>13705.328024691358</v>
      </c>
      <c r="N467" s="27">
        <f>AVERAGE(pm.rep!E77:J103)</f>
        <v>1806.6278950617275</v>
      </c>
      <c r="O467" s="27">
        <f>AVERAGE(pm.rep!H77:P103)</f>
        <v>251.5987909053498</v>
      </c>
    </row>
    <row r="468" spans="3:15" x14ac:dyDescent="0.15">
      <c r="E468">
        <v>1964</v>
      </c>
      <c r="F468">
        <f t="shared" ref="F468:F508" si="265">(M468-M$467)/M$467</f>
        <v>-0.69729582593529882</v>
      </c>
      <c r="G468">
        <f t="shared" ref="G468:G508" si="266">(N468-N$467)/N$467</f>
        <v>-0.87294237478152248</v>
      </c>
      <c r="H468">
        <f t="shared" ref="H468:H508" si="267">(O468-O$467)/O$467</f>
        <v>-0.77698559141063628</v>
      </c>
      <c r="M468" s="27">
        <f>AVERAGE(pm.rep!B63:D63)</f>
        <v>4148.66</v>
      </c>
      <c r="N468" s="27">
        <f>AVERAGE(pm.rep!E63:J63)</f>
        <v>229.54585</v>
      </c>
      <c r="O468" s="27">
        <f>AVERAGE(pm.rep!H63:P63)</f>
        <v>56.110155555555565</v>
      </c>
    </row>
    <row r="469" spans="3:15" x14ac:dyDescent="0.15">
      <c r="E469">
        <v>1965</v>
      </c>
      <c r="F469">
        <f t="shared" si="265"/>
        <v>-0.35634959016614576</v>
      </c>
      <c r="G469">
        <f t="shared" si="266"/>
        <v>-0.77553050569600324</v>
      </c>
      <c r="H469">
        <f t="shared" si="267"/>
        <v>-0.74415713476234013</v>
      </c>
      <c r="M469" s="27">
        <f>AVERAGE(pm.rep!B64:D64)</f>
        <v>8821.44</v>
      </c>
      <c r="N469" s="27">
        <f>AVERAGE(pm.rep!E64:J64)</f>
        <v>405.53285</v>
      </c>
      <c r="O469" s="27">
        <f>AVERAGE(pm.rep!H64:P64)</f>
        <v>64.369755555555557</v>
      </c>
    </row>
    <row r="470" spans="3:15" x14ac:dyDescent="0.15">
      <c r="E470">
        <v>1966</v>
      </c>
      <c r="F470">
        <f t="shared" si="265"/>
        <v>-0.37066664989988535</v>
      </c>
      <c r="G470">
        <f t="shared" si="266"/>
        <v>-0.7168303253084366</v>
      </c>
      <c r="H470">
        <f t="shared" si="267"/>
        <v>-0.79888902647066784</v>
      </c>
      <c r="M470" s="27">
        <f>AVERAGE(pm.rep!B65:D65)</f>
        <v>8625.2199999999993</v>
      </c>
      <c r="N470" s="27">
        <f>AVERAGE(pm.rep!E65:J65)</f>
        <v>511.58223333333331</v>
      </c>
      <c r="O470" s="27">
        <f>AVERAGE(pm.rep!H65:P65)</f>
        <v>50.599277777777779</v>
      </c>
    </row>
    <row r="471" spans="3:15" x14ac:dyDescent="0.15">
      <c r="E471">
        <v>1967</v>
      </c>
      <c r="F471">
        <f t="shared" si="265"/>
        <v>-8.6734250787949413E-2</v>
      </c>
      <c r="G471">
        <f t="shared" si="266"/>
        <v>-0.71375846971760371</v>
      </c>
      <c r="H471">
        <f t="shared" si="267"/>
        <v>-0.81484547128415863</v>
      </c>
      <c r="M471" s="27">
        <f>AVERAGE(pm.rep!B66:D66)</f>
        <v>12516.606666666667</v>
      </c>
      <c r="N471" s="27">
        <f>AVERAGE(pm.rep!E66:J66)</f>
        <v>517.13193333333334</v>
      </c>
      <c r="O471" s="27">
        <f>AVERAGE(pm.rep!H66:P66)</f>
        <v>46.584655555555557</v>
      </c>
    </row>
    <row r="472" spans="3:15" x14ac:dyDescent="0.15">
      <c r="E472">
        <v>1968</v>
      </c>
      <c r="F472">
        <f t="shared" si="265"/>
        <v>-0.10979000444064477</v>
      </c>
      <c r="G472">
        <f t="shared" si="266"/>
        <v>-0.50634972899633646</v>
      </c>
      <c r="H472">
        <f t="shared" si="267"/>
        <v>-0.7252764487277048</v>
      </c>
      <c r="M472" s="27">
        <f>AVERAGE(pm.rep!B67:D67)</f>
        <v>12200.62</v>
      </c>
      <c r="N472" s="27">
        <f>AVERAGE(pm.rep!E67:J67)</f>
        <v>891.8423499999999</v>
      </c>
      <c r="O472" s="27">
        <f>AVERAGE(pm.rep!H67:P67)</f>
        <v>69.120113333333336</v>
      </c>
    </row>
    <row r="473" spans="3:15" x14ac:dyDescent="0.15">
      <c r="E473">
        <v>1969</v>
      </c>
      <c r="F473">
        <f t="shared" si="265"/>
        <v>1.2039744081865714E-2</v>
      </c>
      <c r="G473">
        <f t="shared" si="266"/>
        <v>-0.47770390207123437</v>
      </c>
      <c r="H473">
        <f t="shared" si="267"/>
        <v>-0.6842134533022356</v>
      </c>
      <c r="M473" s="27">
        <f>AVERAGE(pm.rep!B68:D68)</f>
        <v>13870.336666666664</v>
      </c>
      <c r="N473" s="27">
        <f>AVERAGE(pm.rep!E68:J68)</f>
        <v>943.59469999999976</v>
      </c>
      <c r="O473" s="27">
        <f>AVERAGE(pm.rep!H68:P68)</f>
        <v>79.451513333333324</v>
      </c>
    </row>
    <row r="474" spans="3:15" x14ac:dyDescent="0.15">
      <c r="E474">
        <v>1970</v>
      </c>
      <c r="F474">
        <f t="shared" si="265"/>
        <v>-3.6417323038565576E-2</v>
      </c>
      <c r="G474">
        <f t="shared" si="266"/>
        <v>-0.31481988992663834</v>
      </c>
      <c r="H474">
        <f t="shared" si="267"/>
        <v>-0.7042045447790487</v>
      </c>
      <c r="M474" s="27">
        <f>AVERAGE(pm.rep!B69:D69)</f>
        <v>13206.216666666667</v>
      </c>
      <c r="N474" s="27">
        <f>AVERAGE(pm.rep!E69:J69)</f>
        <v>1237.8655000000001</v>
      </c>
      <c r="O474" s="27">
        <f>AVERAGE(pm.rep!H69:P69)</f>
        <v>74.421778888888895</v>
      </c>
    </row>
    <row r="475" spans="3:15" x14ac:dyDescent="0.15">
      <c r="E475">
        <v>1971</v>
      </c>
      <c r="F475">
        <f t="shared" si="265"/>
        <v>-0.26057053759852988</v>
      </c>
      <c r="G475">
        <f t="shared" si="266"/>
        <v>-0.31264401297336819</v>
      </c>
      <c r="H475">
        <f t="shared" si="267"/>
        <v>-0.53150302591650544</v>
      </c>
      <c r="M475" s="27">
        <f>AVERAGE(pm.rep!B70:D70)</f>
        <v>10134.123333333333</v>
      </c>
      <c r="N475" s="27">
        <f>AVERAGE(pm.rep!E70:J70)</f>
        <v>1241.7964999999999</v>
      </c>
      <c r="O475" s="27">
        <f>AVERAGE(pm.rep!H70:P70)</f>
        <v>117.87327222222221</v>
      </c>
    </row>
    <row r="476" spans="3:15" x14ac:dyDescent="0.15">
      <c r="E476">
        <v>1972</v>
      </c>
      <c r="F476">
        <f t="shared" si="265"/>
        <v>-0.43170933333604777</v>
      </c>
      <c r="G476">
        <f t="shared" si="266"/>
        <v>-0.32344826697609946</v>
      </c>
      <c r="H476">
        <f t="shared" si="267"/>
        <v>-0.58540122257442417</v>
      </c>
      <c r="M476" s="27">
        <f>AVERAGE(pm.rep!B71:D71)</f>
        <v>7788.61</v>
      </c>
      <c r="N476" s="27">
        <f>AVERAGE(pm.rep!E71:J71)</f>
        <v>1222.2772333333332</v>
      </c>
      <c r="O476" s="27">
        <f>AVERAGE(pm.rep!H71:P71)</f>
        <v>104.31255111111111</v>
      </c>
    </row>
    <row r="477" spans="3:15" x14ac:dyDescent="0.15">
      <c r="E477">
        <v>1973</v>
      </c>
      <c r="F477">
        <f t="shared" si="265"/>
        <v>-0.14772975062766661</v>
      </c>
      <c r="G477">
        <f t="shared" si="266"/>
        <v>-0.40884884508540348</v>
      </c>
      <c r="H477">
        <f t="shared" si="267"/>
        <v>-0.55990189053063621</v>
      </c>
      <c r="M477" s="27">
        <f>AVERAGE(pm.rep!B72:D72)</f>
        <v>11680.643333333333</v>
      </c>
      <c r="N477" s="27">
        <f>AVERAGE(pm.rep!E72:J72)</f>
        <v>1067.9901666666667</v>
      </c>
      <c r="O477" s="27">
        <f>AVERAGE(pm.rep!H72:P72)</f>
        <v>110.72815222222222</v>
      </c>
    </row>
    <row r="478" spans="3:15" x14ac:dyDescent="0.15">
      <c r="E478">
        <v>1974</v>
      </c>
      <c r="F478">
        <f t="shared" si="265"/>
        <v>-0.18797152124950378</v>
      </c>
      <c r="G478">
        <f t="shared" si="266"/>
        <v>-0.59418950151789995</v>
      </c>
      <c r="H478">
        <f t="shared" si="267"/>
        <v>-0.64749412474973012</v>
      </c>
      <c r="M478" s="27">
        <f>AVERAGE(pm.rep!B73:D73)</f>
        <v>11129.116666666667</v>
      </c>
      <c r="N478" s="27">
        <f>AVERAGE(pm.rep!E73:J73)</f>
        <v>733.14856666666674</v>
      </c>
      <c r="O478" s="27">
        <f>AVERAGE(pm.rep!H73:P73)</f>
        <v>88.690051999999994</v>
      </c>
    </row>
    <row r="479" spans="3:15" x14ac:dyDescent="0.15">
      <c r="E479">
        <v>1975</v>
      </c>
      <c r="F479">
        <f t="shared" si="265"/>
        <v>-0.24895510358290229</v>
      </c>
      <c r="G479">
        <f t="shared" si="266"/>
        <v>-0.72455580475266368</v>
      </c>
      <c r="H479">
        <f t="shared" si="267"/>
        <v>-0.70816429707079842</v>
      </c>
      <c r="M479" s="27">
        <f>AVERAGE(pm.rep!B74:D74)</f>
        <v>10293.316666666668</v>
      </c>
      <c r="N479" s="27">
        <f>AVERAGE(pm.rep!E74:J74)</f>
        <v>497.62516666666664</v>
      </c>
      <c r="O479" s="27">
        <f>AVERAGE(pm.rep!H74:P74)</f>
        <v>73.425509999999989</v>
      </c>
    </row>
    <row r="480" spans="3:15" x14ac:dyDescent="0.15">
      <c r="E480">
        <v>1976</v>
      </c>
      <c r="F480">
        <f t="shared" si="265"/>
        <v>-0.40230981810561423</v>
      </c>
      <c r="G480">
        <f t="shared" si="266"/>
        <v>-0.63562234639865267</v>
      </c>
      <c r="H480">
        <f t="shared" si="267"/>
        <v>-0.75052992196766011</v>
      </c>
      <c r="M480" s="27">
        <f>AVERAGE(pm.rep!B75:D75)</f>
        <v>8191.5400000000009</v>
      </c>
      <c r="N480" s="27">
        <f>AVERAGE(pm.rep!E75:J75)</f>
        <v>658.29483333333349</v>
      </c>
      <c r="O480" s="27">
        <f>AVERAGE(pm.rep!H75:P75)</f>
        <v>62.766369999999988</v>
      </c>
    </row>
    <row r="481" spans="5:15" x14ac:dyDescent="0.15">
      <c r="E481">
        <v>1977</v>
      </c>
      <c r="F481">
        <f t="shared" si="265"/>
        <v>-0.43905659758869842</v>
      </c>
      <c r="G481">
        <f t="shared" si="266"/>
        <v>-0.62147572361972114</v>
      </c>
      <c r="H481">
        <f t="shared" si="267"/>
        <v>-0.81087561472198277</v>
      </c>
      <c r="M481" s="27">
        <f>AVERAGE(pm.rep!B76:D76)</f>
        <v>7687.9133333333339</v>
      </c>
      <c r="N481" s="27">
        <f>AVERAGE(pm.rep!E76:J76)</f>
        <v>683.8525166666667</v>
      </c>
      <c r="O481" s="27">
        <f>AVERAGE(pm.rep!H76:P76)</f>
        <v>47.583466666666673</v>
      </c>
    </row>
    <row r="482" spans="5:15" x14ac:dyDescent="0.15">
      <c r="E482">
        <v>1978</v>
      </c>
      <c r="F482">
        <f t="shared" si="265"/>
        <v>-0.17221244325120863</v>
      </c>
      <c r="G482">
        <f t="shared" si="266"/>
        <v>-0.60968884705360216</v>
      </c>
      <c r="H482">
        <f t="shared" si="267"/>
        <v>-0.8485171531470157</v>
      </c>
      <c r="M482" s="27">
        <f>AVERAGE(pm.rep!B77:D77)</f>
        <v>11345.099999999999</v>
      </c>
      <c r="N482" s="27">
        <f>AVERAGE(pm.rep!E77:J77)</f>
        <v>705.14701666666667</v>
      </c>
      <c r="O482" s="27">
        <f>AVERAGE(pm.rep!H77:P77)</f>
        <v>38.112901111111107</v>
      </c>
    </row>
    <row r="483" spans="5:15" x14ac:dyDescent="0.15">
      <c r="E483">
        <v>1979</v>
      </c>
      <c r="F483">
        <f t="shared" si="265"/>
        <v>0.83642740652803882</v>
      </c>
      <c r="G483">
        <f t="shared" si="266"/>
        <v>-0.65184270371744568</v>
      </c>
      <c r="H483">
        <f t="shared" si="267"/>
        <v>-0.79364018919939527</v>
      </c>
      <c r="M483" s="27">
        <f>AVERAGE(pm.rep!B78:D78)</f>
        <v>25168.84</v>
      </c>
      <c r="N483" s="27">
        <f>AVERAGE(pm.rep!E78:J78)</f>
        <v>628.99068333333321</v>
      </c>
      <c r="O483" s="27">
        <f>AVERAGE(pm.rep!H78:P78)</f>
        <v>51.919878888888888</v>
      </c>
    </row>
    <row r="484" spans="5:15" x14ac:dyDescent="0.15">
      <c r="E484">
        <v>1980</v>
      </c>
      <c r="F484">
        <f t="shared" si="265"/>
        <v>0.42355439905199693</v>
      </c>
      <c r="G484">
        <f t="shared" si="266"/>
        <v>-0.65539193117643724</v>
      </c>
      <c r="H484">
        <f t="shared" si="267"/>
        <v>-0.78774567668252016</v>
      </c>
      <c r="M484" s="27">
        <f>AVERAGE(pm.rep!B79:D79)</f>
        <v>19510.28</v>
      </c>
      <c r="N484" s="27">
        <f>AVERAGE(pm.rep!E79:J79)</f>
        <v>622.57855000000006</v>
      </c>
      <c r="O484" s="27">
        <f>AVERAGE(pm.rep!H79:P79)</f>
        <v>53.402931111111116</v>
      </c>
    </row>
    <row r="485" spans="5:15" x14ac:dyDescent="0.15">
      <c r="E485">
        <v>1981</v>
      </c>
      <c r="F485">
        <f t="shared" si="265"/>
        <v>0.39506085751619507</v>
      </c>
      <c r="G485">
        <f t="shared" si="266"/>
        <v>-0.46584838012052571</v>
      </c>
      <c r="H485">
        <f t="shared" si="267"/>
        <v>-0.78923178610295064</v>
      </c>
      <c r="M485" s="27">
        <f>AVERAGE(pm.rep!B80:D80)</f>
        <v>19119.766666666666</v>
      </c>
      <c r="N485" s="27">
        <f>AVERAGE(pm.rep!E80:J80)</f>
        <v>965.01321666666661</v>
      </c>
      <c r="O485" s="27">
        <f>AVERAGE(pm.rep!H80:P80)</f>
        <v>53.029027777777777</v>
      </c>
    </row>
    <row r="486" spans="5:15" x14ac:dyDescent="0.15">
      <c r="E486">
        <v>1982</v>
      </c>
      <c r="F486">
        <f t="shared" si="265"/>
        <v>-0.13110385645550107</v>
      </c>
      <c r="G486">
        <f t="shared" si="266"/>
        <v>0.2836542726953909</v>
      </c>
      <c r="H486">
        <f t="shared" si="267"/>
        <v>-0.78757015031348121</v>
      </c>
      <c r="M486" s="27">
        <f>AVERAGE(pm.rep!B81:D81)</f>
        <v>11908.506666666666</v>
      </c>
      <c r="N486" s="27">
        <f>AVERAGE(pm.rep!E81:J81)</f>
        <v>2319.0856166666667</v>
      </c>
      <c r="O486" s="27">
        <f>AVERAGE(pm.rep!H81:P81)</f>
        <v>53.447093333333335</v>
      </c>
    </row>
    <row r="487" spans="5:15" x14ac:dyDescent="0.15">
      <c r="E487">
        <v>1983</v>
      </c>
      <c r="F487">
        <f t="shared" si="265"/>
        <v>0.62183786918157835</v>
      </c>
      <c r="G487">
        <f t="shared" si="266"/>
        <v>0.27158556351279423</v>
      </c>
      <c r="H487">
        <f t="shared" si="267"/>
        <v>-0.7331574175315978</v>
      </c>
      <c r="M487" s="27">
        <f>AVERAGE(pm.rep!B82:D82)</f>
        <v>22227.820000000003</v>
      </c>
      <c r="N487" s="27">
        <f>AVERAGE(pm.rep!E82:J82)</f>
        <v>2297.2819500000001</v>
      </c>
      <c r="O487" s="27">
        <f>AVERAGE(pm.rep!H82:P82)</f>
        <v>67.137271111111104</v>
      </c>
    </row>
    <row r="488" spans="5:15" x14ac:dyDescent="0.15">
      <c r="E488">
        <v>1984</v>
      </c>
      <c r="F488">
        <f t="shared" si="265"/>
        <v>-5.2288279667607553E-2</v>
      </c>
      <c r="G488">
        <f t="shared" si="266"/>
        <v>0.3411012619824611</v>
      </c>
      <c r="H488">
        <f t="shared" si="267"/>
        <v>-0.45997529744355692</v>
      </c>
      <c r="M488" s="27">
        <f>AVERAGE(pm.rep!B83:D83)</f>
        <v>12988.699999999997</v>
      </c>
      <c r="N488" s="27">
        <f>AVERAGE(pm.rep!E83:J83)</f>
        <v>2422.87095</v>
      </c>
      <c r="O488" s="27">
        <f>AVERAGE(pm.rep!H83:P83)</f>
        <v>135.86956222222224</v>
      </c>
    </row>
    <row r="489" spans="5:15" x14ac:dyDescent="0.15">
      <c r="E489">
        <v>1985</v>
      </c>
      <c r="F489">
        <f t="shared" si="265"/>
        <v>0.30326200884459137</v>
      </c>
      <c r="G489">
        <f t="shared" si="266"/>
        <v>0.13989752527113708</v>
      </c>
      <c r="H489">
        <f t="shared" si="267"/>
        <v>0.52336049151350716</v>
      </c>
      <c r="M489" s="27">
        <f>AVERAGE(pm.rep!B84:D84)</f>
        <v>17861.633333333335</v>
      </c>
      <c r="N489" s="27">
        <f>AVERAGE(pm.rep!E84:J84)</f>
        <v>2059.3706666666667</v>
      </c>
      <c r="O489" s="27">
        <f>AVERAGE(pm.rep!H84:P84)</f>
        <v>383.27565777777778</v>
      </c>
    </row>
    <row r="490" spans="5:15" x14ac:dyDescent="0.15">
      <c r="E490">
        <v>1986</v>
      </c>
      <c r="F490">
        <f t="shared" si="265"/>
        <v>-0.21885415798057159</v>
      </c>
      <c r="G490">
        <f t="shared" si="266"/>
        <v>0.61444654687290257</v>
      </c>
      <c r="H490">
        <f t="shared" si="267"/>
        <v>0.49209076431312815</v>
      </c>
      <c r="M490" s="27">
        <f>AVERAGE(pm.rep!B85:D85)</f>
        <v>10705.86</v>
      </c>
      <c r="N490" s="27">
        <f>AVERAGE(pm.rep!E85:J85)</f>
        <v>2916.7041666666664</v>
      </c>
      <c r="O490" s="27">
        <f>AVERAGE(pm.rep!H85:P85)</f>
        <v>375.4082322222223</v>
      </c>
    </row>
    <row r="491" spans="5:15" x14ac:dyDescent="0.15">
      <c r="E491">
        <v>1987</v>
      </c>
      <c r="F491">
        <f t="shared" si="265"/>
        <v>-0.44855898476970618</v>
      </c>
      <c r="G491">
        <f t="shared" si="266"/>
        <v>0.28062923545246682</v>
      </c>
      <c r="H491">
        <f t="shared" si="267"/>
        <v>0.61732159929961172</v>
      </c>
      <c r="M491" s="27">
        <f>AVERAGE(pm.rep!B86:D86)</f>
        <v>7557.68</v>
      </c>
      <c r="N491" s="27">
        <f>AVERAGE(pm.rep!E86:J86)</f>
        <v>2313.6204999999995</v>
      </c>
      <c r="O491" s="27">
        <f>AVERAGE(pm.rep!H86:P86)</f>
        <v>406.91615888888896</v>
      </c>
    </row>
    <row r="492" spans="5:15" x14ac:dyDescent="0.15">
      <c r="E492">
        <v>1988</v>
      </c>
      <c r="F492">
        <f t="shared" si="265"/>
        <v>-0.69592896092487488</v>
      </c>
      <c r="G492">
        <f t="shared" si="266"/>
        <v>0.39892596232735239</v>
      </c>
      <c r="H492">
        <f t="shared" si="267"/>
        <v>0.4451214165329283</v>
      </c>
      <c r="M492" s="27">
        <f>AVERAGE(pm.rep!B87:D87)</f>
        <v>4167.3933333333334</v>
      </c>
      <c r="N492" s="27">
        <f>AVERAGE(pm.rep!E87:J87)</f>
        <v>2527.3386666666661</v>
      </c>
      <c r="O492" s="27">
        <f>AVERAGE(pm.rep!H87:P87)</f>
        <v>363.59080111111115</v>
      </c>
    </row>
    <row r="493" spans="5:15" x14ac:dyDescent="0.15">
      <c r="E493">
        <v>1989</v>
      </c>
      <c r="F493">
        <f t="shared" si="265"/>
        <v>-0.62582556768473852</v>
      </c>
      <c r="G493">
        <f t="shared" si="266"/>
        <v>0.13170002462708361</v>
      </c>
      <c r="H493">
        <f t="shared" si="267"/>
        <v>1.1548319813471057</v>
      </c>
      <c r="M493" s="27">
        <f>AVERAGE(pm.rep!B88:D88)</f>
        <v>5128.1833333333334</v>
      </c>
      <c r="N493" s="27">
        <f>AVERAGE(pm.rep!E88:J88)</f>
        <v>2044.5608333333332</v>
      </c>
      <c r="O493" s="27">
        <f>AVERAGE(pm.rep!H88:P88)</f>
        <v>542.15312111111109</v>
      </c>
    </row>
    <row r="494" spans="5:15" x14ac:dyDescent="0.15">
      <c r="E494">
        <v>1990</v>
      </c>
      <c r="F494">
        <f t="shared" si="265"/>
        <v>0.33272305732193519</v>
      </c>
      <c r="G494">
        <f t="shared" si="266"/>
        <v>-0.1816768112342875</v>
      </c>
      <c r="H494">
        <f t="shared" si="267"/>
        <v>0.6239475673718613</v>
      </c>
      <c r="M494" s="27">
        <f>AVERAGE(pm.rep!B89:D89)</f>
        <v>18265.406666666666</v>
      </c>
      <c r="N494" s="27">
        <f>AVERAGE(pm.rep!E89:J89)</f>
        <v>1478.4054999999998</v>
      </c>
      <c r="O494" s="27">
        <f>AVERAGE(pm.rep!H89:P89)</f>
        <v>408.5832444444444</v>
      </c>
    </row>
    <row r="495" spans="5:15" x14ac:dyDescent="0.15">
      <c r="E495">
        <v>1991</v>
      </c>
      <c r="F495">
        <f t="shared" si="265"/>
        <v>0.17465168565560224</v>
      </c>
      <c r="G495">
        <f t="shared" si="266"/>
        <v>-0.44536540364937893</v>
      </c>
      <c r="H495">
        <f t="shared" si="267"/>
        <v>0.64319359697460066</v>
      </c>
      <c r="M495" s="27">
        <f>AVERAGE(pm.rep!B90:D90)</f>
        <v>16098.986666666669</v>
      </c>
      <c r="N495" s="27">
        <f>AVERAGE(pm.rep!E90:J90)</f>
        <v>1002.0183333333334</v>
      </c>
      <c r="O495" s="27">
        <f>AVERAGE(pm.rep!H90:P90)</f>
        <v>413.42552222222218</v>
      </c>
    </row>
    <row r="496" spans="5:15" x14ac:dyDescent="0.15">
      <c r="E496">
        <v>1992</v>
      </c>
      <c r="F496">
        <f t="shared" si="265"/>
        <v>0.11273756497169075</v>
      </c>
      <c r="G496">
        <f t="shared" si="266"/>
        <v>-0.54048561838926146</v>
      </c>
      <c r="H496">
        <f t="shared" si="267"/>
        <v>0.14526080310828102</v>
      </c>
      <c r="M496" s="27">
        <f>AVERAGE(pm.rep!B91:D91)</f>
        <v>15250.433333333334</v>
      </c>
      <c r="N496" s="27">
        <f>AVERAGE(pm.rep!E91:J91)</f>
        <v>830.17149999999992</v>
      </c>
      <c r="O496" s="27">
        <f>AVERAGE(pm.rep!H91:P91)</f>
        <v>288.14623333333338</v>
      </c>
    </row>
    <row r="497" spans="5:15" x14ac:dyDescent="0.15">
      <c r="E497">
        <v>1993</v>
      </c>
      <c r="F497">
        <f t="shared" si="265"/>
        <v>0.52491595207944575</v>
      </c>
      <c r="G497">
        <f t="shared" si="266"/>
        <v>5.8986379299742306E-2</v>
      </c>
      <c r="H497">
        <f t="shared" si="267"/>
        <v>-0.32435318305574723</v>
      </c>
      <c r="M497" s="27">
        <f>AVERAGE(pm.rep!B92:D92)</f>
        <v>20899.473333333332</v>
      </c>
      <c r="N497" s="27">
        <f>AVERAGE(pm.rep!E92:J92)</f>
        <v>1913.1943333333336</v>
      </c>
      <c r="O497" s="27">
        <f>AVERAGE(pm.rep!H92:P92)</f>
        <v>169.9919222222222</v>
      </c>
    </row>
    <row r="498" spans="5:15" x14ac:dyDescent="0.15">
      <c r="E498">
        <v>1994</v>
      </c>
      <c r="F498">
        <f t="shared" si="265"/>
        <v>-5.8177878861692912E-3</v>
      </c>
      <c r="G498">
        <f t="shared" si="266"/>
        <v>7.572419237273631E-2</v>
      </c>
      <c r="H498">
        <f t="shared" si="267"/>
        <v>-0.52132785336540133</v>
      </c>
      <c r="M498" s="27">
        <f>AVERAGE(pm.rep!B93:D93)</f>
        <v>13625.593333333332</v>
      </c>
      <c r="N498" s="27">
        <f>AVERAGE(pm.rep!E93:J93)</f>
        <v>1943.4333333333334</v>
      </c>
      <c r="O498" s="27">
        <f>AVERAGE(pm.rep!H93:P93)</f>
        <v>120.43333333333332</v>
      </c>
    </row>
    <row r="499" spans="5:15" x14ac:dyDescent="0.15">
      <c r="E499">
        <v>1995</v>
      </c>
      <c r="F499">
        <f t="shared" si="265"/>
        <v>-0.28264808287543791</v>
      </c>
      <c r="G499">
        <f t="shared" si="266"/>
        <v>5.9701699078762056E-2</v>
      </c>
      <c r="H499">
        <f t="shared" si="267"/>
        <v>-0.50107590124618984</v>
      </c>
      <c r="M499" s="27">
        <f>AVERAGE(pm.rep!B94:D94)</f>
        <v>9831.5433333333331</v>
      </c>
      <c r="N499" s="27">
        <f>AVERAGE(pm.rep!E94:J94)</f>
        <v>1914.4866500000001</v>
      </c>
      <c r="O499" s="27">
        <f>AVERAGE(pm.rep!H94:P94)</f>
        <v>125.52869999999997</v>
      </c>
    </row>
    <row r="500" spans="5:15" x14ac:dyDescent="0.15">
      <c r="E500">
        <v>1996</v>
      </c>
      <c r="F500">
        <f t="shared" si="265"/>
        <v>-0.23557052791499303</v>
      </c>
      <c r="G500">
        <f t="shared" si="266"/>
        <v>0.48515642909502305</v>
      </c>
      <c r="H500">
        <f t="shared" si="267"/>
        <v>7.3812261555355488E-2</v>
      </c>
      <c r="M500" s="27">
        <f>AVERAGE(pm.rep!B95:D95)</f>
        <v>10476.756666666666</v>
      </c>
      <c r="N500" s="27">
        <f>AVERAGE(pm.rep!E95:J95)</f>
        <v>2683.1250333333332</v>
      </c>
      <c r="O500" s="27">
        <f>AVERAGE(pm.rep!H95:P95)</f>
        <v>270.16986666666668</v>
      </c>
    </row>
    <row r="501" spans="5:15" x14ac:dyDescent="0.15">
      <c r="E501">
        <v>1997</v>
      </c>
      <c r="F501">
        <f t="shared" si="265"/>
        <v>5.2915088253908511E-2</v>
      </c>
      <c r="G501">
        <f t="shared" si="266"/>
        <v>0.26487825167520479</v>
      </c>
      <c r="H501">
        <f t="shared" si="267"/>
        <v>6.1585564395353919E-2</v>
      </c>
      <c r="M501" s="27">
        <f>AVERAGE(pm.rep!B96:D96)</f>
        <v>14430.546666666667</v>
      </c>
      <c r="N501" s="27">
        <f>AVERAGE(pm.rep!E96:J96)</f>
        <v>2285.1643333333332</v>
      </c>
      <c r="O501" s="27">
        <f>AVERAGE(pm.rep!H96:P96)</f>
        <v>267.09364444444441</v>
      </c>
    </row>
    <row r="502" spans="5:15" x14ac:dyDescent="0.15">
      <c r="E502">
        <v>1998</v>
      </c>
      <c r="F502">
        <f t="shared" si="265"/>
        <v>-0.17191669452297442</v>
      </c>
      <c r="G502">
        <f t="shared" si="266"/>
        <v>9.301087946335676E-3</v>
      </c>
      <c r="H502">
        <f t="shared" si="267"/>
        <v>0.13542574436263011</v>
      </c>
      <c r="M502" s="27">
        <f>AVERAGE(pm.rep!B97:D97)</f>
        <v>11349.153333333334</v>
      </c>
      <c r="N502" s="27">
        <f>AVERAGE(pm.rep!E97:J97)</f>
        <v>1823.4314999999999</v>
      </c>
      <c r="O502" s="27">
        <f>AVERAGE(pm.rep!H97:P97)</f>
        <v>285.67174444444453</v>
      </c>
    </row>
    <row r="503" spans="5:15" x14ac:dyDescent="0.15">
      <c r="E503">
        <v>1999</v>
      </c>
      <c r="F503">
        <f t="shared" si="265"/>
        <v>-0.24197533631081233</v>
      </c>
      <c r="G503">
        <f t="shared" si="266"/>
        <v>1.0662371772438232E-2</v>
      </c>
      <c r="H503">
        <f t="shared" si="267"/>
        <v>0.83175632083594409</v>
      </c>
      <c r="M503" s="27">
        <f>AVERAGE(pm.rep!B98:D98)</f>
        <v>10388.976666666666</v>
      </c>
      <c r="N503" s="27">
        <f>AVERAGE(pm.rep!E98:J98)</f>
        <v>1825.8908333333331</v>
      </c>
      <c r="O503" s="27">
        <f>AVERAGE(pm.rep!H98:P98)</f>
        <v>460.86767555555554</v>
      </c>
    </row>
    <row r="504" spans="5:15" x14ac:dyDescent="0.15">
      <c r="E504">
        <v>2000</v>
      </c>
      <c r="F504">
        <f t="shared" si="265"/>
        <v>-0.10752592145451736</v>
      </c>
      <c r="G504">
        <f t="shared" si="266"/>
        <v>0.16761684707331098</v>
      </c>
      <c r="H504">
        <f t="shared" si="267"/>
        <v>0.50817846748571349</v>
      </c>
      <c r="M504" s="27">
        <f>AVERAGE(pm.rep!B99:D99)</f>
        <v>12231.65</v>
      </c>
      <c r="N504" s="27">
        <f>AVERAGE(pm.rep!E99:J99)</f>
        <v>2109.4491666666668</v>
      </c>
      <c r="O504" s="27">
        <f>AVERAGE(pm.rep!H99:P99)</f>
        <v>379.45587888888895</v>
      </c>
    </row>
    <row r="505" spans="5:15" x14ac:dyDescent="0.15">
      <c r="E505">
        <v>2001</v>
      </c>
      <c r="F505">
        <f t="shared" si="265"/>
        <v>0.23612388574806498</v>
      </c>
      <c r="G505">
        <f t="shared" si="266"/>
        <v>-9.4290188043834461E-3</v>
      </c>
      <c r="H505">
        <f t="shared" si="267"/>
        <v>0.14362240095810883</v>
      </c>
      <c r="M505" s="27">
        <f>AVERAGE(pm.rep!B100:D100)</f>
        <v>16941.483333333334</v>
      </c>
      <c r="N505" s="27">
        <f>AVERAGE(pm.rep!E100:J100)</f>
        <v>1789.5931666666668</v>
      </c>
      <c r="O505" s="27">
        <f>AVERAGE(pm.rep!H100:P100)</f>
        <v>287.73401333333334</v>
      </c>
    </row>
    <row r="506" spans="5:15" x14ac:dyDescent="0.15">
      <c r="E506">
        <v>2002</v>
      </c>
      <c r="F506">
        <f t="shared" si="265"/>
        <v>0.10078527899175059</v>
      </c>
      <c r="G506">
        <f t="shared" si="266"/>
        <v>-0.14652661040604026</v>
      </c>
      <c r="H506">
        <f t="shared" si="267"/>
        <v>0.11951714909899427</v>
      </c>
      <c r="M506" s="27">
        <f>AVERAGE(pm.rep!B101:D101)</f>
        <v>15086.623333333335</v>
      </c>
      <c r="N506" s="27">
        <f>AVERAGE(pm.rep!E101:J101)</f>
        <v>1541.9088333333332</v>
      </c>
      <c r="O506" s="27">
        <f>AVERAGE(pm.rep!H101:P101)</f>
        <v>281.66916111111118</v>
      </c>
    </row>
    <row r="507" spans="5:15" x14ac:dyDescent="0.15">
      <c r="E507">
        <v>2003</v>
      </c>
      <c r="F507">
        <f t="shared" si="265"/>
        <v>-0.18152244783021526</v>
      </c>
      <c r="G507">
        <f t="shared" si="266"/>
        <v>-5.9170399922378471E-2</v>
      </c>
      <c r="H507">
        <f t="shared" si="267"/>
        <v>0.14252403849908329</v>
      </c>
      <c r="M507" s="27">
        <f>AVERAGE(pm.rep!B102:D102)</f>
        <v>11217.503333333334</v>
      </c>
      <c r="N507" s="27">
        <f>AVERAGE(pm.rep!E102:J102)</f>
        <v>1699.7290000000003</v>
      </c>
      <c r="O507" s="27">
        <f>AVERAGE(pm.rep!H102:P102)</f>
        <v>287.45766666666668</v>
      </c>
    </row>
    <row r="508" spans="5:15" x14ac:dyDescent="0.15">
      <c r="E508">
        <v>2004</v>
      </c>
      <c r="F508">
        <f t="shared" si="265"/>
        <v>-0.54324600461547101</v>
      </c>
      <c r="G508">
        <f t="shared" si="266"/>
        <v>0.17145807341861213</v>
      </c>
      <c r="H508">
        <f t="shared" si="267"/>
        <v>-0.11495555956435123</v>
      </c>
      <c r="M508" s="27">
        <f>AVERAGE(pm.rep!B103:D103)</f>
        <v>6259.9633333333331</v>
      </c>
      <c r="N508" s="27">
        <f>AVERAGE(pm.rep!E103:J103)</f>
        <v>2116.3888333333339</v>
      </c>
      <c r="O508" s="27">
        <f>AVERAGE(pm.rep!H103:P103)</f>
        <v>222.67611111111111</v>
      </c>
    </row>
    <row r="509" spans="5:15" x14ac:dyDescent="0.15">
      <c r="E509">
        <v>2005</v>
      </c>
      <c r="F509">
        <f t="shared" ref="F509:H511" si="268">(M509-M$467)/M$467</f>
        <v>-0.72477783872050405</v>
      </c>
      <c r="G509">
        <f t="shared" si="268"/>
        <v>0.11418931673875431</v>
      </c>
      <c r="H509">
        <f t="shared" si="268"/>
        <v>-0.18955077760626579</v>
      </c>
      <c r="M509" s="27">
        <f>AVERAGE(pm.rep!B104:D104)</f>
        <v>3772.0099999999998</v>
      </c>
      <c r="N509" s="27">
        <f>AVERAGE(pm.rep!E104:J104)</f>
        <v>2012.9255000000001</v>
      </c>
      <c r="O509" s="27">
        <f>AVERAGE(pm.rep!H104:P104)</f>
        <v>203.90804444444447</v>
      </c>
    </row>
    <row r="510" spans="5:15" x14ac:dyDescent="0.15">
      <c r="E510">
        <v>2006</v>
      </c>
      <c r="F510">
        <f t="shared" si="268"/>
        <v>-0.61353059259453357</v>
      </c>
      <c r="G510">
        <f t="shared" si="268"/>
        <v>-9.9663058574794336E-2</v>
      </c>
      <c r="H510">
        <f t="shared" si="268"/>
        <v>-5.4369417853779467E-2</v>
      </c>
      <c r="M510" s="27">
        <f>AVERAGE(pm.rep!B105:D105)</f>
        <v>5296.69</v>
      </c>
      <c r="N510" s="27">
        <f>AVERAGE(pm.rep!E105:J105)</f>
        <v>1626.5738333333331</v>
      </c>
      <c r="O510" s="27">
        <f>AVERAGE(pm.rep!H105:P105)</f>
        <v>237.91951111111115</v>
      </c>
    </row>
    <row r="511" spans="5:15" x14ac:dyDescent="0.15">
      <c r="E511">
        <v>2007</v>
      </c>
      <c r="F511">
        <f t="shared" si="268"/>
        <v>-0.20706239351431116</v>
      </c>
      <c r="G511">
        <f t="shared" si="268"/>
        <v>-0.38401178070928832</v>
      </c>
      <c r="H511">
        <f t="shared" si="268"/>
        <v>3.1462031539046857E-2</v>
      </c>
      <c r="M511" s="27">
        <f>AVERAGE(pm.rep!B106:D106)</f>
        <v>10867.47</v>
      </c>
      <c r="N511" s="27">
        <f>AVERAGE(pm.rep!E106:J106)</f>
        <v>1112.8615000000002</v>
      </c>
      <c r="O511" s="27">
        <f>AVERAGE(pm.rep!H106:P106)</f>
        <v>259.51459999999997</v>
      </c>
    </row>
    <row r="512" spans="5:15" x14ac:dyDescent="0.15">
      <c r="E512">
        <v>2008</v>
      </c>
      <c r="F512">
        <f t="shared" ref="F512:H513" si="269">(M512-M$467)/M$467</f>
        <v>-0.30669809705528878</v>
      </c>
      <c r="G512">
        <f t="shared" si="269"/>
        <v>-0.59055754165614005</v>
      </c>
      <c r="H512">
        <f t="shared" si="269"/>
        <v>-8.9483789037927849E-2</v>
      </c>
      <c r="M512" s="27">
        <f>AVERAGE(pm.rep!B107:D107)</f>
        <v>9501.9299999999985</v>
      </c>
      <c r="N512" s="27">
        <f>AVERAGE(pm.rep!E107:J107)</f>
        <v>739.71016666666674</v>
      </c>
      <c r="O512" s="27">
        <f>AVERAGE(pm.rep!H107:P107)</f>
        <v>229.08477777777776</v>
      </c>
    </row>
    <row r="513" spans="5:15" x14ac:dyDescent="0.15">
      <c r="E513">
        <v>2009</v>
      </c>
      <c r="F513">
        <f t="shared" si="269"/>
        <v>0.69514123447547727</v>
      </c>
      <c r="G513">
        <f t="shared" si="269"/>
        <v>-0.58142939373384572</v>
      </c>
      <c r="H513">
        <f t="shared" si="269"/>
        <v>-0.31833593103364644</v>
      </c>
      <c r="M513" s="27">
        <f>AVERAGE(pm.rep!B108:D108)</f>
        <v>23232.466666666664</v>
      </c>
      <c r="N513" s="27">
        <f>AVERAGE(pm.rep!E108:J108)</f>
        <v>756.20133333333331</v>
      </c>
      <c r="O513" s="27">
        <f>AVERAGE(pm.rep!H108:P108)</f>
        <v>171.50585555555554</v>
      </c>
    </row>
  </sheetData>
  <phoneticPr fontId="7" type="noConversion"/>
  <pageMargins left="0.75" right="0.75" top="1" bottom="1" header="0.5" footer="0.5"/>
  <pageSetup scale="10" orientation="landscape"/>
  <headerFooter alignWithMargins="0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/>
  <dimension ref="B1:O13"/>
  <sheetViews>
    <sheetView workbookViewId="0">
      <selection activeCell="B9" sqref="B9"/>
    </sheetView>
  </sheetViews>
  <sheetFormatPr baseColWidth="10" defaultColWidth="8.83203125" defaultRowHeight="13" x14ac:dyDescent="0.15"/>
  <cols>
    <col min="10" max="10" width="12.83203125" customWidth="1"/>
  </cols>
  <sheetData>
    <row r="1" spans="2:15" ht="39" x14ac:dyDescent="0.15">
      <c r="B1" s="21" t="s">
        <v>345</v>
      </c>
      <c r="C1" t="s">
        <v>406</v>
      </c>
      <c r="D1" s="4" t="s">
        <v>189</v>
      </c>
      <c r="E1" s="4" t="s">
        <v>190</v>
      </c>
      <c r="F1" s="4" t="s">
        <v>191</v>
      </c>
      <c r="G1" s="4" t="s">
        <v>192</v>
      </c>
      <c r="J1" s="80" t="s">
        <v>408</v>
      </c>
      <c r="K1" t="s">
        <v>407</v>
      </c>
      <c r="L1" s="4" t="s">
        <v>189</v>
      </c>
      <c r="M1" s="4" t="s">
        <v>190</v>
      </c>
      <c r="N1" s="4" t="s">
        <v>191</v>
      </c>
      <c r="O1" s="4" t="s">
        <v>192</v>
      </c>
    </row>
    <row r="2" spans="2:15" x14ac:dyDescent="0.15">
      <c r="B2">
        <v>1992</v>
      </c>
      <c r="C2" s="27">
        <v>51313</v>
      </c>
      <c r="D2" s="27">
        <v>6555.8</v>
      </c>
      <c r="E2" s="27">
        <v>6555.8</v>
      </c>
      <c r="F2" s="27">
        <v>35817.0118563785</v>
      </c>
      <c r="G2" s="27">
        <v>73513.222698701924</v>
      </c>
      <c r="J2">
        <v>1992</v>
      </c>
      <c r="K2" s="27">
        <v>51253</v>
      </c>
      <c r="L2" s="27">
        <v>6527.2</v>
      </c>
      <c r="M2" s="27">
        <v>6527.2</v>
      </c>
      <c r="N2" s="27">
        <v>35817.0118563785</v>
      </c>
      <c r="O2" s="27">
        <v>73409.406103048357</v>
      </c>
    </row>
    <row r="3" spans="2:15" x14ac:dyDescent="0.15">
      <c r="B3">
        <v>1993</v>
      </c>
      <c r="C3" s="27">
        <v>13341</v>
      </c>
      <c r="D3" s="27">
        <v>2554.1999999999998</v>
      </c>
      <c r="E3" s="27">
        <v>2554.1999999999998</v>
      </c>
      <c r="F3" s="27">
        <v>9241.8852795749572</v>
      </c>
      <c r="G3" s="27">
        <v>19258.222279965976</v>
      </c>
      <c r="J3">
        <v>1993</v>
      </c>
      <c r="K3" s="27">
        <v>13332</v>
      </c>
      <c r="L3" s="27">
        <v>2549.8000000000002</v>
      </c>
      <c r="M3" s="27">
        <v>2549.8000000000002</v>
      </c>
      <c r="N3" s="27">
        <v>9241.8852795749572</v>
      </c>
      <c r="O3" s="27">
        <v>19241.541091860119</v>
      </c>
    </row>
    <row r="4" spans="2:15" x14ac:dyDescent="0.15">
      <c r="B4">
        <v>1994</v>
      </c>
      <c r="C4" s="27">
        <v>10007</v>
      </c>
      <c r="D4" s="27">
        <v>2068.4</v>
      </c>
      <c r="E4" s="27">
        <v>2068.4</v>
      </c>
      <c r="F4" s="27">
        <v>7103.8473626903942</v>
      </c>
      <c r="G4" s="27">
        <v>14096.59356223479</v>
      </c>
      <c r="J4">
        <v>1994</v>
      </c>
      <c r="K4" s="27">
        <v>10003</v>
      </c>
      <c r="L4" s="27">
        <v>2067.4</v>
      </c>
      <c r="M4" s="27">
        <v>2067.4</v>
      </c>
      <c r="N4" s="27">
        <v>7103.8473626903942</v>
      </c>
      <c r="O4" s="27">
        <v>14088.929316178168</v>
      </c>
    </row>
    <row r="5" spans="2:15" x14ac:dyDescent="0.15">
      <c r="B5">
        <v>1995</v>
      </c>
      <c r="C5" s="27">
        <v>22444</v>
      </c>
      <c r="D5" s="27">
        <v>3576.8</v>
      </c>
      <c r="E5" s="27">
        <v>3576.8</v>
      </c>
      <c r="F5" s="27">
        <v>15920.992788241858</v>
      </c>
      <c r="G5" s="27">
        <v>31639.555566661798</v>
      </c>
      <c r="J5">
        <v>1995</v>
      </c>
      <c r="K5" s="27">
        <v>22468</v>
      </c>
      <c r="L5" s="27">
        <v>3586.6</v>
      </c>
      <c r="M5" s="27">
        <v>3586.6</v>
      </c>
      <c r="N5" s="27">
        <v>15920.992788241858</v>
      </c>
      <c r="O5" s="27">
        <v>31678.580050187225</v>
      </c>
    </row>
    <row r="6" spans="2:15" x14ac:dyDescent="0.15">
      <c r="B6">
        <v>1996</v>
      </c>
      <c r="C6" s="27">
        <v>31163</v>
      </c>
      <c r="D6" s="27">
        <v>5149.3999999999996</v>
      </c>
      <c r="E6" s="27">
        <v>5149.3999999999996</v>
      </c>
      <c r="F6" s="27">
        <v>21499.387174460837</v>
      </c>
      <c r="G6" s="27">
        <v>45170.244208337725</v>
      </c>
      <c r="J6">
        <v>1996</v>
      </c>
      <c r="K6" s="27">
        <v>31204</v>
      </c>
      <c r="L6" s="27">
        <v>5189.2</v>
      </c>
      <c r="M6" s="27">
        <v>5189.2</v>
      </c>
      <c r="N6" s="27">
        <v>21499.387174460837</v>
      </c>
      <c r="O6" s="27">
        <v>45273.644489240804</v>
      </c>
    </row>
    <row r="7" spans="2:15" x14ac:dyDescent="0.15">
      <c r="B7">
        <v>1997</v>
      </c>
      <c r="C7" s="27">
        <v>14419</v>
      </c>
      <c r="D7" s="27">
        <v>3282.2</v>
      </c>
      <c r="E7" s="27">
        <v>3282.2</v>
      </c>
      <c r="F7" s="27">
        <v>8279.3477677003539</v>
      </c>
      <c r="G7" s="27">
        <v>25111.58690677246</v>
      </c>
      <c r="J7">
        <v>1997</v>
      </c>
      <c r="K7" s="27">
        <v>14516</v>
      </c>
      <c r="L7" s="27">
        <v>3336.2</v>
      </c>
      <c r="M7" s="27">
        <v>3336.2</v>
      </c>
      <c r="N7" s="27">
        <v>8279.3477677003539</v>
      </c>
      <c r="O7" s="27">
        <v>25275.919513413875</v>
      </c>
    </row>
    <row r="8" spans="2:15" x14ac:dyDescent="0.15">
      <c r="B8">
        <v>1998</v>
      </c>
      <c r="C8" s="27">
        <v>16444</v>
      </c>
      <c r="D8" s="27">
        <v>4764.6000000000004</v>
      </c>
      <c r="E8" s="27">
        <v>4764.6000000000004</v>
      </c>
      <c r="F8" s="27">
        <v>10213.231740147741</v>
      </c>
      <c r="G8" s="27">
        <v>26475.962053915795</v>
      </c>
      <c r="J8">
        <v>1998</v>
      </c>
      <c r="K8" s="27">
        <v>16706</v>
      </c>
      <c r="L8" s="27">
        <v>4893.8</v>
      </c>
      <c r="M8" s="27">
        <v>4893.8</v>
      </c>
      <c r="N8" s="27">
        <v>10213.231740147741</v>
      </c>
      <c r="O8" s="27">
        <v>26891.440192258644</v>
      </c>
    </row>
    <row r="9" spans="2:15" x14ac:dyDescent="0.15">
      <c r="B9">
        <v>1999</v>
      </c>
      <c r="C9" s="27">
        <v>22552</v>
      </c>
      <c r="D9" s="27">
        <v>8089.6</v>
      </c>
      <c r="E9" s="27">
        <v>8089.6</v>
      </c>
      <c r="F9" s="27">
        <v>14720.651532227746</v>
      </c>
      <c r="G9" s="27">
        <v>34549.605558323565</v>
      </c>
      <c r="J9">
        <v>1999</v>
      </c>
      <c r="K9" s="27">
        <v>23525</v>
      </c>
      <c r="L9" s="27">
        <v>8512.2000000000007</v>
      </c>
      <c r="M9" s="27">
        <v>8512.2000000000007</v>
      </c>
      <c r="N9" s="27">
        <v>14720.651532227746</v>
      </c>
      <c r="O9" s="27">
        <v>36031.205698730671</v>
      </c>
    </row>
    <row r="10" spans="2:15" x14ac:dyDescent="0.15">
      <c r="B10">
        <v>2000</v>
      </c>
      <c r="C10" s="27">
        <v>38232</v>
      </c>
      <c r="D10" s="27">
        <v>16347.6</v>
      </c>
      <c r="E10" s="27">
        <v>16347.6</v>
      </c>
      <c r="F10" s="27">
        <v>25871.934122268161</v>
      </c>
      <c r="G10" s="27">
        <v>56496.967605599944</v>
      </c>
      <c r="J10">
        <v>2000</v>
      </c>
      <c r="K10" s="27">
        <v>40527</v>
      </c>
      <c r="L10" s="27">
        <v>17431.8</v>
      </c>
      <c r="M10" s="27">
        <v>17431.8</v>
      </c>
      <c r="N10" s="27">
        <v>25871.934122268161</v>
      </c>
      <c r="O10" s="27">
        <v>59872.641029857448</v>
      </c>
    </row>
    <row r="11" spans="2:15" x14ac:dyDescent="0.15">
      <c r="B11">
        <v>2001</v>
      </c>
      <c r="C11" s="27">
        <v>11509</v>
      </c>
      <c r="D11" s="27">
        <v>6516.8</v>
      </c>
      <c r="E11" s="27">
        <v>6516.8</v>
      </c>
      <c r="F11" s="27">
        <v>7873.9632963065869</v>
      </c>
      <c r="G11" s="27">
        <v>16822.161345625169</v>
      </c>
      <c r="J11">
        <v>2001</v>
      </c>
      <c r="K11" s="27">
        <v>12863</v>
      </c>
      <c r="L11" s="27">
        <v>7278.6</v>
      </c>
      <c r="M11" s="27">
        <v>7278.6</v>
      </c>
      <c r="N11" s="27">
        <v>7873.9632963065869</v>
      </c>
      <c r="O11" s="27">
        <v>18796.22109739489</v>
      </c>
    </row>
    <row r="12" spans="2:15" x14ac:dyDescent="0.15">
      <c r="B12">
        <v>2002</v>
      </c>
      <c r="C12" s="27">
        <v>11106</v>
      </c>
      <c r="D12" s="27">
        <v>8398.6</v>
      </c>
      <c r="E12" s="27">
        <v>8398.6</v>
      </c>
      <c r="F12" s="27">
        <v>7309.2601172324994</v>
      </c>
      <c r="G12" s="27">
        <v>16874.927697429019</v>
      </c>
      <c r="J12">
        <v>2002</v>
      </c>
      <c r="K12" s="27">
        <v>8157.6</v>
      </c>
      <c r="L12" s="27">
        <v>6186.6</v>
      </c>
      <c r="M12" s="27">
        <v>6186.6</v>
      </c>
      <c r="N12" s="27">
        <v>7309.2601172324994</v>
      </c>
      <c r="O12" s="27">
        <v>12391.653443788071</v>
      </c>
    </row>
    <row r="13" spans="2:15" x14ac:dyDescent="0.15">
      <c r="B13">
        <v>2003</v>
      </c>
      <c r="C13" s="27">
        <v>13532</v>
      </c>
      <c r="D13" s="27">
        <v>12135.6</v>
      </c>
      <c r="E13" s="27">
        <v>12135.6</v>
      </c>
      <c r="F13" s="27">
        <v>9146.9349379567266</v>
      </c>
      <c r="G13" s="27">
        <v>20019.276975518191</v>
      </c>
      <c r="J13">
        <v>2003</v>
      </c>
      <c r="K13" s="27">
        <v>13321</v>
      </c>
      <c r="L13" s="27">
        <v>12174.4</v>
      </c>
      <c r="M13" s="27">
        <v>12174.4</v>
      </c>
      <c r="N13" s="27">
        <v>9146.9349379567266</v>
      </c>
      <c r="O13" s="27">
        <v>19701.951377459045</v>
      </c>
    </row>
  </sheetData>
  <phoneticPr fontId="7" type="noConversion"/>
  <pageMargins left="0.75" right="0.75" top="1" bottom="1" header="0.5" footer="0.5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 enableFormatConditionsCalculation="0"/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22</vt:i4>
      </vt:variant>
    </vt:vector>
  </HeadingPairs>
  <TitlesOfParts>
    <vt:vector size="57" baseType="lpstr">
      <vt:lpstr>Likelihood comparisons</vt:lpstr>
      <vt:lpstr>Sheet1 (2)</vt:lpstr>
      <vt:lpstr>ABCProjections</vt:lpstr>
      <vt:lpstr>Sheet1</vt:lpstr>
      <vt:lpstr>Sheet1 (3)</vt:lpstr>
      <vt:lpstr>ParmCount</vt:lpstr>
      <vt:lpstr>Residuals</vt:lpstr>
      <vt:lpstr>Selectivity Comparison</vt:lpstr>
      <vt:lpstr>Fishery Early</vt:lpstr>
      <vt:lpstr>Past BiomEst</vt:lpstr>
      <vt:lpstr>BTrwl Srvy</vt:lpstr>
      <vt:lpstr>Fishery(shrt)</vt:lpstr>
      <vt:lpstr>EIT AgeCompFit 2+</vt:lpstr>
      <vt:lpstr>Survey Figs</vt:lpstr>
      <vt:lpstr>ProjectFigs</vt:lpstr>
      <vt:lpstr>Figures</vt:lpstr>
      <vt:lpstr>Sheet5</vt:lpstr>
      <vt:lpstr>SSB Table</vt:lpstr>
      <vt:lpstr>StdDev</vt:lpstr>
      <vt:lpstr>AgeData</vt:lpstr>
      <vt:lpstr>Age Comps</vt:lpstr>
      <vt:lpstr>CompareFits</vt:lpstr>
      <vt:lpstr>Summary</vt:lpstr>
      <vt:lpstr>pm.rep</vt:lpstr>
      <vt:lpstr>Sheet2</vt:lpstr>
      <vt:lpstr>Stdev</vt:lpstr>
      <vt:lpstr>Tables</vt:lpstr>
      <vt:lpstr>AVO wo new</vt:lpstr>
      <vt:lpstr>Sheet3</vt:lpstr>
      <vt:lpstr>Sheet4</vt:lpstr>
      <vt:lpstr>FIshable stuff</vt:lpstr>
      <vt:lpstr>Fs</vt:lpstr>
      <vt:lpstr>Projections</vt:lpstr>
      <vt:lpstr>Survey Components</vt:lpstr>
      <vt:lpstr>Effect of New EIT</vt:lpstr>
      <vt:lpstr>Chart4</vt:lpstr>
      <vt:lpstr>Chart1</vt:lpstr>
      <vt:lpstr>SSBTrend</vt:lpstr>
      <vt:lpstr>F_SEr-Figs</vt:lpstr>
      <vt:lpstr>Chart11</vt:lpstr>
      <vt:lpstr>Sel</vt:lpstr>
      <vt:lpstr>Chart5</vt:lpstr>
      <vt:lpstr>ObsErrB20</vt:lpstr>
      <vt:lpstr>Recruits</vt:lpstr>
      <vt:lpstr>SRec</vt:lpstr>
      <vt:lpstr>Chart13</vt:lpstr>
      <vt:lpstr>Chart14</vt:lpstr>
      <vt:lpstr>AVO Fit</vt:lpstr>
      <vt:lpstr>SSB</vt:lpstr>
      <vt:lpstr>SRec (2)</vt:lpstr>
      <vt:lpstr>Chart10</vt:lpstr>
      <vt:lpstr>Chart15</vt:lpstr>
      <vt:lpstr>Chart3</vt:lpstr>
      <vt:lpstr>Chart18</vt:lpstr>
      <vt:lpstr>SSB ForLorenz</vt:lpstr>
      <vt:lpstr>Chart22</vt:lpstr>
      <vt:lpstr>Chart27</vt:lpstr>
    </vt:vector>
  </TitlesOfParts>
  <Company>NMFS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Main Pollock Assessment Results</dc:title>
  <dc:subject>EBS Pollock Stock Assessment</dc:subject>
  <dc:creator>James N. Ianelli</dc:creator>
  <cp:lastModifiedBy>Jim Ianelli</cp:lastModifiedBy>
  <cp:lastPrinted>2014-11-24T03:01:01Z</cp:lastPrinted>
  <dcterms:created xsi:type="dcterms:W3CDTF">1996-09-17T18:41:13Z</dcterms:created>
  <dcterms:modified xsi:type="dcterms:W3CDTF">2016-11-15T07:54:55Z</dcterms:modified>
</cp:coreProperties>
</file>